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yboy\OneDrive\Documents\Nasa project\outputs\europa_ice_subsurface_simulation\"/>
    </mc:Choice>
  </mc:AlternateContent>
  <xr:revisionPtr revIDLastSave="0" documentId="13_ncr:1_{D1B74E78-1A73-4E6F-ACF8-5DD4F080BF78}" xr6:coauthVersionLast="47" xr6:coauthVersionMax="47" xr10:uidLastSave="{00000000-0000-0000-0000-000000000000}"/>
  <bookViews>
    <workbookView xWindow="-108" yWindow="-108" windowWidth="23256" windowHeight="13176" xr2:uid="{00000000-000D-0000-FFFF-FFFF00000000}"/>
  </bookViews>
  <sheets>
    <sheet name="Dashboard" sheetId="1" r:id="rId1"/>
    <sheet name="Subsurface_Dashboard" sheetId="2" r:id="rId2"/>
    <sheet name="Inputs" sheetId="3" r:id="rId3"/>
    <sheet name="Subsurface_Inputs" sheetId="4" r:id="rId4"/>
    <sheet name="Model_Data" sheetId="5" r:id="rId5"/>
    <sheet name="Subsurface_Live_Data" sheetId="6" r:id="rId6"/>
    <sheet name="Subsurface_Scenario_Data" sheetId="7" r:id="rId7"/>
    <sheet name="Subsurface_Materials_Evidence" sheetId="8" r:id="rId8"/>
    <sheet name="Subsurface_Radargram_Data" sheetId="9" r:id="rId9"/>
    <sheet name="Chart_Data" sheetId="10" r:id="rId10"/>
    <sheet name="Scenario_Data" sheetId="11" r:id="rId11"/>
    <sheet name="PRF_Results" sheetId="12" r:id="rId12"/>
    <sheet name="Formula_Guide" sheetId="13" r:id="rId13"/>
    <sheet name="Topography_Formulas" sheetId="14" r:id="rId14"/>
    <sheet name="Checks" sheetId="15" r:id="rId15"/>
    <sheet name="Graph_Guide" sheetId="16" r:id="rId16"/>
    <sheet name="Dashboard_Live_Data" sheetId="17" r:id="rId17"/>
    <sheet name="Native_Chart_Data" sheetId="18" r:id="rId18"/>
    <sheet name="Subsurface_Checks" sheetId="19" r:id="rId19"/>
    <sheet name="Subsurface_Formulas" sheetId="20" r:id="rId20"/>
  </sheets>
  <definedNames>
    <definedName name="_xlnm._FilterDatabase" localSheetId="5" hidden="1">Subsurface_Live_Data!$A$1:$V$242</definedName>
    <definedName name="_xlnm._FilterDatabase" localSheetId="8" hidden="1">Subsurface_Radargram_Data!$A$1:$G$242</definedName>
    <definedName name="_xlnm._FilterDatabase" localSheetId="6" hidden="1">Subsurface_Scenario_Data!$A$1:$J$242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9" l="1"/>
  <c r="B11" i="19"/>
  <c r="B9" i="19"/>
  <c r="B17" i="15"/>
  <c r="B16" i="15"/>
  <c r="B15" i="15"/>
  <c r="B14" i="15"/>
  <c r="B13" i="15"/>
  <c r="B12" i="15"/>
  <c r="B11" i="15"/>
  <c r="B10" i="15"/>
  <c r="B9" i="15"/>
  <c r="B8" i="15"/>
  <c r="B7" i="15"/>
  <c r="B6" i="15"/>
  <c r="B5" i="15"/>
  <c r="B4" i="15"/>
  <c r="A6" i="12"/>
  <c r="A5" i="12"/>
  <c r="A4" i="12"/>
  <c r="BF242" i="11"/>
  <c r="AY242" i="11"/>
  <c r="AR242" i="11"/>
  <c r="A242" i="11"/>
  <c r="BF241" i="11"/>
  <c r="AY241" i="11"/>
  <c r="AR241" i="11"/>
  <c r="A241" i="11"/>
  <c r="BF240" i="11"/>
  <c r="AY240" i="11"/>
  <c r="AR240" i="11"/>
  <c r="A240" i="11"/>
  <c r="BF239" i="11"/>
  <c r="AY239" i="11"/>
  <c r="AR239" i="11"/>
  <c r="A239" i="11"/>
  <c r="BF238" i="11"/>
  <c r="AY238" i="11"/>
  <c r="AR238" i="11"/>
  <c r="A238" i="11"/>
  <c r="BF237" i="11"/>
  <c r="AY237" i="11"/>
  <c r="AR237" i="11"/>
  <c r="A237" i="11"/>
  <c r="BF236" i="11"/>
  <c r="AY236" i="11"/>
  <c r="AR236" i="11"/>
  <c r="A236" i="11"/>
  <c r="BF235" i="11"/>
  <c r="AY235" i="11"/>
  <c r="AR235" i="11"/>
  <c r="A235" i="11"/>
  <c r="BF234" i="11"/>
  <c r="AY234" i="11"/>
  <c r="AR234" i="11"/>
  <c r="A234" i="11"/>
  <c r="BF233" i="11"/>
  <c r="AY233" i="11"/>
  <c r="AR233" i="11"/>
  <c r="A233" i="11"/>
  <c r="BF232" i="11"/>
  <c r="AY232" i="11"/>
  <c r="AR232" i="11"/>
  <c r="A232" i="11"/>
  <c r="BF231" i="11"/>
  <c r="AY231" i="11"/>
  <c r="AR231" i="11"/>
  <c r="A231" i="11"/>
  <c r="BF230" i="11"/>
  <c r="AY230" i="11"/>
  <c r="AR230" i="11"/>
  <c r="A230" i="11"/>
  <c r="BF229" i="11"/>
  <c r="AY229" i="11"/>
  <c r="AR229" i="11"/>
  <c r="A229" i="11"/>
  <c r="BF228" i="11"/>
  <c r="AY228" i="11"/>
  <c r="AR228" i="11"/>
  <c r="A228" i="11"/>
  <c r="BF227" i="11"/>
  <c r="AY227" i="11"/>
  <c r="AR227" i="11"/>
  <c r="A227" i="11"/>
  <c r="BF226" i="11"/>
  <c r="AY226" i="11"/>
  <c r="AR226" i="11"/>
  <c r="A226" i="11"/>
  <c r="BF225" i="11"/>
  <c r="AY225" i="11"/>
  <c r="AR225" i="11"/>
  <c r="A225" i="11"/>
  <c r="BF224" i="11"/>
  <c r="AY224" i="11"/>
  <c r="AR224" i="11"/>
  <c r="A224" i="11"/>
  <c r="BF223" i="11"/>
  <c r="AY223" i="11"/>
  <c r="AR223" i="11"/>
  <c r="A223" i="11"/>
  <c r="BF222" i="11"/>
  <c r="AY222" i="11"/>
  <c r="AR222" i="11"/>
  <c r="A222" i="11"/>
  <c r="BF221" i="11"/>
  <c r="AY221" i="11"/>
  <c r="AR221" i="11"/>
  <c r="A221" i="11"/>
  <c r="BF220" i="11"/>
  <c r="AY220" i="11"/>
  <c r="AR220" i="11"/>
  <c r="A220" i="11"/>
  <c r="BF219" i="11"/>
  <c r="AY219" i="11"/>
  <c r="AR219" i="11"/>
  <c r="A219" i="11"/>
  <c r="BF218" i="11"/>
  <c r="AY218" i="11"/>
  <c r="AR218" i="11"/>
  <c r="A218" i="11"/>
  <c r="BF217" i="11"/>
  <c r="AY217" i="11"/>
  <c r="AR217" i="11"/>
  <c r="A217" i="11"/>
  <c r="BF216" i="11"/>
  <c r="AY216" i="11"/>
  <c r="AR216" i="11"/>
  <c r="A216" i="11"/>
  <c r="BF215" i="11"/>
  <c r="AY215" i="11"/>
  <c r="AR215" i="11"/>
  <c r="A215" i="11"/>
  <c r="BF214" i="11"/>
  <c r="AY214" i="11"/>
  <c r="AR214" i="11"/>
  <c r="A214" i="11"/>
  <c r="BF213" i="11"/>
  <c r="AY213" i="11"/>
  <c r="AR213" i="11"/>
  <c r="A213" i="11"/>
  <c r="BF212" i="11"/>
  <c r="AY212" i="11"/>
  <c r="AR212" i="11"/>
  <c r="A212" i="11"/>
  <c r="BF211" i="11"/>
  <c r="AY211" i="11"/>
  <c r="AR211" i="11"/>
  <c r="A211" i="11"/>
  <c r="BF210" i="11"/>
  <c r="AY210" i="11"/>
  <c r="AR210" i="11"/>
  <c r="A210" i="11"/>
  <c r="BF209" i="11"/>
  <c r="AY209" i="11"/>
  <c r="AR209" i="11"/>
  <c r="A209" i="11"/>
  <c r="BF208" i="11"/>
  <c r="AY208" i="11"/>
  <c r="AR208" i="11"/>
  <c r="A208" i="11"/>
  <c r="BF207" i="11"/>
  <c r="AY207" i="11"/>
  <c r="AR207" i="11"/>
  <c r="A207" i="11"/>
  <c r="BF206" i="11"/>
  <c r="AY206" i="11"/>
  <c r="AR206" i="11"/>
  <c r="A206" i="11"/>
  <c r="BF205" i="11"/>
  <c r="AY205" i="11"/>
  <c r="AR205" i="11"/>
  <c r="A205" i="11"/>
  <c r="BF204" i="11"/>
  <c r="AY204" i="11"/>
  <c r="AR204" i="11"/>
  <c r="A204" i="11"/>
  <c r="BF203" i="11"/>
  <c r="AY203" i="11"/>
  <c r="AR203" i="11"/>
  <c r="A203" i="11"/>
  <c r="BF202" i="11"/>
  <c r="AY202" i="11"/>
  <c r="AR202" i="11"/>
  <c r="A202" i="11"/>
  <c r="BF201" i="11"/>
  <c r="AY201" i="11"/>
  <c r="AR201" i="11"/>
  <c r="A201" i="11"/>
  <c r="BF200" i="11"/>
  <c r="AY200" i="11"/>
  <c r="AR200" i="11"/>
  <c r="A200" i="11"/>
  <c r="BF199" i="11"/>
  <c r="AY199" i="11"/>
  <c r="AR199" i="11"/>
  <c r="A199" i="11"/>
  <c r="BF198" i="11"/>
  <c r="AY198" i="11"/>
  <c r="AR198" i="11"/>
  <c r="A198" i="11"/>
  <c r="BF197" i="11"/>
  <c r="AY197" i="11"/>
  <c r="AR197" i="11"/>
  <c r="A197" i="11"/>
  <c r="BF196" i="11"/>
  <c r="AY196" i="11"/>
  <c r="AR196" i="11"/>
  <c r="A196" i="11"/>
  <c r="BF195" i="11"/>
  <c r="AY195" i="11"/>
  <c r="AR195" i="11"/>
  <c r="A195" i="11"/>
  <c r="BF194" i="11"/>
  <c r="AY194" i="11"/>
  <c r="AR194" i="11"/>
  <c r="A194" i="11"/>
  <c r="BF193" i="11"/>
  <c r="AY193" i="11"/>
  <c r="AR193" i="11"/>
  <c r="A193" i="11"/>
  <c r="BF192" i="11"/>
  <c r="AY192" i="11"/>
  <c r="AR192" i="11"/>
  <c r="A192" i="11"/>
  <c r="BF191" i="11"/>
  <c r="AY191" i="11"/>
  <c r="AR191" i="11"/>
  <c r="A191" i="11"/>
  <c r="BF190" i="11"/>
  <c r="AY190" i="11"/>
  <c r="AR190" i="11"/>
  <c r="A190" i="11"/>
  <c r="BF189" i="11"/>
  <c r="AY189" i="11"/>
  <c r="AR189" i="11"/>
  <c r="A189" i="11"/>
  <c r="BF188" i="11"/>
  <c r="AY188" i="11"/>
  <c r="AR188" i="11"/>
  <c r="A188" i="11"/>
  <c r="BF187" i="11"/>
  <c r="AY187" i="11"/>
  <c r="AR187" i="11"/>
  <c r="A187" i="11"/>
  <c r="BF186" i="11"/>
  <c r="AY186" i="11"/>
  <c r="AR186" i="11"/>
  <c r="A186" i="11"/>
  <c r="BF185" i="11"/>
  <c r="AY185" i="11"/>
  <c r="AR185" i="11"/>
  <c r="A185" i="11"/>
  <c r="BF184" i="11"/>
  <c r="AY184" i="11"/>
  <c r="AR184" i="11"/>
  <c r="A184" i="11"/>
  <c r="BF183" i="11"/>
  <c r="AY183" i="11"/>
  <c r="AR183" i="11"/>
  <c r="A183" i="11"/>
  <c r="BF182" i="11"/>
  <c r="AY182" i="11"/>
  <c r="AR182" i="11"/>
  <c r="A182" i="11"/>
  <c r="BF181" i="11"/>
  <c r="AY181" i="11"/>
  <c r="AR181" i="11"/>
  <c r="A181" i="11"/>
  <c r="BF180" i="11"/>
  <c r="AY180" i="11"/>
  <c r="AR180" i="11"/>
  <c r="A180" i="11"/>
  <c r="BF179" i="11"/>
  <c r="AY179" i="11"/>
  <c r="AR179" i="11"/>
  <c r="A179" i="11"/>
  <c r="BF178" i="11"/>
  <c r="AY178" i="11"/>
  <c r="AR178" i="11"/>
  <c r="A178" i="11"/>
  <c r="BF177" i="11"/>
  <c r="AY177" i="11"/>
  <c r="AR177" i="11"/>
  <c r="A177" i="11"/>
  <c r="BF176" i="11"/>
  <c r="AY176" i="11"/>
  <c r="AR176" i="11"/>
  <c r="A176" i="11"/>
  <c r="BF175" i="11"/>
  <c r="AY175" i="11"/>
  <c r="AR175" i="11"/>
  <c r="A175" i="11"/>
  <c r="BF174" i="11"/>
  <c r="AY174" i="11"/>
  <c r="AR174" i="11"/>
  <c r="A174" i="11"/>
  <c r="BF173" i="11"/>
  <c r="AY173" i="11"/>
  <c r="AR173" i="11"/>
  <c r="A173" i="11"/>
  <c r="BF172" i="11"/>
  <c r="AY172" i="11"/>
  <c r="AR172" i="11"/>
  <c r="A172" i="11"/>
  <c r="BF171" i="11"/>
  <c r="AY171" i="11"/>
  <c r="AR171" i="11"/>
  <c r="A171" i="11"/>
  <c r="BF170" i="11"/>
  <c r="AY170" i="11"/>
  <c r="AR170" i="11"/>
  <c r="A170" i="11"/>
  <c r="BF169" i="11"/>
  <c r="AY169" i="11"/>
  <c r="AR169" i="11"/>
  <c r="A169" i="11"/>
  <c r="BF168" i="11"/>
  <c r="AY168" i="11"/>
  <c r="AR168" i="11"/>
  <c r="A168" i="11"/>
  <c r="BF167" i="11"/>
  <c r="AY167" i="11"/>
  <c r="AR167" i="11"/>
  <c r="A167" i="11"/>
  <c r="BF166" i="11"/>
  <c r="AY166" i="11"/>
  <c r="AR166" i="11"/>
  <c r="A166" i="11"/>
  <c r="BF165" i="11"/>
  <c r="AY165" i="11"/>
  <c r="AR165" i="11"/>
  <c r="A165" i="11"/>
  <c r="BF164" i="11"/>
  <c r="AY164" i="11"/>
  <c r="AR164" i="11"/>
  <c r="A164" i="11"/>
  <c r="BF163" i="11"/>
  <c r="AY163" i="11"/>
  <c r="AR163" i="11"/>
  <c r="A163" i="11"/>
  <c r="BF162" i="11"/>
  <c r="AY162" i="11"/>
  <c r="AR162" i="11"/>
  <c r="A162" i="11"/>
  <c r="BF161" i="11"/>
  <c r="AY161" i="11"/>
  <c r="AR161" i="11"/>
  <c r="A161" i="11"/>
  <c r="BF160" i="11"/>
  <c r="AY160" i="11"/>
  <c r="AR160" i="11"/>
  <c r="A160" i="11"/>
  <c r="BF159" i="11"/>
  <c r="AY159" i="11"/>
  <c r="AR159" i="11"/>
  <c r="A159" i="11"/>
  <c r="BF158" i="11"/>
  <c r="AY158" i="11"/>
  <c r="AR158" i="11"/>
  <c r="A158" i="11"/>
  <c r="BF157" i="11"/>
  <c r="AY157" i="11"/>
  <c r="AR157" i="11"/>
  <c r="A157" i="11"/>
  <c r="BF156" i="11"/>
  <c r="AY156" i="11"/>
  <c r="AR156" i="11"/>
  <c r="A156" i="11"/>
  <c r="BF155" i="11"/>
  <c r="AY155" i="11"/>
  <c r="AR155" i="11"/>
  <c r="A155" i="11"/>
  <c r="BF154" i="11"/>
  <c r="AY154" i="11"/>
  <c r="AR154" i="11"/>
  <c r="A154" i="11"/>
  <c r="BF153" i="11"/>
  <c r="AY153" i="11"/>
  <c r="AR153" i="11"/>
  <c r="A153" i="11"/>
  <c r="BF152" i="11"/>
  <c r="AY152" i="11"/>
  <c r="AR152" i="11"/>
  <c r="A152" i="11"/>
  <c r="BF151" i="11"/>
  <c r="AY151" i="11"/>
  <c r="AR151" i="11"/>
  <c r="A151" i="11"/>
  <c r="BF150" i="11"/>
  <c r="AY150" i="11"/>
  <c r="AR150" i="11"/>
  <c r="A150" i="11"/>
  <c r="BF149" i="11"/>
  <c r="AY149" i="11"/>
  <c r="AR149" i="11"/>
  <c r="A149" i="11"/>
  <c r="BF148" i="11"/>
  <c r="AY148" i="11"/>
  <c r="AR148" i="11"/>
  <c r="A148" i="11"/>
  <c r="BF147" i="11"/>
  <c r="AY147" i="11"/>
  <c r="AR147" i="11"/>
  <c r="A147" i="11"/>
  <c r="BF146" i="11"/>
  <c r="AY146" i="11"/>
  <c r="AR146" i="11"/>
  <c r="A146" i="11"/>
  <c r="BF145" i="11"/>
  <c r="AY145" i="11"/>
  <c r="AR145" i="11"/>
  <c r="A145" i="11"/>
  <c r="BF144" i="11"/>
  <c r="AY144" i="11"/>
  <c r="AR144" i="11"/>
  <c r="A144" i="11"/>
  <c r="BF143" i="11"/>
  <c r="AY143" i="11"/>
  <c r="AR143" i="11"/>
  <c r="A143" i="11"/>
  <c r="BF142" i="11"/>
  <c r="AY142" i="11"/>
  <c r="AR142" i="11"/>
  <c r="A142" i="11"/>
  <c r="BF141" i="11"/>
  <c r="AY141" i="11"/>
  <c r="AR141" i="11"/>
  <c r="A141" i="11"/>
  <c r="BF140" i="11"/>
  <c r="AY140" i="11"/>
  <c r="AR140" i="11"/>
  <c r="A140" i="11"/>
  <c r="BF139" i="11"/>
  <c r="AY139" i="11"/>
  <c r="AR139" i="11"/>
  <c r="A139" i="11"/>
  <c r="BF138" i="11"/>
  <c r="AY138" i="11"/>
  <c r="AR138" i="11"/>
  <c r="A138" i="11"/>
  <c r="BF137" i="11"/>
  <c r="AY137" i="11"/>
  <c r="AR137" i="11"/>
  <c r="A137" i="11"/>
  <c r="BF136" i="11"/>
  <c r="AY136" i="11"/>
  <c r="AR136" i="11"/>
  <c r="A136" i="11"/>
  <c r="BF135" i="11"/>
  <c r="AY135" i="11"/>
  <c r="AR135" i="11"/>
  <c r="A135" i="11"/>
  <c r="BF134" i="11"/>
  <c r="AY134" i="11"/>
  <c r="AR134" i="11"/>
  <c r="A134" i="11"/>
  <c r="BF133" i="11"/>
  <c r="AY133" i="11"/>
  <c r="AR133" i="11"/>
  <c r="A133" i="11"/>
  <c r="BF132" i="11"/>
  <c r="AY132" i="11"/>
  <c r="AR132" i="11"/>
  <c r="A132" i="11"/>
  <c r="BF131" i="11"/>
  <c r="AY131" i="11"/>
  <c r="AR131" i="11"/>
  <c r="A131" i="11"/>
  <c r="BF130" i="11"/>
  <c r="AY130" i="11"/>
  <c r="AR130" i="11"/>
  <c r="A130" i="11"/>
  <c r="BF129" i="11"/>
  <c r="AY129" i="11"/>
  <c r="AR129" i="11"/>
  <c r="A129" i="11"/>
  <c r="BF128" i="11"/>
  <c r="AY128" i="11"/>
  <c r="AR128" i="11"/>
  <c r="A128" i="11"/>
  <c r="BF127" i="11"/>
  <c r="AY127" i="11"/>
  <c r="AR127" i="11"/>
  <c r="A127" i="11"/>
  <c r="BF126" i="11"/>
  <c r="AY126" i="11"/>
  <c r="AR126" i="11"/>
  <c r="A126" i="11"/>
  <c r="BF125" i="11"/>
  <c r="AY125" i="11"/>
  <c r="AR125" i="11"/>
  <c r="A125" i="11"/>
  <c r="BF124" i="11"/>
  <c r="AY124" i="11"/>
  <c r="AR124" i="11"/>
  <c r="A124" i="11"/>
  <c r="BF123" i="11"/>
  <c r="AY123" i="11"/>
  <c r="AR123" i="11"/>
  <c r="A123" i="11"/>
  <c r="BF122" i="11"/>
  <c r="AY122" i="11"/>
  <c r="AR122" i="11"/>
  <c r="A122" i="11"/>
  <c r="BF121" i="11"/>
  <c r="AY121" i="11"/>
  <c r="AR121" i="11"/>
  <c r="A121" i="11"/>
  <c r="BF120" i="11"/>
  <c r="AY120" i="11"/>
  <c r="AR120" i="11"/>
  <c r="A120" i="11"/>
  <c r="BF119" i="11"/>
  <c r="AY119" i="11"/>
  <c r="AR119" i="11"/>
  <c r="A119" i="11"/>
  <c r="BF118" i="11"/>
  <c r="AY118" i="11"/>
  <c r="AR118" i="11"/>
  <c r="A118" i="11"/>
  <c r="BF117" i="11"/>
  <c r="AY117" i="11"/>
  <c r="AR117" i="11"/>
  <c r="A117" i="11"/>
  <c r="BF116" i="11"/>
  <c r="AY116" i="11"/>
  <c r="AR116" i="11"/>
  <c r="A116" i="11"/>
  <c r="BF115" i="11"/>
  <c r="AY115" i="11"/>
  <c r="AR115" i="11"/>
  <c r="A115" i="11"/>
  <c r="BF114" i="11"/>
  <c r="AY114" i="11"/>
  <c r="AR114" i="11"/>
  <c r="A114" i="11"/>
  <c r="BF113" i="11"/>
  <c r="AY113" i="11"/>
  <c r="AR113" i="11"/>
  <c r="A113" i="11"/>
  <c r="BF112" i="11"/>
  <c r="AY112" i="11"/>
  <c r="AR112" i="11"/>
  <c r="A112" i="11"/>
  <c r="BF111" i="11"/>
  <c r="AY111" i="11"/>
  <c r="AR111" i="11"/>
  <c r="A111" i="11"/>
  <c r="BF110" i="11"/>
  <c r="AY110" i="11"/>
  <c r="AR110" i="11"/>
  <c r="A110" i="11"/>
  <c r="BF109" i="11"/>
  <c r="AY109" i="11"/>
  <c r="AR109" i="11"/>
  <c r="A109" i="11"/>
  <c r="BF108" i="11"/>
  <c r="AY108" i="11"/>
  <c r="AR108" i="11"/>
  <c r="A108" i="11"/>
  <c r="BF107" i="11"/>
  <c r="AY107" i="11"/>
  <c r="AR107" i="11"/>
  <c r="A107" i="11"/>
  <c r="BF106" i="11"/>
  <c r="AY106" i="11"/>
  <c r="AR106" i="11"/>
  <c r="A106" i="11"/>
  <c r="BF105" i="11"/>
  <c r="AY105" i="11"/>
  <c r="AR105" i="11"/>
  <c r="A105" i="11"/>
  <c r="BF104" i="11"/>
  <c r="AY104" i="11"/>
  <c r="AR104" i="11"/>
  <c r="A104" i="11"/>
  <c r="BF103" i="11"/>
  <c r="AY103" i="11"/>
  <c r="AR103" i="11"/>
  <c r="A103" i="11"/>
  <c r="BF102" i="11"/>
  <c r="AY102" i="11"/>
  <c r="AR102" i="11"/>
  <c r="A102" i="11"/>
  <c r="BF101" i="11"/>
  <c r="AY101" i="11"/>
  <c r="AR101" i="11"/>
  <c r="A101" i="11"/>
  <c r="BF100" i="11"/>
  <c r="AY100" i="11"/>
  <c r="AR100" i="11"/>
  <c r="A100" i="11"/>
  <c r="BF99" i="11"/>
  <c r="AY99" i="11"/>
  <c r="AR99" i="11"/>
  <c r="A99" i="11"/>
  <c r="BF98" i="11"/>
  <c r="AY98" i="11"/>
  <c r="AR98" i="11"/>
  <c r="A98" i="11"/>
  <c r="BF97" i="11"/>
  <c r="AY97" i="11"/>
  <c r="AR97" i="11"/>
  <c r="A97" i="11"/>
  <c r="BF96" i="11"/>
  <c r="AY96" i="11"/>
  <c r="AR96" i="11"/>
  <c r="A96" i="11"/>
  <c r="BF95" i="11"/>
  <c r="AY95" i="11"/>
  <c r="AR95" i="11"/>
  <c r="A95" i="11"/>
  <c r="BF94" i="11"/>
  <c r="AY94" i="11"/>
  <c r="AR94" i="11"/>
  <c r="A94" i="11"/>
  <c r="BF93" i="11"/>
  <c r="AY93" i="11"/>
  <c r="AR93" i="11"/>
  <c r="A93" i="11"/>
  <c r="BF92" i="11"/>
  <c r="AY92" i="11"/>
  <c r="AR92" i="11"/>
  <c r="A92" i="11"/>
  <c r="BF91" i="11"/>
  <c r="AY91" i="11"/>
  <c r="AR91" i="11"/>
  <c r="A91" i="11"/>
  <c r="BF90" i="11"/>
  <c r="AY90" i="11"/>
  <c r="AR90" i="11"/>
  <c r="A90" i="11"/>
  <c r="BF89" i="11"/>
  <c r="AY89" i="11"/>
  <c r="AR89" i="11"/>
  <c r="A89" i="11"/>
  <c r="BF88" i="11"/>
  <c r="AY88" i="11"/>
  <c r="AR88" i="11"/>
  <c r="A88" i="11"/>
  <c r="BF87" i="11"/>
  <c r="AY87" i="11"/>
  <c r="AR87" i="11"/>
  <c r="A87" i="11"/>
  <c r="BF86" i="11"/>
  <c r="AY86" i="11"/>
  <c r="AR86" i="11"/>
  <c r="A86" i="11"/>
  <c r="BF85" i="11"/>
  <c r="AY85" i="11"/>
  <c r="AR85" i="11"/>
  <c r="A85" i="11"/>
  <c r="BF84" i="11"/>
  <c r="AY84" i="11"/>
  <c r="AR84" i="11"/>
  <c r="A84" i="11"/>
  <c r="BF83" i="11"/>
  <c r="AY83" i="11"/>
  <c r="AR83" i="11"/>
  <c r="A83" i="11"/>
  <c r="BF82" i="11"/>
  <c r="AY82" i="11"/>
  <c r="AR82" i="11"/>
  <c r="A82" i="11"/>
  <c r="BF81" i="11"/>
  <c r="AY81" i="11"/>
  <c r="AR81" i="11"/>
  <c r="A81" i="11"/>
  <c r="BF80" i="11"/>
  <c r="AY80" i="11"/>
  <c r="AR80" i="11"/>
  <c r="A80" i="11"/>
  <c r="BF79" i="11"/>
  <c r="AY79" i="11"/>
  <c r="AR79" i="11"/>
  <c r="A79" i="11"/>
  <c r="BF78" i="11"/>
  <c r="AY78" i="11"/>
  <c r="AR78" i="11"/>
  <c r="A78" i="11"/>
  <c r="BF77" i="11"/>
  <c r="AY77" i="11"/>
  <c r="AR77" i="11"/>
  <c r="A77" i="11"/>
  <c r="BF76" i="11"/>
  <c r="AY76" i="11"/>
  <c r="AR76" i="11"/>
  <c r="A76" i="11"/>
  <c r="BF75" i="11"/>
  <c r="AY75" i="11"/>
  <c r="AR75" i="11"/>
  <c r="A75" i="11"/>
  <c r="BF74" i="11"/>
  <c r="AY74" i="11"/>
  <c r="AR74" i="11"/>
  <c r="A74" i="11"/>
  <c r="BF73" i="11"/>
  <c r="AY73" i="11"/>
  <c r="AR73" i="11"/>
  <c r="A73" i="11"/>
  <c r="BF72" i="11"/>
  <c r="AY72" i="11"/>
  <c r="AR72" i="11"/>
  <c r="A72" i="11"/>
  <c r="BF71" i="11"/>
  <c r="AY71" i="11"/>
  <c r="AR71" i="11"/>
  <c r="A71" i="11"/>
  <c r="BF70" i="11"/>
  <c r="AY70" i="11"/>
  <c r="AR70" i="11"/>
  <c r="A70" i="11"/>
  <c r="BF69" i="11"/>
  <c r="AY69" i="11"/>
  <c r="AR69" i="11"/>
  <c r="A69" i="11"/>
  <c r="BF68" i="11"/>
  <c r="AY68" i="11"/>
  <c r="AR68" i="11"/>
  <c r="A68" i="11"/>
  <c r="BF67" i="11"/>
  <c r="AY67" i="11"/>
  <c r="AR67" i="11"/>
  <c r="A67" i="11"/>
  <c r="BF66" i="11"/>
  <c r="AY66" i="11"/>
  <c r="AR66" i="11"/>
  <c r="A66" i="11"/>
  <c r="BF65" i="11"/>
  <c r="AY65" i="11"/>
  <c r="AR65" i="11"/>
  <c r="A65" i="11"/>
  <c r="BF64" i="11"/>
  <c r="AY64" i="11"/>
  <c r="AR64" i="11"/>
  <c r="A64" i="11"/>
  <c r="BF63" i="11"/>
  <c r="AY63" i="11"/>
  <c r="AR63" i="11"/>
  <c r="A63" i="11"/>
  <c r="BF62" i="11"/>
  <c r="AY62" i="11"/>
  <c r="AR62" i="11"/>
  <c r="A62" i="11"/>
  <c r="BF61" i="11"/>
  <c r="AY61" i="11"/>
  <c r="AR61" i="11"/>
  <c r="A61" i="11"/>
  <c r="BF60" i="11"/>
  <c r="AY60" i="11"/>
  <c r="AR60" i="11"/>
  <c r="A60" i="11"/>
  <c r="BF59" i="11"/>
  <c r="AY59" i="11"/>
  <c r="AR59" i="11"/>
  <c r="A59" i="11"/>
  <c r="BF58" i="11"/>
  <c r="AY58" i="11"/>
  <c r="AR58" i="11"/>
  <c r="A58" i="11"/>
  <c r="BF57" i="11"/>
  <c r="AY57" i="11"/>
  <c r="AR57" i="11"/>
  <c r="A57" i="11"/>
  <c r="BF56" i="11"/>
  <c r="AY56" i="11"/>
  <c r="AR56" i="11"/>
  <c r="A56" i="11"/>
  <c r="BF55" i="11"/>
  <c r="AY55" i="11"/>
  <c r="AR55" i="11"/>
  <c r="A55" i="11"/>
  <c r="BF54" i="11"/>
  <c r="AY54" i="11"/>
  <c r="AR54" i="11"/>
  <c r="A54" i="11"/>
  <c r="BF53" i="11"/>
  <c r="AY53" i="11"/>
  <c r="AR53" i="11"/>
  <c r="A53" i="11"/>
  <c r="BF52" i="11"/>
  <c r="AY52" i="11"/>
  <c r="AR52" i="11"/>
  <c r="A52" i="11"/>
  <c r="BF51" i="11"/>
  <c r="AY51" i="11"/>
  <c r="AR51" i="11"/>
  <c r="A51" i="11"/>
  <c r="BF50" i="11"/>
  <c r="AY50" i="11"/>
  <c r="AR50" i="11"/>
  <c r="A50" i="11"/>
  <c r="BF49" i="11"/>
  <c r="AY49" i="11"/>
  <c r="AR49" i="11"/>
  <c r="A49" i="11"/>
  <c r="BF48" i="11"/>
  <c r="AY48" i="11"/>
  <c r="AR48" i="11"/>
  <c r="A48" i="11"/>
  <c r="BF47" i="11"/>
  <c r="AY47" i="11"/>
  <c r="AR47" i="11"/>
  <c r="A47" i="11"/>
  <c r="BF46" i="11"/>
  <c r="AY46" i="11"/>
  <c r="AR46" i="11"/>
  <c r="A46" i="11"/>
  <c r="BF45" i="11"/>
  <c r="AY45" i="11"/>
  <c r="AR45" i="11"/>
  <c r="A45" i="11"/>
  <c r="BF44" i="11"/>
  <c r="AY44" i="11"/>
  <c r="AR44" i="11"/>
  <c r="A44" i="11"/>
  <c r="BF43" i="11"/>
  <c r="AY43" i="11"/>
  <c r="AR43" i="11"/>
  <c r="A43" i="11"/>
  <c r="BF42" i="11"/>
  <c r="AY42" i="11"/>
  <c r="AR42" i="11"/>
  <c r="A42" i="11"/>
  <c r="BF41" i="11"/>
  <c r="AY41" i="11"/>
  <c r="AR41" i="11"/>
  <c r="A41" i="11"/>
  <c r="BF40" i="11"/>
  <c r="AY40" i="11"/>
  <c r="AR40" i="11"/>
  <c r="A40" i="11"/>
  <c r="BF39" i="11"/>
  <c r="AY39" i="11"/>
  <c r="AR39" i="11"/>
  <c r="A39" i="11"/>
  <c r="BF38" i="11"/>
  <c r="AY38" i="11"/>
  <c r="AR38" i="11"/>
  <c r="A38" i="11"/>
  <c r="BF37" i="11"/>
  <c r="AY37" i="11"/>
  <c r="AR37" i="11"/>
  <c r="A37" i="11"/>
  <c r="BF36" i="11"/>
  <c r="AY36" i="11"/>
  <c r="AR36" i="11"/>
  <c r="A36" i="11"/>
  <c r="BF35" i="11"/>
  <c r="AY35" i="11"/>
  <c r="AR35" i="11"/>
  <c r="A35" i="11"/>
  <c r="BF34" i="11"/>
  <c r="AY34" i="11"/>
  <c r="AR34" i="11"/>
  <c r="A34" i="11"/>
  <c r="BF33" i="11"/>
  <c r="AY33" i="11"/>
  <c r="AR33" i="11"/>
  <c r="A33" i="11"/>
  <c r="BF32" i="11"/>
  <c r="AY32" i="11"/>
  <c r="AR32" i="11"/>
  <c r="A32" i="11"/>
  <c r="BF31" i="11"/>
  <c r="AY31" i="11"/>
  <c r="AR31" i="11"/>
  <c r="A31" i="11"/>
  <c r="BF30" i="11"/>
  <c r="AY30" i="11"/>
  <c r="AR30" i="11"/>
  <c r="A30" i="11"/>
  <c r="BF29" i="11"/>
  <c r="AY29" i="11"/>
  <c r="AR29" i="11"/>
  <c r="A29" i="11"/>
  <c r="BF28" i="11"/>
  <c r="AY28" i="11"/>
  <c r="AR28" i="11"/>
  <c r="A28" i="11"/>
  <c r="BF27" i="11"/>
  <c r="AY27" i="11"/>
  <c r="AR27" i="11"/>
  <c r="A27" i="11"/>
  <c r="BF26" i="11"/>
  <c r="AY26" i="11"/>
  <c r="AR26" i="11"/>
  <c r="A26" i="11"/>
  <c r="BF25" i="11"/>
  <c r="AY25" i="11"/>
  <c r="AR25" i="11"/>
  <c r="A25" i="11"/>
  <c r="BF24" i="11"/>
  <c r="AY24" i="11"/>
  <c r="AR24" i="11"/>
  <c r="A24" i="11"/>
  <c r="BF23" i="11"/>
  <c r="AY23" i="11"/>
  <c r="AR23" i="11"/>
  <c r="A23" i="11"/>
  <c r="BF22" i="11"/>
  <c r="AY22" i="11"/>
  <c r="AR22" i="11"/>
  <c r="A22" i="11"/>
  <c r="BF21" i="11"/>
  <c r="AY21" i="11"/>
  <c r="AR21" i="11"/>
  <c r="A21" i="11"/>
  <c r="BF20" i="11"/>
  <c r="AY20" i="11"/>
  <c r="AR20" i="11"/>
  <c r="A20" i="11"/>
  <c r="BF19" i="11"/>
  <c r="AY19" i="11"/>
  <c r="AR19" i="11"/>
  <c r="A19" i="11"/>
  <c r="BF18" i="11"/>
  <c r="AY18" i="11"/>
  <c r="AR18" i="11"/>
  <c r="A18" i="11"/>
  <c r="BF17" i="11"/>
  <c r="AY17" i="11"/>
  <c r="AR17" i="11"/>
  <c r="A17" i="11"/>
  <c r="BF16" i="11"/>
  <c r="AY16" i="11"/>
  <c r="AR16" i="11"/>
  <c r="A16" i="11"/>
  <c r="BF15" i="11"/>
  <c r="AY15" i="11"/>
  <c r="AR15" i="11"/>
  <c r="A15" i="11"/>
  <c r="BF14" i="11"/>
  <c r="AY14" i="11"/>
  <c r="AR14" i="11"/>
  <c r="A14" i="11"/>
  <c r="BF13" i="11"/>
  <c r="AY13" i="11"/>
  <c r="AR13" i="11"/>
  <c r="A13" i="11"/>
  <c r="BF12" i="11"/>
  <c r="AY12" i="11"/>
  <c r="AR12" i="11"/>
  <c r="A12" i="11"/>
  <c r="BF11" i="11"/>
  <c r="AY11" i="11"/>
  <c r="AR11" i="11"/>
  <c r="A11" i="11"/>
  <c r="BF10" i="11"/>
  <c r="AY10" i="11"/>
  <c r="AR10" i="11"/>
  <c r="A10" i="11"/>
  <c r="BF9" i="11"/>
  <c r="AY9" i="11"/>
  <c r="AR9" i="11"/>
  <c r="A9" i="11"/>
  <c r="BF8" i="11"/>
  <c r="AY8" i="11"/>
  <c r="AR8" i="11"/>
  <c r="A8" i="11"/>
  <c r="BF7" i="11"/>
  <c r="AY7" i="11"/>
  <c r="AR7" i="11"/>
  <c r="A7" i="11"/>
  <c r="BF6" i="11"/>
  <c r="AY6" i="11"/>
  <c r="AR6" i="11"/>
  <c r="A6" i="11"/>
  <c r="BF5" i="11"/>
  <c r="AY5" i="11"/>
  <c r="AR5" i="11"/>
  <c r="A5" i="11"/>
  <c r="BF4" i="11"/>
  <c r="AY4" i="11"/>
  <c r="AR4" i="11"/>
  <c r="A4" i="11"/>
  <c r="BF3" i="11"/>
  <c r="AY3" i="11"/>
  <c r="AR3" i="11"/>
  <c r="A3" i="11"/>
  <c r="BF2" i="11"/>
  <c r="AY2" i="11"/>
  <c r="AR2" i="11"/>
  <c r="A2" i="11"/>
  <c r="Z242" i="10"/>
  <c r="B242" i="10"/>
  <c r="Z241" i="10"/>
  <c r="B241" i="10"/>
  <c r="Z240" i="10"/>
  <c r="B240" i="10"/>
  <c r="Z239" i="10"/>
  <c r="B239" i="10"/>
  <c r="Z238" i="10"/>
  <c r="B238" i="10"/>
  <c r="Z237" i="10"/>
  <c r="B237" i="10"/>
  <c r="Z236" i="10"/>
  <c r="B236" i="10"/>
  <c r="Z235" i="10"/>
  <c r="B235" i="10"/>
  <c r="Z234" i="10"/>
  <c r="B234" i="10"/>
  <c r="Z233" i="10"/>
  <c r="B233" i="10"/>
  <c r="Z232" i="10"/>
  <c r="B232" i="10"/>
  <c r="Z231" i="10"/>
  <c r="B231" i="10"/>
  <c r="Z230" i="10"/>
  <c r="B230" i="10"/>
  <c r="Z229" i="10"/>
  <c r="B229" i="10"/>
  <c r="Z228" i="10"/>
  <c r="B228" i="10"/>
  <c r="Z227" i="10"/>
  <c r="B227" i="10"/>
  <c r="Z226" i="10"/>
  <c r="B226" i="10"/>
  <c r="Z225" i="10"/>
  <c r="B225" i="10"/>
  <c r="Z224" i="10"/>
  <c r="B224" i="10"/>
  <c r="Z223" i="10"/>
  <c r="B223" i="10"/>
  <c r="Z222" i="10"/>
  <c r="B222" i="10"/>
  <c r="Z221" i="10"/>
  <c r="B221" i="10"/>
  <c r="Z220" i="10"/>
  <c r="B220" i="10"/>
  <c r="Z219" i="10"/>
  <c r="B219" i="10"/>
  <c r="Z218" i="10"/>
  <c r="B218" i="10"/>
  <c r="Z217" i="10"/>
  <c r="B217" i="10"/>
  <c r="Z216" i="10"/>
  <c r="B216" i="10"/>
  <c r="Z215" i="10"/>
  <c r="B215" i="10"/>
  <c r="Z214" i="10"/>
  <c r="B214" i="10"/>
  <c r="Z213" i="10"/>
  <c r="B213" i="10"/>
  <c r="Z212" i="10"/>
  <c r="B212" i="10"/>
  <c r="Z211" i="10"/>
  <c r="B211" i="10"/>
  <c r="Z210" i="10"/>
  <c r="B210" i="10"/>
  <c r="Z209" i="10"/>
  <c r="B209" i="10"/>
  <c r="Z208" i="10"/>
  <c r="B208" i="10"/>
  <c r="Z207" i="10"/>
  <c r="B207" i="10"/>
  <c r="Z206" i="10"/>
  <c r="B206" i="10"/>
  <c r="Z205" i="10"/>
  <c r="B205" i="10"/>
  <c r="Z204" i="10"/>
  <c r="B204" i="10"/>
  <c r="Z203" i="10"/>
  <c r="B203" i="10"/>
  <c r="Z202" i="10"/>
  <c r="B202" i="10"/>
  <c r="Z201" i="10"/>
  <c r="B201" i="10"/>
  <c r="Z200" i="10"/>
  <c r="B200" i="10"/>
  <c r="Z199" i="10"/>
  <c r="B199" i="10"/>
  <c r="Z198" i="10"/>
  <c r="B198" i="10"/>
  <c r="Z197" i="10"/>
  <c r="B197" i="10"/>
  <c r="Z196" i="10"/>
  <c r="B196" i="10"/>
  <c r="Z195" i="10"/>
  <c r="B195" i="10"/>
  <c r="Z194" i="10"/>
  <c r="B194" i="10"/>
  <c r="Z193" i="10"/>
  <c r="B193" i="10"/>
  <c r="Z192" i="10"/>
  <c r="B192" i="10"/>
  <c r="Z191" i="10"/>
  <c r="B191" i="10"/>
  <c r="Z190" i="10"/>
  <c r="B190" i="10"/>
  <c r="Z189" i="10"/>
  <c r="B189" i="10"/>
  <c r="Z188" i="10"/>
  <c r="B188" i="10"/>
  <c r="Z187" i="10"/>
  <c r="B187" i="10"/>
  <c r="Z186" i="10"/>
  <c r="B186" i="10"/>
  <c r="Z185" i="10"/>
  <c r="B185" i="10"/>
  <c r="Z184" i="10"/>
  <c r="B184" i="10"/>
  <c r="Z183" i="10"/>
  <c r="B183" i="10"/>
  <c r="Z182" i="10"/>
  <c r="B182" i="10"/>
  <c r="Z181" i="10"/>
  <c r="B181" i="10"/>
  <c r="Z180" i="10"/>
  <c r="B180" i="10"/>
  <c r="Z179" i="10"/>
  <c r="B179" i="10"/>
  <c r="Z178" i="10"/>
  <c r="B178" i="10"/>
  <c r="Z177" i="10"/>
  <c r="B177" i="10"/>
  <c r="Z176" i="10"/>
  <c r="B176" i="10"/>
  <c r="Z175" i="10"/>
  <c r="B175" i="10"/>
  <c r="Z174" i="10"/>
  <c r="B174" i="10"/>
  <c r="Z173" i="10"/>
  <c r="B173" i="10"/>
  <c r="Z172" i="10"/>
  <c r="B172" i="10"/>
  <c r="Z171" i="10"/>
  <c r="B171" i="10"/>
  <c r="Z170" i="10"/>
  <c r="B170" i="10"/>
  <c r="Z169" i="10"/>
  <c r="B169" i="10"/>
  <c r="Z168" i="10"/>
  <c r="B168" i="10"/>
  <c r="Z167" i="10"/>
  <c r="B167" i="10"/>
  <c r="Z166" i="10"/>
  <c r="B166" i="10"/>
  <c r="Z165" i="10"/>
  <c r="B165" i="10"/>
  <c r="Z164" i="10"/>
  <c r="B164" i="10"/>
  <c r="Z163" i="10"/>
  <c r="B163" i="10"/>
  <c r="Z162" i="10"/>
  <c r="B162" i="10"/>
  <c r="Z161" i="10"/>
  <c r="B161" i="10"/>
  <c r="Z160" i="10"/>
  <c r="B160" i="10"/>
  <c r="Z159" i="10"/>
  <c r="B159" i="10"/>
  <c r="Z158" i="10"/>
  <c r="B158" i="10"/>
  <c r="Z157" i="10"/>
  <c r="B157" i="10"/>
  <c r="Z156" i="10"/>
  <c r="B156" i="10"/>
  <c r="Z155" i="10"/>
  <c r="B155" i="10"/>
  <c r="Z154" i="10"/>
  <c r="B154" i="10"/>
  <c r="Z153" i="10"/>
  <c r="B153" i="10"/>
  <c r="Z152" i="10"/>
  <c r="B152" i="10"/>
  <c r="Z151" i="10"/>
  <c r="B151" i="10"/>
  <c r="Z150" i="10"/>
  <c r="B150" i="10"/>
  <c r="Z149" i="10"/>
  <c r="B149" i="10"/>
  <c r="Z148" i="10"/>
  <c r="B148" i="10"/>
  <c r="Z147" i="10"/>
  <c r="B147" i="10"/>
  <c r="Z146" i="10"/>
  <c r="B146" i="10"/>
  <c r="Z145" i="10"/>
  <c r="B145" i="10"/>
  <c r="Z144" i="10"/>
  <c r="B144" i="10"/>
  <c r="Z143" i="10"/>
  <c r="B143" i="10"/>
  <c r="Z142" i="10"/>
  <c r="B142" i="10"/>
  <c r="Z141" i="10"/>
  <c r="B141" i="10"/>
  <c r="Z140" i="10"/>
  <c r="B140" i="10"/>
  <c r="Z139" i="10"/>
  <c r="B139" i="10"/>
  <c r="Z138" i="10"/>
  <c r="B138" i="10"/>
  <c r="Z137" i="10"/>
  <c r="B137" i="10"/>
  <c r="Z136" i="10"/>
  <c r="B136" i="10"/>
  <c r="Z135" i="10"/>
  <c r="B135" i="10"/>
  <c r="Z134" i="10"/>
  <c r="B134" i="10"/>
  <c r="Z133" i="10"/>
  <c r="B133" i="10"/>
  <c r="Z132" i="10"/>
  <c r="B132" i="10"/>
  <c r="Z131" i="10"/>
  <c r="B131" i="10"/>
  <c r="Z130" i="10"/>
  <c r="B130" i="10"/>
  <c r="Z129" i="10"/>
  <c r="B129" i="10"/>
  <c r="Z128" i="10"/>
  <c r="B128" i="10"/>
  <c r="Z127" i="10"/>
  <c r="B127" i="10"/>
  <c r="Z126" i="10"/>
  <c r="B126" i="10"/>
  <c r="Z125" i="10"/>
  <c r="B125" i="10"/>
  <c r="Z124" i="10"/>
  <c r="B124" i="10"/>
  <c r="Z123" i="10"/>
  <c r="B123" i="10"/>
  <c r="Z122" i="10"/>
  <c r="B122" i="10"/>
  <c r="Z121" i="10"/>
  <c r="B121" i="10"/>
  <c r="Z120" i="10"/>
  <c r="B120" i="10"/>
  <c r="Z119" i="10"/>
  <c r="B119" i="10"/>
  <c r="Z118" i="10"/>
  <c r="B118" i="10"/>
  <c r="Z117" i="10"/>
  <c r="B117" i="10"/>
  <c r="Z116" i="10"/>
  <c r="B116" i="10"/>
  <c r="Z115" i="10"/>
  <c r="B115" i="10"/>
  <c r="Z114" i="10"/>
  <c r="B114" i="10"/>
  <c r="Z113" i="10"/>
  <c r="B113" i="10"/>
  <c r="Z112" i="10"/>
  <c r="B112" i="10"/>
  <c r="Z111" i="10"/>
  <c r="B111" i="10"/>
  <c r="Z110" i="10"/>
  <c r="B110" i="10"/>
  <c r="Z109" i="10"/>
  <c r="B109" i="10"/>
  <c r="Z108" i="10"/>
  <c r="B108" i="10"/>
  <c r="Z107" i="10"/>
  <c r="B107" i="10"/>
  <c r="Z106" i="10"/>
  <c r="B106" i="10"/>
  <c r="Z105" i="10"/>
  <c r="B105" i="10"/>
  <c r="Z104" i="10"/>
  <c r="B104" i="10"/>
  <c r="Z103" i="10"/>
  <c r="B103" i="10"/>
  <c r="Z102" i="10"/>
  <c r="B102" i="10"/>
  <c r="Z101" i="10"/>
  <c r="B101" i="10"/>
  <c r="Z100" i="10"/>
  <c r="B100" i="10"/>
  <c r="Z99" i="10"/>
  <c r="B99" i="10"/>
  <c r="Z98" i="10"/>
  <c r="B98" i="10"/>
  <c r="Z97" i="10"/>
  <c r="B97" i="10"/>
  <c r="Z96" i="10"/>
  <c r="B96" i="10"/>
  <c r="Z95" i="10"/>
  <c r="B95" i="10"/>
  <c r="Z94" i="10"/>
  <c r="B94" i="10"/>
  <c r="Z93" i="10"/>
  <c r="B93" i="10"/>
  <c r="Z92" i="10"/>
  <c r="B92" i="10"/>
  <c r="Z91" i="10"/>
  <c r="B91" i="10"/>
  <c r="Z90" i="10"/>
  <c r="B90" i="10"/>
  <c r="Z89" i="10"/>
  <c r="B89" i="10"/>
  <c r="Z88" i="10"/>
  <c r="B88" i="10"/>
  <c r="Z87" i="10"/>
  <c r="B87" i="10"/>
  <c r="Z86" i="10"/>
  <c r="B86" i="10"/>
  <c r="Z85" i="10"/>
  <c r="B85" i="10"/>
  <c r="Z84" i="10"/>
  <c r="B84" i="10"/>
  <c r="Z83" i="10"/>
  <c r="B83" i="10"/>
  <c r="Z82" i="10"/>
  <c r="B82" i="10"/>
  <c r="Z81" i="10"/>
  <c r="B81" i="10"/>
  <c r="Z80" i="10"/>
  <c r="B80" i="10"/>
  <c r="Z79" i="10"/>
  <c r="B79" i="10"/>
  <c r="Z78" i="10"/>
  <c r="B78" i="10"/>
  <c r="Z77" i="10"/>
  <c r="B77" i="10"/>
  <c r="Z76" i="10"/>
  <c r="B76" i="10"/>
  <c r="Z75" i="10"/>
  <c r="B75" i="10"/>
  <c r="Z74" i="10"/>
  <c r="B74" i="10"/>
  <c r="Z73" i="10"/>
  <c r="B73" i="10"/>
  <c r="Z72" i="10"/>
  <c r="B72" i="10"/>
  <c r="Z71" i="10"/>
  <c r="B71" i="10"/>
  <c r="Z70" i="10"/>
  <c r="B70" i="10"/>
  <c r="Z69" i="10"/>
  <c r="B69" i="10"/>
  <c r="Z68" i="10"/>
  <c r="B68" i="10"/>
  <c r="Z67" i="10"/>
  <c r="B67" i="10"/>
  <c r="Z66" i="10"/>
  <c r="B66" i="10"/>
  <c r="Z65" i="10"/>
  <c r="B65" i="10"/>
  <c r="Z64" i="10"/>
  <c r="B64" i="10"/>
  <c r="Z63" i="10"/>
  <c r="B63" i="10"/>
  <c r="Z62" i="10"/>
  <c r="B62" i="10"/>
  <c r="Z61" i="10"/>
  <c r="B61" i="10"/>
  <c r="Z60" i="10"/>
  <c r="B60" i="10"/>
  <c r="Z59" i="10"/>
  <c r="B59" i="10"/>
  <c r="Z58" i="10"/>
  <c r="B58" i="10"/>
  <c r="Z57" i="10"/>
  <c r="B57" i="10"/>
  <c r="Z56" i="10"/>
  <c r="B56" i="10"/>
  <c r="Z55" i="10"/>
  <c r="B55" i="10"/>
  <c r="Z54" i="10"/>
  <c r="B54" i="10"/>
  <c r="Z53" i="10"/>
  <c r="B53" i="10"/>
  <c r="Z52" i="10"/>
  <c r="B52" i="10"/>
  <c r="Z51" i="10"/>
  <c r="B51" i="10"/>
  <c r="Z50" i="10"/>
  <c r="B50" i="10"/>
  <c r="Z49" i="10"/>
  <c r="B49" i="10"/>
  <c r="Z48" i="10"/>
  <c r="B48" i="10"/>
  <c r="Z47" i="10"/>
  <c r="B47" i="10"/>
  <c r="Z46" i="10"/>
  <c r="B46" i="10"/>
  <c r="Z45" i="10"/>
  <c r="B45" i="10"/>
  <c r="Z44" i="10"/>
  <c r="B44" i="10"/>
  <c r="Z43" i="10"/>
  <c r="B43" i="10"/>
  <c r="Z42" i="10"/>
  <c r="B42" i="10"/>
  <c r="Z41" i="10"/>
  <c r="B41" i="10"/>
  <c r="Z40" i="10"/>
  <c r="B40" i="10"/>
  <c r="Z39" i="10"/>
  <c r="B39" i="10"/>
  <c r="Z38" i="10"/>
  <c r="B38" i="10"/>
  <c r="Z37" i="10"/>
  <c r="B37" i="10"/>
  <c r="Z36" i="10"/>
  <c r="B36" i="10"/>
  <c r="Z35" i="10"/>
  <c r="B35" i="10"/>
  <c r="Z34" i="10"/>
  <c r="B34" i="10"/>
  <c r="Z33" i="10"/>
  <c r="B33" i="10"/>
  <c r="Z32" i="10"/>
  <c r="B32" i="10"/>
  <c r="Z31" i="10"/>
  <c r="B31" i="10"/>
  <c r="Z30" i="10"/>
  <c r="B30" i="10"/>
  <c r="Z29" i="10"/>
  <c r="B29" i="10"/>
  <c r="Z28" i="10"/>
  <c r="B28" i="10"/>
  <c r="Z27" i="10"/>
  <c r="B27" i="10"/>
  <c r="Z26" i="10"/>
  <c r="B26" i="10"/>
  <c r="Z25" i="10"/>
  <c r="B25" i="10"/>
  <c r="Z24" i="10"/>
  <c r="B24" i="10"/>
  <c r="Z23" i="10"/>
  <c r="B23" i="10"/>
  <c r="Z22" i="10"/>
  <c r="B22" i="10"/>
  <c r="Z21" i="10"/>
  <c r="B21" i="10"/>
  <c r="Z20" i="10"/>
  <c r="B20" i="10"/>
  <c r="Z19" i="10"/>
  <c r="B19" i="10"/>
  <c r="Z18" i="10"/>
  <c r="B18" i="10"/>
  <c r="Z17" i="10"/>
  <c r="B17" i="10"/>
  <c r="Z16" i="10"/>
  <c r="B16" i="10"/>
  <c r="Z15" i="10"/>
  <c r="B15" i="10"/>
  <c r="Z14" i="10"/>
  <c r="B14" i="10"/>
  <c r="Z13" i="10"/>
  <c r="B13" i="10"/>
  <c r="Z12" i="10"/>
  <c r="B12" i="10"/>
  <c r="Z11" i="10"/>
  <c r="B11" i="10"/>
  <c r="Z10" i="10"/>
  <c r="B10" i="10"/>
  <c r="Z9" i="10"/>
  <c r="B9" i="10"/>
  <c r="Z8" i="10"/>
  <c r="B8" i="10"/>
  <c r="Z7" i="10"/>
  <c r="B7" i="10"/>
  <c r="Z6" i="10"/>
  <c r="B6" i="10"/>
  <c r="Z5" i="10"/>
  <c r="B5" i="10"/>
  <c r="Z4" i="10"/>
  <c r="B4" i="10"/>
  <c r="Z3" i="10"/>
  <c r="B3" i="10"/>
  <c r="Z2" i="10"/>
  <c r="B2" i="10"/>
  <c r="C13" i="8"/>
  <c r="B13" i="8"/>
  <c r="C12" i="8"/>
  <c r="B12" i="8"/>
  <c r="C11" i="8"/>
  <c r="B11" i="8"/>
  <c r="C10" i="8"/>
  <c r="B10" i="8"/>
  <c r="H6" i="8"/>
  <c r="H5" i="8"/>
  <c r="H4" i="8"/>
  <c r="H3" i="8"/>
  <c r="H2" i="8"/>
  <c r="W242" i="6"/>
  <c r="E242" i="6"/>
  <c r="W241" i="6"/>
  <c r="E241" i="6"/>
  <c r="W240" i="6"/>
  <c r="E240" i="6"/>
  <c r="W239" i="6"/>
  <c r="E239" i="6"/>
  <c r="W238" i="6"/>
  <c r="E238" i="6"/>
  <c r="W237" i="6"/>
  <c r="E237" i="6"/>
  <c r="W236" i="6"/>
  <c r="E236" i="6"/>
  <c r="W235" i="6"/>
  <c r="E235" i="6"/>
  <c r="W234" i="6"/>
  <c r="E234" i="6"/>
  <c r="W233" i="6"/>
  <c r="E233" i="6"/>
  <c r="W232" i="6"/>
  <c r="E232" i="6"/>
  <c r="W231" i="6"/>
  <c r="E231" i="6"/>
  <c r="W230" i="6"/>
  <c r="E230" i="6"/>
  <c r="W229" i="6"/>
  <c r="E229" i="6"/>
  <c r="W228" i="6"/>
  <c r="E228" i="6"/>
  <c r="W227" i="6"/>
  <c r="E227" i="6"/>
  <c r="W226" i="6"/>
  <c r="E226" i="6"/>
  <c r="W225" i="6"/>
  <c r="E225" i="6"/>
  <c r="W224" i="6"/>
  <c r="E224" i="6"/>
  <c r="W223" i="6"/>
  <c r="E223" i="6"/>
  <c r="W222" i="6"/>
  <c r="E222" i="6"/>
  <c r="W221" i="6"/>
  <c r="E221" i="6"/>
  <c r="W220" i="6"/>
  <c r="E220" i="6"/>
  <c r="W219" i="6"/>
  <c r="E219" i="6"/>
  <c r="W218" i="6"/>
  <c r="E218" i="6"/>
  <c r="W217" i="6"/>
  <c r="E217" i="6"/>
  <c r="W216" i="6"/>
  <c r="E216" i="6"/>
  <c r="W215" i="6"/>
  <c r="E215" i="6"/>
  <c r="W214" i="6"/>
  <c r="E214" i="6"/>
  <c r="W213" i="6"/>
  <c r="E213" i="6"/>
  <c r="W212" i="6"/>
  <c r="E212" i="6"/>
  <c r="W211" i="6"/>
  <c r="E211" i="6"/>
  <c r="W210" i="6"/>
  <c r="E210" i="6"/>
  <c r="W209" i="6"/>
  <c r="E209" i="6"/>
  <c r="W208" i="6"/>
  <c r="E208" i="6"/>
  <c r="W207" i="6"/>
  <c r="E207" i="6"/>
  <c r="W206" i="6"/>
  <c r="E206" i="6"/>
  <c r="W205" i="6"/>
  <c r="E205" i="6"/>
  <c r="W204" i="6"/>
  <c r="E204" i="6"/>
  <c r="W203" i="6"/>
  <c r="E203" i="6"/>
  <c r="W202" i="6"/>
  <c r="E202" i="6"/>
  <c r="W201" i="6"/>
  <c r="E201" i="6"/>
  <c r="W200" i="6"/>
  <c r="E200" i="6"/>
  <c r="W199" i="6"/>
  <c r="E199" i="6"/>
  <c r="W198" i="6"/>
  <c r="E198" i="6"/>
  <c r="W197" i="6"/>
  <c r="E197" i="6"/>
  <c r="W196" i="6"/>
  <c r="E196" i="6"/>
  <c r="W195" i="6"/>
  <c r="E195" i="6"/>
  <c r="W194" i="6"/>
  <c r="E194" i="6"/>
  <c r="W193" i="6"/>
  <c r="E193" i="6"/>
  <c r="W192" i="6"/>
  <c r="E192" i="6"/>
  <c r="W191" i="6"/>
  <c r="E191" i="6"/>
  <c r="W190" i="6"/>
  <c r="E190" i="6"/>
  <c r="W189" i="6"/>
  <c r="E189" i="6"/>
  <c r="W188" i="6"/>
  <c r="E188" i="6"/>
  <c r="W187" i="6"/>
  <c r="E187" i="6"/>
  <c r="W186" i="6"/>
  <c r="E186" i="6"/>
  <c r="W185" i="6"/>
  <c r="E185" i="6"/>
  <c r="W184" i="6"/>
  <c r="E184" i="6"/>
  <c r="W183" i="6"/>
  <c r="E183" i="6"/>
  <c r="W182" i="6"/>
  <c r="E182" i="6"/>
  <c r="W181" i="6"/>
  <c r="E181" i="6"/>
  <c r="W180" i="6"/>
  <c r="E180" i="6"/>
  <c r="W179" i="6"/>
  <c r="E179" i="6"/>
  <c r="W178" i="6"/>
  <c r="E178" i="6"/>
  <c r="W177" i="6"/>
  <c r="E177" i="6"/>
  <c r="W176" i="6"/>
  <c r="E176" i="6"/>
  <c r="W175" i="6"/>
  <c r="E175" i="6"/>
  <c r="W174" i="6"/>
  <c r="E174" i="6"/>
  <c r="W173" i="6"/>
  <c r="E173" i="6"/>
  <c r="W172" i="6"/>
  <c r="E172" i="6"/>
  <c r="W171" i="6"/>
  <c r="E171" i="6"/>
  <c r="W170" i="6"/>
  <c r="E170" i="6"/>
  <c r="W169" i="6"/>
  <c r="E169" i="6"/>
  <c r="W168" i="6"/>
  <c r="E168" i="6"/>
  <c r="W167" i="6"/>
  <c r="E167" i="6"/>
  <c r="W166" i="6"/>
  <c r="E166" i="6"/>
  <c r="W165" i="6"/>
  <c r="E165" i="6"/>
  <c r="W164" i="6"/>
  <c r="E164" i="6"/>
  <c r="W163" i="6"/>
  <c r="E163" i="6"/>
  <c r="W162" i="6"/>
  <c r="E162" i="6"/>
  <c r="W161" i="6"/>
  <c r="E161" i="6"/>
  <c r="W160" i="6"/>
  <c r="E160" i="6"/>
  <c r="W159" i="6"/>
  <c r="E159" i="6"/>
  <c r="W158" i="6"/>
  <c r="E158" i="6"/>
  <c r="W157" i="6"/>
  <c r="E157" i="6"/>
  <c r="W156" i="6"/>
  <c r="E156" i="6"/>
  <c r="W155" i="6"/>
  <c r="E155" i="6"/>
  <c r="W154" i="6"/>
  <c r="E154" i="6"/>
  <c r="W153" i="6"/>
  <c r="E153" i="6"/>
  <c r="W152" i="6"/>
  <c r="E152" i="6"/>
  <c r="W151" i="6"/>
  <c r="E151" i="6"/>
  <c r="W150" i="6"/>
  <c r="E150" i="6"/>
  <c r="W149" i="6"/>
  <c r="E149" i="6"/>
  <c r="W148" i="6"/>
  <c r="E148" i="6"/>
  <c r="W147" i="6"/>
  <c r="E147" i="6"/>
  <c r="W146" i="6"/>
  <c r="E146" i="6"/>
  <c r="W145" i="6"/>
  <c r="E145" i="6"/>
  <c r="W144" i="6"/>
  <c r="E144" i="6"/>
  <c r="W143" i="6"/>
  <c r="E143" i="6"/>
  <c r="W142" i="6"/>
  <c r="E142" i="6"/>
  <c r="W141" i="6"/>
  <c r="E141" i="6"/>
  <c r="W140" i="6"/>
  <c r="E140" i="6"/>
  <c r="W139" i="6"/>
  <c r="E139" i="6"/>
  <c r="W138" i="6"/>
  <c r="E138" i="6"/>
  <c r="W137" i="6"/>
  <c r="E137" i="6"/>
  <c r="W136" i="6"/>
  <c r="E136" i="6"/>
  <c r="W135" i="6"/>
  <c r="E135" i="6"/>
  <c r="W134" i="6"/>
  <c r="E134" i="6"/>
  <c r="W133" i="6"/>
  <c r="E133" i="6"/>
  <c r="W132" i="6"/>
  <c r="E132" i="6"/>
  <c r="W131" i="6"/>
  <c r="E131" i="6"/>
  <c r="W130" i="6"/>
  <c r="E130" i="6"/>
  <c r="W129" i="6"/>
  <c r="E129" i="6"/>
  <c r="W128" i="6"/>
  <c r="E128" i="6"/>
  <c r="W127" i="6"/>
  <c r="E127" i="6"/>
  <c r="W126" i="6"/>
  <c r="E126" i="6"/>
  <c r="W125" i="6"/>
  <c r="E125" i="6"/>
  <c r="W124" i="6"/>
  <c r="E124" i="6"/>
  <c r="W123" i="6"/>
  <c r="E123" i="6"/>
  <c r="W122" i="6"/>
  <c r="E122" i="6"/>
  <c r="W121" i="6"/>
  <c r="E121" i="6"/>
  <c r="W120" i="6"/>
  <c r="E120" i="6"/>
  <c r="W119" i="6"/>
  <c r="E119" i="6"/>
  <c r="W118" i="6"/>
  <c r="E118" i="6"/>
  <c r="W117" i="6"/>
  <c r="E117" i="6"/>
  <c r="W116" i="6"/>
  <c r="E116" i="6"/>
  <c r="W115" i="6"/>
  <c r="E115" i="6"/>
  <c r="W114" i="6"/>
  <c r="E114" i="6"/>
  <c r="W113" i="6"/>
  <c r="E113" i="6"/>
  <c r="W112" i="6"/>
  <c r="E112" i="6"/>
  <c r="W111" i="6"/>
  <c r="E111" i="6"/>
  <c r="W110" i="6"/>
  <c r="E110" i="6"/>
  <c r="W109" i="6"/>
  <c r="E109" i="6"/>
  <c r="W108" i="6"/>
  <c r="E108" i="6"/>
  <c r="W107" i="6"/>
  <c r="E107" i="6"/>
  <c r="W106" i="6"/>
  <c r="E106" i="6"/>
  <c r="W105" i="6"/>
  <c r="E105" i="6"/>
  <c r="W104" i="6"/>
  <c r="E104" i="6"/>
  <c r="W103" i="6"/>
  <c r="E103" i="6"/>
  <c r="W102" i="6"/>
  <c r="E102" i="6"/>
  <c r="W101" i="6"/>
  <c r="E101" i="6"/>
  <c r="W100" i="6"/>
  <c r="E100" i="6"/>
  <c r="W99" i="6"/>
  <c r="E99" i="6"/>
  <c r="W98" i="6"/>
  <c r="E98" i="6"/>
  <c r="W97" i="6"/>
  <c r="E97" i="6"/>
  <c r="W96" i="6"/>
  <c r="E96" i="6"/>
  <c r="W95" i="6"/>
  <c r="E95" i="6"/>
  <c r="W94" i="6"/>
  <c r="E94" i="6"/>
  <c r="W93" i="6"/>
  <c r="E93" i="6"/>
  <c r="W92" i="6"/>
  <c r="E92" i="6"/>
  <c r="W91" i="6"/>
  <c r="E91" i="6"/>
  <c r="W90" i="6"/>
  <c r="E90" i="6"/>
  <c r="W89" i="6"/>
  <c r="E89" i="6"/>
  <c r="W88" i="6"/>
  <c r="E88" i="6"/>
  <c r="W87" i="6"/>
  <c r="E87" i="6"/>
  <c r="W86" i="6"/>
  <c r="E86" i="6"/>
  <c r="W85" i="6"/>
  <c r="E85" i="6"/>
  <c r="W84" i="6"/>
  <c r="E84" i="6"/>
  <c r="W83" i="6"/>
  <c r="E83" i="6"/>
  <c r="W82" i="6"/>
  <c r="E82" i="6"/>
  <c r="W81" i="6"/>
  <c r="E81" i="6"/>
  <c r="W80" i="6"/>
  <c r="E80" i="6"/>
  <c r="W79" i="6"/>
  <c r="E79" i="6"/>
  <c r="W78" i="6"/>
  <c r="E78" i="6"/>
  <c r="W77" i="6"/>
  <c r="E77" i="6"/>
  <c r="W76" i="6"/>
  <c r="E76" i="6"/>
  <c r="W75" i="6"/>
  <c r="E75" i="6"/>
  <c r="W74" i="6"/>
  <c r="E74" i="6"/>
  <c r="W73" i="6"/>
  <c r="E73" i="6"/>
  <c r="W72" i="6"/>
  <c r="E72" i="6"/>
  <c r="W71" i="6"/>
  <c r="E71" i="6"/>
  <c r="W70" i="6"/>
  <c r="E70" i="6"/>
  <c r="W69" i="6"/>
  <c r="E69" i="6"/>
  <c r="W68" i="6"/>
  <c r="E68" i="6"/>
  <c r="W67" i="6"/>
  <c r="E67" i="6"/>
  <c r="W66" i="6"/>
  <c r="E66" i="6"/>
  <c r="W65" i="6"/>
  <c r="E65" i="6"/>
  <c r="W64" i="6"/>
  <c r="E64" i="6"/>
  <c r="W63" i="6"/>
  <c r="E63" i="6"/>
  <c r="W62" i="6"/>
  <c r="E62" i="6"/>
  <c r="W61" i="6"/>
  <c r="E61" i="6"/>
  <c r="W60" i="6"/>
  <c r="E60" i="6"/>
  <c r="W59" i="6"/>
  <c r="E59" i="6"/>
  <c r="W58" i="6"/>
  <c r="E58" i="6"/>
  <c r="W57" i="6"/>
  <c r="E57" i="6"/>
  <c r="W56" i="6"/>
  <c r="E56" i="6"/>
  <c r="W55" i="6"/>
  <c r="E55" i="6"/>
  <c r="W54" i="6"/>
  <c r="E54" i="6"/>
  <c r="W53" i="6"/>
  <c r="E53" i="6"/>
  <c r="W52" i="6"/>
  <c r="E52" i="6"/>
  <c r="W51" i="6"/>
  <c r="E51" i="6"/>
  <c r="W50" i="6"/>
  <c r="E50" i="6"/>
  <c r="W49" i="6"/>
  <c r="E49" i="6"/>
  <c r="W48" i="6"/>
  <c r="E48" i="6"/>
  <c r="W47" i="6"/>
  <c r="E47" i="6"/>
  <c r="W46" i="6"/>
  <c r="E46" i="6"/>
  <c r="W45" i="6"/>
  <c r="E45" i="6"/>
  <c r="W44" i="6"/>
  <c r="E44" i="6"/>
  <c r="W43" i="6"/>
  <c r="E43" i="6"/>
  <c r="W42" i="6"/>
  <c r="E42" i="6"/>
  <c r="W41" i="6"/>
  <c r="E41" i="6"/>
  <c r="W40" i="6"/>
  <c r="E40" i="6"/>
  <c r="W39" i="6"/>
  <c r="E39" i="6"/>
  <c r="W38" i="6"/>
  <c r="E38" i="6"/>
  <c r="W37" i="6"/>
  <c r="E37" i="6"/>
  <c r="W36" i="6"/>
  <c r="E36" i="6"/>
  <c r="W35" i="6"/>
  <c r="E35" i="6"/>
  <c r="W34" i="6"/>
  <c r="E34" i="6"/>
  <c r="W33" i="6"/>
  <c r="E33" i="6"/>
  <c r="W32" i="6"/>
  <c r="E32" i="6"/>
  <c r="W31" i="6"/>
  <c r="E31" i="6"/>
  <c r="W30" i="6"/>
  <c r="E30" i="6"/>
  <c r="W29" i="6"/>
  <c r="E29" i="6"/>
  <c r="W28" i="6"/>
  <c r="E28" i="6"/>
  <c r="W27" i="6"/>
  <c r="E27" i="6"/>
  <c r="W26" i="6"/>
  <c r="E26" i="6"/>
  <c r="W25" i="6"/>
  <c r="E25" i="6"/>
  <c r="W24" i="6"/>
  <c r="E24" i="6"/>
  <c r="W23" i="6"/>
  <c r="E23" i="6"/>
  <c r="W22" i="6"/>
  <c r="E22" i="6"/>
  <c r="W21" i="6"/>
  <c r="E21" i="6"/>
  <c r="W20" i="6"/>
  <c r="E20" i="6"/>
  <c r="W19" i="6"/>
  <c r="E19" i="6"/>
  <c r="W18" i="6"/>
  <c r="E18" i="6"/>
  <c r="W17" i="6"/>
  <c r="E17" i="6"/>
  <c r="W16" i="6"/>
  <c r="E16" i="6"/>
  <c r="W15" i="6"/>
  <c r="E15" i="6"/>
  <c r="W14" i="6"/>
  <c r="E14" i="6"/>
  <c r="W13" i="6"/>
  <c r="E13" i="6"/>
  <c r="W12" i="6"/>
  <c r="E12" i="6"/>
  <c r="W11" i="6"/>
  <c r="E11" i="6"/>
  <c r="W10" i="6"/>
  <c r="E10" i="6"/>
  <c r="W9" i="6"/>
  <c r="E9" i="6"/>
  <c r="W8" i="6"/>
  <c r="E8" i="6"/>
  <c r="W7" i="6"/>
  <c r="E7" i="6"/>
  <c r="W6" i="6"/>
  <c r="E6" i="6"/>
  <c r="W5" i="6"/>
  <c r="E5" i="6"/>
  <c r="W4" i="6"/>
  <c r="E4" i="6"/>
  <c r="W3" i="6"/>
  <c r="E3" i="6"/>
  <c r="W2" i="6"/>
  <c r="E2" i="6"/>
  <c r="AQ242" i="5"/>
  <c r="A242" i="5"/>
  <c r="AQ241" i="5"/>
  <c r="A241" i="5"/>
  <c r="AQ240" i="5"/>
  <c r="A240" i="5"/>
  <c r="AQ239" i="5"/>
  <c r="A239" i="5"/>
  <c r="AQ238" i="5"/>
  <c r="A238" i="5"/>
  <c r="AQ237" i="5"/>
  <c r="A237" i="5"/>
  <c r="AQ236" i="5"/>
  <c r="A236" i="5"/>
  <c r="AQ235" i="5"/>
  <c r="A235" i="5"/>
  <c r="AQ234" i="5"/>
  <c r="A234" i="5"/>
  <c r="AQ233" i="5"/>
  <c r="A233" i="5"/>
  <c r="AQ232" i="5"/>
  <c r="A232" i="5"/>
  <c r="AQ231" i="5"/>
  <c r="A231" i="5"/>
  <c r="AQ230" i="5"/>
  <c r="A230" i="5"/>
  <c r="AQ229" i="5"/>
  <c r="A229" i="5"/>
  <c r="AQ228" i="5"/>
  <c r="A228" i="5"/>
  <c r="AQ227" i="5"/>
  <c r="A227" i="5"/>
  <c r="AQ226" i="5"/>
  <c r="A226" i="5"/>
  <c r="AQ225" i="5"/>
  <c r="A225" i="5"/>
  <c r="AQ224" i="5"/>
  <c r="A224" i="5"/>
  <c r="AQ223" i="5"/>
  <c r="A223" i="5"/>
  <c r="AQ222" i="5"/>
  <c r="A222" i="5"/>
  <c r="AQ221" i="5"/>
  <c r="A221" i="5"/>
  <c r="AQ220" i="5"/>
  <c r="A220" i="5"/>
  <c r="AQ219" i="5"/>
  <c r="A219" i="5"/>
  <c r="AQ218" i="5"/>
  <c r="A218" i="5"/>
  <c r="AQ217" i="5"/>
  <c r="A217" i="5"/>
  <c r="AQ216" i="5"/>
  <c r="A216" i="5"/>
  <c r="AQ215" i="5"/>
  <c r="A215" i="5"/>
  <c r="AQ214" i="5"/>
  <c r="A214" i="5"/>
  <c r="AQ213" i="5"/>
  <c r="A213" i="5"/>
  <c r="AQ212" i="5"/>
  <c r="A212" i="5"/>
  <c r="AQ211" i="5"/>
  <c r="A211" i="5"/>
  <c r="AQ210" i="5"/>
  <c r="A210" i="5"/>
  <c r="AQ209" i="5"/>
  <c r="A209" i="5"/>
  <c r="AQ208" i="5"/>
  <c r="A208" i="5"/>
  <c r="AQ207" i="5"/>
  <c r="A207" i="5"/>
  <c r="AQ206" i="5"/>
  <c r="A206" i="5"/>
  <c r="AQ205" i="5"/>
  <c r="A205" i="5"/>
  <c r="AQ204" i="5"/>
  <c r="A204" i="5"/>
  <c r="AQ203" i="5"/>
  <c r="A203" i="5"/>
  <c r="AQ202" i="5"/>
  <c r="A202" i="5"/>
  <c r="AQ201" i="5"/>
  <c r="A201" i="5"/>
  <c r="AQ200" i="5"/>
  <c r="A200" i="5"/>
  <c r="AQ199" i="5"/>
  <c r="A199" i="5"/>
  <c r="AQ198" i="5"/>
  <c r="A198" i="5"/>
  <c r="AQ197" i="5"/>
  <c r="A197" i="5"/>
  <c r="AQ196" i="5"/>
  <c r="A196" i="5"/>
  <c r="AQ195" i="5"/>
  <c r="A195" i="5"/>
  <c r="AQ194" i="5"/>
  <c r="A194" i="5"/>
  <c r="AQ193" i="5"/>
  <c r="A193" i="5"/>
  <c r="AQ192" i="5"/>
  <c r="A192" i="5"/>
  <c r="AQ191" i="5"/>
  <c r="A191" i="5"/>
  <c r="AQ190" i="5"/>
  <c r="A190" i="5"/>
  <c r="AQ189" i="5"/>
  <c r="A189" i="5"/>
  <c r="AQ188" i="5"/>
  <c r="A188" i="5"/>
  <c r="AQ187" i="5"/>
  <c r="A187" i="5"/>
  <c r="AQ186" i="5"/>
  <c r="A186" i="5"/>
  <c r="AQ185" i="5"/>
  <c r="A185" i="5"/>
  <c r="AQ184" i="5"/>
  <c r="A184" i="5"/>
  <c r="AQ183" i="5"/>
  <c r="A183" i="5"/>
  <c r="AQ182" i="5"/>
  <c r="A182" i="5"/>
  <c r="AQ181" i="5"/>
  <c r="A181" i="5"/>
  <c r="AQ180" i="5"/>
  <c r="A180" i="5"/>
  <c r="AQ179" i="5"/>
  <c r="A179" i="5"/>
  <c r="AQ178" i="5"/>
  <c r="A178" i="5"/>
  <c r="AQ177" i="5"/>
  <c r="A177" i="5"/>
  <c r="AQ176" i="5"/>
  <c r="A176" i="5"/>
  <c r="AQ175" i="5"/>
  <c r="A175" i="5"/>
  <c r="AQ174" i="5"/>
  <c r="A174" i="5"/>
  <c r="AQ173" i="5"/>
  <c r="A173" i="5"/>
  <c r="AQ172" i="5"/>
  <c r="A172" i="5"/>
  <c r="AQ171" i="5"/>
  <c r="A171" i="5"/>
  <c r="AQ170" i="5"/>
  <c r="A170" i="5"/>
  <c r="AQ169" i="5"/>
  <c r="A169" i="5"/>
  <c r="AQ168" i="5"/>
  <c r="A168" i="5"/>
  <c r="AQ167" i="5"/>
  <c r="A167" i="5"/>
  <c r="AQ166" i="5"/>
  <c r="A166" i="5"/>
  <c r="AQ165" i="5"/>
  <c r="A165" i="5"/>
  <c r="AQ164" i="5"/>
  <c r="A164" i="5"/>
  <c r="AQ163" i="5"/>
  <c r="A163" i="5"/>
  <c r="AQ162" i="5"/>
  <c r="A162" i="5"/>
  <c r="AQ161" i="5"/>
  <c r="A161" i="5"/>
  <c r="AQ160" i="5"/>
  <c r="A160" i="5"/>
  <c r="AQ159" i="5"/>
  <c r="A159" i="5"/>
  <c r="AQ158" i="5"/>
  <c r="A158" i="5"/>
  <c r="AQ157" i="5"/>
  <c r="A157" i="5"/>
  <c r="AQ156" i="5"/>
  <c r="A156" i="5"/>
  <c r="AQ155" i="5"/>
  <c r="A155" i="5"/>
  <c r="AQ154" i="5"/>
  <c r="A154" i="5"/>
  <c r="AQ153" i="5"/>
  <c r="A153" i="5"/>
  <c r="AQ152" i="5"/>
  <c r="A152" i="5"/>
  <c r="AQ151" i="5"/>
  <c r="A151" i="5"/>
  <c r="AQ150" i="5"/>
  <c r="A150" i="5"/>
  <c r="AQ149" i="5"/>
  <c r="A149" i="5"/>
  <c r="AQ148" i="5"/>
  <c r="A148" i="5"/>
  <c r="AQ147" i="5"/>
  <c r="A147" i="5"/>
  <c r="AQ146" i="5"/>
  <c r="A146" i="5"/>
  <c r="AQ145" i="5"/>
  <c r="A145" i="5"/>
  <c r="AQ144" i="5"/>
  <c r="A144" i="5"/>
  <c r="AQ143" i="5"/>
  <c r="A143" i="5"/>
  <c r="AQ142" i="5"/>
  <c r="A142" i="5"/>
  <c r="AQ141" i="5"/>
  <c r="A141" i="5"/>
  <c r="AQ140" i="5"/>
  <c r="A140" i="5"/>
  <c r="AQ139" i="5"/>
  <c r="A139" i="5"/>
  <c r="AQ138" i="5"/>
  <c r="A138" i="5"/>
  <c r="AQ137" i="5"/>
  <c r="A137" i="5"/>
  <c r="AQ136" i="5"/>
  <c r="A136" i="5"/>
  <c r="AQ135" i="5"/>
  <c r="A135" i="5"/>
  <c r="AQ134" i="5"/>
  <c r="A134" i="5"/>
  <c r="AQ133" i="5"/>
  <c r="A133" i="5"/>
  <c r="AQ132" i="5"/>
  <c r="A132" i="5"/>
  <c r="AQ131" i="5"/>
  <c r="A131" i="5"/>
  <c r="AQ130" i="5"/>
  <c r="A130" i="5"/>
  <c r="AQ129" i="5"/>
  <c r="A129" i="5"/>
  <c r="AQ128" i="5"/>
  <c r="A128" i="5"/>
  <c r="AQ127" i="5"/>
  <c r="A127" i="5"/>
  <c r="AQ126" i="5"/>
  <c r="A126" i="5"/>
  <c r="AQ125" i="5"/>
  <c r="A125" i="5"/>
  <c r="AQ124" i="5"/>
  <c r="A124" i="5"/>
  <c r="AQ123" i="5"/>
  <c r="A123" i="5"/>
  <c r="AQ122" i="5"/>
  <c r="A122" i="5"/>
  <c r="AQ121" i="5"/>
  <c r="A121" i="5"/>
  <c r="AQ120" i="5"/>
  <c r="A120" i="5"/>
  <c r="AQ119" i="5"/>
  <c r="A119" i="5"/>
  <c r="AQ118" i="5"/>
  <c r="A118" i="5"/>
  <c r="AQ117" i="5"/>
  <c r="A117" i="5"/>
  <c r="AQ116" i="5"/>
  <c r="A116" i="5"/>
  <c r="AQ115" i="5"/>
  <c r="A115" i="5"/>
  <c r="AQ114" i="5"/>
  <c r="A114" i="5"/>
  <c r="AQ113" i="5"/>
  <c r="A113" i="5"/>
  <c r="AQ112" i="5"/>
  <c r="A112" i="5"/>
  <c r="AQ111" i="5"/>
  <c r="A111" i="5"/>
  <c r="AQ110" i="5"/>
  <c r="A110" i="5"/>
  <c r="AQ109" i="5"/>
  <c r="A109" i="5"/>
  <c r="AQ108" i="5"/>
  <c r="A108" i="5"/>
  <c r="AQ107" i="5"/>
  <c r="A107" i="5"/>
  <c r="AQ106" i="5"/>
  <c r="A106" i="5"/>
  <c r="AQ105" i="5"/>
  <c r="A105" i="5"/>
  <c r="AQ104" i="5"/>
  <c r="A104" i="5"/>
  <c r="AQ103" i="5"/>
  <c r="A103" i="5"/>
  <c r="AQ102" i="5"/>
  <c r="A102" i="5"/>
  <c r="AQ101" i="5"/>
  <c r="A101" i="5"/>
  <c r="AQ100" i="5"/>
  <c r="A100" i="5"/>
  <c r="AQ99" i="5"/>
  <c r="A99" i="5"/>
  <c r="AQ98" i="5"/>
  <c r="A98" i="5"/>
  <c r="AQ97" i="5"/>
  <c r="A97" i="5"/>
  <c r="AQ96" i="5"/>
  <c r="A96" i="5"/>
  <c r="AQ95" i="5"/>
  <c r="A95" i="5"/>
  <c r="AQ94" i="5"/>
  <c r="A94" i="5"/>
  <c r="AQ93" i="5"/>
  <c r="A93" i="5"/>
  <c r="AQ92" i="5"/>
  <c r="A92" i="5"/>
  <c r="AQ91" i="5"/>
  <c r="A91" i="5"/>
  <c r="AQ90" i="5"/>
  <c r="A90" i="5"/>
  <c r="AQ89" i="5"/>
  <c r="A89" i="5"/>
  <c r="AQ88" i="5"/>
  <c r="A88" i="5"/>
  <c r="AQ87" i="5"/>
  <c r="A87" i="5"/>
  <c r="AQ86" i="5"/>
  <c r="A86" i="5"/>
  <c r="AQ85" i="5"/>
  <c r="A85" i="5"/>
  <c r="AQ84" i="5"/>
  <c r="A84" i="5"/>
  <c r="AQ83" i="5"/>
  <c r="A83" i="5"/>
  <c r="AQ82" i="5"/>
  <c r="A82" i="5"/>
  <c r="AQ81" i="5"/>
  <c r="A81" i="5"/>
  <c r="AQ80" i="5"/>
  <c r="A80" i="5"/>
  <c r="AQ79" i="5"/>
  <c r="A79" i="5"/>
  <c r="AQ78" i="5"/>
  <c r="A78" i="5"/>
  <c r="AQ77" i="5"/>
  <c r="A77" i="5"/>
  <c r="AQ76" i="5"/>
  <c r="A76" i="5"/>
  <c r="AQ75" i="5"/>
  <c r="A75" i="5"/>
  <c r="AQ74" i="5"/>
  <c r="A74" i="5"/>
  <c r="AQ73" i="5"/>
  <c r="A73" i="5"/>
  <c r="AQ72" i="5"/>
  <c r="A72" i="5"/>
  <c r="AQ71" i="5"/>
  <c r="A71" i="5"/>
  <c r="AQ70" i="5"/>
  <c r="A70" i="5"/>
  <c r="AQ69" i="5"/>
  <c r="A69" i="5"/>
  <c r="AQ68" i="5"/>
  <c r="A68" i="5"/>
  <c r="AQ67" i="5"/>
  <c r="A67" i="5"/>
  <c r="AQ66" i="5"/>
  <c r="A66" i="5"/>
  <c r="AQ65" i="5"/>
  <c r="A65" i="5"/>
  <c r="AQ64" i="5"/>
  <c r="A64" i="5"/>
  <c r="AQ63" i="5"/>
  <c r="A63" i="5"/>
  <c r="AQ62" i="5"/>
  <c r="A62" i="5"/>
  <c r="AQ61" i="5"/>
  <c r="A61" i="5"/>
  <c r="AQ60" i="5"/>
  <c r="A60" i="5"/>
  <c r="AQ59" i="5"/>
  <c r="A59" i="5"/>
  <c r="AQ58" i="5"/>
  <c r="A58" i="5"/>
  <c r="AQ57" i="5"/>
  <c r="A57" i="5"/>
  <c r="AQ56" i="5"/>
  <c r="A56" i="5"/>
  <c r="AQ55" i="5"/>
  <c r="A55" i="5"/>
  <c r="AQ54" i="5"/>
  <c r="A54" i="5"/>
  <c r="AQ53" i="5"/>
  <c r="A53" i="5"/>
  <c r="AQ52" i="5"/>
  <c r="A52" i="5"/>
  <c r="AQ51" i="5"/>
  <c r="A51" i="5"/>
  <c r="AQ50" i="5"/>
  <c r="A50" i="5"/>
  <c r="AQ49" i="5"/>
  <c r="A49" i="5"/>
  <c r="AQ48" i="5"/>
  <c r="A48" i="5"/>
  <c r="AQ47" i="5"/>
  <c r="A47" i="5"/>
  <c r="AQ46" i="5"/>
  <c r="A46" i="5"/>
  <c r="AQ45" i="5"/>
  <c r="A45" i="5"/>
  <c r="AQ44" i="5"/>
  <c r="A44" i="5"/>
  <c r="AQ43" i="5"/>
  <c r="A43" i="5"/>
  <c r="AQ42" i="5"/>
  <c r="A42" i="5"/>
  <c r="AQ41" i="5"/>
  <c r="A41" i="5"/>
  <c r="AQ40" i="5"/>
  <c r="A40" i="5"/>
  <c r="AQ39" i="5"/>
  <c r="A39" i="5"/>
  <c r="AQ38" i="5"/>
  <c r="A38" i="5"/>
  <c r="AQ37" i="5"/>
  <c r="A37" i="5"/>
  <c r="AQ36" i="5"/>
  <c r="A36" i="5"/>
  <c r="AQ35" i="5"/>
  <c r="A35" i="5"/>
  <c r="AQ34" i="5"/>
  <c r="A34" i="5"/>
  <c r="AQ33" i="5"/>
  <c r="A33" i="5"/>
  <c r="AQ32" i="5"/>
  <c r="A32" i="5"/>
  <c r="AQ31" i="5"/>
  <c r="A31" i="5"/>
  <c r="AQ30" i="5"/>
  <c r="A30" i="5"/>
  <c r="AQ29" i="5"/>
  <c r="A29" i="5"/>
  <c r="AQ28" i="5"/>
  <c r="A28" i="5"/>
  <c r="AQ27" i="5"/>
  <c r="A27" i="5"/>
  <c r="AQ26" i="5"/>
  <c r="A26" i="5"/>
  <c r="AQ25" i="5"/>
  <c r="A25" i="5"/>
  <c r="AQ24" i="5"/>
  <c r="A24" i="5"/>
  <c r="AQ23" i="5"/>
  <c r="A23" i="5"/>
  <c r="AQ22" i="5"/>
  <c r="A22" i="5"/>
  <c r="AQ21" i="5"/>
  <c r="A21" i="5"/>
  <c r="AQ20" i="5"/>
  <c r="A20" i="5"/>
  <c r="AQ19" i="5"/>
  <c r="A19" i="5"/>
  <c r="AQ18" i="5"/>
  <c r="A18" i="5"/>
  <c r="AQ17" i="5"/>
  <c r="A17" i="5"/>
  <c r="AQ16" i="5"/>
  <c r="A16" i="5"/>
  <c r="AQ15" i="5"/>
  <c r="A15" i="5"/>
  <c r="AQ14" i="5"/>
  <c r="A14" i="5"/>
  <c r="AQ13" i="5"/>
  <c r="A13" i="5"/>
  <c r="AQ12" i="5"/>
  <c r="A12" i="5"/>
  <c r="AQ11" i="5"/>
  <c r="A11" i="5"/>
  <c r="AQ10" i="5"/>
  <c r="A10" i="5"/>
  <c r="AQ9" i="5"/>
  <c r="A9" i="5"/>
  <c r="AQ8" i="5"/>
  <c r="A8" i="5"/>
  <c r="AQ7" i="5"/>
  <c r="A7" i="5"/>
  <c r="AQ6" i="5"/>
  <c r="A6" i="5"/>
  <c r="AQ5" i="5"/>
  <c r="A5" i="5"/>
  <c r="AQ4" i="5"/>
  <c r="A4" i="5"/>
  <c r="AQ3" i="5"/>
  <c r="A3" i="5"/>
  <c r="AQ2" i="5"/>
  <c r="A2" i="5"/>
  <c r="C34" i="4"/>
  <c r="M6" i="3"/>
  <c r="L6" i="3"/>
  <c r="K6" i="3"/>
  <c r="J6" i="3"/>
  <c r="I6" i="3"/>
  <c r="H6" i="3"/>
  <c r="B7" i="2"/>
  <c r="E119" i="1"/>
  <c r="D119" i="1"/>
  <c r="C119" i="1"/>
  <c r="B119" i="1"/>
  <c r="A119" i="1"/>
  <c r="E118" i="1"/>
  <c r="D118" i="1"/>
  <c r="C118" i="1"/>
  <c r="B118" i="1"/>
  <c r="A118" i="1"/>
  <c r="E117" i="1"/>
  <c r="D117" i="1"/>
  <c r="C117" i="1"/>
  <c r="B117" i="1"/>
  <c r="A117" i="1"/>
  <c r="E116" i="1"/>
  <c r="D116" i="1"/>
  <c r="C116" i="1"/>
  <c r="B116" i="1"/>
  <c r="A116" i="1"/>
  <c r="B6" i="1"/>
  <c r="Y219" i="10" l="1"/>
  <c r="C219" i="10"/>
  <c r="K219" i="10"/>
  <c r="V219" i="10"/>
  <c r="G219" i="10"/>
  <c r="P219" i="10"/>
  <c r="C91" i="11"/>
  <c r="A23" i="1"/>
  <c r="A22" i="1"/>
  <c r="A21" i="1"/>
  <c r="I231" i="17"/>
  <c r="I230" i="17"/>
  <c r="I229" i="17"/>
  <c r="I228" i="17"/>
  <c r="I227" i="17"/>
  <c r="I226" i="17"/>
  <c r="I225" i="17"/>
  <c r="I131" i="17"/>
  <c r="I130" i="17"/>
  <c r="C98" i="11"/>
  <c r="C94" i="11"/>
  <c r="D92" i="11"/>
  <c r="D90" i="11"/>
  <c r="K72" i="11"/>
  <c r="J72" i="11"/>
  <c r="AA242" i="10"/>
  <c r="Y242" i="10"/>
  <c r="V242" i="10"/>
  <c r="P242" i="10"/>
  <c r="K242" i="10"/>
  <c r="G242" i="10"/>
  <c r="C242" i="10"/>
  <c r="A242" i="10"/>
  <c r="AA241" i="10"/>
  <c r="Y241" i="10"/>
  <c r="V241" i="10"/>
  <c r="P241" i="10"/>
  <c r="V82" i="10"/>
  <c r="C82" i="10"/>
  <c r="V81" i="10"/>
  <c r="P81" i="10"/>
  <c r="G81" i="10"/>
  <c r="A81" i="10"/>
  <c r="AA80" i="10"/>
  <c r="P80" i="10"/>
  <c r="K80" i="10"/>
  <c r="C80" i="10"/>
  <c r="A82" i="6"/>
  <c r="P85" i="10"/>
  <c r="K85" i="10"/>
  <c r="G85" i="10"/>
  <c r="C85" i="10"/>
  <c r="A85" i="10"/>
  <c r="AA84" i="10"/>
  <c r="Y84" i="10"/>
  <c r="V84" i="10"/>
  <c r="P84" i="10"/>
  <c r="K84" i="10"/>
  <c r="G84" i="10"/>
  <c r="C84" i="10"/>
  <c r="A84" i="10"/>
  <c r="AA83" i="10"/>
  <c r="Y83" i="10"/>
  <c r="V83" i="10"/>
  <c r="P83" i="10"/>
  <c r="K83" i="10"/>
  <c r="G83" i="10"/>
  <c r="C83" i="10"/>
  <c r="A83" i="10"/>
  <c r="AA82" i="10"/>
  <c r="Y82" i="10"/>
  <c r="P82" i="10"/>
  <c r="K82" i="10"/>
  <c r="G82" i="10"/>
  <c r="A82" i="10"/>
  <c r="AA81" i="10"/>
  <c r="Y81" i="10"/>
  <c r="K81" i="10"/>
  <c r="C81" i="10"/>
  <c r="Y80" i="10"/>
  <c r="V80" i="10"/>
  <c r="G80" i="10"/>
  <c r="A80" i="10"/>
  <c r="AA79" i="10"/>
  <c r="A96" i="6"/>
  <c r="A95" i="6"/>
  <c r="A94" i="6"/>
  <c r="A93" i="6"/>
  <c r="A92" i="6"/>
  <c r="A91" i="6"/>
  <c r="A90" i="6"/>
  <c r="A89" i="6"/>
  <c r="A88" i="6"/>
  <c r="A87" i="6"/>
  <c r="A86" i="6"/>
  <c r="A85" i="6"/>
  <c r="A84" i="6"/>
  <c r="A83" i="6"/>
  <c r="A964" i="17"/>
  <c r="A963" i="17"/>
  <c r="A962" i="17"/>
  <c r="A961" i="17"/>
  <c r="A960" i="17"/>
  <c r="A959" i="17"/>
  <c r="A719" i="17"/>
  <c r="A718" i="17"/>
  <c r="A717" i="17"/>
  <c r="A716" i="17"/>
  <c r="A715" i="17"/>
  <c r="A714" i="17"/>
  <c r="A713" i="17"/>
  <c r="I235" i="17"/>
  <c r="I234" i="17"/>
  <c r="I233" i="17"/>
  <c r="I232" i="17"/>
  <c r="I153" i="17"/>
  <c r="I152" i="17"/>
  <c r="I151" i="17"/>
  <c r="I150" i="17"/>
  <c r="I149" i="17"/>
  <c r="I148" i="17"/>
  <c r="I147" i="17"/>
  <c r="I146" i="17"/>
  <c r="I145" i="17"/>
  <c r="I144" i="17"/>
  <c r="I143" i="17"/>
  <c r="I142" i="17"/>
  <c r="I141" i="17"/>
  <c r="I140" i="17"/>
  <c r="I139" i="17"/>
  <c r="I138" i="17"/>
  <c r="I137" i="17"/>
  <c r="I136" i="17"/>
  <c r="I135" i="17"/>
  <c r="I134" i="17"/>
  <c r="I133" i="17"/>
  <c r="I132" i="17"/>
  <c r="I72" i="17"/>
  <c r="I71" i="17"/>
  <c r="I70" i="17"/>
  <c r="I69" i="17"/>
  <c r="I68" i="17"/>
  <c r="I67" i="17"/>
  <c r="I66" i="17"/>
  <c r="I65" i="17"/>
  <c r="D6" i="12"/>
  <c r="D23" i="1" s="1"/>
  <c r="K241" i="11"/>
  <c r="C238" i="11"/>
  <c r="BJ235" i="11"/>
  <c r="BI235" i="11"/>
  <c r="BH235" i="11"/>
  <c r="BE235" i="11"/>
  <c r="BC235" i="11"/>
  <c r="BB235" i="11"/>
  <c r="BA235" i="11"/>
  <c r="AX235" i="11"/>
  <c r="AV235" i="11"/>
  <c r="AU235" i="11"/>
  <c r="AT235" i="11"/>
  <c r="AQ235" i="11"/>
  <c r="E208" i="11"/>
  <c r="D208" i="11"/>
  <c r="E207" i="11"/>
  <c r="D207" i="11"/>
  <c r="C207" i="11"/>
  <c r="D206" i="11"/>
  <c r="C206" i="11"/>
  <c r="E205" i="11"/>
  <c r="E201" i="11"/>
  <c r="D200" i="11"/>
  <c r="C200" i="11"/>
  <c r="BH193" i="11"/>
  <c r="D193" i="11"/>
  <c r="C193" i="11"/>
  <c r="D192" i="11"/>
  <c r="D191" i="11"/>
  <c r="C191" i="11"/>
  <c r="E190" i="11"/>
  <c r="C190" i="11"/>
  <c r="C186" i="11"/>
  <c r="C184" i="11"/>
  <c r="E183" i="11"/>
  <c r="B99" i="11"/>
  <c r="D97" i="11"/>
  <c r="E95" i="11"/>
  <c r="B95" i="11"/>
  <c r="AA72" i="11"/>
  <c r="U72" i="11"/>
  <c r="S72" i="11"/>
  <c r="O72" i="11"/>
  <c r="M72" i="11"/>
  <c r="D178" i="11"/>
  <c r="C178" i="11"/>
  <c r="D177" i="11"/>
  <c r="E175" i="11"/>
  <c r="D175" i="11"/>
  <c r="C175" i="11"/>
  <c r="D174" i="11"/>
  <c r="M173" i="11"/>
  <c r="D170" i="11"/>
  <c r="E169" i="11"/>
  <c r="D169" i="11"/>
  <c r="E167" i="11"/>
  <c r="D167" i="11"/>
  <c r="C167" i="11"/>
  <c r="D161" i="11"/>
  <c r="C161" i="11"/>
  <c r="C159" i="11"/>
  <c r="C158" i="11"/>
  <c r="D155" i="11"/>
  <c r="BJ153" i="11"/>
  <c r="BI153" i="11"/>
  <c r="BH153" i="11"/>
  <c r="B97" i="11"/>
  <c r="D95" i="11"/>
  <c r="B91" i="11"/>
  <c r="Y72" i="11"/>
  <c r="V72" i="11"/>
  <c r="Q72" i="11"/>
  <c r="D114" i="11"/>
  <c r="E113" i="11"/>
  <c r="D113" i="11"/>
  <c r="D112" i="11"/>
  <c r="C112" i="11"/>
  <c r="C111" i="11"/>
  <c r="BB110" i="11"/>
  <c r="D110" i="11"/>
  <c r="C110" i="11"/>
  <c r="C109" i="11"/>
  <c r="D107" i="11"/>
  <c r="C107" i="11"/>
  <c r="E106" i="11"/>
  <c r="D106" i="11"/>
  <c r="C106" i="11"/>
  <c r="D105" i="11"/>
  <c r="C105" i="11"/>
  <c r="C104" i="11"/>
  <c r="E103" i="11"/>
  <c r="E102" i="11"/>
  <c r="D102" i="11"/>
  <c r="C102" i="11"/>
  <c r="E101" i="11"/>
  <c r="C101" i="11"/>
  <c r="B101" i="11"/>
  <c r="C100" i="11"/>
  <c r="E99" i="11"/>
  <c r="AF98" i="11"/>
  <c r="C97" i="11"/>
  <c r="C95" i="11"/>
  <c r="B94" i="11"/>
  <c r="B92" i="11"/>
  <c r="Z72" i="11"/>
  <c r="W72" i="11"/>
  <c r="P72" i="11"/>
  <c r="B86" i="11"/>
  <c r="I85" i="11"/>
  <c r="B85" i="11"/>
  <c r="K84" i="11"/>
  <c r="D84" i="11"/>
  <c r="B84" i="11"/>
  <c r="B82" i="11"/>
  <c r="AK80" i="11"/>
  <c r="D80" i="11"/>
  <c r="C80" i="11"/>
  <c r="B80" i="11"/>
  <c r="C79" i="11"/>
  <c r="B79" i="11"/>
  <c r="C78" i="11"/>
  <c r="B78" i="11"/>
  <c r="D77" i="11"/>
  <c r="C77" i="11"/>
  <c r="B77" i="11"/>
  <c r="I76" i="11"/>
  <c r="D76" i="11"/>
  <c r="C76" i="11"/>
  <c r="B76" i="11"/>
  <c r="D75" i="11"/>
  <c r="C75" i="11"/>
  <c r="B75" i="11"/>
  <c r="BJ72" i="11"/>
  <c r="BI72" i="11"/>
  <c r="BH72" i="11"/>
  <c r="BG72" i="11"/>
  <c r="BE72" i="11"/>
  <c r="BC72" i="11"/>
  <c r="BB72" i="11"/>
  <c r="BA72" i="11"/>
  <c r="AZ72" i="11"/>
  <c r="AX72" i="11"/>
  <c r="AV72" i="11"/>
  <c r="AU72" i="11"/>
  <c r="AT72" i="11"/>
  <c r="AS72" i="11"/>
  <c r="AQ72" i="11"/>
  <c r="AO72" i="11"/>
  <c r="AN72" i="11"/>
  <c r="AM72" i="11"/>
  <c r="AL72" i="11"/>
  <c r="AK72" i="11"/>
  <c r="AI72" i="11"/>
  <c r="AH72" i="11"/>
  <c r="AG72" i="11"/>
  <c r="AF72" i="11"/>
  <c r="AE72" i="11"/>
  <c r="AC72" i="11"/>
  <c r="AB72" i="11"/>
  <c r="T72" i="11"/>
  <c r="N72" i="11"/>
  <c r="BH26" i="11"/>
  <c r="C26" i="11"/>
  <c r="B25" i="11"/>
  <c r="C24" i="11"/>
  <c r="B24" i="11"/>
  <c r="B20" i="11"/>
  <c r="B18" i="11"/>
  <c r="Q15" i="11"/>
  <c r="B15" i="11"/>
  <c r="C13" i="11"/>
  <c r="B13" i="11"/>
  <c r="C10" i="11"/>
  <c r="B10" i="11"/>
  <c r="BE7" i="11"/>
  <c r="K5" i="11"/>
  <c r="I5" i="11"/>
  <c r="H5" i="11"/>
  <c r="D5" i="11"/>
  <c r="C5" i="11"/>
  <c r="B5" i="11"/>
  <c r="B4" i="11"/>
  <c r="AV3" i="11"/>
  <c r="I2" i="11"/>
  <c r="H2" i="11"/>
  <c r="C2" i="11"/>
  <c r="B2" i="11"/>
  <c r="K241" i="10"/>
  <c r="G241" i="10"/>
  <c r="C241" i="10"/>
  <c r="A241" i="10"/>
  <c r="AA240" i="10"/>
  <c r="Y240" i="10"/>
  <c r="V240" i="10"/>
  <c r="P240" i="10"/>
  <c r="K240" i="10"/>
  <c r="G240" i="10"/>
  <c r="C240" i="10"/>
  <c r="A240" i="10"/>
  <c r="AA239" i="10"/>
  <c r="Y239" i="10"/>
  <c r="V239" i="10"/>
  <c r="P239" i="10"/>
  <c r="K239" i="10"/>
  <c r="G239" i="10"/>
  <c r="C239" i="10"/>
  <c r="A239" i="10"/>
  <c r="AA238" i="10"/>
  <c r="Y238" i="10"/>
  <c r="V238" i="10"/>
  <c r="P238" i="10"/>
  <c r="K238" i="10"/>
  <c r="G238" i="10"/>
  <c r="C238" i="10"/>
  <c r="A238" i="10"/>
  <c r="AA237" i="10"/>
  <c r="Y237" i="10"/>
  <c r="V237" i="10"/>
  <c r="P237" i="10"/>
  <c r="K237" i="10"/>
  <c r="G237" i="10"/>
  <c r="C237" i="10"/>
  <c r="A237" i="10"/>
  <c r="AA236" i="10"/>
  <c r="Y236" i="10"/>
  <c r="V236" i="10"/>
  <c r="P236" i="10"/>
  <c r="K236" i="10"/>
  <c r="G236" i="10"/>
  <c r="C236" i="10"/>
  <c r="A236" i="10"/>
  <c r="AA235" i="10"/>
  <c r="Y235" i="10"/>
  <c r="V235" i="10"/>
  <c r="P235" i="10"/>
  <c r="K235" i="10"/>
  <c r="G235" i="10"/>
  <c r="C235" i="10"/>
  <c r="A235" i="10"/>
  <c r="AA234" i="10"/>
  <c r="Y234" i="10"/>
  <c r="V234" i="10"/>
  <c r="P234" i="10"/>
  <c r="K234" i="10"/>
  <c r="G234" i="10"/>
  <c r="C234" i="10"/>
  <c r="A234" i="10"/>
  <c r="AA233" i="10"/>
  <c r="Y233" i="10"/>
  <c r="V233" i="10"/>
  <c r="P233" i="10"/>
  <c r="K233" i="10"/>
  <c r="G233" i="10"/>
  <c r="C233" i="10"/>
  <c r="A233" i="10"/>
  <c r="AA232" i="10"/>
  <c r="Y232" i="10"/>
  <c r="V232" i="10"/>
  <c r="P232" i="10"/>
  <c r="K232" i="10"/>
  <c r="G232" i="10"/>
  <c r="C232" i="10"/>
  <c r="A232" i="10"/>
  <c r="AA231" i="10"/>
  <c r="Y231" i="10"/>
  <c r="V231" i="10"/>
  <c r="P231" i="10"/>
  <c r="K231" i="10"/>
  <c r="G231" i="10"/>
  <c r="C231" i="10"/>
  <c r="A231" i="10"/>
  <c r="AA230" i="10"/>
  <c r="Y230" i="10"/>
  <c r="V230" i="10"/>
  <c r="P230" i="10"/>
  <c r="K230" i="10"/>
  <c r="G230" i="10"/>
  <c r="C230" i="10"/>
  <c r="A230" i="10"/>
  <c r="AA229" i="10"/>
  <c r="Y229" i="10"/>
  <c r="V229" i="10"/>
  <c r="P229" i="10"/>
  <c r="K229" i="10"/>
  <c r="G229" i="10"/>
  <c r="C229" i="10"/>
  <c r="A229" i="10"/>
  <c r="AA228" i="10"/>
  <c r="Y228" i="10"/>
  <c r="V228" i="10"/>
  <c r="P228" i="10"/>
  <c r="K228" i="10"/>
  <c r="G228" i="10"/>
  <c r="C228" i="10"/>
  <c r="A228" i="10"/>
  <c r="AA227" i="10"/>
  <c r="Y227" i="10"/>
  <c r="V227" i="10"/>
  <c r="P227" i="10"/>
  <c r="K227" i="10"/>
  <c r="G227" i="10"/>
  <c r="C227" i="10"/>
  <c r="A227" i="10"/>
  <c r="AA226" i="10"/>
  <c r="Y226" i="10"/>
  <c r="V226" i="10"/>
  <c r="P226" i="10"/>
  <c r="K226" i="10"/>
  <c r="G226" i="10"/>
  <c r="C226" i="10"/>
  <c r="A226" i="10"/>
  <c r="AA225" i="10"/>
  <c r="Y225" i="10"/>
  <c r="V225" i="10"/>
  <c r="P225" i="10"/>
  <c r="K225" i="10"/>
  <c r="G225" i="10"/>
  <c r="C225" i="10"/>
  <c r="A225" i="10"/>
  <c r="AA224" i="10"/>
  <c r="Y224" i="10"/>
  <c r="V224" i="10"/>
  <c r="P224" i="10"/>
  <c r="K224" i="10"/>
  <c r="G224" i="10"/>
  <c r="C224" i="10"/>
  <c r="A224" i="10"/>
  <c r="AA223" i="10"/>
  <c r="Y223" i="10"/>
  <c r="V223" i="10"/>
  <c r="P223" i="10"/>
  <c r="K223" i="10"/>
  <c r="G223" i="10"/>
  <c r="C223" i="10"/>
  <c r="A223" i="10"/>
  <c r="AA222" i="10"/>
  <c r="Y222" i="10"/>
  <c r="V222" i="10"/>
  <c r="P222" i="10"/>
  <c r="K222" i="10"/>
  <c r="G222" i="10"/>
  <c r="C222" i="10"/>
  <c r="A222" i="10"/>
  <c r="AA221" i="10"/>
  <c r="Y221" i="10"/>
  <c r="V221" i="10"/>
  <c r="P221" i="10"/>
  <c r="K221" i="10"/>
  <c r="G221" i="10"/>
  <c r="C221" i="10"/>
  <c r="A221" i="10"/>
  <c r="AA220" i="10"/>
  <c r="Y220" i="10"/>
  <c r="V220" i="10"/>
  <c r="P220" i="10"/>
  <c r="K220" i="10"/>
  <c r="G220" i="10"/>
  <c r="C220" i="10"/>
  <c r="A220" i="10"/>
  <c r="AA219" i="10"/>
  <c r="A219" i="10"/>
  <c r="AA218" i="10"/>
  <c r="Y218" i="10"/>
  <c r="V218" i="10"/>
  <c r="P218" i="10"/>
  <c r="K218" i="10"/>
  <c r="G218" i="10"/>
  <c r="C218" i="10"/>
  <c r="A218" i="10"/>
  <c r="AA217" i="10"/>
  <c r="Y217" i="10"/>
  <c r="V217" i="10"/>
  <c r="P217" i="10"/>
  <c r="AA192" i="10"/>
  <c r="Y192" i="10"/>
  <c r="V192" i="10"/>
  <c r="P192" i="10"/>
  <c r="K192" i="10"/>
  <c r="G192" i="10"/>
  <c r="C192" i="10"/>
  <c r="A192" i="10"/>
  <c r="AA191" i="10"/>
  <c r="Y191" i="10"/>
  <c r="V191" i="10"/>
  <c r="P191" i="10"/>
  <c r="K191" i="10"/>
  <c r="G191" i="10"/>
  <c r="C191" i="10"/>
  <c r="A191" i="10"/>
  <c r="P61" i="10"/>
  <c r="C61" i="10"/>
  <c r="V60" i="10"/>
  <c r="K60" i="10"/>
  <c r="A60" i="10"/>
  <c r="Y59" i="10"/>
  <c r="K59" i="10"/>
  <c r="C59" i="10"/>
  <c r="V58" i="10"/>
  <c r="C58" i="10"/>
  <c r="V57" i="10"/>
  <c r="V40" i="10"/>
  <c r="G40" i="10"/>
  <c r="V39" i="10"/>
  <c r="C39" i="10"/>
  <c r="V38" i="10"/>
  <c r="C38" i="10"/>
  <c r="P37" i="10"/>
  <c r="A191" i="6"/>
  <c r="AA96" i="10"/>
  <c r="Y96" i="10"/>
  <c r="V96" i="10"/>
  <c r="P96" i="10"/>
  <c r="K96" i="10"/>
  <c r="A96" i="17" s="1"/>
  <c r="G96" i="10"/>
  <c r="D96" i="17" s="1"/>
  <c r="C96" i="10"/>
  <c r="A96" i="10"/>
  <c r="AA95" i="10"/>
  <c r="Y95" i="10"/>
  <c r="V95" i="10"/>
  <c r="P95" i="10"/>
  <c r="K95" i="10"/>
  <c r="A95" i="17" s="1"/>
  <c r="G95" i="10"/>
  <c r="D95" i="17" s="1"/>
  <c r="C95" i="10"/>
  <c r="A95" i="10"/>
  <c r="AA94" i="10"/>
  <c r="Y94" i="10"/>
  <c r="V94" i="10"/>
  <c r="P94" i="10"/>
  <c r="K94" i="10"/>
  <c r="A94" i="17" s="1"/>
  <c r="G94" i="10"/>
  <c r="D94" i="17" s="1"/>
  <c r="C94" i="10"/>
  <c r="A94" i="10"/>
  <c r="AA93" i="10"/>
  <c r="Y93" i="10"/>
  <c r="V93" i="10"/>
  <c r="P93" i="10"/>
  <c r="K93" i="10"/>
  <c r="A93" i="17" s="1"/>
  <c r="G93" i="10"/>
  <c r="D93" i="17" s="1"/>
  <c r="C93" i="10"/>
  <c r="A93" i="10"/>
  <c r="AA92" i="10"/>
  <c r="Y92" i="10"/>
  <c r="V92" i="10"/>
  <c r="P92" i="10"/>
  <c r="K92" i="10"/>
  <c r="G92" i="10"/>
  <c r="C92" i="10"/>
  <c r="A92" i="10"/>
  <c r="AA91" i="10"/>
  <c r="Y91" i="10"/>
  <c r="V91" i="10"/>
  <c r="P91" i="10"/>
  <c r="K91" i="10"/>
  <c r="G91" i="10"/>
  <c r="C91" i="10"/>
  <c r="A91" i="10"/>
  <c r="AA90" i="10"/>
  <c r="Y90" i="10"/>
  <c r="V90" i="10"/>
  <c r="P90" i="10"/>
  <c r="K90" i="10"/>
  <c r="G90" i="10"/>
  <c r="C90" i="10"/>
  <c r="A90" i="10"/>
  <c r="AA89" i="10"/>
  <c r="Y89" i="10"/>
  <c r="V89" i="10"/>
  <c r="P89" i="10"/>
  <c r="K89" i="10"/>
  <c r="G89" i="10"/>
  <c r="C89" i="10"/>
  <c r="A89" i="10"/>
  <c r="AA88" i="10"/>
  <c r="Y88" i="10"/>
  <c r="V88" i="10"/>
  <c r="P88" i="10"/>
  <c r="K88" i="10"/>
  <c r="G88" i="10"/>
  <c r="C88" i="10"/>
  <c r="A88" i="10"/>
  <c r="AA87" i="10"/>
  <c r="Y87" i="10"/>
  <c r="V87" i="10"/>
  <c r="P87" i="10"/>
  <c r="K87" i="10"/>
  <c r="G87" i="10"/>
  <c r="C87" i="10"/>
  <c r="A87" i="10"/>
  <c r="AA86" i="10"/>
  <c r="Y86" i="10"/>
  <c r="V86" i="10"/>
  <c r="P86" i="10"/>
  <c r="K86" i="10"/>
  <c r="G86" i="10"/>
  <c r="C86" i="10"/>
  <c r="A86" i="10"/>
  <c r="AA85" i="10"/>
  <c r="Y85" i="10"/>
  <c r="V85" i="10"/>
  <c r="AA61" i="10"/>
  <c r="K61" i="10"/>
  <c r="AA60" i="10"/>
  <c r="G60" i="10"/>
  <c r="AA59" i="10"/>
  <c r="P59" i="10"/>
  <c r="AA58" i="10"/>
  <c r="P58" i="10"/>
  <c r="AA57" i="10"/>
  <c r="AA40" i="10"/>
  <c r="AA39" i="10"/>
  <c r="K39" i="10"/>
  <c r="Y38" i="10"/>
  <c r="K38" i="10"/>
  <c r="A38" i="10"/>
  <c r="V37" i="10"/>
  <c r="K37" i="10"/>
  <c r="A37" i="10"/>
  <c r="Y79" i="10"/>
  <c r="V79" i="10"/>
  <c r="P79" i="10"/>
  <c r="K79" i="10"/>
  <c r="G79" i="10"/>
  <c r="C79" i="10"/>
  <c r="A79" i="10"/>
  <c r="AA78" i="10"/>
  <c r="Y78" i="10"/>
  <c r="V78" i="10"/>
  <c r="P78" i="10"/>
  <c r="K78" i="10"/>
  <c r="G78" i="10"/>
  <c r="C78" i="10"/>
  <c r="A78" i="10"/>
  <c r="AA77" i="10"/>
  <c r="Y77" i="10"/>
  <c r="V77" i="10"/>
  <c r="P77" i="10"/>
  <c r="K77" i="10"/>
  <c r="G77" i="10"/>
  <c r="C77" i="10"/>
  <c r="A77" i="10"/>
  <c r="AA76" i="10"/>
  <c r="Y76" i="10"/>
  <c r="V76" i="10"/>
  <c r="P76" i="10"/>
  <c r="K76" i="10"/>
  <c r="G76" i="10"/>
  <c r="C76" i="10"/>
  <c r="A76" i="10"/>
  <c r="AA75" i="10"/>
  <c r="Y75" i="10"/>
  <c r="V75" i="10"/>
  <c r="P75" i="10"/>
  <c r="K75" i="10"/>
  <c r="G75" i="10"/>
  <c r="C75" i="10"/>
  <c r="A75" i="10"/>
  <c r="AA74" i="10"/>
  <c r="Y74" i="10"/>
  <c r="V74" i="10"/>
  <c r="P74" i="10"/>
  <c r="K74" i="10"/>
  <c r="G74" i="10"/>
  <c r="C74" i="10"/>
  <c r="A74" i="10"/>
  <c r="AA73" i="10"/>
  <c r="Y73" i="10"/>
  <c r="V73" i="10"/>
  <c r="P73" i="10"/>
  <c r="K73" i="10"/>
  <c r="G73" i="10"/>
  <c r="C73" i="10"/>
  <c r="A73" i="10"/>
  <c r="AA72" i="10"/>
  <c r="Y72" i="10"/>
  <c r="V72" i="10"/>
  <c r="P72" i="10"/>
  <c r="K72" i="10"/>
  <c r="G72" i="10"/>
  <c r="C72" i="10"/>
  <c r="A72" i="10"/>
  <c r="AA71" i="10"/>
  <c r="Y71" i="10"/>
  <c r="V71" i="10"/>
  <c r="P71" i="10"/>
  <c r="K71" i="10"/>
  <c r="G71" i="10"/>
  <c r="C71" i="10"/>
  <c r="A71" i="10"/>
  <c r="AA70" i="10"/>
  <c r="Y70" i="10"/>
  <c r="V70" i="10"/>
  <c r="P70" i="10"/>
  <c r="K70" i="10"/>
  <c r="G70" i="10"/>
  <c r="C70" i="10"/>
  <c r="A70" i="10"/>
  <c r="AA69" i="10"/>
  <c r="Y69" i="10"/>
  <c r="V69" i="10"/>
  <c r="P69" i="10"/>
  <c r="K69" i="10"/>
  <c r="G69" i="10"/>
  <c r="C69" i="10"/>
  <c r="A69" i="10"/>
  <c r="AA68" i="10"/>
  <c r="Y68" i="10"/>
  <c r="V68" i="10"/>
  <c r="P68" i="10"/>
  <c r="K68" i="10"/>
  <c r="G68" i="10"/>
  <c r="C68" i="10"/>
  <c r="A68" i="10"/>
  <c r="AA67" i="10"/>
  <c r="Y67" i="10"/>
  <c r="V67" i="10"/>
  <c r="P67" i="10"/>
  <c r="K67" i="10"/>
  <c r="G67" i="10"/>
  <c r="C67" i="10"/>
  <c r="A67" i="10"/>
  <c r="AA66" i="10"/>
  <c r="Y66" i="10"/>
  <c r="V66" i="10"/>
  <c r="P66" i="10"/>
  <c r="K66" i="10"/>
  <c r="G66" i="10"/>
  <c r="C66" i="10"/>
  <c r="A66" i="10"/>
  <c r="AA65" i="10"/>
  <c r="Y65" i="10"/>
  <c r="V65" i="10"/>
  <c r="P65" i="10"/>
  <c r="K65" i="10"/>
  <c r="G65" i="10"/>
  <c r="C65" i="10"/>
  <c r="A65" i="10"/>
  <c r="AA64" i="10"/>
  <c r="Y64" i="10"/>
  <c r="V64" i="10"/>
  <c r="P64" i="10"/>
  <c r="K64" i="10"/>
  <c r="G64" i="10"/>
  <c r="C64" i="10"/>
  <c r="A64" i="10"/>
  <c r="AA63" i="10"/>
  <c r="Y63" i="10"/>
  <c r="V63" i="10"/>
  <c r="P63" i="10"/>
  <c r="K63" i="10"/>
  <c r="G63" i="10"/>
  <c r="C63" i="10"/>
  <c r="A63" i="10"/>
  <c r="AA62" i="10"/>
  <c r="Y62" i="10"/>
  <c r="V62" i="10"/>
  <c r="P62" i="10"/>
  <c r="K62" i="10"/>
  <c r="G62" i="10"/>
  <c r="C62" i="10"/>
  <c r="A62" i="10"/>
  <c r="Y61" i="10"/>
  <c r="V61" i="10"/>
  <c r="G61" i="10"/>
  <c r="A61" i="10"/>
  <c r="Y60" i="10"/>
  <c r="P60" i="10"/>
  <c r="C60" i="10"/>
  <c r="V59" i="10"/>
  <c r="G59" i="10"/>
  <c r="A59" i="10"/>
  <c r="Y58" i="10"/>
  <c r="K58" i="10"/>
  <c r="G58" i="10"/>
  <c r="A58" i="10"/>
  <c r="Y57" i="10"/>
  <c r="P40" i="10"/>
  <c r="C40" i="10"/>
  <c r="P39" i="10"/>
  <c r="A39" i="10"/>
  <c r="P38" i="10"/>
  <c r="G38" i="10"/>
  <c r="AA37" i="10"/>
  <c r="C37" i="10"/>
  <c r="P57" i="10"/>
  <c r="K57" i="10"/>
  <c r="G57" i="10"/>
  <c r="C57" i="10"/>
  <c r="A57" i="10"/>
  <c r="AA56" i="10"/>
  <c r="Y56" i="10"/>
  <c r="V56" i="10"/>
  <c r="P56" i="10"/>
  <c r="K56" i="10"/>
  <c r="G56" i="10"/>
  <c r="C56" i="10"/>
  <c r="A56" i="10"/>
  <c r="AA55" i="10"/>
  <c r="Y55" i="10"/>
  <c r="V55" i="10"/>
  <c r="P55" i="10"/>
  <c r="K55" i="10"/>
  <c r="G55" i="10"/>
  <c r="C55" i="10"/>
  <c r="A55" i="10"/>
  <c r="AA54" i="10"/>
  <c r="Y54" i="10"/>
  <c r="V54" i="10"/>
  <c r="P54" i="10"/>
  <c r="K54" i="10"/>
  <c r="G54" i="10"/>
  <c r="C54" i="10"/>
  <c r="A54" i="10"/>
  <c r="AA53" i="10"/>
  <c r="Y53" i="10"/>
  <c r="V53" i="10"/>
  <c r="P53" i="10"/>
  <c r="K53" i="10"/>
  <c r="G53" i="10"/>
  <c r="C53" i="10"/>
  <c r="A53" i="10"/>
  <c r="AA52" i="10"/>
  <c r="Y52" i="10"/>
  <c r="V52" i="10"/>
  <c r="P52" i="10"/>
  <c r="K52" i="10"/>
  <c r="G52" i="10"/>
  <c r="C52" i="10"/>
  <c r="A52" i="10"/>
  <c r="AA51" i="10"/>
  <c r="Y51" i="10"/>
  <c r="V51" i="10"/>
  <c r="P51" i="10"/>
  <c r="K51" i="10"/>
  <c r="G51" i="10"/>
  <c r="C51" i="10"/>
  <c r="A51" i="10"/>
  <c r="AA50" i="10"/>
  <c r="Y50" i="10"/>
  <c r="V50" i="10"/>
  <c r="P50" i="10"/>
  <c r="K50" i="10"/>
  <c r="G50" i="10"/>
  <c r="C50" i="10"/>
  <c r="A50" i="10"/>
  <c r="AA49" i="10"/>
  <c r="Y49" i="10"/>
  <c r="V49" i="10"/>
  <c r="P49" i="10"/>
  <c r="K49" i="10"/>
  <c r="G49" i="10"/>
  <c r="C49" i="10"/>
  <c r="A49" i="10"/>
  <c r="AA48" i="10"/>
  <c r="Y48" i="10"/>
  <c r="V48" i="10"/>
  <c r="P48" i="10"/>
  <c r="K48" i="10"/>
  <c r="G48" i="10"/>
  <c r="C48" i="10"/>
  <c r="A48" i="10"/>
  <c r="AA47" i="10"/>
  <c r="Y47" i="10"/>
  <c r="V47" i="10"/>
  <c r="P47" i="10"/>
  <c r="K47" i="10"/>
  <c r="G47" i="10"/>
  <c r="C47" i="10"/>
  <c r="A47" i="10"/>
  <c r="AA46" i="10"/>
  <c r="Y46" i="10"/>
  <c r="V46" i="10"/>
  <c r="P46" i="10"/>
  <c r="K46" i="10"/>
  <c r="G46" i="10"/>
  <c r="C46" i="10"/>
  <c r="A46" i="10"/>
  <c r="AA45" i="10"/>
  <c r="Y45" i="10"/>
  <c r="V45" i="10"/>
  <c r="P45" i="10"/>
  <c r="K45" i="10"/>
  <c r="G45" i="10"/>
  <c r="C45" i="10"/>
  <c r="A45" i="10"/>
  <c r="AA44" i="10"/>
  <c r="Y44" i="10"/>
  <c r="V44" i="10"/>
  <c r="P44" i="10"/>
  <c r="K44" i="10"/>
  <c r="G44" i="10"/>
  <c r="C44" i="10"/>
  <c r="A44" i="10"/>
  <c r="AA43" i="10"/>
  <c r="Y43" i="10"/>
  <c r="V43" i="10"/>
  <c r="P43" i="10"/>
  <c r="K43" i="10"/>
  <c r="G43" i="10"/>
  <c r="C43" i="10"/>
  <c r="A43" i="10"/>
  <c r="AA42" i="10"/>
  <c r="Y42" i="10"/>
  <c r="V42" i="10"/>
  <c r="P42" i="10"/>
  <c r="K42" i="10"/>
  <c r="G42" i="10"/>
  <c r="C42" i="10"/>
  <c r="A42" i="10"/>
  <c r="AA41" i="10"/>
  <c r="Y41" i="10"/>
  <c r="V41" i="10"/>
  <c r="P41" i="10"/>
  <c r="K41" i="10"/>
  <c r="G41" i="10"/>
  <c r="C41" i="10"/>
  <c r="A41" i="10"/>
  <c r="Y40" i="10"/>
  <c r="K40" i="10"/>
  <c r="A40" i="10"/>
  <c r="Y39" i="10"/>
  <c r="G39" i="10"/>
  <c r="AA38" i="10"/>
  <c r="Y37" i="10"/>
  <c r="G37" i="10"/>
  <c r="AA36" i="10"/>
  <c r="A192" i="6"/>
  <c r="A96" i="9"/>
  <c r="A95" i="9"/>
  <c r="A94" i="9"/>
  <c r="A93" i="9"/>
  <c r="A92" i="9"/>
  <c r="A91" i="9"/>
  <c r="A90" i="9"/>
  <c r="A89" i="9"/>
  <c r="A88" i="9"/>
  <c r="A87" i="9"/>
  <c r="A86" i="9"/>
  <c r="A85" i="9"/>
  <c r="A84" i="9"/>
  <c r="A83" i="9"/>
  <c r="A82" i="9"/>
  <c r="A96" i="7"/>
  <c r="A95" i="7"/>
  <c r="A94" i="7"/>
  <c r="A93" i="7"/>
  <c r="A92" i="7"/>
  <c r="A91" i="7"/>
  <c r="A90" i="7"/>
  <c r="A89" i="7"/>
  <c r="A88" i="7"/>
  <c r="A87" i="7"/>
  <c r="A86" i="7"/>
  <c r="A85" i="7"/>
  <c r="A84" i="7"/>
  <c r="A83" i="7"/>
  <c r="A82" i="7"/>
  <c r="V106" i="17"/>
  <c r="R105" i="17"/>
  <c r="V103" i="17"/>
  <c r="R102" i="17"/>
  <c r="I102" i="17"/>
  <c r="V99" i="17"/>
  <c r="T97" i="17"/>
  <c r="P4" i="17"/>
  <c r="I2" i="17"/>
  <c r="B20" i="15"/>
  <c r="C6" i="12"/>
  <c r="C23" i="1" s="1"/>
  <c r="C5" i="12"/>
  <c r="C22" i="1" s="1"/>
  <c r="BC242" i="11"/>
  <c r="AQ242" i="11"/>
  <c r="AO242" i="11"/>
  <c r="AM242" i="11"/>
  <c r="AK242" i="11"/>
  <c r="AH242" i="11"/>
  <c r="AC242" i="11"/>
  <c r="Y242" i="11"/>
  <c r="V242" i="11"/>
  <c r="P242" i="11"/>
  <c r="E242" i="11"/>
  <c r="BC241" i="11"/>
  <c r="AO241" i="11"/>
  <c r="AM241" i="11"/>
  <c r="AI241" i="11"/>
  <c r="AF241" i="11"/>
  <c r="W241" i="11"/>
  <c r="P241" i="11"/>
  <c r="I241" i="11"/>
  <c r="B241" i="11"/>
  <c r="AZ240" i="11"/>
  <c r="AT240" i="11"/>
  <c r="AE240" i="11"/>
  <c r="AC240" i="11"/>
  <c r="AB240" i="11"/>
  <c r="T240" i="11"/>
  <c r="O240" i="11"/>
  <c r="J240" i="11"/>
  <c r="B240" i="11"/>
  <c r="BH239" i="11"/>
  <c r="AX239" i="11"/>
  <c r="AV239" i="11"/>
  <c r="AF239" i="11"/>
  <c r="V239" i="11"/>
  <c r="P239" i="11"/>
  <c r="G239" i="11"/>
  <c r="C239" i="11"/>
  <c r="BI238" i="11"/>
  <c r="BA238" i="11"/>
  <c r="AQ238" i="11"/>
  <c r="AO238" i="11"/>
  <c r="AN238" i="11"/>
  <c r="AL238" i="11"/>
  <c r="AI238" i="11"/>
  <c r="AE238" i="11"/>
  <c r="AB238" i="11"/>
  <c r="W238" i="11"/>
  <c r="P238" i="11"/>
  <c r="G238" i="11"/>
  <c r="B238" i="11"/>
  <c r="BH237" i="11"/>
  <c r="AS237" i="11"/>
  <c r="AF237" i="11"/>
  <c r="U237" i="11"/>
  <c r="K237" i="11"/>
  <c r="D237" i="11"/>
  <c r="BE236" i="11"/>
  <c r="BB236" i="11"/>
  <c r="AO236" i="11"/>
  <c r="AM236" i="11"/>
  <c r="AI236" i="11"/>
  <c r="AC236" i="11"/>
  <c r="T236" i="11"/>
  <c r="K236" i="11"/>
  <c r="H236" i="11"/>
  <c r="J236" i="17" s="1"/>
  <c r="AZ235" i="11"/>
  <c r="AS235" i="11"/>
  <c r="BG209" i="11"/>
  <c r="BB209" i="11"/>
  <c r="AS209" i="11"/>
  <c r="AO209" i="11"/>
  <c r="AH209" i="11"/>
  <c r="AE209" i="11"/>
  <c r="Z209" i="11"/>
  <c r="V209" i="11"/>
  <c r="P209" i="11"/>
  <c r="H209" i="11"/>
  <c r="C209" i="11"/>
  <c r="BI208" i="11"/>
  <c r="BC208" i="11"/>
  <c r="AS208" i="11"/>
  <c r="AC208" i="11"/>
  <c r="P208" i="11"/>
  <c r="AV207" i="11"/>
  <c r="V207" i="11"/>
  <c r="O207" i="11"/>
  <c r="AX206" i="11"/>
  <c r="AT206" i="11"/>
  <c r="AB206" i="11"/>
  <c r="P206" i="11"/>
  <c r="G206" i="11"/>
  <c r="E206" i="11"/>
  <c r="BH205" i="11"/>
  <c r="AT205" i="11"/>
  <c r="Z205" i="11"/>
  <c r="P205" i="11"/>
  <c r="G205" i="11"/>
  <c r="C205" i="11"/>
  <c r="BB204" i="11"/>
  <c r="AQ204" i="11"/>
  <c r="AM204" i="11"/>
  <c r="AI204" i="11"/>
  <c r="AA204" i="11"/>
  <c r="S204" i="11"/>
  <c r="N204" i="11"/>
  <c r="B204" i="11"/>
  <c r="BG203" i="11"/>
  <c r="AX203" i="11"/>
  <c r="AU203" i="11"/>
  <c r="Z203" i="11"/>
  <c r="V203" i="11"/>
  <c r="J203" i="11"/>
  <c r="L203" i="17" s="1"/>
  <c r="D203" i="11"/>
  <c r="BA202" i="11"/>
  <c r="AS202" i="11"/>
  <c r="W202" i="11"/>
  <c r="S202" i="11"/>
  <c r="O202" i="11"/>
  <c r="BE201" i="11"/>
  <c r="BB201" i="11"/>
  <c r="AS201" i="11"/>
  <c r="J201" i="11"/>
  <c r="BH200" i="11"/>
  <c r="AZ200" i="11"/>
  <c r="AO200" i="11"/>
  <c r="AL200" i="11"/>
  <c r="AG200" i="11"/>
  <c r="AE200" i="11"/>
  <c r="AA200" i="11"/>
  <c r="J200" i="11"/>
  <c r="AV199" i="11"/>
  <c r="AE199" i="11"/>
  <c r="AA199" i="11"/>
  <c r="Q199" i="11"/>
  <c r="G199" i="11"/>
  <c r="D199" i="11"/>
  <c r="AX198" i="11"/>
  <c r="AV198" i="11"/>
  <c r="T198" i="11"/>
  <c r="K198" i="11"/>
  <c r="BI197" i="11"/>
  <c r="AO197" i="11"/>
  <c r="AK197" i="11"/>
  <c r="AG197" i="11"/>
  <c r="W197" i="11"/>
  <c r="O197" i="11"/>
  <c r="G197" i="11"/>
  <c r="C197" i="11"/>
  <c r="BB196" i="11"/>
  <c r="AI196" i="11"/>
  <c r="W196" i="11"/>
  <c r="Q196" i="11"/>
  <c r="D196" i="11"/>
  <c r="BA195" i="11"/>
  <c r="AO195" i="11"/>
  <c r="AK195" i="11"/>
  <c r="AF195" i="11"/>
  <c r="Z195" i="11"/>
  <c r="W195" i="11"/>
  <c r="S195" i="11"/>
  <c r="K195" i="11"/>
  <c r="M195" i="17" s="1"/>
  <c r="E438" i="17" s="1"/>
  <c r="BI194" i="11"/>
  <c r="AV194" i="11"/>
  <c r="AB194" i="11"/>
  <c r="K194" i="11"/>
  <c r="BC193" i="11"/>
  <c r="AQ193" i="11"/>
  <c r="AN193" i="11"/>
  <c r="AL193" i="11"/>
  <c r="AH193" i="11"/>
  <c r="AB193" i="11"/>
  <c r="K193" i="11"/>
  <c r="B193" i="11"/>
  <c r="AZ192" i="11"/>
  <c r="AS192" i="11"/>
  <c r="AE192" i="11"/>
  <c r="Y192" i="11"/>
  <c r="T192" i="11"/>
  <c r="K192" i="11"/>
  <c r="B192" i="11"/>
  <c r="BG191" i="11"/>
  <c r="AV191" i="11"/>
  <c r="AK191" i="11"/>
  <c r="AI191" i="11"/>
  <c r="AE191" i="11"/>
  <c r="Y191" i="11"/>
  <c r="T191" i="11"/>
  <c r="Q191" i="11"/>
  <c r="H191" i="11"/>
  <c r="J191" i="17" s="1"/>
  <c r="BI190" i="11"/>
  <c r="AV190" i="11"/>
  <c r="AK190" i="11"/>
  <c r="AI190" i="11"/>
  <c r="AA190" i="11"/>
  <c r="O190" i="11"/>
  <c r="AX189" i="11"/>
  <c r="AU189" i="11"/>
  <c r="T189" i="11"/>
  <c r="N189" i="11"/>
  <c r="E189" i="11"/>
  <c r="BE188" i="11"/>
  <c r="AZ188" i="11"/>
  <c r="AQ188" i="11"/>
  <c r="AO188" i="11"/>
  <c r="AL188" i="11"/>
  <c r="AG188" i="11"/>
  <c r="W188" i="11"/>
  <c r="O188" i="11"/>
  <c r="C188" i="11"/>
  <c r="BE187" i="11"/>
  <c r="BB187" i="11"/>
  <c r="AN187" i="11"/>
  <c r="AI187" i="11"/>
  <c r="AE187" i="11"/>
  <c r="Z187" i="11"/>
  <c r="T187" i="11"/>
  <c r="J187" i="11"/>
  <c r="BI186" i="11"/>
  <c r="AS186" i="11"/>
  <c r="W186" i="11"/>
  <c r="Q186" i="11"/>
  <c r="G186" i="11"/>
  <c r="E186" i="11"/>
  <c r="BA185" i="11"/>
  <c r="AO185" i="11"/>
  <c r="AI185" i="11"/>
  <c r="AE185" i="11"/>
  <c r="AB185" i="11"/>
  <c r="I185" i="11"/>
  <c r="BI184" i="11"/>
  <c r="AS184" i="11"/>
  <c r="P184" i="11"/>
  <c r="G184" i="11"/>
  <c r="D184" i="11"/>
  <c r="BG183" i="11"/>
  <c r="AT183" i="11"/>
  <c r="P183" i="11"/>
  <c r="AX182" i="11"/>
  <c r="AU182" i="11"/>
  <c r="V182" i="11"/>
  <c r="K182" i="11"/>
  <c r="B182" i="11"/>
  <c r="BH181" i="11"/>
  <c r="AV181" i="11"/>
  <c r="V181" i="11"/>
  <c r="M181" i="11"/>
  <c r="H181" i="11"/>
  <c r="BJ180" i="11"/>
  <c r="AZ180" i="11"/>
  <c r="AM180" i="11"/>
  <c r="AH180" i="11"/>
  <c r="Z180" i="11"/>
  <c r="U180" i="11"/>
  <c r="O180" i="11"/>
  <c r="B180" i="11"/>
  <c r="BE179" i="11"/>
  <c r="BB179" i="11"/>
  <c r="AN179" i="11"/>
  <c r="AI179" i="11"/>
  <c r="AB179" i="11"/>
  <c r="S179" i="11"/>
  <c r="I179" i="11"/>
  <c r="BB178" i="11"/>
  <c r="AN178" i="11"/>
  <c r="AK178" i="11"/>
  <c r="AF178" i="11"/>
  <c r="Y178" i="11"/>
  <c r="T178" i="11"/>
  <c r="J178" i="11"/>
  <c r="B178" i="11"/>
  <c r="BA177" i="11"/>
  <c r="AM177" i="11"/>
  <c r="AH177" i="11"/>
  <c r="AC177" i="11"/>
  <c r="P177" i="11"/>
  <c r="BJ176" i="11"/>
  <c r="AS176" i="11"/>
  <c r="AA176" i="11"/>
  <c r="Q176" i="11"/>
  <c r="E176" i="11"/>
  <c r="BG175" i="11"/>
  <c r="AT175" i="11"/>
  <c r="U175" i="11"/>
  <c r="O175" i="11"/>
  <c r="B175" i="11"/>
  <c r="BH174" i="11"/>
  <c r="AZ174" i="11"/>
  <c r="AN174" i="11"/>
  <c r="AI174" i="11"/>
  <c r="AE174" i="11"/>
  <c r="Z174" i="11"/>
  <c r="V174" i="11"/>
  <c r="S174" i="11"/>
  <c r="K174" i="11"/>
  <c r="BC173" i="11"/>
  <c r="AO173" i="11"/>
  <c r="AK173" i="11"/>
  <c r="AI173" i="11"/>
  <c r="AE173" i="11"/>
  <c r="AC173" i="11"/>
  <c r="Z173" i="11"/>
  <c r="S173" i="11"/>
  <c r="N173" i="11"/>
  <c r="G173" i="11"/>
  <c r="B173" i="11"/>
  <c r="BE172" i="11"/>
  <c r="BA172" i="11"/>
  <c r="AQ172" i="11"/>
  <c r="AO172" i="11"/>
  <c r="AL172" i="11"/>
  <c r="AH172" i="11"/>
  <c r="AF172" i="11"/>
  <c r="Z172" i="11"/>
  <c r="O172" i="11"/>
  <c r="C172" i="11"/>
  <c r="BA171" i="11"/>
  <c r="AN171" i="11"/>
  <c r="AL171" i="11"/>
  <c r="AI171" i="11"/>
  <c r="AG171" i="11"/>
  <c r="AA171" i="11"/>
  <c r="M171" i="11"/>
  <c r="K171" i="11"/>
  <c r="G171" i="11"/>
  <c r="D171" i="11"/>
  <c r="BG170" i="11"/>
  <c r="AX170" i="11"/>
  <c r="AU170" i="11"/>
  <c r="V170" i="11"/>
  <c r="O170" i="11"/>
  <c r="H170" i="11"/>
  <c r="BE169" i="11"/>
  <c r="BA169" i="11"/>
  <c r="AQ169" i="11"/>
  <c r="AN169" i="11"/>
  <c r="AK169" i="11"/>
  <c r="AG169" i="11"/>
  <c r="AB169" i="11"/>
  <c r="W169" i="11"/>
  <c r="S169" i="11"/>
  <c r="N169" i="11"/>
  <c r="BE168" i="11"/>
  <c r="BC168" i="11"/>
  <c r="AT168" i="11"/>
  <c r="W168" i="11"/>
  <c r="J168" i="11"/>
  <c r="B168" i="11"/>
  <c r="BG167" i="11"/>
  <c r="AX167" i="11"/>
  <c r="AU167" i="11"/>
  <c r="AC167" i="11"/>
  <c r="V167" i="11"/>
  <c r="J167" i="11"/>
  <c r="L167" i="17" s="1"/>
  <c r="G167" i="11"/>
  <c r="BH166" i="11"/>
  <c r="AX166" i="11"/>
  <c r="AU166" i="11"/>
  <c r="N166" i="11"/>
  <c r="E166" i="11"/>
  <c r="BG165" i="11"/>
  <c r="AV165" i="11"/>
  <c r="AB165" i="11"/>
  <c r="M165" i="11"/>
  <c r="H165" i="11"/>
  <c r="BE164" i="11"/>
  <c r="BA164" i="11"/>
  <c r="AS164" i="11"/>
  <c r="U164" i="11"/>
  <c r="K164" i="11"/>
  <c r="BI163" i="11"/>
  <c r="AU163" i="11"/>
  <c r="Y163" i="11"/>
  <c r="T163" i="11"/>
  <c r="J163" i="11"/>
  <c r="BI162" i="11"/>
  <c r="AS162" i="11"/>
  <c r="V162" i="11"/>
  <c r="M162" i="11"/>
  <c r="H162" i="11"/>
  <c r="BE161" i="11"/>
  <c r="BB161" i="11"/>
  <c r="AL161" i="11"/>
  <c r="AG161" i="11"/>
  <c r="Z161" i="11"/>
  <c r="U161" i="11"/>
  <c r="P161" i="11"/>
  <c r="G161" i="11"/>
  <c r="AX160" i="11"/>
  <c r="AV160" i="11"/>
  <c r="Y160" i="11"/>
  <c r="U160" i="11"/>
  <c r="O160" i="11"/>
  <c r="D160" i="11"/>
  <c r="BC159" i="11"/>
  <c r="AL159" i="11"/>
  <c r="AG159" i="11"/>
  <c r="Y159" i="11"/>
  <c r="U159" i="11"/>
  <c r="K159" i="11"/>
  <c r="E159" i="11"/>
  <c r="BE158" i="11"/>
  <c r="BC158" i="11"/>
  <c r="AU158" i="11"/>
  <c r="T158" i="11"/>
  <c r="I158" i="11"/>
  <c r="BI157" i="11"/>
  <c r="AS157" i="11"/>
  <c r="Q157" i="11"/>
  <c r="G157" i="11"/>
  <c r="E157" i="11"/>
  <c r="BG156" i="11"/>
  <c r="AZ156" i="11"/>
  <c r="AQ156" i="11"/>
  <c r="AM156" i="11"/>
  <c r="AH156" i="11"/>
  <c r="AC156" i="11"/>
  <c r="Y156" i="11"/>
  <c r="U156" i="11"/>
  <c r="S156" i="11"/>
  <c r="O156" i="11"/>
  <c r="BJ155" i="11"/>
  <c r="AZ155" i="11"/>
  <c r="AN155" i="11"/>
  <c r="AH155" i="11"/>
  <c r="AE155" i="11"/>
  <c r="AB155" i="11"/>
  <c r="Q155" i="11"/>
  <c r="G155" i="11"/>
  <c r="AU154" i="11"/>
  <c r="K154" i="11"/>
  <c r="BB114" i="11"/>
  <c r="AQ114" i="11"/>
  <c r="AN114" i="11"/>
  <c r="AE114" i="11"/>
  <c r="AC114" i="11"/>
  <c r="U114" i="11"/>
  <c r="H114" i="11"/>
  <c r="J114" i="17" s="1"/>
  <c r="AV113" i="11"/>
  <c r="H113" i="11"/>
  <c r="BI112" i="11"/>
  <c r="BA112" i="11"/>
  <c r="AO112" i="11"/>
  <c r="AI112" i="11"/>
  <c r="AF112" i="11"/>
  <c r="Z112" i="11"/>
  <c r="Q112" i="11"/>
  <c r="AV111" i="11"/>
  <c r="Q111" i="11"/>
  <c r="BJ110" i="11"/>
  <c r="AM110" i="11"/>
  <c r="AK110" i="11"/>
  <c r="AG110" i="11"/>
  <c r="AE110" i="11"/>
  <c r="AB110" i="11"/>
  <c r="T110" i="11"/>
  <c r="M110" i="11"/>
  <c r="I110" i="11"/>
  <c r="AZ109" i="11"/>
  <c r="AN109" i="11"/>
  <c r="AK109" i="11"/>
  <c r="AI109" i="11"/>
  <c r="AE109" i="11"/>
  <c r="AC109" i="11"/>
  <c r="Y109" i="11"/>
  <c r="V109" i="11"/>
  <c r="U109" i="11"/>
  <c r="N109" i="11"/>
  <c r="BI108" i="11"/>
  <c r="AZ108" i="11"/>
  <c r="AM108" i="11"/>
  <c r="AG108" i="11"/>
  <c r="AC108" i="11"/>
  <c r="W108" i="11"/>
  <c r="T108" i="11"/>
  <c r="N108" i="11"/>
  <c r="AZ107" i="11"/>
  <c r="AN107" i="11"/>
  <c r="AK107" i="11"/>
  <c r="AI107" i="11"/>
  <c r="AF107" i="11"/>
  <c r="U107" i="11"/>
  <c r="I107" i="11"/>
  <c r="K107" i="17" s="1"/>
  <c r="BJ106" i="11"/>
  <c r="BC106" i="11"/>
  <c r="AU106" i="11"/>
  <c r="AA106" i="11"/>
  <c r="O106" i="11"/>
  <c r="BH105" i="11"/>
  <c r="AZ105" i="11"/>
  <c r="AQ105" i="11"/>
  <c r="AO105" i="11"/>
  <c r="AL105" i="11"/>
  <c r="AH105" i="11"/>
  <c r="AB105" i="11"/>
  <c r="S105" i="11"/>
  <c r="O105" i="11"/>
  <c r="G105" i="11"/>
  <c r="BC104" i="11"/>
  <c r="AS104" i="11"/>
  <c r="Z104" i="11"/>
  <c r="P104" i="11"/>
  <c r="G104" i="11"/>
  <c r="E104" i="11"/>
  <c r="BG103" i="11"/>
  <c r="BA103" i="11"/>
  <c r="AQ103" i="11"/>
  <c r="AM103" i="11"/>
  <c r="AH103" i="11"/>
  <c r="AA103" i="11"/>
  <c r="O103" i="11"/>
  <c r="BC102" i="11"/>
  <c r="AU102" i="11"/>
  <c r="U102" i="11"/>
  <c r="P102" i="11"/>
  <c r="G102" i="11"/>
  <c r="B102" i="11"/>
  <c r="BC101" i="11"/>
  <c r="AQ101" i="11"/>
  <c r="AO101" i="11"/>
  <c r="AH101" i="11"/>
  <c r="AC101" i="11"/>
  <c r="Q101" i="11"/>
  <c r="BE100" i="11"/>
  <c r="BB100" i="11"/>
  <c r="AQ100" i="11"/>
  <c r="AL100" i="11"/>
  <c r="AF100" i="11"/>
  <c r="Y100" i="11"/>
  <c r="V100" i="11"/>
  <c r="Q100" i="11"/>
  <c r="AM99" i="11"/>
  <c r="AH99" i="11"/>
  <c r="W99" i="11"/>
  <c r="J99" i="11"/>
  <c r="L99" i="17" s="1"/>
  <c r="D342" i="17" s="1"/>
  <c r="AZ98" i="11"/>
  <c r="AL98" i="11"/>
  <c r="AG98" i="11"/>
  <c r="U98" i="11"/>
  <c r="O98" i="11"/>
  <c r="H98" i="11"/>
  <c r="BH97" i="11"/>
  <c r="AX97" i="11"/>
  <c r="AU97" i="11"/>
  <c r="AA97" i="11"/>
  <c r="Q97" i="11"/>
  <c r="H97" i="11"/>
  <c r="BH96" i="11"/>
  <c r="BB96" i="11"/>
  <c r="AS96" i="11"/>
  <c r="V96" i="11"/>
  <c r="K96" i="11"/>
  <c r="B96" i="11"/>
  <c r="BC95" i="11"/>
  <c r="AO95" i="11"/>
  <c r="AK95" i="11"/>
  <c r="AH95" i="11"/>
  <c r="AE95" i="11"/>
  <c r="U95" i="11"/>
  <c r="N95" i="11"/>
  <c r="BI94" i="11"/>
  <c r="BE94" i="11"/>
  <c r="BB94" i="11"/>
  <c r="AT94" i="11"/>
  <c r="U94" i="11"/>
  <c r="N94" i="11"/>
  <c r="AX93" i="11"/>
  <c r="AT93" i="11"/>
  <c r="AC93" i="11"/>
  <c r="J93" i="11"/>
  <c r="BJ92" i="11"/>
  <c r="AU92" i="11"/>
  <c r="Y92" i="11"/>
  <c r="Q92" i="11"/>
  <c r="G92" i="11"/>
  <c r="BB91" i="11"/>
  <c r="AL91" i="11"/>
  <c r="AK91" i="11"/>
  <c r="AG91" i="11"/>
  <c r="P91" i="11"/>
  <c r="D91" i="11"/>
  <c r="BG90" i="11"/>
  <c r="AT90" i="11"/>
  <c r="P90" i="11"/>
  <c r="C90" i="11"/>
  <c r="BG89" i="11"/>
  <c r="AS89" i="11"/>
  <c r="B89" i="11"/>
  <c r="BB88" i="11"/>
  <c r="AK88" i="11"/>
  <c r="AG88" i="11"/>
  <c r="AA88" i="11"/>
  <c r="I88" i="11"/>
  <c r="BH87" i="11"/>
  <c r="AU87" i="11"/>
  <c r="S87" i="11"/>
  <c r="I87" i="11"/>
  <c r="BJ86" i="11"/>
  <c r="AV86" i="11"/>
  <c r="K86" i="11"/>
  <c r="BJ85" i="11"/>
  <c r="AX85" i="11"/>
  <c r="AT85" i="11"/>
  <c r="M85" i="11"/>
  <c r="E85" i="11"/>
  <c r="AT84" i="11"/>
  <c r="O84" i="11"/>
  <c r="BC83" i="11"/>
  <c r="AX83" i="11"/>
  <c r="AV83" i="11"/>
  <c r="O83" i="11"/>
  <c r="B83" i="11"/>
  <c r="AU82" i="11"/>
  <c r="T82" i="11"/>
  <c r="G82" i="11"/>
  <c r="D82" i="11"/>
  <c r="BI81" i="11"/>
  <c r="AV81" i="11"/>
  <c r="U81" i="11"/>
  <c r="I81" i="11"/>
  <c r="K81" i="17" s="1"/>
  <c r="BJ80" i="11"/>
  <c r="AV80" i="11"/>
  <c r="T80" i="11"/>
  <c r="J80" i="11"/>
  <c r="BA79" i="11"/>
  <c r="AN79" i="11"/>
  <c r="AI79" i="11"/>
  <c r="AC79" i="11"/>
  <c r="V79" i="11"/>
  <c r="I79" i="11"/>
  <c r="K79" i="17" s="1"/>
  <c r="BI78" i="11"/>
  <c r="AZ78" i="11"/>
  <c r="AM78" i="11"/>
  <c r="AF78" i="11"/>
  <c r="M78" i="11"/>
  <c r="G78" i="11"/>
  <c r="E78" i="11"/>
  <c r="BC77" i="11"/>
  <c r="AU77" i="11"/>
  <c r="T77" i="11"/>
  <c r="N77" i="11"/>
  <c r="AU76" i="11"/>
  <c r="T76" i="11"/>
  <c r="K76" i="11"/>
  <c r="BI75" i="11"/>
  <c r="AX75" i="11"/>
  <c r="AU75" i="11"/>
  <c r="AF75" i="11"/>
  <c r="W75" i="11"/>
  <c r="U75" i="11"/>
  <c r="O75" i="11"/>
  <c r="G75" i="11"/>
  <c r="BE74" i="11"/>
  <c r="BC74" i="11"/>
  <c r="AN74" i="11"/>
  <c r="AI74" i="11"/>
  <c r="AB74" i="11"/>
  <c r="V74" i="11"/>
  <c r="N74" i="11"/>
  <c r="D74" i="11"/>
  <c r="AX73" i="11"/>
  <c r="AV73" i="11"/>
  <c r="W73" i="11"/>
  <c r="P73" i="11"/>
  <c r="C73" i="11"/>
  <c r="AS26" i="11"/>
  <c r="G26" i="11"/>
  <c r="E26" i="11"/>
  <c r="BJ25" i="11"/>
  <c r="AX25" i="11"/>
  <c r="AV25" i="11"/>
  <c r="V25" i="11"/>
  <c r="Q25" i="11"/>
  <c r="C25" i="11"/>
  <c r="BE24" i="11"/>
  <c r="BC24" i="11"/>
  <c r="AX24" i="11"/>
  <c r="AV24" i="11"/>
  <c r="I24" i="11"/>
  <c r="BJ23" i="11"/>
  <c r="AV23" i="11"/>
  <c r="T23" i="11"/>
  <c r="J23" i="11"/>
  <c r="BH22" i="11"/>
  <c r="AX22" i="11"/>
  <c r="AV22" i="11"/>
  <c r="B22" i="11"/>
  <c r="BC21" i="11"/>
  <c r="AQ21" i="11"/>
  <c r="AK21" i="11"/>
  <c r="AH21" i="11"/>
  <c r="U21" i="11"/>
  <c r="N21" i="11"/>
  <c r="BH20" i="11"/>
  <c r="AN20" i="11"/>
  <c r="AI20" i="11"/>
  <c r="AA20" i="11"/>
  <c r="S20" i="11"/>
  <c r="N20" i="11"/>
  <c r="BE19" i="11"/>
  <c r="BC19" i="11"/>
  <c r="AS19" i="11"/>
  <c r="U19" i="11"/>
  <c r="K19" i="11"/>
  <c r="C19" i="11"/>
  <c r="BC18" i="11"/>
  <c r="AS18" i="11"/>
  <c r="U18" i="11"/>
  <c r="H18" i="11"/>
  <c r="AQ17" i="11"/>
  <c r="AK17" i="11"/>
  <c r="AI17" i="11"/>
  <c r="Z17" i="11"/>
  <c r="E17" i="11"/>
  <c r="BG16" i="11"/>
  <c r="AV16" i="11"/>
  <c r="N16" i="11"/>
  <c r="D16" i="11"/>
  <c r="BA15" i="11"/>
  <c r="AN15" i="11"/>
  <c r="AF15" i="11"/>
  <c r="W15" i="11"/>
  <c r="AS12" i="11"/>
  <c r="J12" i="11"/>
  <c r="BH11" i="11"/>
  <c r="AS11" i="11"/>
  <c r="N11" i="11"/>
  <c r="BJ10" i="11"/>
  <c r="AS10" i="11"/>
  <c r="I10" i="11"/>
  <c r="BG9" i="11"/>
  <c r="AS9" i="11"/>
  <c r="W9" i="11"/>
  <c r="O9" i="11"/>
  <c r="AX8" i="11"/>
  <c r="AV8" i="11"/>
  <c r="Y8" i="11"/>
  <c r="S8" i="11"/>
  <c r="M8" i="11"/>
  <c r="G8" i="11"/>
  <c r="E8" i="11"/>
  <c r="BH7" i="11"/>
  <c r="AK7" i="11"/>
  <c r="AE7" i="11"/>
  <c r="AC7" i="11"/>
  <c r="V7" i="11"/>
  <c r="N7" i="11"/>
  <c r="BG6" i="11"/>
  <c r="AU6" i="11"/>
  <c r="E6" i="11"/>
  <c r="BC5" i="11"/>
  <c r="AI5" i="11"/>
  <c r="Z5" i="11"/>
  <c r="AX4" i="11"/>
  <c r="AT4" i="11"/>
  <c r="M4" i="11"/>
  <c r="D4" i="11"/>
  <c r="BG3" i="11"/>
  <c r="AN3" i="11"/>
  <c r="AE3" i="11"/>
  <c r="AA3" i="11"/>
  <c r="K3" i="11"/>
  <c r="BH2" i="11"/>
  <c r="AV2" i="11"/>
  <c r="V2" i="11"/>
  <c r="B144" i="5"/>
  <c r="M136" i="5"/>
  <c r="N136" i="5" s="1"/>
  <c r="X130" i="5"/>
  <c r="H130" i="5"/>
  <c r="H129" i="5"/>
  <c r="B127" i="5"/>
  <c r="Y123" i="5"/>
  <c r="Y120" i="5"/>
  <c r="B119" i="5"/>
  <c r="M117" i="5"/>
  <c r="N117" i="5" s="1"/>
  <c r="X116" i="5"/>
  <c r="Y113" i="5"/>
  <c r="H113" i="5"/>
  <c r="X112" i="5"/>
  <c r="M112" i="5"/>
  <c r="N112" i="5" s="1"/>
  <c r="B112" i="5"/>
  <c r="M109" i="5"/>
  <c r="N109" i="5" s="1"/>
  <c r="H100" i="5"/>
  <c r="G978" i="18"/>
  <c r="E978" i="18"/>
  <c r="C978" i="18"/>
  <c r="A978" i="18"/>
  <c r="G977" i="18"/>
  <c r="E977" i="18"/>
  <c r="C977" i="18"/>
  <c r="A977" i="18"/>
  <c r="G976" i="18"/>
  <c r="E976" i="18"/>
  <c r="C976" i="18"/>
  <c r="A976" i="18"/>
  <c r="G975" i="18"/>
  <c r="E975" i="18"/>
  <c r="C975" i="18"/>
  <c r="A975" i="18"/>
  <c r="G974" i="18"/>
  <c r="E974" i="18"/>
  <c r="C974" i="18"/>
  <c r="A974" i="18"/>
  <c r="G973" i="18"/>
  <c r="E973" i="18"/>
  <c r="C973" i="18"/>
  <c r="A973" i="18"/>
  <c r="G972" i="18"/>
  <c r="E972" i="18"/>
  <c r="C972" i="18"/>
  <c r="A972" i="18"/>
  <c r="G971" i="18"/>
  <c r="E971" i="18"/>
  <c r="C971" i="18"/>
  <c r="A971" i="18"/>
  <c r="G970" i="18"/>
  <c r="E970" i="18"/>
  <c r="C970" i="18"/>
  <c r="A970" i="18"/>
  <c r="G969" i="18"/>
  <c r="E969" i="18"/>
  <c r="C969" i="18"/>
  <c r="A969" i="18"/>
  <c r="G968" i="18"/>
  <c r="E968" i="18"/>
  <c r="C968" i="18"/>
  <c r="A968" i="18"/>
  <c r="G967" i="18"/>
  <c r="E967" i="18"/>
  <c r="C967" i="18"/>
  <c r="A967" i="18"/>
  <c r="G966" i="18"/>
  <c r="E966" i="18"/>
  <c r="C966" i="18"/>
  <c r="A966" i="18"/>
  <c r="G965" i="18"/>
  <c r="E965" i="18"/>
  <c r="C965" i="18"/>
  <c r="A965" i="18"/>
  <c r="G964" i="18"/>
  <c r="E964" i="18"/>
  <c r="C964" i="18"/>
  <c r="A964" i="18"/>
  <c r="G963" i="18"/>
  <c r="E963" i="18"/>
  <c r="C963" i="18"/>
  <c r="A963" i="18"/>
  <c r="G962" i="18"/>
  <c r="E962" i="18"/>
  <c r="C962" i="18"/>
  <c r="A962" i="18"/>
  <c r="G961" i="18"/>
  <c r="E961" i="18"/>
  <c r="C961" i="18"/>
  <c r="A961" i="18"/>
  <c r="G960" i="18"/>
  <c r="E960" i="18"/>
  <c r="C960" i="18"/>
  <c r="A960" i="18"/>
  <c r="G959" i="18"/>
  <c r="E959" i="18"/>
  <c r="C959" i="18"/>
  <c r="A959" i="18"/>
  <c r="G958" i="18"/>
  <c r="E958" i="18"/>
  <c r="C958" i="18"/>
  <c r="A958" i="18"/>
  <c r="G957" i="18"/>
  <c r="E957" i="18"/>
  <c r="C957" i="18"/>
  <c r="A957" i="18"/>
  <c r="G956" i="18"/>
  <c r="E956" i="18"/>
  <c r="C956" i="18"/>
  <c r="A956" i="18"/>
  <c r="G955" i="18"/>
  <c r="E955" i="18"/>
  <c r="C955" i="18"/>
  <c r="A955" i="18"/>
  <c r="G954" i="18"/>
  <c r="E954" i="18"/>
  <c r="C954" i="18"/>
  <c r="A954" i="18"/>
  <c r="G953" i="18"/>
  <c r="E953" i="18"/>
  <c r="C953" i="18"/>
  <c r="A953" i="18"/>
  <c r="T113" i="17"/>
  <c r="I110" i="17"/>
  <c r="R109" i="17"/>
  <c r="AJ107" i="17"/>
  <c r="AA107" i="17"/>
  <c r="I104" i="17"/>
  <c r="AS102" i="17"/>
  <c r="AN101" i="17"/>
  <c r="R100" i="17"/>
  <c r="P99" i="17"/>
  <c r="AS95" i="17"/>
  <c r="R95" i="17"/>
  <c r="I94" i="17"/>
  <c r="I93" i="17"/>
  <c r="P5" i="17"/>
  <c r="I5" i="17"/>
  <c r="BJ242" i="11"/>
  <c r="AZ242" i="11"/>
  <c r="AS242" i="11"/>
  <c r="AG242" i="11"/>
  <c r="T242" i="11"/>
  <c r="O242" i="11"/>
  <c r="I242" i="11"/>
  <c r="K242" i="17" s="1"/>
  <c r="BG241" i="11"/>
  <c r="AZ241" i="11"/>
  <c r="AQ241" i="11"/>
  <c r="AN241" i="11"/>
  <c r="AL241" i="11"/>
  <c r="AK241" i="11"/>
  <c r="AH241" i="11"/>
  <c r="AC241" i="11"/>
  <c r="V241" i="11"/>
  <c r="O241" i="11"/>
  <c r="D241" i="11"/>
  <c r="BI240" i="11"/>
  <c r="BB240" i="11"/>
  <c r="AV240" i="11"/>
  <c r="AM240" i="11"/>
  <c r="AI240" i="11"/>
  <c r="W240" i="11"/>
  <c r="P240" i="11"/>
  <c r="I240" i="11"/>
  <c r="K240" i="17" s="1"/>
  <c r="BJ239" i="11"/>
  <c r="BE239" i="11"/>
  <c r="BC239" i="11"/>
  <c r="AU239" i="11"/>
  <c r="AG239" i="11"/>
  <c r="T239" i="11"/>
  <c r="K239" i="11"/>
  <c r="H239" i="11"/>
  <c r="J239" i="17" s="1"/>
  <c r="BH238" i="11"/>
  <c r="AZ238" i="11"/>
  <c r="AS238" i="11"/>
  <c r="U238" i="11"/>
  <c r="O238" i="11"/>
  <c r="D238" i="11"/>
  <c r="BG237" i="11"/>
  <c r="AZ237" i="11"/>
  <c r="AM237" i="11"/>
  <c r="AK237" i="11"/>
  <c r="AH237" i="11"/>
  <c r="AC237" i="11"/>
  <c r="W237" i="11"/>
  <c r="Q237" i="11"/>
  <c r="I237" i="11"/>
  <c r="K237" i="17" s="1"/>
  <c r="AX236" i="11"/>
  <c r="AT236" i="11"/>
  <c r="W236" i="11"/>
  <c r="P236" i="11"/>
  <c r="E236" i="11"/>
  <c r="G210" i="11"/>
  <c r="E210" i="11"/>
  <c r="C210" i="11"/>
  <c r="BI209" i="11"/>
  <c r="AZ209" i="11"/>
  <c r="AX209" i="11"/>
  <c r="AT209" i="11"/>
  <c r="AQ209" i="11"/>
  <c r="AL209" i="11"/>
  <c r="AG209" i="11"/>
  <c r="AB209" i="11"/>
  <c r="W209" i="11"/>
  <c r="Q209" i="11"/>
  <c r="K209" i="11"/>
  <c r="M209" i="17" s="1"/>
  <c r="E209" i="11"/>
  <c r="BG208" i="11"/>
  <c r="BB208" i="11"/>
  <c r="AX208" i="11"/>
  <c r="AU208" i="11"/>
  <c r="AG208" i="11"/>
  <c r="T208" i="11"/>
  <c r="K208" i="11"/>
  <c r="M208" i="17" s="1"/>
  <c r="B208" i="11"/>
  <c r="AU207" i="11"/>
  <c r="AE207" i="11"/>
  <c r="Y207" i="11"/>
  <c r="N207" i="11"/>
  <c r="G207" i="11"/>
  <c r="B207" i="11"/>
  <c r="BG206" i="11"/>
  <c r="AV206" i="11"/>
  <c r="Z206" i="11"/>
  <c r="V206" i="11"/>
  <c r="M206" i="11"/>
  <c r="I206" i="11"/>
  <c r="BI205" i="11"/>
  <c r="AX205" i="11"/>
  <c r="AV205" i="11"/>
  <c r="W205" i="11"/>
  <c r="Q205" i="11"/>
  <c r="AU204" i="11"/>
  <c r="Z204" i="11"/>
  <c r="U204" i="11"/>
  <c r="O204" i="11"/>
  <c r="C204" i="11"/>
  <c r="BB203" i="11"/>
  <c r="AM203" i="11"/>
  <c r="AH203" i="11"/>
  <c r="T203" i="11"/>
  <c r="H203" i="11"/>
  <c r="J203" i="17" s="1"/>
  <c r="BI202" i="11"/>
  <c r="AX202" i="11"/>
  <c r="AN202" i="11"/>
  <c r="AL202" i="11"/>
  <c r="AF202" i="11"/>
  <c r="AA202" i="11"/>
  <c r="U202" i="11"/>
  <c r="M202" i="11"/>
  <c r="H202" i="11"/>
  <c r="B202" i="11"/>
  <c r="AZ201" i="11"/>
  <c r="AL201" i="11"/>
  <c r="AG201" i="11"/>
  <c r="AA201" i="11"/>
  <c r="T201" i="11"/>
  <c r="M201" i="11"/>
  <c r="H201" i="11"/>
  <c r="J201" i="17" s="1"/>
  <c r="B444" i="17" s="1"/>
  <c r="BC200" i="11"/>
  <c r="AQ200" i="11"/>
  <c r="AM200" i="11"/>
  <c r="AH200" i="11"/>
  <c r="S200" i="11"/>
  <c r="N200" i="11"/>
  <c r="BJ199" i="11"/>
  <c r="AZ199" i="11"/>
  <c r="AM199" i="11"/>
  <c r="AG199" i="11"/>
  <c r="W199" i="11"/>
  <c r="S199" i="11"/>
  <c r="O199" i="11"/>
  <c r="BJ198" i="11"/>
  <c r="AZ198" i="11"/>
  <c r="AM198" i="11"/>
  <c r="AL198" i="11"/>
  <c r="AF198" i="11"/>
  <c r="AA198" i="11"/>
  <c r="N198" i="11"/>
  <c r="B198" i="11"/>
  <c r="AZ197" i="11"/>
  <c r="AM197" i="11"/>
  <c r="AF197" i="11"/>
  <c r="AB197" i="11"/>
  <c r="Q197" i="11"/>
  <c r="BC196" i="11"/>
  <c r="AN196" i="11"/>
  <c r="AG196" i="11"/>
  <c r="AC196" i="11"/>
  <c r="P196" i="11"/>
  <c r="G196" i="11"/>
  <c r="E196" i="11"/>
  <c r="BE195" i="11"/>
  <c r="AX195" i="11"/>
  <c r="AS195" i="11"/>
  <c r="Q195" i="11"/>
  <c r="BA194" i="11"/>
  <c r="AO194" i="11"/>
  <c r="AK194" i="11"/>
  <c r="AG194" i="11"/>
  <c r="Z194" i="11"/>
  <c r="T194" i="11"/>
  <c r="N194" i="11"/>
  <c r="C194" i="11"/>
  <c r="BE193" i="11"/>
  <c r="BB193" i="11"/>
  <c r="AT193" i="11"/>
  <c r="W193" i="11"/>
  <c r="J193" i="11"/>
  <c r="BC192" i="11"/>
  <c r="AQ192" i="11"/>
  <c r="AO192" i="11"/>
  <c r="AL192" i="11"/>
  <c r="AF192" i="11"/>
  <c r="Z192" i="11"/>
  <c r="O192" i="11"/>
  <c r="AZ191" i="11"/>
  <c r="AN191" i="11"/>
  <c r="AH191" i="11"/>
  <c r="AC191" i="11"/>
  <c r="V191" i="11"/>
  <c r="O191" i="11"/>
  <c r="BH190" i="11"/>
  <c r="AX190" i="11"/>
  <c r="AU190" i="11"/>
  <c r="AE190" i="11"/>
  <c r="Z190" i="11"/>
  <c r="N190" i="11"/>
  <c r="AZ189" i="11"/>
  <c r="AO189" i="11"/>
  <c r="AK189" i="11"/>
  <c r="AG189" i="11"/>
  <c r="AE189" i="11"/>
  <c r="AC189" i="11"/>
  <c r="Q189" i="11"/>
  <c r="G189" i="11"/>
  <c r="C189" i="11"/>
  <c r="BC188" i="11"/>
  <c r="AV188" i="11"/>
  <c r="Y188" i="11"/>
  <c r="I188" i="11"/>
  <c r="BH187" i="11"/>
  <c r="AS187" i="11"/>
  <c r="H187" i="11"/>
  <c r="B187" i="11"/>
  <c r="BC186" i="11"/>
  <c r="AL186" i="11"/>
  <c r="AH186" i="11"/>
  <c r="AB186" i="11"/>
  <c r="P186" i="11"/>
  <c r="D186" i="11"/>
  <c r="BG185" i="11"/>
  <c r="AT185" i="11"/>
  <c r="W185" i="11"/>
  <c r="Q185" i="11"/>
  <c r="G185" i="11"/>
  <c r="C185" i="11"/>
  <c r="AX184" i="11"/>
  <c r="AU184" i="11"/>
  <c r="M184" i="11"/>
  <c r="H184" i="11"/>
  <c r="B184" i="11"/>
  <c r="BE183" i="11"/>
  <c r="BA183" i="11"/>
  <c r="AQ183" i="11"/>
  <c r="AL183" i="11"/>
  <c r="AH183" i="11"/>
  <c r="AB183" i="11"/>
  <c r="U183" i="11"/>
  <c r="I183" i="11"/>
  <c r="K183" i="17" s="1"/>
  <c r="BG182" i="11"/>
  <c r="AL182" i="11"/>
  <c r="AF182" i="11"/>
  <c r="Y182" i="11"/>
  <c r="P182" i="11"/>
  <c r="C182" i="11"/>
  <c r="BE181" i="11"/>
  <c r="BA181" i="11"/>
  <c r="AM181" i="11"/>
  <c r="AH181" i="11"/>
  <c r="Y181" i="11"/>
  <c r="U181" i="11"/>
  <c r="I181" i="11"/>
  <c r="K181" i="17" s="1"/>
  <c r="BB180" i="11"/>
  <c r="AN180" i="11"/>
  <c r="AG180" i="11"/>
  <c r="AE180" i="11"/>
  <c r="AC180" i="11"/>
  <c r="M180" i="11"/>
  <c r="H180" i="11"/>
  <c r="BJ179" i="11"/>
  <c r="AT179" i="11"/>
  <c r="Y179" i="11"/>
  <c r="M179" i="11"/>
  <c r="H179" i="11"/>
  <c r="BJ178" i="11"/>
  <c r="AV178" i="11"/>
  <c r="AA178" i="11"/>
  <c r="I178" i="11"/>
  <c r="BE177" i="11"/>
  <c r="AX177" i="11"/>
  <c r="AT177" i="11"/>
  <c r="AA177" i="11"/>
  <c r="T177" i="11"/>
  <c r="H177" i="11"/>
  <c r="J177" i="17" s="1"/>
  <c r="BI176" i="11"/>
  <c r="AV176" i="11"/>
  <c r="Y176" i="11"/>
  <c r="U176" i="11"/>
  <c r="I176" i="11"/>
  <c r="K176" i="17" s="1"/>
  <c r="BH175" i="11"/>
  <c r="AZ175" i="11"/>
  <c r="AO175" i="11"/>
  <c r="AK175" i="11"/>
  <c r="AF175" i="11"/>
  <c r="V175" i="11"/>
  <c r="Q175" i="11"/>
  <c r="AX174" i="11"/>
  <c r="AT174" i="11"/>
  <c r="P174" i="11"/>
  <c r="AZ173" i="11"/>
  <c r="AM173" i="11"/>
  <c r="AH173" i="11"/>
  <c r="T173" i="11"/>
  <c r="I173" i="11"/>
  <c r="AV172" i="11"/>
  <c r="Y172" i="11"/>
  <c r="Q172" i="11"/>
  <c r="H172" i="11"/>
  <c r="BI171" i="11"/>
  <c r="BB171" i="11"/>
  <c r="AQ171" i="11"/>
  <c r="AO171" i="11"/>
  <c r="AM171" i="11"/>
  <c r="AH171" i="11"/>
  <c r="AF171" i="11"/>
  <c r="Y171" i="11"/>
  <c r="W171" i="11"/>
  <c r="T171" i="11"/>
  <c r="P171" i="11"/>
  <c r="H171" i="11"/>
  <c r="J171" i="17" s="1"/>
  <c r="BI170" i="11"/>
  <c r="AS170" i="11"/>
  <c r="Q170" i="11"/>
  <c r="G170" i="11"/>
  <c r="C170" i="11"/>
  <c r="BG169" i="11"/>
  <c r="AX169" i="11"/>
  <c r="AU169" i="11"/>
  <c r="AI169" i="11"/>
  <c r="AC169" i="11"/>
  <c r="U169" i="11"/>
  <c r="O169" i="11"/>
  <c r="G169" i="11"/>
  <c r="C169" i="11"/>
  <c r="BH168" i="11"/>
  <c r="AX168" i="11"/>
  <c r="AV168" i="11"/>
  <c r="Z168" i="11"/>
  <c r="S168" i="11"/>
  <c r="P168" i="11"/>
  <c r="G168" i="11"/>
  <c r="C168" i="11"/>
  <c r="AZ167" i="11"/>
  <c r="AO167" i="11"/>
  <c r="AL167" i="11"/>
  <c r="AG167" i="11"/>
  <c r="AA167" i="11"/>
  <c r="N167" i="11"/>
  <c r="H167" i="11"/>
  <c r="BI166" i="11"/>
  <c r="AS166" i="11"/>
  <c r="AA166" i="11"/>
  <c r="U166" i="11"/>
  <c r="J166" i="11"/>
  <c r="BH165" i="11"/>
  <c r="AZ165" i="11"/>
  <c r="AO165" i="11"/>
  <c r="AG165" i="11"/>
  <c r="AA165" i="11"/>
  <c r="I165" i="11"/>
  <c r="BI164" i="11"/>
  <c r="AX164" i="11"/>
  <c r="AV164" i="11"/>
  <c r="W164" i="11"/>
  <c r="M164" i="11"/>
  <c r="I164" i="11"/>
  <c r="BJ163" i="11"/>
  <c r="AV163" i="11"/>
  <c r="W163" i="11"/>
  <c r="P163" i="11"/>
  <c r="BB162" i="11"/>
  <c r="AQ162" i="11"/>
  <c r="AN162" i="11"/>
  <c r="AH162" i="11"/>
  <c r="AB162" i="11"/>
  <c r="S162" i="11"/>
  <c r="O162" i="11"/>
  <c r="D162" i="11"/>
  <c r="BG161" i="11"/>
  <c r="AU161" i="11"/>
  <c r="W161" i="11"/>
  <c r="I161" i="11"/>
  <c r="BI160" i="11"/>
  <c r="BA160" i="11"/>
  <c r="AN160" i="11"/>
  <c r="AH160" i="11"/>
  <c r="AB160" i="11"/>
  <c r="T160" i="11"/>
  <c r="N160" i="11"/>
  <c r="BJ159" i="11"/>
  <c r="AS159" i="11"/>
  <c r="H159" i="11"/>
  <c r="B159" i="11"/>
  <c r="BB158" i="11"/>
  <c r="AS158" i="11"/>
  <c r="V158" i="11"/>
  <c r="J158" i="11"/>
  <c r="L158" i="17" s="1"/>
  <c r="BJ157" i="11"/>
  <c r="AV157" i="11"/>
  <c r="M157" i="11"/>
  <c r="I157" i="11"/>
  <c r="BJ156" i="11"/>
  <c r="AV156" i="11"/>
  <c r="W156" i="11"/>
  <c r="H156" i="11"/>
  <c r="BI155" i="11"/>
  <c r="AU155" i="11"/>
  <c r="N155" i="11"/>
  <c r="C155" i="11"/>
  <c r="BE154" i="11"/>
  <c r="AT154" i="11"/>
  <c r="P154" i="11"/>
  <c r="B154" i="11"/>
  <c r="T115" i="11"/>
  <c r="M115" i="11"/>
  <c r="K115" i="11"/>
  <c r="I115" i="11"/>
  <c r="AZ114" i="11"/>
  <c r="AO114" i="11"/>
  <c r="AK114" i="11"/>
  <c r="AG114" i="11"/>
  <c r="T114" i="11"/>
  <c r="I114" i="11"/>
  <c r="B114" i="11"/>
  <c r="AZ113" i="11"/>
  <c r="AQ113" i="11"/>
  <c r="AO113" i="11"/>
  <c r="AK113" i="11"/>
  <c r="AH113" i="11"/>
  <c r="AA113" i="11"/>
  <c r="S113" i="11"/>
  <c r="O113" i="11"/>
  <c r="BE112" i="11"/>
  <c r="BC112" i="11"/>
  <c r="AM112" i="11"/>
  <c r="AG112" i="11"/>
  <c r="AA112" i="11"/>
  <c r="N112" i="11"/>
  <c r="AX111" i="11"/>
  <c r="AT111" i="11"/>
  <c r="M111" i="11"/>
  <c r="H111" i="11"/>
  <c r="BH110" i="11"/>
  <c r="AX110" i="11"/>
  <c r="AV110" i="11"/>
  <c r="Z110" i="11"/>
  <c r="P110" i="11"/>
  <c r="B110" i="11"/>
  <c r="BE109" i="11"/>
  <c r="BC109" i="11"/>
  <c r="AO109" i="11"/>
  <c r="AF109" i="11"/>
  <c r="Z109" i="11"/>
  <c r="K109" i="11"/>
  <c r="G109" i="11"/>
  <c r="E109" i="11"/>
  <c r="AQ108" i="11"/>
  <c r="AN108" i="11"/>
  <c r="AI108" i="11"/>
  <c r="AE108" i="11"/>
  <c r="Z108" i="11"/>
  <c r="M108" i="11"/>
  <c r="J108" i="11"/>
  <c r="BI107" i="11"/>
  <c r="BB107" i="11"/>
  <c r="AS107" i="11"/>
  <c r="W107" i="11"/>
  <c r="V107" i="11"/>
  <c r="N107" i="11"/>
  <c r="AT106" i="11"/>
  <c r="T106" i="11"/>
  <c r="M106" i="11"/>
  <c r="K106" i="11"/>
  <c r="BB105" i="11"/>
  <c r="AN105" i="11"/>
  <c r="AF105" i="11"/>
  <c r="Z105" i="11"/>
  <c r="I105" i="11"/>
  <c r="BB104" i="11"/>
  <c r="AM104" i="11"/>
  <c r="AH104" i="11"/>
  <c r="W104" i="11"/>
  <c r="N104" i="11"/>
  <c r="BI103" i="11"/>
  <c r="AX103" i="11"/>
  <c r="AU103" i="11"/>
  <c r="AE103" i="11"/>
  <c r="AB103" i="11"/>
  <c r="S103" i="11"/>
  <c r="J103" i="11"/>
  <c r="C103" i="11"/>
  <c r="AL102" i="11"/>
  <c r="AG102" i="11"/>
  <c r="AA102" i="11"/>
  <c r="W102" i="11"/>
  <c r="O102" i="11"/>
  <c r="BI101" i="11"/>
  <c r="AZ101" i="11"/>
  <c r="AN101" i="11"/>
  <c r="AF101" i="11"/>
  <c r="Y101" i="11"/>
  <c r="W101" i="11"/>
  <c r="S101" i="11"/>
  <c r="M101" i="11"/>
  <c r="H101" i="11"/>
  <c r="BH100" i="11"/>
  <c r="AX100" i="11"/>
  <c r="AT100" i="11"/>
  <c r="J100" i="11"/>
  <c r="BI99" i="11"/>
  <c r="AU99" i="11"/>
  <c r="AG99" i="11"/>
  <c r="Y99" i="11"/>
  <c r="V99" i="11"/>
  <c r="P99" i="11"/>
  <c r="C99" i="11"/>
  <c r="BG98" i="11"/>
  <c r="AU98" i="11"/>
  <c r="Y98" i="11"/>
  <c r="W98" i="11"/>
  <c r="N98" i="11"/>
  <c r="B98" i="11"/>
  <c r="BG97" i="11"/>
  <c r="AT97" i="11"/>
  <c r="AF97" i="11"/>
  <c r="U97" i="11"/>
  <c r="J97" i="11"/>
  <c r="BC96" i="11"/>
  <c r="AM96" i="11"/>
  <c r="AH96" i="11"/>
  <c r="Z96" i="11"/>
  <c r="J96" i="11"/>
  <c r="BI95" i="11"/>
  <c r="AV95" i="11"/>
  <c r="Z95" i="11"/>
  <c r="Q95" i="11"/>
  <c r="G95" i="11"/>
  <c r="AZ94" i="11"/>
  <c r="AQ94" i="11"/>
  <c r="AM94" i="11"/>
  <c r="AF94" i="11"/>
  <c r="W94" i="11"/>
  <c r="S94" i="11"/>
  <c r="K94" i="11"/>
  <c r="M94" i="17" s="1"/>
  <c r="BH93" i="11"/>
  <c r="AZ93" i="11"/>
  <c r="AN93" i="11"/>
  <c r="AF93" i="11"/>
  <c r="Z93" i="11"/>
  <c r="H93" i="11"/>
  <c r="BE92" i="11"/>
  <c r="AZ92" i="11"/>
  <c r="AL92" i="11"/>
  <c r="AE92" i="11"/>
  <c r="Z92" i="11"/>
  <c r="I92" i="11"/>
  <c r="BJ91" i="11"/>
  <c r="AV91" i="11"/>
  <c r="AB91" i="11"/>
  <c r="M91" i="11"/>
  <c r="H91" i="11"/>
  <c r="BI90" i="11"/>
  <c r="BA90" i="11"/>
  <c r="AN90" i="11"/>
  <c r="AH90" i="11"/>
  <c r="Y90" i="11"/>
  <c r="W90" i="11"/>
  <c r="S90" i="11"/>
  <c r="K90" i="11"/>
  <c r="M90" i="17" s="1"/>
  <c r="BI89" i="11"/>
  <c r="AX89" i="11"/>
  <c r="AT89" i="11"/>
  <c r="H89" i="11"/>
  <c r="BG88" i="11"/>
  <c r="AX88" i="11"/>
  <c r="AS88" i="11"/>
  <c r="G88" i="11"/>
  <c r="E88" i="11"/>
  <c r="BJ87" i="11"/>
  <c r="AX87" i="11"/>
  <c r="AO87" i="11"/>
  <c r="AE87" i="11"/>
  <c r="AB87" i="11"/>
  <c r="V87" i="11"/>
  <c r="N87" i="11"/>
  <c r="AT86" i="11"/>
  <c r="BB85" i="11"/>
  <c r="AI85" i="11"/>
  <c r="AB85" i="11"/>
  <c r="G85" i="11"/>
  <c r="D85" i="11"/>
  <c r="BI84" i="11"/>
  <c r="AX84" i="11"/>
  <c r="AU84" i="11"/>
  <c r="W84" i="11"/>
  <c r="G84" i="11"/>
  <c r="E84" i="11"/>
  <c r="BG83" i="11"/>
  <c r="AN83" i="11"/>
  <c r="AI83" i="11"/>
  <c r="AA83" i="11"/>
  <c r="Q83" i="11"/>
  <c r="C83" i="11"/>
  <c r="BB82" i="11"/>
  <c r="AQ82" i="11"/>
  <c r="AH82" i="11"/>
  <c r="W82" i="11"/>
  <c r="K82" i="11"/>
  <c r="M82" i="17" s="1"/>
  <c r="BG81" i="11"/>
  <c r="AS81" i="11"/>
  <c r="K81" i="11"/>
  <c r="BG80" i="11"/>
  <c r="AU80" i="11"/>
  <c r="U80" i="11"/>
  <c r="I80" i="11"/>
  <c r="K80" i="17" s="1"/>
  <c r="BJ79" i="11"/>
  <c r="AX79" i="11"/>
  <c r="AT79" i="11"/>
  <c r="U79" i="11"/>
  <c r="O79" i="11"/>
  <c r="D79" i="11"/>
  <c r="BB78" i="11"/>
  <c r="AO78" i="11"/>
  <c r="AL78" i="11"/>
  <c r="AA78" i="11"/>
  <c r="T78" i="11"/>
  <c r="H78" i="11"/>
  <c r="J78" i="17" s="1"/>
  <c r="BE77" i="11"/>
  <c r="BB77" i="11"/>
  <c r="AL77" i="11"/>
  <c r="AB77" i="11"/>
  <c r="Q77" i="11"/>
  <c r="AV76" i="11"/>
  <c r="P76" i="11"/>
  <c r="BE75" i="11"/>
  <c r="AS75" i="11"/>
  <c r="AB75" i="11"/>
  <c r="BJ73" i="11"/>
  <c r="AU73" i="11"/>
  <c r="S73" i="11"/>
  <c r="K73" i="11"/>
  <c r="O27" i="11"/>
  <c r="I27" i="11"/>
  <c r="B27" i="11"/>
  <c r="BG26" i="11"/>
  <c r="AU26" i="11"/>
  <c r="U26" i="11"/>
  <c r="K26" i="11"/>
  <c r="BB25" i="11"/>
  <c r="AO25" i="11"/>
  <c r="AK25" i="11"/>
  <c r="AF25" i="11"/>
  <c r="AA25" i="11"/>
  <c r="K25" i="11"/>
  <c r="BJ24" i="11"/>
  <c r="AU24" i="11"/>
  <c r="E24" i="11"/>
  <c r="BH23" i="11"/>
  <c r="AT23" i="11"/>
  <c r="S23" i="11"/>
  <c r="K23" i="11"/>
  <c r="AT22" i="11"/>
  <c r="G22" i="11"/>
  <c r="E22" i="11"/>
  <c r="BB21" i="11"/>
  <c r="AO21" i="11"/>
  <c r="AG21" i="11"/>
  <c r="Z21" i="11"/>
  <c r="O21" i="11"/>
  <c r="BI20" i="11"/>
  <c r="AX20" i="11"/>
  <c r="AU20" i="11"/>
  <c r="V20" i="11"/>
  <c r="K20" i="11"/>
  <c r="AK19" i="11"/>
  <c r="AE19" i="11"/>
  <c r="AA19" i="11"/>
  <c r="Q19" i="11"/>
  <c r="E19" i="11"/>
  <c r="BJ18" i="11"/>
  <c r="AQ18" i="11"/>
  <c r="AN18" i="11"/>
  <c r="AG18" i="11"/>
  <c r="W18" i="11"/>
  <c r="S18" i="11"/>
  <c r="P18" i="11"/>
  <c r="G18" i="11"/>
  <c r="E18" i="11"/>
  <c r="BE17" i="11"/>
  <c r="BC17" i="11"/>
  <c r="AT17" i="11"/>
  <c r="P17" i="11"/>
  <c r="B17" i="11"/>
  <c r="BB16" i="11"/>
  <c r="AM16" i="11"/>
  <c r="AG16" i="11"/>
  <c r="Z16" i="11"/>
  <c r="T16" i="11"/>
  <c r="O16" i="11"/>
  <c r="BI15" i="11"/>
  <c r="AT15" i="11"/>
  <c r="J15" i="11"/>
  <c r="AT14" i="11"/>
  <c r="V14" i="11"/>
  <c r="K14" i="11"/>
  <c r="B14" i="11"/>
  <c r="BB13" i="11"/>
  <c r="AN13" i="11"/>
  <c r="AF13" i="11"/>
  <c r="T13" i="11"/>
  <c r="K13" i="11"/>
  <c r="AU12" i="11"/>
  <c r="E12" i="11"/>
  <c r="AV11" i="11"/>
  <c r="E11" i="11"/>
  <c r="AQ10" i="11"/>
  <c r="AM10" i="11"/>
  <c r="AC10" i="11"/>
  <c r="Y10" i="11"/>
  <c r="U10" i="11"/>
  <c r="J10" i="11"/>
  <c r="BI9" i="11"/>
  <c r="AQ9" i="11"/>
  <c r="AN9" i="11"/>
  <c r="AF9" i="11"/>
  <c r="V9" i="11"/>
  <c r="J9" i="11"/>
  <c r="L9" i="17" s="1"/>
  <c r="BI8" i="11"/>
  <c r="AQ8" i="11"/>
  <c r="AI8" i="11"/>
  <c r="AA8" i="11"/>
  <c r="U8" i="11"/>
  <c r="J8" i="11"/>
  <c r="AV7" i="11"/>
  <c r="M7" i="11"/>
  <c r="G7" i="11"/>
  <c r="D7" i="11"/>
  <c r="BA6" i="11"/>
  <c r="AN6" i="11"/>
  <c r="AE6" i="11"/>
  <c r="AC6" i="11"/>
  <c r="T6" i="11"/>
  <c r="N6" i="11"/>
  <c r="BJ5" i="11"/>
  <c r="AM5" i="11"/>
  <c r="V5" i="11"/>
  <c r="J5" i="11"/>
  <c r="L5" i="17" s="1"/>
  <c r="BE4" i="11"/>
  <c r="AU4" i="11"/>
  <c r="I4" i="11"/>
  <c r="BA3" i="11"/>
  <c r="AK3" i="11"/>
  <c r="AG3" i="11"/>
  <c r="Z3" i="11"/>
  <c r="U3" i="11"/>
  <c r="G3" i="11"/>
  <c r="D3" i="11"/>
  <c r="BE2" i="11"/>
  <c r="BC2" i="11"/>
  <c r="AM2" i="11"/>
  <c r="AC2" i="11"/>
  <c r="Q2" i="11"/>
  <c r="Y144" i="5"/>
  <c r="H143" i="5"/>
  <c r="Y142" i="5"/>
  <c r="B138" i="5"/>
  <c r="X136" i="5"/>
  <c r="B136" i="5"/>
  <c r="Y135" i="5"/>
  <c r="H135" i="5"/>
  <c r="B135" i="5"/>
  <c r="H132" i="5"/>
  <c r="H131" i="5"/>
  <c r="M130" i="5"/>
  <c r="N130" i="5" s="1"/>
  <c r="B130" i="5"/>
  <c r="Y129" i="5"/>
  <c r="M111" i="5"/>
  <c r="N111" i="5" s="1"/>
  <c r="B110" i="5"/>
  <c r="H109" i="5"/>
  <c r="M108" i="5"/>
  <c r="N108" i="5" s="1"/>
  <c r="X104" i="5"/>
  <c r="H103" i="5"/>
  <c r="H101" i="5"/>
  <c r="X100" i="5"/>
  <c r="H99" i="5"/>
  <c r="M97" i="5"/>
  <c r="N97" i="5" s="1"/>
  <c r="G832" i="18"/>
  <c r="E832" i="18"/>
  <c r="C832" i="18"/>
  <c r="A832" i="18"/>
  <c r="G831" i="18"/>
  <c r="E831" i="18"/>
  <c r="C831" i="18"/>
  <c r="A831" i="18"/>
  <c r="G830" i="18"/>
  <c r="E830" i="18"/>
  <c r="C830" i="18"/>
  <c r="A830" i="18"/>
  <c r="G829" i="18"/>
  <c r="E829" i="18"/>
  <c r="C829" i="18"/>
  <c r="A829" i="18"/>
  <c r="G828" i="18"/>
  <c r="E828" i="18"/>
  <c r="C828" i="18"/>
  <c r="A828" i="18"/>
  <c r="G827" i="18"/>
  <c r="E827" i="18"/>
  <c r="C827" i="18"/>
  <c r="A827" i="18"/>
  <c r="G826" i="18"/>
  <c r="E826" i="18"/>
  <c r="C826" i="18"/>
  <c r="A826" i="18"/>
  <c r="G825" i="18"/>
  <c r="E825" i="18"/>
  <c r="C825" i="18"/>
  <c r="A825" i="18"/>
  <c r="G824" i="18"/>
  <c r="E824" i="18"/>
  <c r="C824" i="18"/>
  <c r="A824" i="18"/>
  <c r="G823" i="18"/>
  <c r="E823" i="18"/>
  <c r="C823" i="18"/>
  <c r="A823" i="18"/>
  <c r="G822" i="18"/>
  <c r="E822" i="18"/>
  <c r="C822" i="18"/>
  <c r="A822" i="18"/>
  <c r="G821" i="18"/>
  <c r="E821" i="18"/>
  <c r="C821" i="18"/>
  <c r="A821" i="18"/>
  <c r="G820" i="18"/>
  <c r="E820" i="18"/>
  <c r="C820" i="18"/>
  <c r="A820" i="18"/>
  <c r="G819" i="18"/>
  <c r="E819" i="18"/>
  <c r="C819" i="18"/>
  <c r="A819" i="18"/>
  <c r="G818" i="18"/>
  <c r="E818" i="18"/>
  <c r="C818" i="18"/>
  <c r="A818" i="18"/>
  <c r="G817" i="18"/>
  <c r="E817" i="18"/>
  <c r="C817" i="18"/>
  <c r="A817" i="18"/>
  <c r="G816" i="18"/>
  <c r="E816" i="18"/>
  <c r="C816" i="18"/>
  <c r="A816" i="18"/>
  <c r="G815" i="18"/>
  <c r="E815" i="18"/>
  <c r="C815" i="18"/>
  <c r="A815" i="18"/>
  <c r="G814" i="18"/>
  <c r="E814" i="18"/>
  <c r="C814" i="18"/>
  <c r="A814" i="18"/>
  <c r="G813" i="18"/>
  <c r="E813" i="18"/>
  <c r="C813" i="18"/>
  <c r="A813" i="18"/>
  <c r="G812" i="18"/>
  <c r="E812" i="18"/>
  <c r="C812" i="18"/>
  <c r="A812" i="18"/>
  <c r="G811" i="18"/>
  <c r="E811" i="18"/>
  <c r="C811" i="18"/>
  <c r="A811" i="18"/>
  <c r="G810" i="18"/>
  <c r="E810" i="18"/>
  <c r="C810" i="18"/>
  <c r="A810" i="18"/>
  <c r="G809" i="18"/>
  <c r="E809" i="18"/>
  <c r="C809" i="18"/>
  <c r="A809" i="18"/>
  <c r="G808" i="18"/>
  <c r="E808" i="18"/>
  <c r="C808" i="18"/>
  <c r="A808" i="18"/>
  <c r="G807" i="18"/>
  <c r="E807" i="18"/>
  <c r="C807" i="18"/>
  <c r="A807" i="18"/>
  <c r="G806" i="18"/>
  <c r="E806" i="18"/>
  <c r="C806" i="18"/>
  <c r="A806" i="18"/>
  <c r="G805" i="18"/>
  <c r="E805" i="18"/>
  <c r="C805" i="18"/>
  <c r="A805" i="18"/>
  <c r="G804" i="18"/>
  <c r="E804" i="18"/>
  <c r="C804" i="18"/>
  <c r="A804" i="18"/>
  <c r="G803" i="18"/>
  <c r="E803" i="18"/>
  <c r="C803" i="18"/>
  <c r="A803" i="18"/>
  <c r="G802" i="18"/>
  <c r="E802" i="18"/>
  <c r="C802" i="18"/>
  <c r="A802" i="18"/>
  <c r="G801" i="18"/>
  <c r="E801" i="18"/>
  <c r="C801" i="18"/>
  <c r="A801" i="18"/>
  <c r="G800" i="18"/>
  <c r="E800" i="18"/>
  <c r="C800" i="18"/>
  <c r="A800" i="18"/>
  <c r="G799" i="18"/>
  <c r="E799" i="18"/>
  <c r="C799" i="18"/>
  <c r="A799" i="18"/>
  <c r="G798" i="18"/>
  <c r="E798" i="18"/>
  <c r="C798" i="18"/>
  <c r="A798" i="18"/>
  <c r="G797" i="18"/>
  <c r="E797" i="18"/>
  <c r="C797" i="18"/>
  <c r="A797" i="18"/>
  <c r="G796" i="18"/>
  <c r="E796" i="18"/>
  <c r="C796" i="18"/>
  <c r="A796" i="18"/>
  <c r="G795" i="18"/>
  <c r="E795" i="18"/>
  <c r="C795" i="18"/>
  <c r="A795" i="18"/>
  <c r="G794" i="18"/>
  <c r="E794" i="18"/>
  <c r="C794" i="18"/>
  <c r="A794" i="18"/>
  <c r="G793" i="18"/>
  <c r="E793" i="18"/>
  <c r="C793" i="18"/>
  <c r="A793" i="18"/>
  <c r="G792" i="18"/>
  <c r="E792" i="18"/>
  <c r="C792" i="18"/>
  <c r="A792" i="18"/>
  <c r="G791" i="18"/>
  <c r="E791" i="18"/>
  <c r="C791" i="18"/>
  <c r="A791" i="18"/>
  <c r="G790" i="18"/>
  <c r="E790" i="18"/>
  <c r="C790" i="18"/>
  <c r="A790" i="18"/>
  <c r="G789" i="18"/>
  <c r="E789" i="18"/>
  <c r="C789" i="18"/>
  <c r="A789" i="18"/>
  <c r="G788" i="18"/>
  <c r="E788" i="18"/>
  <c r="C788" i="18"/>
  <c r="A788" i="18"/>
  <c r="G787" i="18"/>
  <c r="E787" i="18"/>
  <c r="C787" i="18"/>
  <c r="A787" i="18"/>
  <c r="G786" i="18"/>
  <c r="E786" i="18"/>
  <c r="C786" i="18"/>
  <c r="A786" i="18"/>
  <c r="G785" i="18"/>
  <c r="E785" i="18"/>
  <c r="C785" i="18"/>
  <c r="A785" i="18"/>
  <c r="G784" i="18"/>
  <c r="E784" i="18"/>
  <c r="C784" i="18"/>
  <c r="A784" i="18"/>
  <c r="G783" i="18"/>
  <c r="E783" i="18"/>
  <c r="C783" i="18"/>
  <c r="A783" i="18"/>
  <c r="G782" i="18"/>
  <c r="E782" i="18"/>
  <c r="C782" i="18"/>
  <c r="A782" i="18"/>
  <c r="G781" i="18"/>
  <c r="E781" i="18"/>
  <c r="C781" i="18"/>
  <c r="A781" i="18"/>
  <c r="G780" i="18"/>
  <c r="E780" i="18"/>
  <c r="C780" i="18"/>
  <c r="A780" i="18"/>
  <c r="G779" i="18"/>
  <c r="E779" i="18"/>
  <c r="C779" i="18"/>
  <c r="A779" i="18"/>
  <c r="G778" i="18"/>
  <c r="E778" i="18"/>
  <c r="C778" i="18"/>
  <c r="A778" i="18"/>
  <c r="G777" i="18"/>
  <c r="E777" i="18"/>
  <c r="C777" i="18"/>
  <c r="A777" i="18"/>
  <c r="G776" i="18"/>
  <c r="E776" i="18"/>
  <c r="C776" i="18"/>
  <c r="A776" i="18"/>
  <c r="G775" i="18"/>
  <c r="E775" i="18"/>
  <c r="C775" i="18"/>
  <c r="A775" i="18"/>
  <c r="G774" i="18"/>
  <c r="E774" i="18"/>
  <c r="C774" i="18"/>
  <c r="A774" i="18"/>
  <c r="G773" i="18"/>
  <c r="E773" i="18"/>
  <c r="C773" i="18"/>
  <c r="A773" i="18"/>
  <c r="A587" i="18"/>
  <c r="A586" i="18"/>
  <c r="A585" i="18"/>
  <c r="A584" i="18"/>
  <c r="B482" i="18"/>
  <c r="G481" i="18"/>
  <c r="E481" i="18"/>
  <c r="C481" i="18"/>
  <c r="A481" i="18"/>
  <c r="G480" i="18"/>
  <c r="E480" i="18"/>
  <c r="C480" i="18"/>
  <c r="A480" i="18"/>
  <c r="G479" i="18"/>
  <c r="E479" i="18"/>
  <c r="C479" i="18"/>
  <c r="A479" i="18"/>
  <c r="G478" i="18"/>
  <c r="E478" i="18"/>
  <c r="C478" i="18"/>
  <c r="A478" i="18"/>
  <c r="G477" i="18"/>
  <c r="E477" i="18"/>
  <c r="C477" i="18"/>
  <c r="A477" i="18"/>
  <c r="G476" i="18"/>
  <c r="E476" i="18"/>
  <c r="C476" i="18"/>
  <c r="A476" i="18"/>
  <c r="G475" i="18"/>
  <c r="E475" i="18"/>
  <c r="C475" i="18"/>
  <c r="A475" i="18"/>
  <c r="G474" i="18"/>
  <c r="E474" i="18"/>
  <c r="C474" i="18"/>
  <c r="A474" i="18"/>
  <c r="G473" i="18"/>
  <c r="E473" i="18"/>
  <c r="C473" i="18"/>
  <c r="A473" i="18"/>
  <c r="G472" i="18"/>
  <c r="E472" i="18"/>
  <c r="C472" i="18"/>
  <c r="A472" i="18"/>
  <c r="G471" i="18"/>
  <c r="E471" i="18"/>
  <c r="C471" i="18"/>
  <c r="A471" i="18"/>
  <c r="F449" i="18"/>
  <c r="H441" i="18"/>
  <c r="B437" i="18"/>
  <c r="F413" i="18"/>
  <c r="G399" i="18"/>
  <c r="E399" i="18"/>
  <c r="C399" i="18"/>
  <c r="A399" i="18"/>
  <c r="G398" i="18"/>
  <c r="E398" i="18"/>
  <c r="C398" i="18"/>
  <c r="A398" i="18"/>
  <c r="G397" i="18"/>
  <c r="E397" i="18"/>
  <c r="C397" i="18"/>
  <c r="A397" i="18"/>
  <c r="G396" i="18"/>
  <c r="E396" i="18"/>
  <c r="C396" i="18"/>
  <c r="A396" i="18"/>
  <c r="G395" i="18"/>
  <c r="E395" i="18"/>
  <c r="C395" i="18"/>
  <c r="A395" i="18"/>
  <c r="G394" i="18"/>
  <c r="E394" i="18"/>
  <c r="C394" i="18"/>
  <c r="A394" i="18"/>
  <c r="G393" i="18"/>
  <c r="E393" i="18"/>
  <c r="C393" i="18"/>
  <c r="A393" i="18"/>
  <c r="G392" i="18"/>
  <c r="E392" i="18"/>
  <c r="C392" i="18"/>
  <c r="A392" i="18"/>
  <c r="G391" i="18"/>
  <c r="E391" i="18"/>
  <c r="C391" i="18"/>
  <c r="A391" i="18"/>
  <c r="G390" i="18"/>
  <c r="E390" i="18"/>
  <c r="C390" i="18"/>
  <c r="A390" i="18"/>
  <c r="G389" i="18"/>
  <c r="E389" i="18"/>
  <c r="C389" i="18"/>
  <c r="A389" i="18"/>
  <c r="G388" i="18"/>
  <c r="E388" i="18"/>
  <c r="C388" i="18"/>
  <c r="A388" i="18"/>
  <c r="G387" i="18"/>
  <c r="E387" i="18"/>
  <c r="C387" i="18"/>
  <c r="A387" i="18"/>
  <c r="G386" i="18"/>
  <c r="E386" i="18"/>
  <c r="C386" i="18"/>
  <c r="A386" i="18"/>
  <c r="G385" i="18"/>
  <c r="E385" i="18"/>
  <c r="C385" i="18"/>
  <c r="A385" i="18"/>
  <c r="G384" i="18"/>
  <c r="E384" i="18"/>
  <c r="C384" i="18"/>
  <c r="A384" i="18"/>
  <c r="G383" i="18"/>
  <c r="E383" i="18"/>
  <c r="C383" i="18"/>
  <c r="A383" i="18"/>
  <c r="G382" i="18"/>
  <c r="E382" i="18"/>
  <c r="C382" i="18"/>
  <c r="A382" i="18"/>
  <c r="G381" i="18"/>
  <c r="E381" i="18"/>
  <c r="C381" i="18"/>
  <c r="A381" i="18"/>
  <c r="G380" i="18"/>
  <c r="E380" i="18"/>
  <c r="C380" i="18"/>
  <c r="A380" i="18"/>
  <c r="G379" i="18"/>
  <c r="E379" i="18"/>
  <c r="C379" i="18"/>
  <c r="A379" i="18"/>
  <c r="G378" i="18"/>
  <c r="E378" i="18"/>
  <c r="C378" i="18"/>
  <c r="A378" i="18"/>
  <c r="G377" i="18"/>
  <c r="E377" i="18"/>
  <c r="C377" i="18"/>
  <c r="A377" i="18"/>
  <c r="G376" i="18"/>
  <c r="E376" i="18"/>
  <c r="C376" i="18"/>
  <c r="A376" i="18"/>
  <c r="H336" i="18"/>
  <c r="H328" i="18"/>
  <c r="D326" i="18"/>
  <c r="B324" i="18"/>
  <c r="F255" i="18"/>
  <c r="F251" i="18"/>
  <c r="E97" i="18"/>
  <c r="C97" i="18"/>
  <c r="A97" i="18"/>
  <c r="E96" i="18"/>
  <c r="C96" i="18"/>
  <c r="A96" i="18"/>
  <c r="E95" i="18"/>
  <c r="C95" i="18"/>
  <c r="A95" i="18"/>
  <c r="E94" i="18"/>
  <c r="C94" i="18"/>
  <c r="A94" i="18"/>
  <c r="AU200" i="17"/>
  <c r="I198" i="17"/>
  <c r="I195" i="17"/>
  <c r="I194" i="17"/>
  <c r="I121" i="17"/>
  <c r="I120" i="17"/>
  <c r="I117" i="17"/>
  <c r="I115" i="17"/>
  <c r="T114" i="17"/>
  <c r="V113" i="17"/>
  <c r="R112" i="17"/>
  <c r="AA111" i="17"/>
  <c r="AJ110" i="17"/>
  <c r="I108" i="17"/>
  <c r="AU107" i="17"/>
  <c r="T106" i="17"/>
  <c r="AN102" i="17"/>
  <c r="V101" i="17"/>
  <c r="I101" i="17"/>
  <c r="I98" i="17"/>
  <c r="AS97" i="17"/>
  <c r="V95" i="17"/>
  <c r="P94" i="17"/>
  <c r="R5" i="17"/>
  <c r="H208" i="11"/>
  <c r="AZ207" i="11"/>
  <c r="AM207" i="11"/>
  <c r="AF207" i="11"/>
  <c r="T207" i="11"/>
  <c r="H207" i="11"/>
  <c r="J207" i="17" s="1"/>
  <c r="B453" i="18" s="1"/>
  <c r="BI206" i="11"/>
  <c r="AU206" i="11"/>
  <c r="J206" i="11"/>
  <c r="BJ205" i="11"/>
  <c r="BE205" i="11"/>
  <c r="BA205" i="11"/>
  <c r="AM205" i="11"/>
  <c r="AG205" i="11"/>
  <c r="AE205" i="11"/>
  <c r="V205" i="11"/>
  <c r="S205" i="11"/>
  <c r="M205" i="11"/>
  <c r="H205" i="11"/>
  <c r="BJ204" i="11"/>
  <c r="AL204" i="11"/>
  <c r="AH204" i="11"/>
  <c r="AB204" i="11"/>
  <c r="V204" i="11"/>
  <c r="K204" i="11"/>
  <c r="AT203" i="11"/>
  <c r="Q203" i="11"/>
  <c r="BH202" i="11"/>
  <c r="AV202" i="11"/>
  <c r="Y202" i="11"/>
  <c r="P202" i="11"/>
  <c r="C202" i="11"/>
  <c r="BC201" i="11"/>
  <c r="AN201" i="11"/>
  <c r="AF201" i="11"/>
  <c r="W201" i="11"/>
  <c r="K201" i="11"/>
  <c r="M201" i="17" s="1"/>
  <c r="BI200" i="11"/>
  <c r="AT200" i="11"/>
  <c r="Y200" i="11"/>
  <c r="U200" i="11"/>
  <c r="I200" i="11"/>
  <c r="K200" i="17" s="1"/>
  <c r="BI199" i="11"/>
  <c r="AL199" i="11"/>
  <c r="AF199" i="11"/>
  <c r="Y199" i="11"/>
  <c r="J199" i="11"/>
  <c r="B199" i="11"/>
  <c r="BE198" i="11"/>
  <c r="BC198" i="11"/>
  <c r="AN198" i="11"/>
  <c r="AK198" i="11"/>
  <c r="AH198" i="11"/>
  <c r="AB198" i="11"/>
  <c r="S198" i="11"/>
  <c r="O198" i="11"/>
  <c r="C198" i="11"/>
  <c r="BA197" i="11"/>
  <c r="AS197" i="11"/>
  <c r="I197" i="11"/>
  <c r="BH196" i="11"/>
  <c r="AX196" i="11"/>
  <c r="AT196" i="11"/>
  <c r="AE196" i="11"/>
  <c r="Z196" i="11"/>
  <c r="I196" i="11"/>
  <c r="BJ195" i="11"/>
  <c r="AZ195" i="11"/>
  <c r="AQ195" i="11"/>
  <c r="AM195" i="11"/>
  <c r="AH195" i="11"/>
  <c r="AA195" i="11"/>
  <c r="U195" i="11"/>
  <c r="M195" i="11"/>
  <c r="I195" i="11"/>
  <c r="K195" i="17" s="1"/>
  <c r="D441" i="18" s="1"/>
  <c r="BH194" i="11"/>
  <c r="AX194" i="11"/>
  <c r="AT194" i="11"/>
  <c r="O194" i="11"/>
  <c r="BJ193" i="11"/>
  <c r="AX193" i="11"/>
  <c r="AU193" i="11"/>
  <c r="AC193" i="11"/>
  <c r="S193" i="11"/>
  <c r="M193" i="11"/>
  <c r="I193" i="11"/>
  <c r="BG192" i="11"/>
  <c r="AT192" i="11"/>
  <c r="P192" i="11"/>
  <c r="H192" i="11"/>
  <c r="BI191" i="11"/>
  <c r="BB191" i="11"/>
  <c r="AS191" i="11"/>
  <c r="AB191" i="11"/>
  <c r="S191" i="11"/>
  <c r="K191" i="11"/>
  <c r="BE190" i="11"/>
  <c r="BA190" i="11"/>
  <c r="AQ190" i="11"/>
  <c r="AO190" i="11"/>
  <c r="AL190" i="11"/>
  <c r="AH190" i="11"/>
  <c r="AB190" i="11"/>
  <c r="S190" i="11"/>
  <c r="M190" i="11"/>
  <c r="I190" i="11"/>
  <c r="BH189" i="11"/>
  <c r="BB189" i="11"/>
  <c r="AL189" i="11"/>
  <c r="AI189" i="11"/>
  <c r="Y189" i="11"/>
  <c r="S189" i="11"/>
  <c r="J189" i="11"/>
  <c r="BJ188" i="11"/>
  <c r="AX188" i="11"/>
  <c r="AM188" i="11"/>
  <c r="AH188" i="11"/>
  <c r="AC188" i="11"/>
  <c r="V188" i="11"/>
  <c r="Q188" i="11"/>
  <c r="BI187" i="11"/>
  <c r="AV187" i="11"/>
  <c r="Y187" i="11"/>
  <c r="S187" i="11"/>
  <c r="K187" i="11"/>
  <c r="BH186" i="11"/>
  <c r="AU186" i="11"/>
  <c r="AC186" i="11"/>
  <c r="M186" i="11"/>
  <c r="I186" i="11"/>
  <c r="BH185" i="11"/>
  <c r="AX185" i="11"/>
  <c r="AV185" i="11"/>
  <c r="Y185" i="11"/>
  <c r="S185" i="11"/>
  <c r="K185" i="11"/>
  <c r="BJ184" i="11"/>
  <c r="BA184" i="11"/>
  <c r="AI184" i="11"/>
  <c r="AC184" i="11"/>
  <c r="V184" i="11"/>
  <c r="O184" i="11"/>
  <c r="AZ183" i="11"/>
  <c r="AN183" i="11"/>
  <c r="AG183" i="11"/>
  <c r="W183" i="11"/>
  <c r="S183" i="11"/>
  <c r="K183" i="11"/>
  <c r="M183" i="17" s="1"/>
  <c r="H429" i="18" s="1"/>
  <c r="BJ182" i="11"/>
  <c r="BA182" i="11"/>
  <c r="AO182" i="11"/>
  <c r="AI182" i="11"/>
  <c r="AE182" i="11"/>
  <c r="AA182" i="11"/>
  <c r="T182" i="11"/>
  <c r="N182" i="11"/>
  <c r="D182" i="11"/>
  <c r="BC181" i="11"/>
  <c r="AS181" i="11"/>
  <c r="W181" i="11"/>
  <c r="Q181" i="11"/>
  <c r="G181" i="11"/>
  <c r="E181" i="11"/>
  <c r="AT180" i="11"/>
  <c r="W180" i="11"/>
  <c r="K180" i="11"/>
  <c r="M180" i="17" s="1"/>
  <c r="H426" i="18" s="1"/>
  <c r="D180" i="11"/>
  <c r="BG179" i="11"/>
  <c r="AS179" i="11"/>
  <c r="T179" i="11"/>
  <c r="N179" i="11"/>
  <c r="B179" i="11"/>
  <c r="BA178" i="11"/>
  <c r="AQ178" i="11"/>
  <c r="AM178" i="11"/>
  <c r="AL178" i="11"/>
  <c r="AG178" i="11"/>
  <c r="AB178" i="11"/>
  <c r="O178" i="11"/>
  <c r="AU177" i="11"/>
  <c r="AE177" i="11"/>
  <c r="AB177" i="11"/>
  <c r="I177" i="11"/>
  <c r="BC176" i="11"/>
  <c r="AL176" i="11"/>
  <c r="AH176" i="11"/>
  <c r="AE176" i="11"/>
  <c r="Z176" i="11"/>
  <c r="T176" i="11"/>
  <c r="M176" i="11"/>
  <c r="H176" i="11"/>
  <c r="J176" i="17" s="1"/>
  <c r="B422" i="18" s="1"/>
  <c r="BJ175" i="11"/>
  <c r="AS175" i="11"/>
  <c r="T175" i="11"/>
  <c r="I175" i="11"/>
  <c r="BG174" i="11"/>
  <c r="AU174" i="11"/>
  <c r="Y174" i="11"/>
  <c r="M174" i="11"/>
  <c r="H174" i="11"/>
  <c r="BH173" i="11"/>
  <c r="AX173" i="11"/>
  <c r="AU173" i="11"/>
  <c r="W173" i="11"/>
  <c r="P173" i="11"/>
  <c r="C173" i="11"/>
  <c r="BB172" i="11"/>
  <c r="AM172" i="11"/>
  <c r="AI172" i="11"/>
  <c r="AE172" i="11"/>
  <c r="AB172" i="11"/>
  <c r="S172" i="11"/>
  <c r="N172" i="11"/>
  <c r="G172" i="11"/>
  <c r="D172" i="11"/>
  <c r="BG171" i="11"/>
  <c r="AS171" i="11"/>
  <c r="AB171" i="11"/>
  <c r="I171" i="11"/>
  <c r="C171" i="11"/>
  <c r="BA170" i="11"/>
  <c r="AN170" i="11"/>
  <c r="AK170" i="11"/>
  <c r="AG170" i="11"/>
  <c r="AA170" i="11"/>
  <c r="W170" i="11"/>
  <c r="P170" i="11"/>
  <c r="E170" i="11"/>
  <c r="BI169" i="11"/>
  <c r="AT169" i="11"/>
  <c r="AF169" i="11"/>
  <c r="Z169" i="11"/>
  <c r="V169" i="11"/>
  <c r="M169" i="11"/>
  <c r="J169" i="11"/>
  <c r="L169" i="17" s="1"/>
  <c r="F415" i="18" s="1"/>
  <c r="AZ168" i="11"/>
  <c r="AQ168" i="11"/>
  <c r="AM168" i="11"/>
  <c r="AH168" i="11"/>
  <c r="AF168" i="11"/>
  <c r="V168" i="11"/>
  <c r="M168" i="11"/>
  <c r="I168" i="11"/>
  <c r="BE167" i="11"/>
  <c r="BB167" i="11"/>
  <c r="AQ167" i="11"/>
  <c r="AN167" i="11"/>
  <c r="AK167" i="11"/>
  <c r="AH167" i="11"/>
  <c r="AF167" i="11"/>
  <c r="U167" i="11"/>
  <c r="Q167" i="11"/>
  <c r="B167" i="11"/>
  <c r="BG166" i="11"/>
  <c r="AV166" i="11"/>
  <c r="O166" i="11"/>
  <c r="C166" i="11"/>
  <c r="BC165" i="11"/>
  <c r="AL165" i="11"/>
  <c r="AI165" i="11"/>
  <c r="T165" i="11"/>
  <c r="Q165" i="11"/>
  <c r="G165" i="11"/>
  <c r="B165" i="11"/>
  <c r="BB164" i="11"/>
  <c r="AT164" i="11"/>
  <c r="Y164" i="11"/>
  <c r="N164" i="11"/>
  <c r="D164" i="11"/>
  <c r="BA163" i="11"/>
  <c r="AK163" i="11"/>
  <c r="AI163" i="11"/>
  <c r="AE163" i="11"/>
  <c r="AC163" i="11"/>
  <c r="V163" i="11"/>
  <c r="M163" i="11"/>
  <c r="I163" i="11"/>
  <c r="B163" i="11"/>
  <c r="AZ162" i="11"/>
  <c r="AL162" i="11"/>
  <c r="AK162" i="11"/>
  <c r="AG162" i="11"/>
  <c r="AA162" i="11"/>
  <c r="Q162" i="11"/>
  <c r="G162" i="11"/>
  <c r="E162" i="11"/>
  <c r="BC161" i="11"/>
  <c r="AS161" i="11"/>
  <c r="M161" i="11"/>
  <c r="J161" i="11"/>
  <c r="AZ160" i="11"/>
  <c r="AQ160" i="11"/>
  <c r="AL160" i="11"/>
  <c r="AK160" i="11"/>
  <c r="AF160" i="11"/>
  <c r="H160" i="11"/>
  <c r="BI159" i="11"/>
  <c r="AX159" i="11"/>
  <c r="AU159" i="11"/>
  <c r="W159" i="11"/>
  <c r="Q159" i="11"/>
  <c r="G159" i="11"/>
  <c r="BG158" i="11"/>
  <c r="AT158" i="11"/>
  <c r="W158" i="11"/>
  <c r="N158" i="11"/>
  <c r="G158" i="11"/>
  <c r="D158" i="11"/>
  <c r="BG157" i="11"/>
  <c r="AU157" i="11"/>
  <c r="O157" i="11"/>
  <c r="B157" i="11"/>
  <c r="BC156" i="11"/>
  <c r="AL156" i="11"/>
  <c r="AF156" i="11"/>
  <c r="AB156" i="11"/>
  <c r="K156" i="11"/>
  <c r="BA155" i="11"/>
  <c r="AM155" i="11"/>
  <c r="AI155" i="11"/>
  <c r="AA155" i="11"/>
  <c r="Y155" i="11"/>
  <c r="W155" i="11"/>
  <c r="O155" i="11"/>
  <c r="B155" i="11"/>
  <c r="BA154" i="11"/>
  <c r="AM154" i="11"/>
  <c r="AG154" i="11"/>
  <c r="AA154" i="11"/>
  <c r="M154" i="11"/>
  <c r="I154" i="11"/>
  <c r="BG114" i="11"/>
  <c r="AL114" i="11"/>
  <c r="AF114" i="11"/>
  <c r="V114" i="11"/>
  <c r="G114" i="11"/>
  <c r="E114" i="11"/>
  <c r="BJ113" i="11"/>
  <c r="AT113" i="11"/>
  <c r="U113" i="11"/>
  <c r="I113" i="11"/>
  <c r="K113" i="17" s="1"/>
  <c r="D359" i="18" s="1"/>
  <c r="BH112" i="11"/>
  <c r="AV112" i="11"/>
  <c r="P112" i="11"/>
  <c r="BJ111" i="11"/>
  <c r="AZ111" i="11"/>
  <c r="AO111" i="11"/>
  <c r="AH111" i="11"/>
  <c r="AB111" i="11"/>
  <c r="S111" i="11"/>
  <c r="G111" i="11"/>
  <c r="E111" i="11"/>
  <c r="AU110" i="11"/>
  <c r="W110" i="11"/>
  <c r="N110" i="11"/>
  <c r="E110" i="11"/>
  <c r="BB109" i="11"/>
  <c r="AL109" i="11"/>
  <c r="AG109" i="11"/>
  <c r="AB109" i="11"/>
  <c r="W109" i="11"/>
  <c r="T109" i="11"/>
  <c r="H109" i="11"/>
  <c r="J109" i="17" s="1"/>
  <c r="BJ108" i="11"/>
  <c r="AU108" i="11"/>
  <c r="K108" i="11"/>
  <c r="B108" i="11"/>
  <c r="BE107" i="11"/>
  <c r="BA107" i="11"/>
  <c r="AM107" i="11"/>
  <c r="AH107" i="11"/>
  <c r="AE107" i="11"/>
  <c r="Z107" i="11"/>
  <c r="T107" i="11"/>
  <c r="O107" i="11"/>
  <c r="BH106" i="11"/>
  <c r="AX106" i="11"/>
  <c r="AV106" i="11"/>
  <c r="S106" i="11"/>
  <c r="J106" i="11"/>
  <c r="BJ105" i="11"/>
  <c r="BE105" i="11"/>
  <c r="BA105" i="11"/>
  <c r="AK105" i="11"/>
  <c r="AI105" i="11"/>
  <c r="AC105" i="11"/>
  <c r="V105" i="11"/>
  <c r="N105" i="11"/>
  <c r="BJ104" i="11"/>
  <c r="AZ104" i="11"/>
  <c r="AN104" i="11"/>
  <c r="Y104" i="11"/>
  <c r="V104" i="11"/>
  <c r="M104" i="11"/>
  <c r="H104" i="11"/>
  <c r="BE103" i="11"/>
  <c r="BC103" i="11"/>
  <c r="AK103" i="11"/>
  <c r="AG103" i="11"/>
  <c r="Y103" i="11"/>
  <c r="V103" i="11"/>
  <c r="Q103" i="11"/>
  <c r="BH102" i="11"/>
  <c r="AS102" i="11"/>
  <c r="T102" i="11"/>
  <c r="Q102" i="11"/>
  <c r="BG101" i="11"/>
  <c r="AT101" i="11"/>
  <c r="K101" i="11"/>
  <c r="M101" i="17" s="1"/>
  <c r="BA100" i="11"/>
  <c r="AM100" i="11"/>
  <c r="AI100" i="11"/>
  <c r="AC100" i="11"/>
  <c r="T100" i="11"/>
  <c r="H100" i="11"/>
  <c r="J100" i="17" s="1"/>
  <c r="BH99" i="11"/>
  <c r="AZ99" i="11"/>
  <c r="AQ99" i="11"/>
  <c r="AN99" i="11"/>
  <c r="AK99" i="11"/>
  <c r="AF99" i="11"/>
  <c r="I99" i="11"/>
  <c r="BH98" i="11"/>
  <c r="AV98" i="11"/>
  <c r="AB98" i="11"/>
  <c r="S98" i="11"/>
  <c r="M98" i="11"/>
  <c r="I98" i="11"/>
  <c r="BJ97" i="11"/>
  <c r="AZ97" i="11"/>
  <c r="AQ97" i="11"/>
  <c r="AM97" i="11"/>
  <c r="AI97" i="11"/>
  <c r="AG97" i="11"/>
  <c r="V97" i="11"/>
  <c r="N97" i="11"/>
  <c r="BG96" i="11"/>
  <c r="AT96" i="11"/>
  <c r="AK96" i="11"/>
  <c r="AE96" i="11"/>
  <c r="AC96" i="11"/>
  <c r="U96" i="11"/>
  <c r="H96" i="11"/>
  <c r="BE95" i="11"/>
  <c r="AS95" i="11"/>
  <c r="O95" i="11"/>
  <c r="AU94" i="11"/>
  <c r="AB94" i="11"/>
  <c r="Q94" i="11"/>
  <c r="G94" i="11"/>
  <c r="BB93" i="11"/>
  <c r="AS93" i="11"/>
  <c r="AA93" i="11"/>
  <c r="T93" i="11"/>
  <c r="Q93" i="11"/>
  <c r="C93" i="11"/>
  <c r="BG92" i="11"/>
  <c r="AX92" i="11"/>
  <c r="AS92" i="11"/>
  <c r="W92" i="11"/>
  <c r="H92" i="11"/>
  <c r="BG91" i="11"/>
  <c r="AT91" i="11"/>
  <c r="AA91" i="11"/>
  <c r="I91" i="11"/>
  <c r="BJ90" i="11"/>
  <c r="AX90" i="11"/>
  <c r="AU90" i="11"/>
  <c r="AE90" i="11"/>
  <c r="AA90" i="11"/>
  <c r="T90" i="11"/>
  <c r="J90" i="11"/>
  <c r="AN89" i="11"/>
  <c r="AG89" i="11"/>
  <c r="AA89" i="11"/>
  <c r="Q89" i="11"/>
  <c r="AV88" i="11"/>
  <c r="J88" i="11"/>
  <c r="BG87" i="11"/>
  <c r="AN87" i="11"/>
  <c r="AH87" i="11"/>
  <c r="AC87" i="11"/>
  <c r="U87" i="11"/>
  <c r="Q87" i="11"/>
  <c r="C87" i="11"/>
  <c r="BB86" i="11"/>
  <c r="AX86" i="11"/>
  <c r="AN86" i="11"/>
  <c r="AE86" i="11"/>
  <c r="AC86" i="11"/>
  <c r="S86" i="11"/>
  <c r="O86" i="11"/>
  <c r="BI85" i="11"/>
  <c r="AV85" i="11"/>
  <c r="T85" i="11"/>
  <c r="AF84" i="11"/>
  <c r="V84" i="11"/>
  <c r="S84" i="11"/>
  <c r="AH83" i="11"/>
  <c r="Z83" i="11"/>
  <c r="K83" i="11"/>
  <c r="BC82" i="11"/>
  <c r="AO82" i="11"/>
  <c r="AI82" i="11"/>
  <c r="AA82" i="11"/>
  <c r="U82" i="11"/>
  <c r="I82" i="11"/>
  <c r="K82" i="17" s="1"/>
  <c r="D328" i="18" s="1"/>
  <c r="BC81" i="11"/>
  <c r="AN81" i="11"/>
  <c r="AG81" i="11"/>
  <c r="T81" i="11"/>
  <c r="D81" i="11"/>
  <c r="BE80" i="11"/>
  <c r="BA80" i="11"/>
  <c r="BB9" i="11"/>
  <c r="Y9" i="11"/>
  <c r="M9" i="11"/>
  <c r="G9" i="11"/>
  <c r="D9" i="11"/>
  <c r="BB8" i="11"/>
  <c r="AH8" i="11"/>
  <c r="Z8" i="11"/>
  <c r="H8" i="11"/>
  <c r="BA7" i="11"/>
  <c r="AL7" i="11"/>
  <c r="Y7" i="11"/>
  <c r="Q7" i="11"/>
  <c r="AQ6" i="11"/>
  <c r="AM6" i="11"/>
  <c r="AF6" i="11"/>
  <c r="Y6" i="11"/>
  <c r="W6" i="11"/>
  <c r="M6" i="11"/>
  <c r="H6" i="11"/>
  <c r="AZ5" i="11"/>
  <c r="AK5" i="11"/>
  <c r="AH5" i="11"/>
  <c r="AA5" i="11"/>
  <c r="U5" i="11"/>
  <c r="M5" i="11"/>
  <c r="AB4" i="11"/>
  <c r="Q4" i="11"/>
  <c r="BC3" i="11"/>
  <c r="AH3" i="11"/>
  <c r="V3" i="11"/>
  <c r="O3" i="11"/>
  <c r="BA2" i="11"/>
  <c r="AN2" i="11"/>
  <c r="AB2" i="11"/>
  <c r="W2" i="11"/>
  <c r="S2" i="11"/>
  <c r="M144" i="5"/>
  <c r="N144" i="5" s="1"/>
  <c r="X143" i="5"/>
  <c r="B141" i="5"/>
  <c r="Y139" i="5"/>
  <c r="M133" i="5"/>
  <c r="N133" i="5" s="1"/>
  <c r="H119" i="5"/>
  <c r="Y118" i="5"/>
  <c r="M118" i="5"/>
  <c r="N118" i="5" s="1"/>
  <c r="B114" i="5"/>
  <c r="B106" i="5"/>
  <c r="H105" i="5"/>
  <c r="H97" i="5"/>
  <c r="A1458" i="17"/>
  <c r="A1457" i="17"/>
  <c r="A1456" i="17"/>
  <c r="A1455" i="17"/>
  <c r="A1454" i="17"/>
  <c r="A1453" i="17"/>
  <c r="A1452" i="17"/>
  <c r="A1451" i="17"/>
  <c r="A1450" i="17"/>
  <c r="A1449" i="17"/>
  <c r="A1448" i="17"/>
  <c r="A1376" i="17"/>
  <c r="A1375" i="17"/>
  <c r="A1374" i="17"/>
  <c r="A1373" i="17"/>
  <c r="A1372" i="17"/>
  <c r="A1371" i="17"/>
  <c r="A1370" i="17"/>
  <c r="A1369" i="17"/>
  <c r="A1368" i="17"/>
  <c r="A1367" i="17"/>
  <c r="A1366" i="17"/>
  <c r="A1365" i="17"/>
  <c r="A1364" i="17"/>
  <c r="A1363" i="17"/>
  <c r="A1362" i="17"/>
  <c r="A1361" i="17"/>
  <c r="A1360" i="17"/>
  <c r="A1359" i="17"/>
  <c r="A1358" i="17"/>
  <c r="A1357" i="17"/>
  <c r="A1356" i="17"/>
  <c r="A1355" i="17"/>
  <c r="A1354" i="17"/>
  <c r="A1353" i="17"/>
  <c r="A1289" i="17"/>
  <c r="A1288" i="17"/>
  <c r="A1213" i="17"/>
  <c r="A1212" i="17"/>
  <c r="A1211" i="17"/>
  <c r="A1210" i="17"/>
  <c r="A1209" i="17"/>
  <c r="A1208" i="17"/>
  <c r="A1207" i="17"/>
  <c r="A1206" i="17"/>
  <c r="A1205" i="17"/>
  <c r="A1204" i="17"/>
  <c r="A1203" i="17"/>
  <c r="A1131" i="17"/>
  <c r="A1130" i="17"/>
  <c r="A1129" i="17"/>
  <c r="A1128" i="17"/>
  <c r="A1127" i="17"/>
  <c r="A1126" i="17"/>
  <c r="A1125" i="17"/>
  <c r="A1124" i="17"/>
  <c r="A1123" i="17"/>
  <c r="A1122" i="17"/>
  <c r="A1121" i="17"/>
  <c r="A1120" i="17"/>
  <c r="A1119" i="17"/>
  <c r="A1118" i="17"/>
  <c r="A1117" i="17"/>
  <c r="A1116" i="17"/>
  <c r="A1115" i="17"/>
  <c r="A1114" i="17"/>
  <c r="A1113" i="17"/>
  <c r="A1112" i="17"/>
  <c r="A1111" i="17"/>
  <c r="A1110" i="17"/>
  <c r="A1109" i="17"/>
  <c r="A1108" i="17"/>
  <c r="A958" i="17"/>
  <c r="A886" i="17"/>
  <c r="A885" i="17"/>
  <c r="A884" i="17"/>
  <c r="A883" i="17"/>
  <c r="A882" i="17"/>
  <c r="A881" i="17"/>
  <c r="A880" i="17"/>
  <c r="A879" i="17"/>
  <c r="A878" i="17"/>
  <c r="A877" i="17"/>
  <c r="A876" i="17"/>
  <c r="A875" i="17"/>
  <c r="A874" i="17"/>
  <c r="A873" i="17"/>
  <c r="A872" i="17"/>
  <c r="A871" i="17"/>
  <c r="A870" i="17"/>
  <c r="A869" i="17"/>
  <c r="A868" i="17"/>
  <c r="A867" i="17"/>
  <c r="A866" i="17"/>
  <c r="A865" i="17"/>
  <c r="A864" i="17"/>
  <c r="A863" i="17"/>
  <c r="T206" i="17"/>
  <c r="R206" i="17"/>
  <c r="V205" i="17"/>
  <c r="I203" i="17"/>
  <c r="I202" i="17"/>
  <c r="V201" i="17"/>
  <c r="I201" i="17"/>
  <c r="I200" i="17"/>
  <c r="I196" i="17"/>
  <c r="I125" i="17"/>
  <c r="I124" i="17"/>
  <c r="I123" i="17"/>
  <c r="I122" i="17"/>
  <c r="I112" i="17"/>
  <c r="R111" i="17"/>
  <c r="T110" i="17"/>
  <c r="I109" i="17"/>
  <c r="R107" i="17"/>
  <c r="I107" i="17"/>
  <c r="R106" i="17"/>
  <c r="I105" i="17"/>
  <c r="I100" i="17"/>
  <c r="I99" i="17"/>
  <c r="AL97" i="17"/>
  <c r="R97" i="17"/>
  <c r="I97" i="17"/>
  <c r="T95" i="17"/>
  <c r="P95" i="17"/>
  <c r="I95" i="17"/>
  <c r="R2" i="17"/>
  <c r="B5" i="12"/>
  <c r="B22" i="1" s="1"/>
  <c r="D4" i="12"/>
  <c r="D21" i="1" s="1"/>
  <c r="BG242" i="11"/>
  <c r="BA242" i="11"/>
  <c r="AT242" i="11"/>
  <c r="AE242" i="11"/>
  <c r="AA242" i="11"/>
  <c r="Q242" i="11"/>
  <c r="H242" i="11"/>
  <c r="BA241" i="11"/>
  <c r="AS241" i="11"/>
  <c r="AA241" i="11"/>
  <c r="S241" i="11"/>
  <c r="N241" i="11"/>
  <c r="H241" i="11"/>
  <c r="BG240" i="11"/>
  <c r="AU240" i="11"/>
  <c r="AG240" i="11"/>
  <c r="Y240" i="11"/>
  <c r="V240" i="11"/>
  <c r="S240" i="11"/>
  <c r="M240" i="11"/>
  <c r="K240" i="11"/>
  <c r="D240" i="11"/>
  <c r="BG239" i="11"/>
  <c r="AT239" i="11"/>
  <c r="AE239" i="11"/>
  <c r="AB239" i="11"/>
  <c r="W239" i="11"/>
  <c r="S239" i="11"/>
  <c r="N239" i="11"/>
  <c r="D239" i="11"/>
  <c r="BJ238" i="11"/>
  <c r="BB238" i="11"/>
  <c r="AT238" i="11"/>
  <c r="AG238" i="11"/>
  <c r="Z238" i="11"/>
  <c r="Q238" i="11"/>
  <c r="I238" i="11"/>
  <c r="BE237" i="11"/>
  <c r="BC237" i="11"/>
  <c r="AX237" i="11"/>
  <c r="AV237" i="11"/>
  <c r="AG237" i="11"/>
  <c r="Z237" i="11"/>
  <c r="V237" i="11"/>
  <c r="O237" i="11"/>
  <c r="G237" i="11"/>
  <c r="E237" i="11"/>
  <c r="BI236" i="11"/>
  <c r="BC236" i="11"/>
  <c r="AS236" i="11"/>
  <c r="AE236" i="11"/>
  <c r="AA236" i="11"/>
  <c r="M236" i="11"/>
  <c r="B210" i="11"/>
  <c r="BH209" i="11"/>
  <c r="BE209" i="11"/>
  <c r="BA209" i="11"/>
  <c r="AU209" i="11"/>
  <c r="AM209" i="11"/>
  <c r="AI209" i="11"/>
  <c r="AA209" i="11"/>
  <c r="T209" i="11"/>
  <c r="O209" i="11"/>
  <c r="M209" i="11"/>
  <c r="J209" i="11"/>
  <c r="L209" i="17" s="1"/>
  <c r="F455" i="18" s="1"/>
  <c r="G209" i="11"/>
  <c r="D209" i="11"/>
  <c r="BH208" i="11"/>
  <c r="BE208" i="11"/>
  <c r="BA208" i="11"/>
  <c r="AT208" i="11"/>
  <c r="Z208" i="11"/>
  <c r="U208" i="11"/>
  <c r="O208" i="11"/>
  <c r="BJ207" i="11"/>
  <c r="BC207" i="11"/>
  <c r="AN207" i="11"/>
  <c r="AH207" i="11"/>
  <c r="AB207" i="11"/>
  <c r="U207" i="11"/>
  <c r="K207" i="11"/>
  <c r="M207" i="17" s="1"/>
  <c r="H453" i="18" s="1"/>
  <c r="AS206" i="11"/>
  <c r="K206" i="11"/>
  <c r="BG205" i="11"/>
  <c r="AS205" i="11"/>
  <c r="O205" i="11"/>
  <c r="BH204" i="11"/>
  <c r="AV204" i="11"/>
  <c r="T204" i="11"/>
  <c r="M204" i="11"/>
  <c r="H204" i="11"/>
  <c r="J204" i="17" s="1"/>
  <c r="BH203" i="11"/>
  <c r="AV203" i="11"/>
  <c r="P203" i="11"/>
  <c r="G203" i="11"/>
  <c r="E203" i="11"/>
  <c r="BG202" i="11"/>
  <c r="AM202" i="11"/>
  <c r="AG202" i="11"/>
  <c r="AC202" i="11"/>
  <c r="V202" i="11"/>
  <c r="K202" i="11"/>
  <c r="M202" i="17" s="1"/>
  <c r="BJ201" i="11"/>
  <c r="AX201" i="11"/>
  <c r="AV201" i="11"/>
  <c r="Y201" i="11"/>
  <c r="S201" i="11"/>
  <c r="I201" i="11"/>
  <c r="BJ200" i="11"/>
  <c r="BA200" i="11"/>
  <c r="AN200" i="11"/>
  <c r="AF200" i="11"/>
  <c r="AC200" i="11"/>
  <c r="K200" i="11"/>
  <c r="BH199" i="11"/>
  <c r="AX199" i="11"/>
  <c r="AS199" i="11"/>
  <c r="P199" i="11"/>
  <c r="C199" i="11"/>
  <c r="BB198" i="11"/>
  <c r="AG198" i="11"/>
  <c r="Z198" i="11"/>
  <c r="Q198" i="11"/>
  <c r="G198" i="11"/>
  <c r="E198" i="11"/>
  <c r="BG197" i="11"/>
  <c r="AV197" i="11"/>
  <c r="Y197" i="11"/>
  <c r="U197" i="11"/>
  <c r="J197" i="11"/>
  <c r="L197" i="17" s="1"/>
  <c r="B197" i="11"/>
  <c r="AV196" i="11"/>
  <c r="Y196" i="11"/>
  <c r="V196" i="11"/>
  <c r="S196" i="11"/>
  <c r="J196" i="11"/>
  <c r="L196" i="17" s="1"/>
  <c r="BI195" i="11"/>
  <c r="AT195" i="11"/>
  <c r="T195" i="11"/>
  <c r="H195" i="11"/>
  <c r="J195" i="17" s="1"/>
  <c r="BJ194" i="11"/>
  <c r="AM194" i="11"/>
  <c r="AH194" i="11"/>
  <c r="AA194" i="11"/>
  <c r="P194" i="11"/>
  <c r="E194" i="11"/>
  <c r="BA193" i="11"/>
  <c r="AS193" i="11"/>
  <c r="AA193" i="11"/>
  <c r="T193" i="11"/>
  <c r="N193" i="11"/>
  <c r="G193" i="11"/>
  <c r="BE192" i="11"/>
  <c r="BB192" i="11"/>
  <c r="AM192" i="11"/>
  <c r="AK192" i="11"/>
  <c r="AH192" i="11"/>
  <c r="AA192" i="11"/>
  <c r="S192" i="11"/>
  <c r="N192" i="11"/>
  <c r="G192" i="11"/>
  <c r="E192" i="11"/>
  <c r="BH191" i="11"/>
  <c r="AX191" i="11"/>
  <c r="AU191" i="11"/>
  <c r="U191" i="11"/>
  <c r="I191" i="11"/>
  <c r="K191" i="17" s="1"/>
  <c r="D437" i="18" s="1"/>
  <c r="B191" i="11"/>
  <c r="AT190" i="11"/>
  <c r="AC190" i="11"/>
  <c r="K190" i="11"/>
  <c r="BE189" i="11"/>
  <c r="BC189" i="11"/>
  <c r="AQ189" i="11"/>
  <c r="AN189" i="11"/>
  <c r="AH189" i="11"/>
  <c r="AB189" i="11"/>
  <c r="U189" i="11"/>
  <c r="O189" i="11"/>
  <c r="B189" i="11"/>
  <c r="BA188" i="11"/>
  <c r="AI188" i="11"/>
  <c r="AE188" i="11"/>
  <c r="AB188" i="11"/>
  <c r="U188" i="11"/>
  <c r="N188" i="11"/>
  <c r="G188" i="11"/>
  <c r="E188" i="11"/>
  <c r="BA187" i="11"/>
  <c r="AL187" i="11"/>
  <c r="AG187" i="11"/>
  <c r="AA187" i="11"/>
  <c r="U187" i="11"/>
  <c r="M187" i="11"/>
  <c r="I187" i="11"/>
  <c r="K187" i="17" s="1"/>
  <c r="D433" i="18" s="1"/>
  <c r="BJ186" i="11"/>
  <c r="AV186" i="11"/>
  <c r="Z186" i="11"/>
  <c r="T186" i="11"/>
  <c r="K186" i="11"/>
  <c r="M186" i="17" s="1"/>
  <c r="H432" i="18" s="1"/>
  <c r="AU185" i="11"/>
  <c r="O185" i="11"/>
  <c r="E185" i="11"/>
  <c r="BC184" i="11"/>
  <c r="AN184" i="11"/>
  <c r="AK184" i="11"/>
  <c r="AH184" i="11"/>
  <c r="AE184" i="11"/>
  <c r="Y184" i="11"/>
  <c r="W184" i="11"/>
  <c r="I184" i="11"/>
  <c r="K184" i="17" s="1"/>
  <c r="D430" i="18" s="1"/>
  <c r="BJ183" i="11"/>
  <c r="BB183" i="11"/>
  <c r="AO183" i="11"/>
  <c r="AK183" i="11"/>
  <c r="AF183" i="11"/>
  <c r="Y183" i="11"/>
  <c r="V183" i="11"/>
  <c r="N183" i="11"/>
  <c r="BH182" i="11"/>
  <c r="AT182" i="11"/>
  <c r="U182" i="11"/>
  <c r="I182" i="11"/>
  <c r="K182" i="17" s="1"/>
  <c r="D428" i="18" s="1"/>
  <c r="AT181" i="11"/>
  <c r="O181" i="11"/>
  <c r="BI180" i="11"/>
  <c r="AX180" i="11"/>
  <c r="AU180" i="11"/>
  <c r="V180" i="11"/>
  <c r="N180" i="11"/>
  <c r="G180" i="11"/>
  <c r="BH179" i="11"/>
  <c r="AV179" i="11"/>
  <c r="AC179" i="11"/>
  <c r="V179" i="11"/>
  <c r="O179" i="11"/>
  <c r="G179" i="11"/>
  <c r="D179" i="11"/>
  <c r="AT178" i="11"/>
  <c r="V178" i="11"/>
  <c r="P178" i="11"/>
  <c r="BJ177" i="11"/>
  <c r="BC177" i="11"/>
  <c r="AO177" i="11"/>
  <c r="AK177" i="11"/>
  <c r="AF177" i="11"/>
  <c r="Z177" i="11"/>
  <c r="N177" i="11"/>
  <c r="G177" i="11"/>
  <c r="AX176" i="11"/>
  <c r="AU176" i="11"/>
  <c r="P176" i="11"/>
  <c r="G176" i="11"/>
  <c r="C176" i="11"/>
  <c r="BE175" i="11"/>
  <c r="AX175" i="11"/>
  <c r="AU175" i="11"/>
  <c r="AE175" i="11"/>
  <c r="Z175" i="11"/>
  <c r="S175" i="11"/>
  <c r="N175" i="11"/>
  <c r="AS174" i="11"/>
  <c r="T174" i="11"/>
  <c r="N174" i="11"/>
  <c r="C174" i="11"/>
  <c r="BA173" i="11"/>
  <c r="AL173" i="11"/>
  <c r="AG173" i="11"/>
  <c r="AA173" i="11"/>
  <c r="J173" i="11"/>
  <c r="D173" i="11"/>
  <c r="BG172" i="11"/>
  <c r="AU172" i="11"/>
  <c r="AA172" i="11"/>
  <c r="V172" i="11"/>
  <c r="M172" i="11"/>
  <c r="I172" i="11"/>
  <c r="K172" i="17" s="1"/>
  <c r="D418" i="18" s="1"/>
  <c r="B172" i="11"/>
  <c r="BE171" i="11"/>
  <c r="BC171" i="11"/>
  <c r="AU171" i="11"/>
  <c r="V171" i="11"/>
  <c r="Q171" i="11"/>
  <c r="BJ170" i="11"/>
  <c r="AZ170" i="11"/>
  <c r="AO170" i="11"/>
  <c r="AL170" i="11"/>
  <c r="AH170" i="11"/>
  <c r="AE170" i="11"/>
  <c r="AB170" i="11"/>
  <c r="U170" i="11"/>
  <c r="J170" i="11"/>
  <c r="L170" i="17" s="1"/>
  <c r="F416" i="18" s="1"/>
  <c r="B170" i="11"/>
  <c r="BC169" i="11"/>
  <c r="AS169" i="11"/>
  <c r="T169" i="11"/>
  <c r="K169" i="11"/>
  <c r="M169" i="17" s="1"/>
  <c r="H415" i="18" s="1"/>
  <c r="AN168" i="11"/>
  <c r="AK168" i="11"/>
  <c r="AI168" i="11"/>
  <c r="AB168" i="11"/>
  <c r="T168" i="11"/>
  <c r="N168" i="11"/>
  <c r="H168" i="11"/>
  <c r="J168" i="17" s="1"/>
  <c r="B414" i="18" s="1"/>
  <c r="BH167" i="11"/>
  <c r="AV167" i="11"/>
  <c r="Y167" i="11"/>
  <c r="W167" i="11"/>
  <c r="P167" i="11"/>
  <c r="BE166" i="11"/>
  <c r="BA166" i="11"/>
  <c r="AM166" i="11"/>
  <c r="AI166" i="11"/>
  <c r="AE166" i="11"/>
  <c r="Z166" i="11"/>
  <c r="V166" i="11"/>
  <c r="I166" i="11"/>
  <c r="K166" i="17" s="1"/>
  <c r="D412" i="18" s="1"/>
  <c r="BI165" i="11"/>
  <c r="AU165" i="11"/>
  <c r="Y165" i="11"/>
  <c r="V165" i="11"/>
  <c r="N165" i="11"/>
  <c r="C165" i="11"/>
  <c r="BC164" i="11"/>
  <c r="AL164" i="11"/>
  <c r="AF164" i="11"/>
  <c r="AA164" i="11"/>
  <c r="Q164" i="11"/>
  <c r="G164" i="11"/>
  <c r="E164" i="11"/>
  <c r="BH163" i="11"/>
  <c r="AX163" i="11"/>
  <c r="AT163" i="11"/>
  <c r="Q163" i="11"/>
  <c r="G163" i="11"/>
  <c r="C163" i="11"/>
  <c r="BC162" i="11"/>
  <c r="AM162" i="11"/>
  <c r="AF162" i="11"/>
  <c r="W162" i="11"/>
  <c r="N162" i="11"/>
  <c r="B162" i="11"/>
  <c r="BA161" i="11"/>
  <c r="AN161" i="11"/>
  <c r="AH161" i="11"/>
  <c r="AB161" i="11"/>
  <c r="Q161" i="11"/>
  <c r="H161" i="11"/>
  <c r="J161" i="17" s="1"/>
  <c r="B407" i="18" s="1"/>
  <c r="BH160" i="11"/>
  <c r="AT160" i="11"/>
  <c r="AA160" i="11"/>
  <c r="M160" i="11"/>
  <c r="I160" i="11"/>
  <c r="K160" i="17" s="1"/>
  <c r="D406" i="18" s="1"/>
  <c r="BH159" i="11"/>
  <c r="AT159" i="11"/>
  <c r="T159" i="11"/>
  <c r="N159" i="11"/>
  <c r="D159" i="11"/>
  <c r="AQ158" i="11"/>
  <c r="AN158" i="11"/>
  <c r="AI158" i="11"/>
  <c r="AE158" i="11"/>
  <c r="Y158" i="11"/>
  <c r="U158" i="11"/>
  <c r="M158" i="11"/>
  <c r="H158" i="11"/>
  <c r="J158" i="17" s="1"/>
  <c r="B404" i="18" s="1"/>
  <c r="BC157" i="11"/>
  <c r="AQ157" i="11"/>
  <c r="AM157" i="11"/>
  <c r="AI157" i="11"/>
  <c r="AB157" i="11"/>
  <c r="U157" i="11"/>
  <c r="P157" i="11"/>
  <c r="D157" i="11"/>
  <c r="BA156" i="11"/>
  <c r="AN156" i="11"/>
  <c r="AK156" i="11"/>
  <c r="AG156" i="11"/>
  <c r="Z156" i="11"/>
  <c r="P156" i="11"/>
  <c r="E156" i="11"/>
  <c r="BE155" i="11"/>
  <c r="AX155" i="11"/>
  <c r="AQ155" i="11"/>
  <c r="AO155" i="11"/>
  <c r="AL155" i="11"/>
  <c r="AC155" i="11"/>
  <c r="S155" i="11"/>
  <c r="M155" i="11"/>
  <c r="H155" i="11"/>
  <c r="BH154" i="11"/>
  <c r="AX154" i="11"/>
  <c r="AV154" i="11"/>
  <c r="H154" i="11"/>
  <c r="P115" i="11"/>
  <c r="C115" i="11"/>
  <c r="AV114" i="11"/>
  <c r="M114" i="11"/>
  <c r="J114" i="11"/>
  <c r="BI113" i="11"/>
  <c r="AN113" i="11"/>
  <c r="AG113" i="11"/>
  <c r="Y113" i="11"/>
  <c r="W113" i="11"/>
  <c r="P113" i="11"/>
  <c r="C113" i="11"/>
  <c r="BG112" i="11"/>
  <c r="AS112" i="11"/>
  <c r="H112" i="11"/>
  <c r="BE111" i="11"/>
  <c r="BB111" i="11"/>
  <c r="AN111" i="11"/>
  <c r="AG111" i="11"/>
  <c r="V111" i="11"/>
  <c r="O111" i="11"/>
  <c r="B111" i="11"/>
  <c r="BE110" i="11"/>
  <c r="AG86" i="11"/>
  <c r="Y86" i="11"/>
  <c r="W86" i="11"/>
  <c r="U86" i="11"/>
  <c r="Q86" i="11"/>
  <c r="E86" i="11"/>
  <c r="BE85" i="11"/>
  <c r="AS85" i="11"/>
  <c r="O85" i="11"/>
  <c r="BB84" i="11"/>
  <c r="AM84" i="11"/>
  <c r="AE84" i="11"/>
  <c r="AA84" i="11"/>
  <c r="Q84" i="11"/>
  <c r="C84" i="11"/>
  <c r="BE83" i="11"/>
  <c r="BB83" i="11"/>
  <c r="AU83" i="11"/>
  <c r="W83" i="11"/>
  <c r="G83" i="11"/>
  <c r="D83" i="11"/>
  <c r="BI82" i="11"/>
  <c r="AT82" i="11"/>
  <c r="M82" i="11"/>
  <c r="H82" i="11"/>
  <c r="BE81" i="11"/>
  <c r="BA81" i="11"/>
  <c r="AO81" i="11"/>
  <c r="AI81" i="11"/>
  <c r="AB81" i="11"/>
  <c r="S81" i="11"/>
  <c r="N81" i="11"/>
  <c r="BH80" i="11"/>
  <c r="AM80" i="11"/>
  <c r="AE80" i="11"/>
  <c r="Z80" i="11"/>
  <c r="K80" i="11"/>
  <c r="BE79" i="11"/>
  <c r="BC79" i="11"/>
  <c r="AQ79" i="11"/>
  <c r="AL79" i="11"/>
  <c r="AF79" i="11"/>
  <c r="J79" i="11"/>
  <c r="BG78" i="11"/>
  <c r="AU78" i="11"/>
  <c r="Y78" i="11"/>
  <c r="O78" i="11"/>
  <c r="D78" i="11"/>
  <c r="BA77" i="11"/>
  <c r="AN77" i="11"/>
  <c r="AG77" i="11"/>
  <c r="Y77" i="11"/>
  <c r="U77" i="11"/>
  <c r="P77" i="11"/>
  <c r="BI76" i="11"/>
  <c r="AZ76" i="11"/>
  <c r="AL76" i="11"/>
  <c r="AG76" i="11"/>
  <c r="Y76" i="11"/>
  <c r="U76" i="11"/>
  <c r="N76" i="11"/>
  <c r="BG75" i="11"/>
  <c r="AV75" i="11"/>
  <c r="AI75" i="11"/>
  <c r="Y75" i="11"/>
  <c r="P75" i="11"/>
  <c r="E75" i="11"/>
  <c r="BG74" i="11"/>
  <c r="BA74" i="11"/>
  <c r="AO74" i="11"/>
  <c r="AG74" i="11"/>
  <c r="AC74" i="11"/>
  <c r="S74" i="11"/>
  <c r="K74" i="11"/>
  <c r="B74" i="11"/>
  <c r="BC73" i="11"/>
  <c r="AK73" i="11"/>
  <c r="AI73" i="11"/>
  <c r="AC73" i="11"/>
  <c r="V73" i="11"/>
  <c r="M73" i="11"/>
  <c r="I73" i="11"/>
  <c r="S27" i="11"/>
  <c r="N27" i="11"/>
  <c r="J27" i="11"/>
  <c r="G27" i="11"/>
  <c r="E27" i="11"/>
  <c r="BJ26" i="11"/>
  <c r="AZ26" i="11"/>
  <c r="AK26" i="11"/>
  <c r="AH26" i="11"/>
  <c r="AA26" i="11"/>
  <c r="H26" i="11"/>
  <c r="BI25" i="11"/>
  <c r="AN25" i="11"/>
  <c r="AH25" i="11"/>
  <c r="AC25" i="11"/>
  <c r="Z25" i="11"/>
  <c r="P25" i="11"/>
  <c r="AZ24" i="11"/>
  <c r="AO24" i="11"/>
  <c r="AH24" i="11"/>
  <c r="AB24" i="11"/>
  <c r="V24" i="11"/>
  <c r="O24" i="11"/>
  <c r="AX23" i="11"/>
  <c r="AU23" i="11"/>
  <c r="P23" i="11"/>
  <c r="C23" i="11"/>
  <c r="AU22" i="11"/>
  <c r="M22" i="11"/>
  <c r="I22" i="11"/>
  <c r="AV21" i="11"/>
  <c r="J21" i="11"/>
  <c r="BJ20" i="11"/>
  <c r="AZ20" i="11"/>
  <c r="AL20" i="11"/>
  <c r="AB20" i="11"/>
  <c r="U20" i="11"/>
  <c r="M20" i="11"/>
  <c r="G20" i="11"/>
  <c r="E20" i="11"/>
  <c r="BG19" i="11"/>
  <c r="AX19" i="11"/>
  <c r="AV19" i="11"/>
  <c r="T19" i="11"/>
  <c r="J19" i="11"/>
  <c r="AO18" i="11"/>
  <c r="AK18" i="11"/>
  <c r="AH18" i="11"/>
  <c r="AE18" i="11"/>
  <c r="AB18" i="11"/>
  <c r="N18" i="11"/>
  <c r="BG17" i="11"/>
  <c r="AU17" i="11"/>
  <c r="U17" i="11"/>
  <c r="J17" i="11"/>
  <c r="AT16" i="11"/>
  <c r="H16" i="11"/>
  <c r="AV15" i="11"/>
  <c r="O15" i="11"/>
  <c r="BJ14" i="11"/>
  <c r="AV14" i="11"/>
  <c r="S14" i="11"/>
  <c r="N14" i="11"/>
  <c r="AM13" i="11"/>
  <c r="AG13" i="11"/>
  <c r="AB13" i="11"/>
  <c r="G13" i="11"/>
  <c r="E13" i="11"/>
  <c r="AZ12" i="11"/>
  <c r="AF12" i="11"/>
  <c r="U12" i="11"/>
  <c r="P12" i="11"/>
  <c r="B12" i="11"/>
  <c r="BA11" i="11"/>
  <c r="AM11" i="11"/>
  <c r="AE11" i="11"/>
  <c r="AB11" i="11"/>
  <c r="T11" i="11"/>
  <c r="H11" i="11"/>
  <c r="J11" i="17" s="1"/>
  <c r="B257" i="18" s="1"/>
  <c r="BI10" i="11"/>
  <c r="AX10" i="11"/>
  <c r="AU10" i="11"/>
  <c r="H10" i="11"/>
  <c r="BE9" i="11"/>
  <c r="AZ9" i="11"/>
  <c r="AK9" i="11"/>
  <c r="AI9" i="11"/>
  <c r="U9" i="11"/>
  <c r="S9" i="11"/>
  <c r="Q9" i="11"/>
  <c r="BJ8" i="11"/>
  <c r="AN8" i="11"/>
  <c r="AF8" i="11"/>
  <c r="Q8" i="11"/>
  <c r="BG7" i="11"/>
  <c r="AS7" i="11"/>
  <c r="J7" i="11"/>
  <c r="B7" i="11"/>
  <c r="AS6" i="11"/>
  <c r="G6" i="11"/>
  <c r="C6" i="11"/>
  <c r="BH5" i="11"/>
  <c r="AS5" i="11"/>
  <c r="G5" i="11"/>
  <c r="AZ4" i="11"/>
  <c r="AQ4" i="11"/>
  <c r="AI4" i="11"/>
  <c r="Z4" i="11"/>
  <c r="N4" i="11"/>
  <c r="AS3" i="11"/>
  <c r="Q3" i="11"/>
  <c r="C3" i="11"/>
  <c r="AO2" i="11"/>
  <c r="AI2" i="11"/>
  <c r="AE2" i="11"/>
  <c r="AA2" i="11"/>
  <c r="P2" i="11"/>
  <c r="X144" i="5"/>
  <c r="X142" i="5"/>
  <c r="X141" i="5"/>
  <c r="M138" i="5"/>
  <c r="N138" i="5" s="1"/>
  <c r="X137" i="5"/>
  <c r="M132" i="5"/>
  <c r="N132" i="5" s="1"/>
  <c r="M126" i="5"/>
  <c r="N126" i="5" s="1"/>
  <c r="B125" i="5"/>
  <c r="M123" i="5"/>
  <c r="N123" i="5" s="1"/>
  <c r="M121" i="5"/>
  <c r="N121" i="5" s="1"/>
  <c r="B117" i="5"/>
  <c r="Y116" i="5"/>
  <c r="X114" i="5"/>
  <c r="H111" i="5"/>
  <c r="X107" i="5"/>
  <c r="H106" i="5"/>
  <c r="X105" i="5"/>
  <c r="M103" i="5"/>
  <c r="N103" i="5" s="1"/>
  <c r="H102" i="5"/>
  <c r="X101" i="5"/>
  <c r="X98" i="5"/>
  <c r="H98" i="5"/>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560" i="17"/>
  <c r="A559" i="17"/>
  <c r="A558" i="17"/>
  <c r="A557" i="17"/>
  <c r="A556" i="17"/>
  <c r="A555" i="17"/>
  <c r="A554" i="17"/>
  <c r="A553" i="17"/>
  <c r="A478" i="17"/>
  <c r="A477" i="17"/>
  <c r="A476" i="17"/>
  <c r="A475" i="17"/>
  <c r="A474" i="17"/>
  <c r="A473" i="17"/>
  <c r="A472" i="17"/>
  <c r="A471" i="17"/>
  <c r="A470" i="17"/>
  <c r="A469" i="17"/>
  <c r="A468"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I242" i="17"/>
  <c r="D242" i="17"/>
  <c r="A242" i="17"/>
  <c r="A733" i="18" s="1"/>
  <c r="I241" i="17"/>
  <c r="I240" i="17"/>
  <c r="I239" i="17"/>
  <c r="R238" i="17"/>
  <c r="I238" i="17"/>
  <c r="I237" i="17"/>
  <c r="I236" i="17"/>
  <c r="I224" i="17"/>
  <c r="I223" i="17"/>
  <c r="I222" i="17"/>
  <c r="I221" i="17"/>
  <c r="I220" i="17"/>
  <c r="I219" i="17"/>
  <c r="D219" i="17"/>
  <c r="A219" i="17"/>
  <c r="A710" i="18" s="1"/>
  <c r="I218" i="17"/>
  <c r="I217" i="17"/>
  <c r="I216" i="17"/>
  <c r="I215" i="17"/>
  <c r="I214" i="17"/>
  <c r="I213" i="17"/>
  <c r="I212" i="17"/>
  <c r="I211" i="17"/>
  <c r="I210" i="17"/>
  <c r="I209" i="17"/>
  <c r="V208" i="17"/>
  <c r="T208" i="17"/>
  <c r="I208" i="17"/>
  <c r="V207" i="17"/>
  <c r="T207" i="17"/>
  <c r="R207" i="17"/>
  <c r="I207" i="17"/>
  <c r="I206" i="17"/>
  <c r="I205" i="17"/>
  <c r="I204" i="17"/>
  <c r="T200" i="17"/>
  <c r="R200" i="17"/>
  <c r="I199" i="17"/>
  <c r="I197" i="17"/>
  <c r="I129" i="17"/>
  <c r="I126" i="17"/>
  <c r="I119" i="17"/>
  <c r="I118" i="17"/>
  <c r="I114" i="17"/>
  <c r="I113" i="17"/>
  <c r="I111" i="17"/>
  <c r="R110" i="17"/>
  <c r="T105" i="17"/>
  <c r="V102" i="17"/>
  <c r="P101" i="17"/>
  <c r="R98" i="17"/>
  <c r="P97" i="17"/>
  <c r="R94" i="17"/>
  <c r="I6" i="17"/>
  <c r="B6" i="12"/>
  <c r="B23" i="1" s="1"/>
  <c r="D5" i="12"/>
  <c r="D22" i="1" s="1"/>
  <c r="B4" i="12"/>
  <c r="B21" i="1" s="1"/>
  <c r="BH242" i="11"/>
  <c r="AX242" i="11"/>
  <c r="AV242" i="11"/>
  <c r="Z242" i="11"/>
  <c r="W242" i="11"/>
  <c r="S242" i="11"/>
  <c r="N242" i="11"/>
  <c r="G242" i="11"/>
  <c r="B242" i="11"/>
  <c r="BJ241" i="11"/>
  <c r="BE241" i="11"/>
  <c r="BB241" i="11"/>
  <c r="AV241" i="11"/>
  <c r="AE241" i="11"/>
  <c r="AB241" i="11"/>
  <c r="U241" i="11"/>
  <c r="M241" i="11"/>
  <c r="J241" i="11"/>
  <c r="E241" i="11"/>
  <c r="BH240" i="11"/>
  <c r="BA240" i="11"/>
  <c r="AQ240" i="11"/>
  <c r="AO240" i="11"/>
  <c r="AN240" i="11"/>
  <c r="AK240" i="11"/>
  <c r="AF240" i="11"/>
  <c r="AA240" i="11"/>
  <c r="Q240" i="11"/>
  <c r="G240" i="11"/>
  <c r="E240" i="11"/>
  <c r="BB239" i="11"/>
  <c r="AO239" i="11"/>
  <c r="AM239" i="11"/>
  <c r="AL239" i="11"/>
  <c r="AH239" i="11"/>
  <c r="AC239" i="11"/>
  <c r="U239" i="11"/>
  <c r="M239" i="11"/>
  <c r="J239" i="11"/>
  <c r="B239" i="11"/>
  <c r="BC238" i="11"/>
  <c r="AM238" i="11"/>
  <c r="AK238" i="11"/>
  <c r="AH238" i="11"/>
  <c r="AC238" i="11"/>
  <c r="AA238" i="11"/>
  <c r="S238" i="11"/>
  <c r="M238" i="11"/>
  <c r="J238" i="11"/>
  <c r="E238" i="11"/>
  <c r="BI237" i="11"/>
  <c r="AT237" i="11"/>
  <c r="AA237" i="11"/>
  <c r="S237" i="11"/>
  <c r="N237" i="11"/>
  <c r="B237" i="11"/>
  <c r="BG236" i="11"/>
  <c r="AV236" i="11"/>
  <c r="AF236" i="11"/>
  <c r="Y236" i="11"/>
  <c r="V236" i="11"/>
  <c r="O236" i="11"/>
  <c r="I236" i="11"/>
  <c r="B236" i="11"/>
  <c r="BG235" i="11"/>
  <c r="AQ208" i="11"/>
  <c r="AO208" i="11"/>
  <c r="AL208" i="11"/>
  <c r="AH208" i="11"/>
  <c r="AA208" i="11"/>
  <c r="J208" i="11"/>
  <c r="BG207" i="11"/>
  <c r="AS207" i="11"/>
  <c r="AA207" i="11"/>
  <c r="J207" i="11"/>
  <c r="BA206" i="11"/>
  <c r="AM206" i="11"/>
  <c r="AF206" i="11"/>
  <c r="W206" i="11"/>
  <c r="U206" i="11"/>
  <c r="N206" i="11"/>
  <c r="BB205" i="11"/>
  <c r="AL205" i="11"/>
  <c r="AF205" i="11"/>
  <c r="AB205" i="11"/>
  <c r="U205" i="11"/>
  <c r="I205" i="11"/>
  <c r="K205" i="17" s="1"/>
  <c r="BI204" i="11"/>
  <c r="AZ204" i="11"/>
  <c r="AN204" i="11"/>
  <c r="AG204" i="11"/>
  <c r="AC204" i="11"/>
  <c r="W204" i="11"/>
  <c r="Q204" i="11"/>
  <c r="G204" i="11"/>
  <c r="E204" i="11"/>
  <c r="BE203" i="11"/>
  <c r="BC203" i="11"/>
  <c r="AQ203" i="11"/>
  <c r="AN203" i="11"/>
  <c r="AK203" i="11"/>
  <c r="AG203" i="11"/>
  <c r="AE203" i="11"/>
  <c r="AC203" i="11"/>
  <c r="Y203" i="11"/>
  <c r="U203" i="11"/>
  <c r="K203" i="11"/>
  <c r="M203" i="17" s="1"/>
  <c r="C203" i="11"/>
  <c r="BB202" i="11"/>
  <c r="AT202" i="11"/>
  <c r="I202" i="11"/>
  <c r="BI201" i="11"/>
  <c r="BA201" i="11"/>
  <c r="AO201" i="11"/>
  <c r="AK201" i="11"/>
  <c r="AH201" i="11"/>
  <c r="AC201" i="11"/>
  <c r="Z201" i="11"/>
  <c r="V201" i="11"/>
  <c r="P201" i="11"/>
  <c r="B201" i="11"/>
  <c r="AV200" i="11"/>
  <c r="W200" i="11"/>
  <c r="Q200" i="11"/>
  <c r="G200" i="11"/>
  <c r="E200" i="11"/>
  <c r="BE199" i="11"/>
  <c r="BC199" i="11"/>
  <c r="AT199" i="11"/>
  <c r="AB199" i="11"/>
  <c r="T199" i="11"/>
  <c r="H199" i="11"/>
  <c r="J199" i="17" s="1"/>
  <c r="BI198" i="11"/>
  <c r="AS198" i="11"/>
  <c r="J198" i="11"/>
  <c r="BC197" i="11"/>
  <c r="AQ197" i="11"/>
  <c r="AL197" i="11"/>
  <c r="AI197" i="11"/>
  <c r="AE197" i="11"/>
  <c r="Z197" i="11"/>
  <c r="T197" i="11"/>
  <c r="K197" i="11"/>
  <c r="BJ196" i="11"/>
  <c r="AZ196" i="11"/>
  <c r="AO196" i="11"/>
  <c r="AL196" i="11"/>
  <c r="AH196" i="11"/>
  <c r="AA196" i="11"/>
  <c r="N196" i="11"/>
  <c r="B196" i="11"/>
  <c r="BG195" i="11"/>
  <c r="AV195" i="11"/>
  <c r="J195" i="11"/>
  <c r="L195" i="17" s="1"/>
  <c r="C195" i="11"/>
  <c r="BE194" i="11"/>
  <c r="BB194" i="11"/>
  <c r="AS194" i="11"/>
  <c r="W194" i="11"/>
  <c r="Q194" i="11"/>
  <c r="G194" i="11"/>
  <c r="D194" i="11"/>
  <c r="BI193" i="11"/>
  <c r="AV193" i="11"/>
  <c r="AE193" i="11"/>
  <c r="Y193" i="11"/>
  <c r="V193" i="11"/>
  <c r="P193" i="11"/>
  <c r="E193" i="11"/>
  <c r="BH192" i="11"/>
  <c r="AU192" i="11"/>
  <c r="AG192" i="11"/>
  <c r="W192" i="11"/>
  <c r="Q192" i="11"/>
  <c r="C192" i="11"/>
  <c r="BE191" i="11"/>
  <c r="BC191" i="11"/>
  <c r="AQ191" i="11"/>
  <c r="AO191" i="11"/>
  <c r="AL191" i="11"/>
  <c r="AF191" i="11"/>
  <c r="Z191" i="11"/>
  <c r="P191" i="11"/>
  <c r="G191" i="11"/>
  <c r="E191" i="11"/>
  <c r="BG190" i="11"/>
  <c r="AZ190" i="11"/>
  <c r="AN190" i="11"/>
  <c r="AM190" i="11"/>
  <c r="AG190" i="11"/>
  <c r="W190" i="11"/>
  <c r="T190" i="11"/>
  <c r="J190" i="11"/>
  <c r="L190" i="17" s="1"/>
  <c r="B190" i="11"/>
  <c r="BG189" i="11"/>
  <c r="AT189" i="11"/>
  <c r="W189" i="11"/>
  <c r="K189" i="11"/>
  <c r="M189" i="17" s="1"/>
  <c r="BI188" i="11"/>
  <c r="AU188" i="11"/>
  <c r="Z188" i="11"/>
  <c r="P188" i="11"/>
  <c r="D188" i="11"/>
  <c r="BC187" i="11"/>
  <c r="AQ187" i="11"/>
  <c r="AM187" i="11"/>
  <c r="AH187" i="11"/>
  <c r="AC187" i="11"/>
  <c r="W187" i="11"/>
  <c r="O187" i="11"/>
  <c r="AZ186" i="11"/>
  <c r="AN186" i="11"/>
  <c r="AF186" i="11"/>
  <c r="V186" i="11"/>
  <c r="N186" i="11"/>
  <c r="BJ185" i="11"/>
  <c r="AS185" i="11"/>
  <c r="T185" i="11"/>
  <c r="M185" i="11"/>
  <c r="H185" i="11"/>
  <c r="J185" i="17" s="1"/>
  <c r="BH184" i="11"/>
  <c r="AV184" i="11"/>
  <c r="AA184" i="11"/>
  <c r="T184" i="11"/>
  <c r="N184" i="11"/>
  <c r="AV183" i="11"/>
  <c r="AE183" i="11"/>
  <c r="AC183" i="11"/>
  <c r="Q183" i="11"/>
  <c r="G183" i="11"/>
  <c r="C183" i="11"/>
  <c r="BC182" i="11"/>
  <c r="AS182" i="11"/>
  <c r="O182" i="11"/>
  <c r="AZ181" i="11"/>
  <c r="AL181" i="11"/>
  <c r="AF181" i="11"/>
  <c r="AC181" i="11"/>
  <c r="J181" i="11"/>
  <c r="C181" i="11"/>
  <c r="BG180" i="11"/>
  <c r="AS180" i="11"/>
  <c r="T180" i="11"/>
  <c r="J180" i="11"/>
  <c r="BA179" i="11"/>
  <c r="AQ179" i="11"/>
  <c r="AM179" i="11"/>
  <c r="AF179" i="11"/>
  <c r="W179" i="11"/>
  <c r="P179" i="11"/>
  <c r="C179" i="11"/>
  <c r="BG178" i="11"/>
  <c r="AH178" i="11"/>
  <c r="Z178" i="11"/>
  <c r="Q178" i="11"/>
  <c r="G178" i="11"/>
  <c r="AS177" i="11"/>
  <c r="U177" i="11"/>
  <c r="O177" i="11"/>
  <c r="E177" i="11"/>
  <c r="BG176" i="11"/>
  <c r="AT176" i="11"/>
  <c r="V176" i="11"/>
  <c r="K176" i="11"/>
  <c r="M176" i="17" s="1"/>
  <c r="B176" i="11"/>
  <c r="BA175" i="11"/>
  <c r="AL175" i="11"/>
  <c r="AH175" i="11"/>
  <c r="AA175" i="11"/>
  <c r="P175" i="11"/>
  <c r="G175" i="11"/>
  <c r="BA174" i="11"/>
  <c r="AM174" i="11"/>
  <c r="AH174" i="11"/>
  <c r="AB174" i="11"/>
  <c r="I174" i="11"/>
  <c r="BI173" i="11"/>
  <c r="AS173" i="11"/>
  <c r="V173" i="11"/>
  <c r="Q173" i="11"/>
  <c r="H173" i="11"/>
  <c r="BI172" i="11"/>
  <c r="BC172" i="11"/>
  <c r="AS172" i="11"/>
  <c r="T172" i="11"/>
  <c r="J172" i="11"/>
  <c r="BJ171" i="11"/>
  <c r="AZ171" i="11"/>
  <c r="AK171" i="11"/>
  <c r="AC171" i="11"/>
  <c r="S171" i="11"/>
  <c r="O171" i="11"/>
  <c r="B171" i="11"/>
  <c r="BE170" i="11"/>
  <c r="BB170" i="11"/>
  <c r="AT170" i="11"/>
  <c r="N170" i="11"/>
  <c r="BB169" i="11"/>
  <c r="AM169" i="11"/>
  <c r="AH169" i="11"/>
  <c r="AE169" i="11"/>
  <c r="AA169" i="11"/>
  <c r="P169" i="11"/>
  <c r="H169" i="11"/>
  <c r="BI168" i="11"/>
  <c r="BB168" i="11"/>
  <c r="AS168" i="11"/>
  <c r="AC168" i="11"/>
  <c r="Q168" i="11"/>
  <c r="E168" i="11"/>
  <c r="BI167" i="11"/>
  <c r="AM167" i="11"/>
  <c r="AI167" i="11"/>
  <c r="AE167" i="11"/>
  <c r="AB167" i="11"/>
  <c r="S167" i="11"/>
  <c r="M167" i="11"/>
  <c r="I167" i="11"/>
  <c r="BJ166" i="11"/>
  <c r="AZ166" i="11"/>
  <c r="AN166" i="11"/>
  <c r="AG166" i="11"/>
  <c r="AC166" i="11"/>
  <c r="W166" i="11"/>
  <c r="Q166" i="11"/>
  <c r="G166" i="11"/>
  <c r="D166" i="11"/>
  <c r="BE165" i="11"/>
  <c r="BA165" i="11"/>
  <c r="AQ165" i="11"/>
  <c r="AM165" i="11"/>
  <c r="AH165" i="11"/>
  <c r="W165" i="11"/>
  <c r="O165" i="11"/>
  <c r="D165" i="11"/>
  <c r="AZ164" i="11"/>
  <c r="AO164" i="11"/>
  <c r="AK164" i="11"/>
  <c r="AI164" i="11"/>
  <c r="AC164" i="11"/>
  <c r="V164" i="11"/>
  <c r="S164" i="11"/>
  <c r="J164" i="11"/>
  <c r="L164" i="17" s="1"/>
  <c r="BC163" i="11"/>
  <c r="AS163" i="11"/>
  <c r="N163" i="11"/>
  <c r="D163" i="11"/>
  <c r="BE162" i="11"/>
  <c r="BA162" i="11"/>
  <c r="AO162" i="11"/>
  <c r="AI162" i="11"/>
  <c r="AC162" i="11"/>
  <c r="P162" i="11"/>
  <c r="C162" i="11"/>
  <c r="AV161" i="11"/>
  <c r="S161" i="11"/>
  <c r="N161" i="11"/>
  <c r="BB160" i="11"/>
  <c r="AM160" i="11"/>
  <c r="AI160" i="11"/>
  <c r="AE160" i="11"/>
  <c r="Z160" i="11"/>
  <c r="Q160" i="11"/>
  <c r="G160" i="11"/>
  <c r="B160" i="11"/>
  <c r="AZ159" i="11"/>
  <c r="AO159" i="11"/>
  <c r="AK159" i="11"/>
  <c r="AF159" i="11"/>
  <c r="Z159" i="11"/>
  <c r="P159" i="11"/>
  <c r="BJ158" i="11"/>
  <c r="AZ158" i="11"/>
  <c r="AL158" i="11"/>
  <c r="AG158" i="11"/>
  <c r="AA158" i="11"/>
  <c r="P158" i="11"/>
  <c r="BH157" i="11"/>
  <c r="AX157" i="11"/>
  <c r="AT157" i="11"/>
  <c r="K157" i="11"/>
  <c r="BI156" i="11"/>
  <c r="AX156" i="11"/>
  <c r="AT156" i="11"/>
  <c r="V156" i="11"/>
  <c r="Q156" i="11"/>
  <c r="G156" i="11"/>
  <c r="D156" i="11"/>
  <c r="BG155" i="11"/>
  <c r="AV155" i="11"/>
  <c r="P155" i="11"/>
  <c r="E155" i="11"/>
  <c r="BG154" i="11"/>
  <c r="AS154" i="11"/>
  <c r="T154" i="11"/>
  <c r="O154" i="11"/>
  <c r="C154" i="11"/>
  <c r="U115" i="11"/>
  <c r="N115" i="11"/>
  <c r="H115" i="11"/>
  <c r="BJ114" i="11"/>
  <c r="AX114" i="11"/>
  <c r="AU114" i="11"/>
  <c r="W114" i="11"/>
  <c r="P114" i="11"/>
  <c r="C114" i="11"/>
  <c r="BE113" i="11"/>
  <c r="BA113" i="11"/>
  <c r="AL113" i="11"/>
  <c r="AE113" i="11"/>
  <c r="AB113" i="11"/>
  <c r="J113" i="11"/>
  <c r="L113" i="17" s="1"/>
  <c r="AL112" i="11"/>
  <c r="AH112" i="11"/>
  <c r="U112" i="11"/>
  <c r="M112" i="11"/>
  <c r="J112" i="11"/>
  <c r="L112" i="17" s="1"/>
  <c r="BG111" i="11"/>
  <c r="AU111" i="11"/>
  <c r="N111" i="11"/>
  <c r="BA110" i="11"/>
  <c r="AL110" i="11"/>
  <c r="H110" i="11"/>
  <c r="J110" i="17" s="1"/>
  <c r="BH109" i="11"/>
  <c r="AX109" i="11"/>
  <c r="AT109" i="11"/>
  <c r="Q109" i="11"/>
  <c r="AX108" i="11"/>
  <c r="AV108" i="11"/>
  <c r="P108" i="11"/>
  <c r="G108" i="11"/>
  <c r="D108" i="11"/>
  <c r="BG107" i="11"/>
  <c r="AX107" i="11"/>
  <c r="AT107" i="11"/>
  <c r="AC107" i="11"/>
  <c r="J107" i="11"/>
  <c r="L107" i="17" s="1"/>
  <c r="AS106" i="11"/>
  <c r="I106" i="11"/>
  <c r="BG105" i="11"/>
  <c r="AV105" i="11"/>
  <c r="AG105" i="11"/>
  <c r="Y105" i="11"/>
  <c r="M105" i="11"/>
  <c r="H105" i="11"/>
  <c r="E105" i="11"/>
  <c r="BG104" i="11"/>
  <c r="AQ104" i="11"/>
  <c r="AO104" i="11"/>
  <c r="AL104" i="11"/>
  <c r="AF104" i="11"/>
  <c r="AA104" i="11"/>
  <c r="J104" i="11"/>
  <c r="AS103" i="11"/>
  <c r="K103" i="11"/>
  <c r="BI102" i="11"/>
  <c r="AV102" i="11"/>
  <c r="K102" i="11"/>
  <c r="AS101" i="11"/>
  <c r="J101" i="11"/>
  <c r="BJ100" i="11"/>
  <c r="AS100" i="11"/>
  <c r="W100" i="11"/>
  <c r="S100" i="11"/>
  <c r="N100" i="11"/>
  <c r="BJ99" i="11"/>
  <c r="AX99" i="11"/>
  <c r="AV99" i="11"/>
  <c r="U99" i="11"/>
  <c r="K99" i="11"/>
  <c r="BE98" i="11"/>
  <c r="BC98" i="11"/>
  <c r="AQ98" i="11"/>
  <c r="AM98" i="11"/>
  <c r="AH98" i="11"/>
  <c r="Z98" i="11"/>
  <c r="K98" i="11"/>
  <c r="D98" i="11"/>
  <c r="BA97" i="11"/>
  <c r="AN97" i="11"/>
  <c r="AK97" i="11"/>
  <c r="AH97" i="11"/>
  <c r="Y97" i="11"/>
  <c r="M97" i="11"/>
  <c r="I97" i="11"/>
  <c r="BJ96" i="11"/>
  <c r="AX96" i="11"/>
  <c r="AV96" i="11"/>
  <c r="AI96" i="11"/>
  <c r="Q96" i="11"/>
  <c r="G96" i="11"/>
  <c r="E96" i="11"/>
  <c r="BH95" i="11"/>
  <c r="AX95" i="11"/>
  <c r="AT95" i="11"/>
  <c r="AA95" i="11"/>
  <c r="J95" i="11"/>
  <c r="BJ94" i="11"/>
  <c r="AL94" i="11"/>
  <c r="AG94" i="11"/>
  <c r="Y94" i="11"/>
  <c r="O94" i="11"/>
  <c r="BJ93" i="11"/>
  <c r="AV93" i="11"/>
  <c r="AG93" i="11"/>
  <c r="S93" i="11"/>
  <c r="I93" i="11"/>
  <c r="BI92" i="11"/>
  <c r="AT92" i="11"/>
  <c r="S92" i="11"/>
  <c r="M92" i="11"/>
  <c r="J92" i="11"/>
  <c r="C92" i="11"/>
  <c r="BE91" i="11"/>
  <c r="AN91" i="11"/>
  <c r="AH91" i="11"/>
  <c r="AC91" i="11"/>
  <c r="K91" i="11"/>
  <c r="AV90" i="11"/>
  <c r="V90" i="11"/>
  <c r="G90" i="11"/>
  <c r="E90" i="11"/>
  <c r="BC89" i="11"/>
  <c r="AV89" i="11"/>
  <c r="I89" i="11"/>
  <c r="C89" i="11"/>
  <c r="AQ88" i="11"/>
  <c r="AO88" i="11"/>
  <c r="AL88" i="11"/>
  <c r="AE88" i="11"/>
  <c r="Z88" i="11"/>
  <c r="Q88" i="11"/>
  <c r="B88" i="11"/>
  <c r="AZ87" i="11"/>
  <c r="AM87" i="11"/>
  <c r="AG87" i="11"/>
  <c r="Z87" i="11"/>
  <c r="O87" i="11"/>
  <c r="BG86" i="11"/>
  <c r="AL86" i="11"/>
  <c r="AB86" i="11"/>
  <c r="V86" i="11"/>
  <c r="M86" i="11"/>
  <c r="I86" i="11"/>
  <c r="BG85" i="11"/>
  <c r="AK85" i="11"/>
  <c r="AE85" i="11"/>
  <c r="AA85" i="11"/>
  <c r="J85" i="11"/>
  <c r="BG84" i="11"/>
  <c r="AO84" i="11"/>
  <c r="AI84" i="11"/>
  <c r="AB84" i="11"/>
  <c r="M84" i="11"/>
  <c r="AT83" i="11"/>
  <c r="T83" i="11"/>
  <c r="I83" i="11"/>
  <c r="BG82" i="11"/>
  <c r="AK82" i="11"/>
  <c r="AG82" i="11"/>
  <c r="Z82" i="11"/>
  <c r="S82" i="11"/>
  <c r="J82" i="11"/>
  <c r="AQ81" i="11"/>
  <c r="AL81" i="11"/>
  <c r="AC81" i="11"/>
  <c r="Y81" i="11"/>
  <c r="W81" i="11"/>
  <c r="Q81" i="11"/>
  <c r="B81" i="11"/>
  <c r="AX80" i="11"/>
  <c r="AS80" i="11"/>
  <c r="N80" i="11"/>
  <c r="AV79" i="11"/>
  <c r="Y79" i="11"/>
  <c r="T79" i="11"/>
  <c r="P79" i="11"/>
  <c r="AX78" i="11"/>
  <c r="AS78" i="11"/>
  <c r="U78" i="11"/>
  <c r="I78" i="11"/>
  <c r="K78" i="17" s="1"/>
  <c r="BI77" i="11"/>
  <c r="AQ77" i="11"/>
  <c r="AM77" i="11"/>
  <c r="AF77" i="11"/>
  <c r="W77" i="11"/>
  <c r="G77" i="11"/>
  <c r="E77" i="11"/>
  <c r="BG76" i="11"/>
  <c r="AT76" i="11"/>
  <c r="O76" i="11"/>
  <c r="BA75" i="11"/>
  <c r="AM75" i="11"/>
  <c r="H75" i="11"/>
  <c r="BH74" i="11"/>
  <c r="AU74" i="11"/>
  <c r="Y74" i="11"/>
  <c r="W74" i="11"/>
  <c r="I74" i="11"/>
  <c r="AZ73" i="11"/>
  <c r="AL73" i="11"/>
  <c r="AF73" i="11"/>
  <c r="Y73" i="11"/>
  <c r="U73" i="11"/>
  <c r="H73" i="11"/>
  <c r="BI26" i="11"/>
  <c r="AX26" i="11"/>
  <c r="AT26" i="11"/>
  <c r="AC26" i="11"/>
  <c r="O26" i="11"/>
  <c r="AT25" i="11"/>
  <c r="G25" i="11"/>
  <c r="D25" i="11"/>
  <c r="BB24" i="11"/>
  <c r="AM24" i="11"/>
  <c r="AF24" i="11"/>
  <c r="W24" i="11"/>
  <c r="U24" i="11"/>
  <c r="S24" i="11"/>
  <c r="Q24" i="11"/>
  <c r="BI23" i="11"/>
  <c r="AN23" i="11"/>
  <c r="AG23" i="11"/>
  <c r="AA23" i="11"/>
  <c r="E23" i="11"/>
  <c r="BE22" i="11"/>
  <c r="BA22" i="11"/>
  <c r="AO22" i="11"/>
  <c r="AH22" i="11"/>
  <c r="AE22" i="11"/>
  <c r="AC22" i="11"/>
  <c r="S22" i="11"/>
  <c r="P22" i="11"/>
  <c r="BH21" i="11"/>
  <c r="AS21" i="11"/>
  <c r="G21" i="11"/>
  <c r="D21" i="11"/>
  <c r="BC20" i="11"/>
  <c r="AQ20" i="11"/>
  <c r="AM20" i="11"/>
  <c r="AE20" i="11"/>
  <c r="Z20" i="11"/>
  <c r="Q20" i="11"/>
  <c r="BJ19" i="11"/>
  <c r="AT19" i="11"/>
  <c r="Z19" i="11"/>
  <c r="I19" i="11"/>
  <c r="B19" i="11"/>
  <c r="BA18" i="11"/>
  <c r="AL18" i="11"/>
  <c r="AC18" i="11"/>
  <c r="Q18" i="11"/>
  <c r="BH17" i="11"/>
  <c r="AS17" i="11"/>
  <c r="H17" i="11"/>
  <c r="BH16" i="11"/>
  <c r="AQ16" i="11"/>
  <c r="AL16" i="11"/>
  <c r="AF16" i="11"/>
  <c r="W16" i="11"/>
  <c r="I16" i="11"/>
  <c r="BG15" i="11"/>
  <c r="AL15" i="11"/>
  <c r="AC15" i="11"/>
  <c r="V15" i="11"/>
  <c r="I15" i="11"/>
  <c r="BH14" i="11"/>
  <c r="AL14" i="11"/>
  <c r="AB14" i="11"/>
  <c r="Y14" i="11"/>
  <c r="Q14" i="11"/>
  <c r="D14" i="11"/>
  <c r="BE13" i="11"/>
  <c r="AZ13" i="11"/>
  <c r="AK13" i="11"/>
  <c r="AE13" i="11"/>
  <c r="AC13" i="11"/>
  <c r="Y13" i="11"/>
  <c r="V13" i="11"/>
  <c r="M13" i="11"/>
  <c r="I13" i="11"/>
  <c r="BJ12" i="11"/>
  <c r="AH12" i="11"/>
  <c r="Z12" i="11"/>
  <c r="I12" i="11"/>
  <c r="BG11" i="11"/>
  <c r="AO11" i="11"/>
  <c r="AG11" i="11"/>
  <c r="W11" i="11"/>
  <c r="J11" i="11"/>
  <c r="AT10" i="11"/>
  <c r="E10" i="11"/>
  <c r="BA9" i="11"/>
  <c r="AL9" i="11"/>
  <c r="AB9" i="11"/>
  <c r="T9" i="11"/>
  <c r="E9" i="11"/>
  <c r="BH8" i="11"/>
  <c r="AO8" i="11"/>
  <c r="AC8" i="11"/>
  <c r="O8" i="11"/>
  <c r="BJ7" i="11"/>
  <c r="AT7" i="11"/>
  <c r="E7" i="11"/>
  <c r="AV6" i="11"/>
  <c r="Q6" i="11"/>
  <c r="B6" i="11"/>
  <c r="AX5" i="11"/>
  <c r="AO5" i="11"/>
  <c r="AC5" i="11"/>
  <c r="O5" i="11"/>
  <c r="BG4" i="11"/>
  <c r="AV4" i="11"/>
  <c r="K4" i="11"/>
  <c r="BH3" i="11"/>
  <c r="AO3" i="11"/>
  <c r="AF3" i="11"/>
  <c r="Y3" i="11"/>
  <c r="N3" i="11"/>
  <c r="AZ2" i="11"/>
  <c r="AH2" i="11"/>
  <c r="T2" i="11"/>
  <c r="G2" i="11"/>
  <c r="D2" i="11"/>
  <c r="X140" i="5"/>
  <c r="M139" i="5"/>
  <c r="N139" i="5" s="1"/>
  <c r="Y136" i="5"/>
  <c r="B134" i="5"/>
  <c r="Y131" i="5"/>
  <c r="Y130" i="5"/>
  <c r="M129" i="5"/>
  <c r="N129" i="5" s="1"/>
  <c r="H128" i="5"/>
  <c r="M127" i="5"/>
  <c r="N127" i="5" s="1"/>
  <c r="M124" i="5"/>
  <c r="N124" i="5" s="1"/>
  <c r="M122" i="5"/>
  <c r="N122" i="5" s="1"/>
  <c r="H121" i="5"/>
  <c r="Y112" i="5"/>
  <c r="Y107" i="5"/>
  <c r="Y104" i="5"/>
  <c r="Y103" i="5"/>
  <c r="M102" i="5"/>
  <c r="N102" i="5" s="1"/>
  <c r="M100" i="5"/>
  <c r="N100" i="5" s="1"/>
  <c r="B99" i="5"/>
  <c r="Y98" i="5"/>
  <c r="B98" i="5"/>
  <c r="X97" i="5"/>
  <c r="B97" i="5"/>
  <c r="T193" i="17"/>
  <c r="R193" i="17"/>
  <c r="I193" i="17"/>
  <c r="T192" i="17"/>
  <c r="I192" i="17"/>
  <c r="D192" i="17"/>
  <c r="A192" i="17"/>
  <c r="A683" i="18" s="1"/>
  <c r="T191" i="17"/>
  <c r="R191" i="17"/>
  <c r="I191" i="17"/>
  <c r="D191" i="17"/>
  <c r="A191" i="17"/>
  <c r="A682" i="18" s="1"/>
  <c r="V190" i="17"/>
  <c r="R190" i="17"/>
  <c r="I190" i="17"/>
  <c r="I189" i="17"/>
  <c r="I188" i="17"/>
  <c r="I187" i="17"/>
  <c r="R186" i="17"/>
  <c r="I186" i="17"/>
  <c r="I185" i="17"/>
  <c r="R184" i="17"/>
  <c r="I184" i="17"/>
  <c r="AW183" i="17"/>
  <c r="AN183" i="17"/>
  <c r="AE183" i="17"/>
  <c r="V183" i="17"/>
  <c r="I183" i="17"/>
  <c r="I182" i="17"/>
  <c r="I181" i="17"/>
  <c r="I180" i="17"/>
  <c r="I179" i="17"/>
  <c r="T178" i="17"/>
  <c r="R178" i="17"/>
  <c r="I178" i="17"/>
  <c r="T177" i="17"/>
  <c r="I177" i="17"/>
  <c r="I176" i="17"/>
  <c r="AU175" i="17"/>
  <c r="AS175" i="17"/>
  <c r="AL175" i="17"/>
  <c r="AJ175" i="17"/>
  <c r="AC175" i="17"/>
  <c r="AA175" i="17"/>
  <c r="V175" i="17"/>
  <c r="T175" i="17"/>
  <c r="R175" i="17"/>
  <c r="I175" i="17"/>
  <c r="AU174" i="17"/>
  <c r="AL174" i="17"/>
  <c r="AC174" i="17"/>
  <c r="T174" i="17"/>
  <c r="I174" i="17"/>
  <c r="I173" i="17"/>
  <c r="I172" i="17"/>
  <c r="I171" i="17"/>
  <c r="AU170" i="17"/>
  <c r="AL170" i="17"/>
  <c r="AC170" i="17"/>
  <c r="T170" i="17"/>
  <c r="I170" i="17"/>
  <c r="AW169" i="17"/>
  <c r="AU169" i="17"/>
  <c r="AN169" i="17"/>
  <c r="AL169" i="17"/>
  <c r="AE169" i="17"/>
  <c r="AC169" i="17"/>
  <c r="V169" i="17"/>
  <c r="T169" i="17"/>
  <c r="I169" i="17"/>
  <c r="I168" i="17"/>
  <c r="AU167" i="17"/>
  <c r="AS167" i="17"/>
  <c r="AL167" i="17"/>
  <c r="AJ167" i="17"/>
  <c r="AC167" i="17"/>
  <c r="I167" i="17"/>
  <c r="I166" i="17"/>
  <c r="I165" i="17"/>
  <c r="I164" i="17"/>
  <c r="I163" i="17"/>
  <c r="I162" i="17"/>
  <c r="I161" i="17"/>
  <c r="I160" i="17"/>
  <c r="I159" i="17"/>
  <c r="I158" i="17"/>
  <c r="I157" i="17"/>
  <c r="I156" i="17"/>
  <c r="I155" i="17"/>
  <c r="I154" i="17"/>
  <c r="I128" i="17"/>
  <c r="I127" i="17"/>
  <c r="I116" i="17"/>
  <c r="I106" i="17"/>
  <c r="I103" i="17"/>
  <c r="I96" i="17"/>
  <c r="I4" i="17"/>
  <c r="B18" i="15"/>
  <c r="E6" i="12"/>
  <c r="E23" i="1" s="1"/>
  <c r="E5" i="12"/>
  <c r="E22" i="1" s="1"/>
  <c r="C4" i="12"/>
  <c r="C21" i="1" s="1"/>
  <c r="BE242" i="11"/>
  <c r="BB242" i="11"/>
  <c r="AN242" i="11"/>
  <c r="AL242" i="11"/>
  <c r="AI242" i="11"/>
  <c r="AF242" i="11"/>
  <c r="U242" i="11"/>
  <c r="M242" i="11"/>
  <c r="J242" i="11"/>
  <c r="C242" i="11"/>
  <c r="BI241" i="11"/>
  <c r="AU241" i="11"/>
  <c r="Z241" i="11"/>
  <c r="Q241" i="11"/>
  <c r="G241" i="11"/>
  <c r="C241" i="11"/>
  <c r="BJ240" i="11"/>
  <c r="BE240" i="11"/>
  <c r="BC240" i="11"/>
  <c r="AX240" i="11"/>
  <c r="AS240" i="11"/>
  <c r="AL240" i="11"/>
  <c r="AH240" i="11"/>
  <c r="Z240" i="11"/>
  <c r="U240" i="11"/>
  <c r="N240" i="11"/>
  <c r="H240" i="11"/>
  <c r="C240" i="11"/>
  <c r="BI239" i="11"/>
  <c r="BA239" i="11"/>
  <c r="AS239" i="11"/>
  <c r="Z239" i="11"/>
  <c r="Y239" i="11"/>
  <c r="O239" i="11"/>
  <c r="I239" i="11"/>
  <c r="BE238" i="11"/>
  <c r="AV238" i="11"/>
  <c r="AF238" i="11"/>
  <c r="V238" i="11"/>
  <c r="N238" i="11"/>
  <c r="H238" i="11"/>
  <c r="BJ237" i="11"/>
  <c r="BA237" i="11"/>
  <c r="AU237" i="11"/>
  <c r="AE237" i="11"/>
  <c r="Y237" i="11"/>
  <c r="P237" i="11"/>
  <c r="H237" i="11"/>
  <c r="BJ236" i="11"/>
  <c r="BA236" i="11"/>
  <c r="AU236" i="11"/>
  <c r="AH236" i="11"/>
  <c r="AB236" i="11"/>
  <c r="S236" i="11"/>
  <c r="Q236" i="11"/>
  <c r="J236" i="11"/>
  <c r="C236" i="11"/>
  <c r="AF208" i="11"/>
  <c r="W208" i="11"/>
  <c r="N208" i="11"/>
  <c r="C208" i="11"/>
  <c r="BH207" i="11"/>
  <c r="AX207" i="11"/>
  <c r="AT207" i="11"/>
  <c r="P207" i="11"/>
  <c r="BE206" i="11"/>
  <c r="BC206" i="11"/>
  <c r="AQ206" i="11"/>
  <c r="AN206" i="11"/>
  <c r="AK206" i="11"/>
  <c r="AH206" i="11"/>
  <c r="AC206" i="11"/>
  <c r="T206" i="11"/>
  <c r="H206" i="11"/>
  <c r="J206" i="17" s="1"/>
  <c r="B206" i="11"/>
  <c r="AZ205" i="11"/>
  <c r="AQ205" i="11"/>
  <c r="AO205" i="11"/>
  <c r="AK205" i="11"/>
  <c r="AH205" i="11"/>
  <c r="AA205" i="11"/>
  <c r="J205" i="11"/>
  <c r="BC204" i="11"/>
  <c r="AO204" i="11"/>
  <c r="AK204" i="11"/>
  <c r="AF204" i="11"/>
  <c r="AE204" i="11"/>
  <c r="Y204" i="11"/>
  <c r="P204" i="11"/>
  <c r="D204" i="11"/>
  <c r="BA203" i="11"/>
  <c r="AO203" i="11"/>
  <c r="AI203" i="11"/>
  <c r="AA203" i="11"/>
  <c r="S203" i="11"/>
  <c r="O203" i="11"/>
  <c r="BJ202" i="11"/>
  <c r="AZ202" i="11"/>
  <c r="AK202" i="11"/>
  <c r="AH202" i="11"/>
  <c r="AE202" i="11"/>
  <c r="Z202" i="11"/>
  <c r="Q202" i="11"/>
  <c r="G202" i="11"/>
  <c r="E202" i="11"/>
  <c r="BH201" i="11"/>
  <c r="AT201" i="11"/>
  <c r="N201" i="11"/>
  <c r="D201" i="11"/>
  <c r="BG200" i="11"/>
  <c r="AS200" i="11"/>
  <c r="V200" i="11"/>
  <c r="P200" i="11"/>
  <c r="BA199" i="11"/>
  <c r="AQ199" i="11"/>
  <c r="AO199" i="11"/>
  <c r="AI199" i="11"/>
  <c r="AC199" i="11"/>
  <c r="U199" i="11"/>
  <c r="K199" i="11"/>
  <c r="BA198" i="11"/>
  <c r="AQ198" i="11"/>
  <c r="AO198" i="11"/>
  <c r="AI198" i="11"/>
  <c r="AE198" i="11"/>
  <c r="W198" i="11"/>
  <c r="H198" i="11"/>
  <c r="BH197" i="11"/>
  <c r="AU197" i="11"/>
  <c r="V197" i="11"/>
  <c r="M197" i="11"/>
  <c r="H197" i="11"/>
  <c r="BI196" i="11"/>
  <c r="AS196" i="11"/>
  <c r="U196" i="11"/>
  <c r="K196" i="11"/>
  <c r="BH195" i="11"/>
  <c r="AU195" i="11"/>
  <c r="P195" i="11"/>
  <c r="G195" i="11"/>
  <c r="D195" i="11"/>
  <c r="AZ194" i="11"/>
  <c r="AN194" i="11"/>
  <c r="AF194" i="11"/>
  <c r="AE194" i="11"/>
  <c r="Y194" i="11"/>
  <c r="V194" i="11"/>
  <c r="H194" i="11"/>
  <c r="B194" i="11"/>
  <c r="AZ193" i="11"/>
  <c r="AM193" i="11"/>
  <c r="AG193" i="11"/>
  <c r="U193" i="11"/>
  <c r="O193" i="11"/>
  <c r="BJ192" i="11"/>
  <c r="BA192" i="11"/>
  <c r="AN192" i="11"/>
  <c r="AI192" i="11"/>
  <c r="AC192" i="11"/>
  <c r="U192" i="11"/>
  <c r="J192" i="11"/>
  <c r="L192" i="17" s="1"/>
  <c r="BA191" i="11"/>
  <c r="AM191" i="11"/>
  <c r="AG191" i="11"/>
  <c r="W191" i="11"/>
  <c r="N191" i="11"/>
  <c r="BB190" i="11"/>
  <c r="AS190" i="11"/>
  <c r="AF190" i="11"/>
  <c r="Q190" i="11"/>
  <c r="G190" i="11"/>
  <c r="D190" i="11"/>
  <c r="BA189" i="11"/>
  <c r="AM189" i="11"/>
  <c r="AF189" i="11"/>
  <c r="AA189" i="11"/>
  <c r="I189" i="11"/>
  <c r="BH188" i="11"/>
  <c r="AT188" i="11"/>
  <c r="S188" i="11"/>
  <c r="K188" i="11"/>
  <c r="B188" i="11"/>
  <c r="BG187" i="11"/>
  <c r="AT187" i="11"/>
  <c r="Q187" i="11"/>
  <c r="C187" i="11"/>
  <c r="BE186" i="11"/>
  <c r="BA186" i="11"/>
  <c r="AQ186" i="11"/>
  <c r="AM186" i="11"/>
  <c r="AE186" i="11"/>
  <c r="AA186" i="11"/>
  <c r="J186" i="11"/>
  <c r="BI185" i="11"/>
  <c r="AZ185" i="11"/>
  <c r="AQ185" i="11"/>
  <c r="AL185" i="11"/>
  <c r="AF185" i="11"/>
  <c r="Z185" i="11"/>
  <c r="V185" i="11"/>
  <c r="J185" i="11"/>
  <c r="L185" i="17" s="1"/>
  <c r="BB184" i="11"/>
  <c r="AQ184" i="11"/>
  <c r="AO184" i="11"/>
  <c r="AL184" i="11"/>
  <c r="AG184" i="11"/>
  <c r="Z184" i="11"/>
  <c r="S184" i="11"/>
  <c r="Q184" i="11"/>
  <c r="E184" i="11"/>
  <c r="BC183" i="11"/>
  <c r="AM183" i="11"/>
  <c r="AI183" i="11"/>
  <c r="AA183" i="11"/>
  <c r="M183" i="11"/>
  <c r="H183" i="11"/>
  <c r="J183" i="17" s="1"/>
  <c r="B183" i="11"/>
  <c r="BE182" i="11"/>
  <c r="BB182" i="11"/>
  <c r="AN182" i="11"/>
  <c r="AK182" i="11"/>
  <c r="AH182" i="11"/>
  <c r="AB182" i="11"/>
  <c r="W182" i="11"/>
  <c r="Q182" i="11"/>
  <c r="G182" i="11"/>
  <c r="E182" i="11"/>
  <c r="BG181" i="11"/>
  <c r="AX181" i="11"/>
  <c r="AU181" i="11"/>
  <c r="AB181" i="11"/>
  <c r="T181" i="11"/>
  <c r="N181" i="11"/>
  <c r="D181" i="11"/>
  <c r="BC180" i="11"/>
  <c r="AL180" i="11"/>
  <c r="AI180" i="11"/>
  <c r="AA180" i="11"/>
  <c r="Q180" i="11"/>
  <c r="E180" i="11"/>
  <c r="AZ179" i="11"/>
  <c r="AL179" i="11"/>
  <c r="AG179" i="11"/>
  <c r="AA179" i="11"/>
  <c r="J179" i="11"/>
  <c r="BH178" i="11"/>
  <c r="AX178" i="11"/>
  <c r="AU178" i="11"/>
  <c r="AC178" i="11"/>
  <c r="S178" i="11"/>
  <c r="N178" i="11"/>
  <c r="E178" i="11"/>
  <c r="BG177" i="11"/>
  <c r="AV177" i="11"/>
  <c r="V177" i="11"/>
  <c r="S177" i="11"/>
  <c r="K177" i="11"/>
  <c r="M177" i="17" s="1"/>
  <c r="BH176" i="11"/>
  <c r="AZ176" i="11"/>
  <c r="AQ176" i="11"/>
  <c r="AN176" i="11"/>
  <c r="AK176" i="11"/>
  <c r="AG176" i="11"/>
  <c r="AB176" i="11"/>
  <c r="S176" i="11"/>
  <c r="J176" i="11"/>
  <c r="BI175" i="11"/>
  <c r="BB175" i="11"/>
  <c r="AM175" i="11"/>
  <c r="AI175" i="11"/>
  <c r="AC175" i="11"/>
  <c r="Y175" i="11"/>
  <c r="M175" i="11"/>
  <c r="H175" i="11"/>
  <c r="BI174" i="11"/>
  <c r="BE174" i="11"/>
  <c r="BB174" i="11"/>
  <c r="AQ174" i="11"/>
  <c r="AL174" i="11"/>
  <c r="AG174" i="11"/>
  <c r="AC174" i="11"/>
  <c r="U174" i="11"/>
  <c r="O174" i="11"/>
  <c r="B174" i="11"/>
  <c r="BE173" i="11"/>
  <c r="BB173" i="11"/>
  <c r="AQ173" i="11"/>
  <c r="AN173" i="11"/>
  <c r="AF173" i="11"/>
  <c r="AB173" i="11"/>
  <c r="AT166" i="11"/>
  <c r="T166" i="11"/>
  <c r="M166" i="11"/>
  <c r="H166" i="11"/>
  <c r="J166" i="17" s="1"/>
  <c r="AS165" i="11"/>
  <c r="U165" i="11"/>
  <c r="J165" i="11"/>
  <c r="BJ164" i="11"/>
  <c r="AQ164" i="11"/>
  <c r="AM164" i="11"/>
  <c r="AH164" i="11"/>
  <c r="AE164" i="11"/>
  <c r="Z164" i="11"/>
  <c r="P164" i="11"/>
  <c r="C164" i="11"/>
  <c r="BG163" i="11"/>
  <c r="AQ163" i="11"/>
  <c r="AO163" i="11"/>
  <c r="AL163" i="11"/>
  <c r="AG163" i="11"/>
  <c r="AA163" i="11"/>
  <c r="O163" i="11"/>
  <c r="E163" i="11"/>
  <c r="BG162" i="11"/>
  <c r="AX162" i="11"/>
  <c r="AT162" i="11"/>
  <c r="Z162" i="11"/>
  <c r="J162" i="11"/>
  <c r="BJ161" i="11"/>
  <c r="AX161" i="11"/>
  <c r="AT161" i="11"/>
  <c r="O161" i="11"/>
  <c r="E161" i="11"/>
  <c r="BE160" i="11"/>
  <c r="BC160" i="11"/>
  <c r="AS160" i="11"/>
  <c r="J160" i="11"/>
  <c r="L160" i="17" s="1"/>
  <c r="C160" i="11"/>
  <c r="BB159" i="11"/>
  <c r="AQ159" i="11"/>
  <c r="AN159" i="11"/>
  <c r="AI159" i="11"/>
  <c r="AC159" i="11"/>
  <c r="J159" i="11"/>
  <c r="AV158" i="11"/>
  <c r="AB158" i="11"/>
  <c r="O158" i="11"/>
  <c r="E158" i="11"/>
  <c r="BE157" i="11"/>
  <c r="BB157" i="11"/>
  <c r="AL157" i="11"/>
  <c r="AF157" i="11"/>
  <c r="AC157" i="11"/>
  <c r="Z157" i="11"/>
  <c r="V157" i="11"/>
  <c r="J157" i="11"/>
  <c r="L157" i="17" s="1"/>
  <c r="BB156" i="11"/>
  <c r="AO156" i="11"/>
  <c r="AI156" i="11"/>
  <c r="AE156" i="11"/>
  <c r="AA156" i="11"/>
  <c r="J156" i="11"/>
  <c r="C156" i="11"/>
  <c r="BC155" i="11"/>
  <c r="AS155" i="11"/>
  <c r="T155" i="11"/>
  <c r="I155" i="11"/>
  <c r="K155" i="17" s="1"/>
  <c r="BI154" i="11"/>
  <c r="BB154" i="11"/>
  <c r="AQ154" i="11"/>
  <c r="AO154" i="11"/>
  <c r="AH154" i="11"/>
  <c r="AB154" i="11"/>
  <c r="S154" i="11"/>
  <c r="N154" i="11"/>
  <c r="G154" i="11"/>
  <c r="E154" i="11"/>
  <c r="BG153" i="11"/>
  <c r="J115" i="11"/>
  <c r="E115" i="11"/>
  <c r="BI114" i="11"/>
  <c r="BA114" i="11"/>
  <c r="AH114" i="11"/>
  <c r="AB114" i="11"/>
  <c r="S114" i="11"/>
  <c r="N114" i="11"/>
  <c r="BH113" i="11"/>
  <c r="AU113" i="11"/>
  <c r="K113" i="11"/>
  <c r="BJ112" i="11"/>
  <c r="AU112" i="11"/>
  <c r="G112" i="11"/>
  <c r="E112" i="11"/>
  <c r="BH111" i="11"/>
  <c r="AS111" i="11"/>
  <c r="T111" i="11"/>
  <c r="I111" i="11"/>
  <c r="K111" i="17" s="1"/>
  <c r="BI110" i="11"/>
  <c r="AS110" i="11"/>
  <c r="J110" i="11"/>
  <c r="L110" i="17" s="1"/>
  <c r="BI109" i="11"/>
  <c r="BA109" i="11"/>
  <c r="AQ109" i="11"/>
  <c r="AM109" i="11"/>
  <c r="AH109" i="11"/>
  <c r="AA109" i="11"/>
  <c r="J109" i="11"/>
  <c r="D109" i="11"/>
  <c r="BG108" i="11"/>
  <c r="AS108" i="11"/>
  <c r="AB108" i="11"/>
  <c r="H108" i="11"/>
  <c r="BH107" i="11"/>
  <c r="AV107" i="11"/>
  <c r="AB107" i="11"/>
  <c r="Q107" i="11"/>
  <c r="BA106" i="11"/>
  <c r="AM106" i="11"/>
  <c r="AH106" i="11"/>
  <c r="AC106" i="11"/>
  <c r="U106" i="11"/>
  <c r="H106" i="11"/>
  <c r="J106" i="17" s="1"/>
  <c r="B106" i="11"/>
  <c r="AS105" i="11"/>
  <c r="P105" i="11"/>
  <c r="B105" i="11"/>
  <c r="BE104" i="11"/>
  <c r="AV104" i="11"/>
  <c r="AG104" i="11"/>
  <c r="K104" i="11"/>
  <c r="M104" i="17" s="1"/>
  <c r="D104" i="11"/>
  <c r="AV103" i="11"/>
  <c r="AC103" i="11"/>
  <c r="U103" i="11"/>
  <c r="P103" i="11"/>
  <c r="BB102" i="11"/>
  <c r="AO102" i="11"/>
  <c r="AH102" i="11"/>
  <c r="AF102" i="11"/>
  <c r="Z102" i="11"/>
  <c r="J102" i="11"/>
  <c r="L102" i="17" s="1"/>
  <c r="BJ101" i="11"/>
  <c r="BB101" i="11"/>
  <c r="AL101" i="11"/>
  <c r="AI101" i="11"/>
  <c r="AE101" i="11"/>
  <c r="AB101" i="11"/>
  <c r="V101" i="11"/>
  <c r="O101" i="11"/>
  <c r="AZ100" i="11"/>
  <c r="AO100" i="11"/>
  <c r="AK100" i="11"/>
  <c r="AH100" i="11"/>
  <c r="AB100" i="11"/>
  <c r="U100" i="11"/>
  <c r="O100" i="11"/>
  <c r="B100" i="11"/>
  <c r="BA99" i="11"/>
  <c r="AO99" i="11"/>
  <c r="AI99" i="11"/>
  <c r="AB99" i="11"/>
  <c r="Q99" i="11"/>
  <c r="G99" i="11"/>
  <c r="D99" i="11"/>
  <c r="BB98" i="11"/>
  <c r="AS98" i="11"/>
  <c r="V98" i="11"/>
  <c r="P98" i="11"/>
  <c r="BE97" i="11"/>
  <c r="BC97" i="11"/>
  <c r="AV97" i="11"/>
  <c r="AC97" i="11"/>
  <c r="W97" i="11"/>
  <c r="S97" i="11"/>
  <c r="O97" i="11"/>
  <c r="BA96" i="11"/>
  <c r="AQ96" i="11"/>
  <c r="AO96" i="11"/>
  <c r="AL96" i="11"/>
  <c r="AG96" i="11"/>
  <c r="AA96" i="11"/>
  <c r="P96" i="11"/>
  <c r="C96" i="11"/>
  <c r="AZ95" i="11"/>
  <c r="AM95" i="11"/>
  <c r="AF95" i="11"/>
  <c r="AB95" i="11"/>
  <c r="M95" i="11"/>
  <c r="H95" i="11"/>
  <c r="J95" i="17" s="1"/>
  <c r="BH94" i="11"/>
  <c r="AX94" i="11"/>
  <c r="AS94" i="11"/>
  <c r="Z94" i="11"/>
  <c r="P94" i="11"/>
  <c r="E94" i="11"/>
  <c r="BI93" i="11"/>
  <c r="AL93" i="11"/>
  <c r="AK93" i="11"/>
  <c r="AI93" i="11"/>
  <c r="Y93" i="11"/>
  <c r="V93" i="11"/>
  <c r="O93" i="11"/>
  <c r="G93" i="11"/>
  <c r="E93" i="11"/>
  <c r="BC92" i="11"/>
  <c r="AQ92" i="11"/>
  <c r="AM92" i="11"/>
  <c r="AI92" i="11"/>
  <c r="AC92" i="11"/>
  <c r="U92" i="11"/>
  <c r="P92" i="11"/>
  <c r="BH91" i="11"/>
  <c r="BC91" i="11"/>
  <c r="AO91" i="11"/>
  <c r="AI91" i="11"/>
  <c r="AF91" i="11"/>
  <c r="Y91" i="11"/>
  <c r="V91" i="11"/>
  <c r="U91" i="11"/>
  <c r="T91" i="11"/>
  <c r="S91" i="11"/>
  <c r="Q91" i="11"/>
  <c r="G91" i="11"/>
  <c r="BH90" i="11"/>
  <c r="BB90" i="11"/>
  <c r="AQ90" i="11"/>
  <c r="AO90" i="11"/>
  <c r="AL90" i="11"/>
  <c r="AF90" i="11"/>
  <c r="AB90" i="11"/>
  <c r="U90" i="11"/>
  <c r="M90" i="11"/>
  <c r="H90" i="11"/>
  <c r="BH89" i="11"/>
  <c r="AU89" i="11"/>
  <c r="O89" i="11"/>
  <c r="D89" i="11"/>
  <c r="BE88" i="11"/>
  <c r="BC88" i="11"/>
  <c r="AN88" i="11"/>
  <c r="AI88" i="11"/>
  <c r="AC88" i="11"/>
  <c r="W88" i="11"/>
  <c r="S88" i="11"/>
  <c r="M88" i="11"/>
  <c r="K88" i="11"/>
  <c r="M88" i="17" s="1"/>
  <c r="BI87" i="11"/>
  <c r="AV87" i="11"/>
  <c r="K87" i="11"/>
  <c r="BI86" i="11"/>
  <c r="AO86" i="11"/>
  <c r="AK86" i="11"/>
  <c r="AI86" i="11"/>
  <c r="Z86" i="11"/>
  <c r="N86" i="11"/>
  <c r="BH85" i="11"/>
  <c r="AU85" i="11"/>
  <c r="K85" i="11"/>
  <c r="BC84" i="11"/>
  <c r="AL84" i="11"/>
  <c r="AC84" i="11"/>
  <c r="J84" i="11"/>
  <c r="BJ83" i="11"/>
  <c r="BA83" i="11"/>
  <c r="AO83" i="11"/>
  <c r="AE83" i="11"/>
  <c r="AB83" i="11"/>
  <c r="U83" i="11"/>
  <c r="N83" i="11"/>
  <c r="AZ82" i="11"/>
  <c r="AN82" i="11"/>
  <c r="AE82" i="11"/>
  <c r="AB82" i="11"/>
  <c r="Q82" i="11"/>
  <c r="C82" i="11"/>
  <c r="AZ81" i="11"/>
  <c r="AH81" i="11"/>
  <c r="Z81" i="11"/>
  <c r="O81" i="11"/>
  <c r="BC80" i="11"/>
  <c r="AO80" i="11"/>
  <c r="AH80" i="11"/>
  <c r="AC80" i="11"/>
  <c r="V80" i="11"/>
  <c r="M80" i="11"/>
  <c r="G80" i="11"/>
  <c r="E80" i="11"/>
  <c r="BG79" i="11"/>
  <c r="AU79" i="11"/>
  <c r="Z79" i="11"/>
  <c r="M79" i="11"/>
  <c r="H79" i="11"/>
  <c r="BE78" i="11"/>
  <c r="BA78" i="11"/>
  <c r="AK78" i="11"/>
  <c r="AG78" i="11"/>
  <c r="AB78" i="11"/>
  <c r="P78" i="11"/>
  <c r="BG77" i="11"/>
  <c r="AX77" i="11"/>
  <c r="AS77" i="11"/>
  <c r="M77" i="11"/>
  <c r="I77" i="11"/>
  <c r="BC76" i="11"/>
  <c r="AQ76" i="11"/>
  <c r="Z76" i="11"/>
  <c r="AH75" i="11"/>
  <c r="V75" i="11"/>
  <c r="N75" i="11"/>
  <c r="BI74" i="11"/>
  <c r="AX74" i="11"/>
  <c r="AV74" i="11"/>
  <c r="Q74" i="11"/>
  <c r="G74" i="11"/>
  <c r="E74" i="11"/>
  <c r="BE73" i="11"/>
  <c r="BA73" i="11"/>
  <c r="AQ73" i="11"/>
  <c r="AO73" i="11"/>
  <c r="AH73" i="11"/>
  <c r="AA73" i="11"/>
  <c r="J73" i="11"/>
  <c r="C27" i="11"/>
  <c r="BB26" i="11"/>
  <c r="AQ26" i="11"/>
  <c r="AO26" i="11"/>
  <c r="AL26" i="11"/>
  <c r="AG26" i="11"/>
  <c r="Y26" i="11"/>
  <c r="Q26" i="11"/>
  <c r="D26" i="11"/>
  <c r="BH25" i="11"/>
  <c r="AQ25" i="11"/>
  <c r="AM25" i="11"/>
  <c r="AG25" i="11"/>
  <c r="T25" i="11"/>
  <c r="N25" i="11"/>
  <c r="BG24" i="11"/>
  <c r="AT24" i="11"/>
  <c r="H24" i="11"/>
  <c r="BE23" i="11"/>
  <c r="BC23" i="11"/>
  <c r="AQ23" i="11"/>
  <c r="AM23" i="11"/>
  <c r="AB23" i="11"/>
  <c r="H23" i="11"/>
  <c r="BC22" i="11"/>
  <c r="AQ22" i="11"/>
  <c r="AK22" i="11"/>
  <c r="AI22" i="11"/>
  <c r="AA22" i="11"/>
  <c r="Q22" i="11"/>
  <c r="D22" i="11"/>
  <c r="BE21" i="11"/>
  <c r="BA21" i="11"/>
  <c r="AN21" i="11"/>
  <c r="AF21" i="11"/>
  <c r="AA21" i="11"/>
  <c r="S21" i="11"/>
  <c r="P21" i="11"/>
  <c r="C21" i="11"/>
  <c r="BA20" i="11"/>
  <c r="AF20" i="11"/>
  <c r="W20" i="11"/>
  <c r="P20" i="11"/>
  <c r="BA19" i="11"/>
  <c r="AO19" i="11"/>
  <c r="AH19" i="11"/>
  <c r="AC19" i="11"/>
  <c r="V19" i="11"/>
  <c r="O19" i="11"/>
  <c r="BH18" i="11"/>
  <c r="AV18" i="11"/>
  <c r="AA18" i="11"/>
  <c r="J18" i="11"/>
  <c r="AL17" i="11"/>
  <c r="AE17" i="11"/>
  <c r="AA17" i="11"/>
  <c r="N17" i="11"/>
  <c r="BE16" i="11"/>
  <c r="BC16" i="11"/>
  <c r="AB16" i="11"/>
  <c r="U16" i="11"/>
  <c r="M16" i="11"/>
  <c r="G16" i="11"/>
  <c r="E16" i="11"/>
  <c r="BE15" i="11"/>
  <c r="BB15" i="11"/>
  <c r="AO15" i="11"/>
  <c r="AH15" i="11"/>
  <c r="AB15" i="11"/>
  <c r="M15" i="11"/>
  <c r="H15" i="11"/>
  <c r="BG14" i="11"/>
  <c r="AX14" i="11"/>
  <c r="AU14" i="11"/>
  <c r="Z14" i="11"/>
  <c r="O14" i="11"/>
  <c r="C14" i="11"/>
  <c r="BC13" i="11"/>
  <c r="AQ13" i="11"/>
  <c r="AL13" i="11"/>
  <c r="AH13" i="11"/>
  <c r="AA13" i="11"/>
  <c r="J13" i="11"/>
  <c r="BB12" i="11"/>
  <c r="AE12" i="11"/>
  <c r="AB12" i="11"/>
  <c r="W12" i="11"/>
  <c r="Q12" i="11"/>
  <c r="D12" i="11"/>
  <c r="BE11" i="11"/>
  <c r="AZ11" i="11"/>
  <c r="AH11" i="11"/>
  <c r="Z11" i="11"/>
  <c r="P11" i="11"/>
  <c r="BH10" i="11"/>
  <c r="AO10" i="11"/>
  <c r="AK10" i="11"/>
  <c r="AE10" i="11"/>
  <c r="W10" i="11"/>
  <c r="T10" i="11"/>
  <c r="M10" i="11"/>
  <c r="G10" i="11"/>
  <c r="D10" i="11"/>
  <c r="AT9" i="11"/>
  <c r="H9" i="11"/>
  <c r="BC8" i="11"/>
  <c r="AU8" i="11"/>
  <c r="D8" i="11"/>
  <c r="BB7" i="11"/>
  <c r="AF7" i="11"/>
  <c r="AB7" i="11"/>
  <c r="I7" i="11"/>
  <c r="BJ6" i="11"/>
  <c r="AX6" i="11"/>
  <c r="AK6" i="11"/>
  <c r="AI6" i="11"/>
  <c r="AA6" i="11"/>
  <c r="O6" i="11"/>
  <c r="BG5" i="11"/>
  <c r="AL5" i="11"/>
  <c r="AB5" i="11"/>
  <c r="P5" i="11"/>
  <c r="BH4" i="11"/>
  <c r="AS4" i="11"/>
  <c r="E4" i="11"/>
  <c r="AX3" i="11"/>
  <c r="Y143" i="5"/>
  <c r="H142" i="5"/>
  <c r="H137" i="5"/>
  <c r="X134" i="5"/>
  <c r="Y122" i="5"/>
  <c r="Y110" i="5"/>
  <c r="X109" i="5"/>
  <c r="T92" i="17"/>
  <c r="P92" i="17"/>
  <c r="I92" i="17"/>
  <c r="D92" i="17"/>
  <c r="A92" i="17"/>
  <c r="A583" i="18" s="1"/>
  <c r="R91" i="17"/>
  <c r="P91" i="17"/>
  <c r="I91" i="17"/>
  <c r="D91" i="17"/>
  <c r="A91" i="17"/>
  <c r="A582" i="18" s="1"/>
  <c r="T90" i="17"/>
  <c r="I90" i="17"/>
  <c r="D90" i="17"/>
  <c r="A90" i="17"/>
  <c r="A581" i="18" s="1"/>
  <c r="I89" i="17"/>
  <c r="D89" i="17"/>
  <c r="A89" i="17"/>
  <c r="A580" i="18" s="1"/>
  <c r="I88" i="17"/>
  <c r="D88" i="17"/>
  <c r="A88" i="17"/>
  <c r="A579" i="18" s="1"/>
  <c r="I87" i="17"/>
  <c r="D87" i="17"/>
  <c r="A87" i="17"/>
  <c r="A578" i="18" s="1"/>
  <c r="P86" i="17"/>
  <c r="I86" i="17"/>
  <c r="D86" i="17"/>
  <c r="A86" i="17"/>
  <c r="A577" i="18" s="1"/>
  <c r="P85" i="17"/>
  <c r="I85" i="17"/>
  <c r="D85" i="17"/>
  <c r="A85" i="17"/>
  <c r="A576" i="18" s="1"/>
  <c r="T84" i="17"/>
  <c r="P84" i="17"/>
  <c r="I84" i="17"/>
  <c r="D84" i="17"/>
  <c r="A84" i="17"/>
  <c r="A575" i="18" s="1"/>
  <c r="I83" i="17"/>
  <c r="D83" i="17"/>
  <c r="A83" i="17"/>
  <c r="A574" i="18" s="1"/>
  <c r="P82" i="17"/>
  <c r="I82" i="17"/>
  <c r="D82" i="17"/>
  <c r="A82" i="17"/>
  <c r="A573" i="18" s="1"/>
  <c r="I81" i="17"/>
  <c r="D81" i="17"/>
  <c r="A81" i="17"/>
  <c r="A572" i="18" s="1"/>
  <c r="T80" i="17"/>
  <c r="R80" i="17"/>
  <c r="P80" i="17"/>
  <c r="I80" i="17"/>
  <c r="D80" i="17"/>
  <c r="A80" i="17"/>
  <c r="A571" i="18" s="1"/>
  <c r="R79" i="17"/>
  <c r="P79" i="17"/>
  <c r="I79" i="17"/>
  <c r="D79" i="17"/>
  <c r="A79" i="17"/>
  <c r="A570" i="18" s="1"/>
  <c r="R78" i="17"/>
  <c r="P78" i="17"/>
  <c r="I78" i="17"/>
  <c r="D78" i="17"/>
  <c r="A78" i="17"/>
  <c r="A569" i="18" s="1"/>
  <c r="T77" i="17"/>
  <c r="R77" i="17"/>
  <c r="P77" i="17"/>
  <c r="I77" i="17"/>
  <c r="D77" i="17"/>
  <c r="A77" i="17"/>
  <c r="A568" i="18" s="1"/>
  <c r="T76" i="17"/>
  <c r="R76" i="17"/>
  <c r="P76" i="17"/>
  <c r="I76" i="17"/>
  <c r="D76" i="17"/>
  <c r="A76" i="17"/>
  <c r="A567" i="18" s="1"/>
  <c r="T75" i="17"/>
  <c r="R75" i="17"/>
  <c r="P75" i="17"/>
  <c r="I75" i="17"/>
  <c r="D75" i="17"/>
  <c r="A75" i="17"/>
  <c r="A566" i="18" s="1"/>
  <c r="I74" i="17"/>
  <c r="D74" i="17"/>
  <c r="A74" i="17"/>
  <c r="A565" i="18" s="1"/>
  <c r="I73" i="17"/>
  <c r="D73" i="17"/>
  <c r="A73" i="17"/>
  <c r="A564" i="18" s="1"/>
  <c r="AV72" i="17"/>
  <c r="G1788" i="18" s="1"/>
  <c r="AT72" i="17"/>
  <c r="E1788" i="18" s="1"/>
  <c r="AR72" i="17"/>
  <c r="C1788" i="18" s="1"/>
  <c r="AP72" i="17"/>
  <c r="A1788" i="18" s="1"/>
  <c r="AM72" i="17"/>
  <c r="G1543" i="18" s="1"/>
  <c r="AK72" i="17"/>
  <c r="E1543" i="18" s="1"/>
  <c r="AI72" i="17"/>
  <c r="C1543" i="18" s="1"/>
  <c r="AG72" i="17"/>
  <c r="A1543" i="18" s="1"/>
  <c r="AD72" i="17"/>
  <c r="G1298" i="18" s="1"/>
  <c r="AB72" i="17"/>
  <c r="E1298" i="18" s="1"/>
  <c r="Z72" i="17"/>
  <c r="C1298" i="18" s="1"/>
  <c r="X72" i="17"/>
  <c r="A1298" i="18" s="1"/>
  <c r="U72" i="17"/>
  <c r="G1053" i="18" s="1"/>
  <c r="S72" i="17"/>
  <c r="E1053" i="18" s="1"/>
  <c r="Q72" i="17"/>
  <c r="C1053" i="18" s="1"/>
  <c r="O72" i="17"/>
  <c r="A1053" i="18" s="1"/>
  <c r="M72" i="17"/>
  <c r="L72" i="17"/>
  <c r="D72" i="17"/>
  <c r="A72" i="17"/>
  <c r="A563" i="18" s="1"/>
  <c r="D71" i="17"/>
  <c r="A71" i="17"/>
  <c r="A562" i="18" s="1"/>
  <c r="D70" i="17"/>
  <c r="A70" i="17"/>
  <c r="A561" i="18" s="1"/>
  <c r="D69" i="17"/>
  <c r="A69" i="17"/>
  <c r="A560" i="18" s="1"/>
  <c r="D68" i="17"/>
  <c r="A68" i="17"/>
  <c r="A559" i="18" s="1"/>
  <c r="D67" i="17"/>
  <c r="A67" i="17"/>
  <c r="A558" i="18" s="1"/>
  <c r="D66" i="17"/>
  <c r="A66" i="17"/>
  <c r="A557" i="18" s="1"/>
  <c r="D65" i="17"/>
  <c r="A65" i="17"/>
  <c r="A556" i="18" s="1"/>
  <c r="I64" i="17"/>
  <c r="D64" i="17"/>
  <c r="A64" i="17"/>
  <c r="A555" i="18" s="1"/>
  <c r="I63" i="17"/>
  <c r="D63" i="17"/>
  <c r="A63" i="17"/>
  <c r="A554" i="18" s="1"/>
  <c r="I62" i="17"/>
  <c r="D62" i="17"/>
  <c r="A62" i="17"/>
  <c r="A553" i="18" s="1"/>
  <c r="I61" i="17"/>
  <c r="D61" i="17"/>
  <c r="A61" i="17"/>
  <c r="A552" i="18" s="1"/>
  <c r="I60" i="17"/>
  <c r="D60" i="17"/>
  <c r="A60" i="17"/>
  <c r="A551" i="18" s="1"/>
  <c r="I59" i="17"/>
  <c r="D59" i="17"/>
  <c r="A59" i="17"/>
  <c r="A550" i="18" s="1"/>
  <c r="I58" i="17"/>
  <c r="D58" i="17"/>
  <c r="A58" i="17"/>
  <c r="A549" i="18" s="1"/>
  <c r="I57" i="17"/>
  <c r="D57" i="17"/>
  <c r="A57" i="17"/>
  <c r="A548" i="18" s="1"/>
  <c r="I56" i="17"/>
  <c r="D56" i="17"/>
  <c r="A56" i="17"/>
  <c r="A547" i="18" s="1"/>
  <c r="I55" i="17"/>
  <c r="D55" i="17"/>
  <c r="A55" i="17"/>
  <c r="A546" i="18" s="1"/>
  <c r="I54" i="17"/>
  <c r="D54" i="17"/>
  <c r="A54" i="17"/>
  <c r="A545" i="18" s="1"/>
  <c r="I53" i="17"/>
  <c r="D53" i="17"/>
  <c r="A53" i="17"/>
  <c r="A544" i="18" s="1"/>
  <c r="I52" i="17"/>
  <c r="D52" i="17"/>
  <c r="A52" i="17"/>
  <c r="A543" i="18" s="1"/>
  <c r="I51" i="17"/>
  <c r="D51" i="17"/>
  <c r="A51" i="17"/>
  <c r="A542" i="18" s="1"/>
  <c r="I50" i="17"/>
  <c r="D50" i="17"/>
  <c r="A50" i="17"/>
  <c r="A541" i="18" s="1"/>
  <c r="I49" i="17"/>
  <c r="D49" i="17"/>
  <c r="A49" i="17"/>
  <c r="A540" i="18" s="1"/>
  <c r="I48" i="17"/>
  <c r="D48" i="17"/>
  <c r="A48" i="17"/>
  <c r="A539" i="18" s="1"/>
  <c r="I47" i="17"/>
  <c r="D47" i="17"/>
  <c r="A47" i="17"/>
  <c r="A538" i="18" s="1"/>
  <c r="I46" i="17"/>
  <c r="D46" i="17"/>
  <c r="A46" i="17"/>
  <c r="A537" i="18" s="1"/>
  <c r="I45" i="17"/>
  <c r="D45" i="17"/>
  <c r="A45" i="17"/>
  <c r="A536" i="18" s="1"/>
  <c r="I44" i="17"/>
  <c r="D44" i="17"/>
  <c r="A44" i="17"/>
  <c r="A535" i="18" s="1"/>
  <c r="I43" i="17"/>
  <c r="D43" i="17"/>
  <c r="A43" i="17"/>
  <c r="A534" i="18" s="1"/>
  <c r="I42" i="17"/>
  <c r="D42" i="17"/>
  <c r="A42" i="17"/>
  <c r="A533" i="18" s="1"/>
  <c r="I41" i="17"/>
  <c r="D41" i="17"/>
  <c r="A41" i="17"/>
  <c r="A532" i="18" s="1"/>
  <c r="I40" i="17"/>
  <c r="D40" i="17"/>
  <c r="A40" i="17"/>
  <c r="A531" i="18" s="1"/>
  <c r="I39" i="17"/>
  <c r="D39" i="17"/>
  <c r="A39" i="17"/>
  <c r="A530" i="18" s="1"/>
  <c r="I38" i="17"/>
  <c r="D38" i="17"/>
  <c r="A38" i="17"/>
  <c r="A529" i="18" s="1"/>
  <c r="I37" i="17"/>
  <c r="D37" i="17"/>
  <c r="A37" i="17"/>
  <c r="A528" i="18" s="1"/>
  <c r="I36" i="17"/>
  <c r="I35" i="17"/>
  <c r="I34" i="17"/>
  <c r="I33" i="17"/>
  <c r="I32" i="17"/>
  <c r="I31" i="17"/>
  <c r="I30" i="17"/>
  <c r="I29" i="17"/>
  <c r="I28" i="17"/>
  <c r="I27" i="17"/>
  <c r="I26" i="17"/>
  <c r="I25" i="17"/>
  <c r="I24" i="17"/>
  <c r="I23" i="17"/>
  <c r="I22" i="17"/>
  <c r="I21" i="17"/>
  <c r="I20" i="17"/>
  <c r="I19" i="17"/>
  <c r="I18" i="17"/>
  <c r="I17" i="17"/>
  <c r="I16" i="17"/>
  <c r="I15" i="17"/>
  <c r="I14" i="17"/>
  <c r="I13" i="17"/>
  <c r="I12" i="17"/>
  <c r="I11" i="17"/>
  <c r="I10" i="17"/>
  <c r="I9" i="17"/>
  <c r="I8" i="17"/>
  <c r="I7" i="17"/>
  <c r="I3" i="17"/>
  <c r="E4" i="12"/>
  <c r="E21" i="1" s="1"/>
  <c r="BI242" i="11"/>
  <c r="AU242" i="11"/>
  <c r="AB242" i="11"/>
  <c r="K242" i="11"/>
  <c r="D242" i="11"/>
  <c r="BH241" i="11"/>
  <c r="AX241" i="11"/>
  <c r="AT241" i="11"/>
  <c r="AG241" i="11"/>
  <c r="Y241" i="11"/>
  <c r="T241" i="11"/>
  <c r="AZ239" i="11"/>
  <c r="AQ239" i="11"/>
  <c r="AN239" i="11"/>
  <c r="AK239" i="11"/>
  <c r="AI239" i="11"/>
  <c r="AA239" i="11"/>
  <c r="Q239" i="11"/>
  <c r="E239" i="11"/>
  <c r="BG238" i="11"/>
  <c r="AX238" i="11"/>
  <c r="AU238" i="11"/>
  <c r="Y238" i="11"/>
  <c r="T238" i="11"/>
  <c r="K238" i="11"/>
  <c r="BB237" i="11"/>
  <c r="AQ237" i="11"/>
  <c r="AO237" i="11"/>
  <c r="AN237" i="11"/>
  <c r="AL237" i="11"/>
  <c r="AI237" i="11"/>
  <c r="AB237" i="11"/>
  <c r="T237" i="11"/>
  <c r="M237" i="11"/>
  <c r="J237" i="11"/>
  <c r="C237" i="11"/>
  <c r="BH236" i="11"/>
  <c r="AZ236" i="11"/>
  <c r="AQ236" i="11"/>
  <c r="AN236" i="11"/>
  <c r="AL236" i="11"/>
  <c r="AK236" i="11"/>
  <c r="AG236" i="11"/>
  <c r="Z236" i="11"/>
  <c r="U236" i="11"/>
  <c r="N236" i="11"/>
  <c r="G236" i="11"/>
  <c r="D236" i="11"/>
  <c r="AN208" i="11"/>
  <c r="AM208" i="11"/>
  <c r="AK208" i="11"/>
  <c r="AI208" i="11"/>
  <c r="AE208" i="11"/>
  <c r="AB208" i="11"/>
  <c r="S208" i="11"/>
  <c r="M208" i="11"/>
  <c r="I208" i="11"/>
  <c r="BI207" i="11"/>
  <c r="BE207" i="11"/>
  <c r="BB207" i="11"/>
  <c r="AK207" i="11"/>
  <c r="AI207" i="11"/>
  <c r="AC207" i="11"/>
  <c r="W207" i="11"/>
  <c r="Q207" i="11"/>
  <c r="BJ206" i="11"/>
  <c r="BB206" i="11"/>
  <c r="AI206" i="11"/>
  <c r="AE206" i="11"/>
  <c r="AA206" i="11"/>
  <c r="S206" i="11"/>
  <c r="O206" i="11"/>
  <c r="AU205" i="11"/>
  <c r="Y205" i="11"/>
  <c r="T205" i="11"/>
  <c r="K205" i="11"/>
  <c r="B205" i="11"/>
  <c r="BE204" i="11"/>
  <c r="BA204" i="11"/>
  <c r="AS204" i="11"/>
  <c r="I204" i="11"/>
  <c r="BJ203" i="11"/>
  <c r="AS203" i="11"/>
  <c r="W203" i="11"/>
  <c r="M203" i="11"/>
  <c r="I203" i="11"/>
  <c r="AQ202" i="11"/>
  <c r="AO202" i="11"/>
  <c r="AI202" i="11"/>
  <c r="AB202" i="11"/>
  <c r="J202" i="11"/>
  <c r="BG201" i="11"/>
  <c r="AU201" i="11"/>
  <c r="Q201" i="11"/>
  <c r="G201" i="11"/>
  <c r="AX200" i="11"/>
  <c r="AU200" i="11"/>
  <c r="Z200" i="11"/>
  <c r="M200" i="11"/>
  <c r="H200" i="11"/>
  <c r="B200" i="11"/>
  <c r="BG199" i="11"/>
  <c r="AU199" i="11"/>
  <c r="Z199" i="11"/>
  <c r="N199" i="11"/>
  <c r="E199" i="11"/>
  <c r="BG198" i="11"/>
  <c r="AT198" i="11"/>
  <c r="AC198" i="11"/>
  <c r="U198" i="11"/>
  <c r="M198" i="11"/>
  <c r="I198" i="11"/>
  <c r="K198" i="17" s="1"/>
  <c r="BJ197" i="11"/>
  <c r="AX197" i="11"/>
  <c r="AT197" i="11"/>
  <c r="AA197" i="11"/>
  <c r="S197" i="11"/>
  <c r="P197" i="11"/>
  <c r="D197" i="11"/>
  <c r="BE196" i="11"/>
  <c r="BA196" i="11"/>
  <c r="AQ196" i="11"/>
  <c r="AM196" i="11"/>
  <c r="AK196" i="11"/>
  <c r="AF196" i="11"/>
  <c r="AB196" i="11"/>
  <c r="O196" i="11"/>
  <c r="C196" i="11"/>
  <c r="BC195" i="11"/>
  <c r="AN195" i="11"/>
  <c r="AI195" i="11"/>
  <c r="AE195" i="11"/>
  <c r="AB195" i="11"/>
  <c r="V195" i="11"/>
  <c r="N195" i="11"/>
  <c r="B195" i="11"/>
  <c r="BC194" i="11"/>
  <c r="AQ194" i="11"/>
  <c r="AL194" i="11"/>
  <c r="AI194" i="11"/>
  <c r="AC194" i="11"/>
  <c r="S194" i="11"/>
  <c r="M194" i="11"/>
  <c r="J194" i="11"/>
  <c r="BG193" i="11"/>
  <c r="AO193" i="11"/>
  <c r="AK193" i="11"/>
  <c r="AI193" i="11"/>
  <c r="AF193" i="11"/>
  <c r="Z193" i="11"/>
  <c r="Q193" i="11"/>
  <c r="H193" i="11"/>
  <c r="BI192" i="11"/>
  <c r="AX192" i="11"/>
  <c r="AV192" i="11"/>
  <c r="AB192" i="11"/>
  <c r="V192" i="11"/>
  <c r="M192" i="11"/>
  <c r="I192" i="11"/>
  <c r="BJ191" i="11"/>
  <c r="AT191" i="11"/>
  <c r="AA191" i="11"/>
  <c r="M191" i="11"/>
  <c r="J191" i="11"/>
  <c r="BJ190" i="11"/>
  <c r="BC190" i="11"/>
  <c r="V190" i="11"/>
  <c r="H190" i="11"/>
  <c r="BI189" i="11"/>
  <c r="AV189" i="11"/>
  <c r="Z189" i="11"/>
  <c r="P189" i="11"/>
  <c r="D189" i="11"/>
  <c r="BG188" i="11"/>
  <c r="AN188" i="11"/>
  <c r="AK188" i="11"/>
  <c r="AF188" i="11"/>
  <c r="AA188" i="11"/>
  <c r="T188" i="11"/>
  <c r="J188" i="11"/>
  <c r="AZ187" i="11"/>
  <c r="AO187" i="11"/>
  <c r="AK187" i="11"/>
  <c r="AF187" i="11"/>
  <c r="AB187" i="11"/>
  <c r="V187" i="11"/>
  <c r="N187" i="11"/>
  <c r="D187" i="11"/>
  <c r="BB186" i="11"/>
  <c r="AO186" i="11"/>
  <c r="AK186" i="11"/>
  <c r="AI186" i="11"/>
  <c r="AG186" i="11"/>
  <c r="Y186" i="11"/>
  <c r="U186" i="11"/>
  <c r="O186" i="11"/>
  <c r="B186" i="11"/>
  <c r="BE185" i="11"/>
  <c r="BB185" i="11"/>
  <c r="AM185" i="11"/>
  <c r="AH185" i="11"/>
  <c r="AC185" i="11"/>
  <c r="U185" i="11"/>
  <c r="P185" i="11"/>
  <c r="D185" i="11"/>
  <c r="BG184" i="11"/>
  <c r="AT184" i="11"/>
  <c r="J184" i="11"/>
  <c r="BI183" i="11"/>
  <c r="AX183" i="11"/>
  <c r="AU183" i="11"/>
  <c r="Z183" i="11"/>
  <c r="O183" i="11"/>
  <c r="D183" i="11"/>
  <c r="AV182" i="11"/>
  <c r="AC182" i="11"/>
  <c r="M182" i="11"/>
  <c r="H182" i="11"/>
  <c r="BI181" i="11"/>
  <c r="AQ181" i="11"/>
  <c r="AN181" i="11"/>
  <c r="AG181" i="11"/>
  <c r="AA181" i="11"/>
  <c r="P181" i="11"/>
  <c r="BH180" i="11"/>
  <c r="AV180" i="11"/>
  <c r="Y180" i="11"/>
  <c r="I180" i="11"/>
  <c r="BI179" i="11"/>
  <c r="AX179" i="11"/>
  <c r="AU179" i="11"/>
  <c r="AE179" i="11"/>
  <c r="Z179" i="11"/>
  <c r="Q179" i="11"/>
  <c r="E179" i="11"/>
  <c r="BE178" i="11"/>
  <c r="BC178" i="11"/>
  <c r="AS178" i="11"/>
  <c r="W178" i="11"/>
  <c r="K178" i="11"/>
  <c r="M178" i="17" s="1"/>
  <c r="BI177" i="11"/>
  <c r="AZ177" i="11"/>
  <c r="AL177" i="11"/>
  <c r="AG177" i="11"/>
  <c r="W177" i="11"/>
  <c r="Q177" i="11"/>
  <c r="C177" i="11"/>
  <c r="BA176" i="11"/>
  <c r="AM176" i="11"/>
  <c r="AF176" i="11"/>
  <c r="AC176" i="11"/>
  <c r="O176" i="11"/>
  <c r="D176" i="11"/>
  <c r="BC175" i="11"/>
  <c r="AQ175" i="11"/>
  <c r="AN175" i="11"/>
  <c r="AG175" i="11"/>
  <c r="AB175" i="11"/>
  <c r="J175" i="11"/>
  <c r="BJ174" i="11"/>
  <c r="AV174" i="11"/>
  <c r="W174" i="11"/>
  <c r="J174" i="11"/>
  <c r="BJ173" i="11"/>
  <c r="AV173" i="11"/>
  <c r="U173" i="11"/>
  <c r="K173" i="11"/>
  <c r="BJ172" i="11"/>
  <c r="AZ172" i="11"/>
  <c r="AN172" i="11"/>
  <c r="AK172" i="11"/>
  <c r="AG172" i="11"/>
  <c r="AC172" i="11"/>
  <c r="U172" i="11"/>
  <c r="K172" i="11"/>
  <c r="M172" i="17" s="1"/>
  <c r="AX171" i="11"/>
  <c r="AV171" i="11"/>
  <c r="U171" i="11"/>
  <c r="J171" i="11"/>
  <c r="BC170" i="11"/>
  <c r="AQ170" i="11"/>
  <c r="AM170" i="11"/>
  <c r="AI170" i="11"/>
  <c r="AF170" i="11"/>
  <c r="Z170" i="11"/>
  <c r="S170" i="11"/>
  <c r="M170" i="11"/>
  <c r="I170" i="11"/>
  <c r="BH169" i="11"/>
  <c r="AV169" i="11"/>
  <c r="Y169" i="11"/>
  <c r="Q169" i="11"/>
  <c r="B169" i="11"/>
  <c r="BG168" i="11"/>
  <c r="AU168" i="11"/>
  <c r="Y168" i="11"/>
  <c r="U168" i="11"/>
  <c r="K168" i="11"/>
  <c r="BJ167" i="11"/>
  <c r="BA167" i="11"/>
  <c r="AS167" i="11"/>
  <c r="T167" i="11"/>
  <c r="K167" i="11"/>
  <c r="BB166" i="11"/>
  <c r="AL166" i="11"/>
  <c r="AH166" i="11"/>
  <c r="AB166" i="11"/>
  <c r="P166" i="11"/>
  <c r="BJ165" i="11"/>
  <c r="AX165" i="11"/>
  <c r="AT165" i="11"/>
  <c r="AC165" i="11"/>
  <c r="K165" i="11"/>
  <c r="BG164" i="11"/>
  <c r="AN164" i="11"/>
  <c r="AG164" i="11"/>
  <c r="AB164" i="11"/>
  <c r="H164" i="11"/>
  <c r="J164" i="17" s="1"/>
  <c r="BE163" i="11"/>
  <c r="BB163" i="11"/>
  <c r="AN163" i="11"/>
  <c r="AH163" i="11"/>
  <c r="AB163" i="11"/>
  <c r="U163" i="11"/>
  <c r="K163" i="11"/>
  <c r="BH162" i="11"/>
  <c r="AU162" i="11"/>
  <c r="AE162" i="11"/>
  <c r="U162" i="11"/>
  <c r="I162" i="11"/>
  <c r="K162" i="17" s="1"/>
  <c r="BH161" i="11"/>
  <c r="AZ161" i="11"/>
  <c r="AM161" i="11"/>
  <c r="AF161" i="11"/>
  <c r="AC161" i="11"/>
  <c r="V161" i="11"/>
  <c r="BJ160" i="11"/>
  <c r="AO160" i="11"/>
  <c r="AG160" i="11"/>
  <c r="AC160" i="11"/>
  <c r="W160" i="11"/>
  <c r="S160" i="11"/>
  <c r="K160" i="11"/>
  <c r="M160" i="17" s="1"/>
  <c r="BE159" i="11"/>
  <c r="BA159" i="11"/>
  <c r="AM159" i="11"/>
  <c r="AH159" i="11"/>
  <c r="AB159" i="11"/>
  <c r="V159" i="11"/>
  <c r="S159" i="11"/>
  <c r="M159" i="11"/>
  <c r="I159" i="11"/>
  <c r="BH158" i="11"/>
  <c r="AX158" i="11"/>
  <c r="AM158" i="11"/>
  <c r="AF158" i="11"/>
  <c r="AC158" i="11"/>
  <c r="S158" i="11"/>
  <c r="K158" i="11"/>
  <c r="AZ157" i="11"/>
  <c r="AN157" i="11"/>
  <c r="AG157" i="11"/>
  <c r="Y157" i="11"/>
  <c r="W157" i="11"/>
  <c r="T157" i="11"/>
  <c r="N157" i="11"/>
  <c r="C157" i="11"/>
  <c r="BE156" i="11"/>
  <c r="AS156" i="11"/>
  <c r="T156" i="11"/>
  <c r="M156" i="11"/>
  <c r="I156" i="11"/>
  <c r="BH155" i="11"/>
  <c r="AT155" i="11"/>
  <c r="AF155" i="11"/>
  <c r="V155" i="11"/>
  <c r="J155" i="11"/>
  <c r="L155" i="17" s="1"/>
  <c r="BJ154" i="11"/>
  <c r="AZ154" i="11"/>
  <c r="AN154" i="11"/>
  <c r="AK154" i="11"/>
  <c r="AI154" i="11"/>
  <c r="AF154" i="11"/>
  <c r="AC154" i="11"/>
  <c r="W154" i="11"/>
  <c r="U154" i="11"/>
  <c r="J154" i="11"/>
  <c r="L154" i="17" s="1"/>
  <c r="BC114" i="11"/>
  <c r="AM114" i="11"/>
  <c r="AI114" i="11"/>
  <c r="AA114" i="11"/>
  <c r="O114" i="11"/>
  <c r="BC113" i="11"/>
  <c r="AM113" i="11"/>
  <c r="AF113" i="11"/>
  <c r="Z113" i="11"/>
  <c r="T113" i="11"/>
  <c r="M113" i="11"/>
  <c r="G113" i="11"/>
  <c r="AZ112" i="11"/>
  <c r="AK112" i="11"/>
  <c r="AE112" i="11"/>
  <c r="AC112" i="11"/>
  <c r="Y112" i="11"/>
  <c r="W112" i="11"/>
  <c r="T112" i="11"/>
  <c r="K112" i="11"/>
  <c r="M112" i="17" s="1"/>
  <c r="BC111" i="11"/>
  <c r="AQ111" i="11"/>
  <c r="AL111" i="11"/>
  <c r="AE111" i="11"/>
  <c r="AC111" i="11"/>
  <c r="Y111" i="11"/>
  <c r="W111" i="11"/>
  <c r="J111" i="11"/>
  <c r="AZ110" i="11"/>
  <c r="AO110" i="11"/>
  <c r="AH110" i="11"/>
  <c r="AF110" i="11"/>
  <c r="AA110" i="11"/>
  <c r="Y110" i="11"/>
  <c r="V110" i="11"/>
  <c r="Q110" i="11"/>
  <c r="BJ109" i="11"/>
  <c r="AS109" i="11"/>
  <c r="O109" i="11"/>
  <c r="BE108" i="11"/>
  <c r="BB108" i="11"/>
  <c r="AT108" i="11"/>
  <c r="S108" i="11"/>
  <c r="O108" i="11"/>
  <c r="E108" i="11"/>
  <c r="AQ107" i="11"/>
  <c r="AL107" i="11"/>
  <c r="Y107" i="11"/>
  <c r="S107" i="11"/>
  <c r="K107" i="11"/>
  <c r="M107" i="17" s="1"/>
  <c r="B107" i="11"/>
  <c r="BE106" i="11"/>
  <c r="BB106" i="11"/>
  <c r="AQ106" i="11"/>
  <c r="AL106" i="11"/>
  <c r="AF106" i="11"/>
  <c r="AB106" i="11"/>
  <c r="N106" i="11"/>
  <c r="BI105" i="11"/>
  <c r="AX105" i="11"/>
  <c r="AU105" i="11"/>
  <c r="U105" i="11"/>
  <c r="K105" i="11"/>
  <c r="M105" i="17" s="1"/>
  <c r="BH104" i="11"/>
  <c r="BA104" i="11"/>
  <c r="AK104" i="11"/>
  <c r="AI104" i="11"/>
  <c r="T104" i="11"/>
  <c r="S104" i="11"/>
  <c r="I104" i="11"/>
  <c r="K104" i="17" s="1"/>
  <c r="B104" i="11"/>
  <c r="BB103" i="11"/>
  <c r="AN103" i="11"/>
  <c r="AL103" i="11"/>
  <c r="AF103" i="11"/>
  <c r="W103" i="11"/>
  <c r="T103" i="11"/>
  <c r="N103" i="11"/>
  <c r="B103" i="11"/>
  <c r="BE102" i="11"/>
  <c r="AZ102" i="11"/>
  <c r="AQ102" i="11"/>
  <c r="AM102" i="11"/>
  <c r="AB102" i="11"/>
  <c r="V102" i="11"/>
  <c r="M102" i="11"/>
  <c r="H102" i="11"/>
  <c r="AX101" i="11"/>
  <c r="AV101" i="11"/>
  <c r="U101" i="11"/>
  <c r="N101" i="11"/>
  <c r="D101" i="11"/>
  <c r="BG100" i="11"/>
  <c r="AV100" i="11"/>
  <c r="Z100" i="11"/>
  <c r="M100" i="11"/>
  <c r="I100" i="11"/>
  <c r="BG99" i="11"/>
  <c r="AL99" i="11"/>
  <c r="AE99" i="11"/>
  <c r="AC99" i="11"/>
  <c r="AA99" i="11"/>
  <c r="S99" i="11"/>
  <c r="N99" i="11"/>
  <c r="BJ98" i="11"/>
  <c r="AN98" i="11"/>
  <c r="AK98" i="11"/>
  <c r="AB96" i="11"/>
  <c r="T96" i="11"/>
  <c r="O96" i="11"/>
  <c r="D96" i="11"/>
  <c r="BG95" i="11"/>
  <c r="AU95" i="11"/>
  <c r="Y95" i="11"/>
  <c r="T95" i="11"/>
  <c r="K95" i="11"/>
  <c r="BA94" i="11"/>
  <c r="AO94" i="11"/>
  <c r="AK94" i="11"/>
  <c r="AI94" i="11"/>
  <c r="H94" i="11"/>
  <c r="BA93" i="11"/>
  <c r="AQ93" i="11"/>
  <c r="AM93" i="11"/>
  <c r="AE93" i="11"/>
  <c r="AB93" i="11"/>
  <c r="U93" i="11"/>
  <c r="M93" i="11"/>
  <c r="K93" i="11"/>
  <c r="BH92" i="11"/>
  <c r="AV92" i="11"/>
  <c r="AA92" i="11"/>
  <c r="N92" i="11"/>
  <c r="BA91" i="11"/>
  <c r="AQ91" i="11"/>
  <c r="AM91" i="11"/>
  <c r="AE91" i="11"/>
  <c r="Z91" i="11"/>
  <c r="O91" i="11"/>
  <c r="E91" i="11"/>
  <c r="AZ90" i="11"/>
  <c r="AM90" i="11"/>
  <c r="AG90" i="11"/>
  <c r="AC90" i="11"/>
  <c r="I90" i="11"/>
  <c r="BJ89" i="11"/>
  <c r="BA89" i="11"/>
  <c r="AL89" i="11"/>
  <c r="AF89" i="11"/>
  <c r="Y89" i="11"/>
  <c r="V89" i="11"/>
  <c r="N89" i="11"/>
  <c r="BJ88" i="11"/>
  <c r="AZ88" i="11"/>
  <c r="AH88" i="11"/>
  <c r="AB88" i="11"/>
  <c r="Y88" i="11"/>
  <c r="T88" i="11"/>
  <c r="O88" i="11"/>
  <c r="BA87" i="11"/>
  <c r="AT87" i="11"/>
  <c r="H87" i="11"/>
  <c r="B87" i="11"/>
  <c r="BA86" i="11"/>
  <c r="AF86" i="11"/>
  <c r="T86" i="11"/>
  <c r="P86" i="11"/>
  <c r="D86" i="11"/>
  <c r="BC85" i="11"/>
  <c r="AM85" i="11"/>
  <c r="AG85" i="11"/>
  <c r="Z85" i="11"/>
  <c r="Q85" i="11"/>
  <c r="C85" i="11"/>
  <c r="BE84" i="11"/>
  <c r="BA84" i="11"/>
  <c r="AN84" i="11"/>
  <c r="AG84" i="11"/>
  <c r="U84" i="11"/>
  <c r="N84" i="11"/>
  <c r="BH83" i="11"/>
  <c r="AQ83" i="11"/>
  <c r="AL83" i="11"/>
  <c r="AF83" i="11"/>
  <c r="S83" i="11"/>
  <c r="H83" i="11"/>
  <c r="BE82" i="11"/>
  <c r="BA82" i="11"/>
  <c r="AL82" i="11"/>
  <c r="AC82" i="11"/>
  <c r="V82" i="11"/>
  <c r="P82" i="11"/>
  <c r="BB81" i="11"/>
  <c r="AM81" i="11"/>
  <c r="AE81" i="11"/>
  <c r="AA81" i="11"/>
  <c r="P81" i="11"/>
  <c r="C81" i="11"/>
  <c r="BB80" i="11"/>
  <c r="AN80" i="11"/>
  <c r="AG80" i="11"/>
  <c r="Y80" i="11"/>
  <c r="S80" i="11"/>
  <c r="H80" i="11"/>
  <c r="BH79" i="11"/>
  <c r="AH79" i="11"/>
  <c r="AB79" i="11"/>
  <c r="K79" i="11"/>
  <c r="BH78" i="11"/>
  <c r="AV78" i="11"/>
  <c r="W78" i="11"/>
  <c r="Q78" i="11"/>
  <c r="AZ77" i="11"/>
  <c r="AO77" i="11"/>
  <c r="AI77" i="11"/>
  <c r="AE77" i="11"/>
  <c r="AC77" i="11"/>
  <c r="Z77" i="11"/>
  <c r="H77" i="11"/>
  <c r="BH76" i="11"/>
  <c r="AX76" i="11"/>
  <c r="AS76" i="11"/>
  <c r="AB76" i="11"/>
  <c r="M76" i="11"/>
  <c r="H76" i="11"/>
  <c r="BH75" i="11"/>
  <c r="AZ75" i="11"/>
  <c r="AQ75" i="11"/>
  <c r="AN75" i="11"/>
  <c r="AK75" i="11"/>
  <c r="AG75" i="11"/>
  <c r="AE75" i="11"/>
  <c r="Z75" i="11"/>
  <c r="T75" i="11"/>
  <c r="K75" i="11"/>
  <c r="BB74" i="11"/>
  <c r="AQ74" i="11"/>
  <c r="AM74" i="11"/>
  <c r="AK74" i="11"/>
  <c r="AH74" i="11"/>
  <c r="AE74" i="11"/>
  <c r="AA74" i="11"/>
  <c r="P74" i="11"/>
  <c r="BH73" i="11"/>
  <c r="AN73" i="11"/>
  <c r="AE73" i="11"/>
  <c r="AB73" i="11"/>
  <c r="N73" i="11"/>
  <c r="BE26" i="11"/>
  <c r="BA26" i="11"/>
  <c r="AI26" i="11"/>
  <c r="AB26" i="11"/>
  <c r="V26" i="11"/>
  <c r="S26" i="11"/>
  <c r="M26" i="11"/>
  <c r="I26" i="11"/>
  <c r="K26" i="17" s="1"/>
  <c r="BG25" i="11"/>
  <c r="AU25" i="11"/>
  <c r="H25" i="11"/>
  <c r="BI24" i="11"/>
  <c r="Y24" i="11"/>
  <c r="T24" i="11"/>
  <c r="M24" i="11"/>
  <c r="K24" i="11"/>
  <c r="BB23" i="11"/>
  <c r="AO23" i="11"/>
  <c r="AF23" i="11"/>
  <c r="W23" i="11"/>
  <c r="N23" i="11"/>
  <c r="BG22" i="11"/>
  <c r="AS22" i="11"/>
  <c r="H22" i="11"/>
  <c r="AZ21" i="11"/>
  <c r="AL21" i="11"/>
  <c r="AE21" i="11"/>
  <c r="AB21" i="11"/>
  <c r="W21" i="11"/>
  <c r="M21" i="11"/>
  <c r="I21" i="11"/>
  <c r="AS20" i="11"/>
  <c r="D20" i="11"/>
  <c r="BB19" i="11"/>
  <c r="AQ19" i="11"/>
  <c r="AM19" i="11"/>
  <c r="AF19" i="11"/>
  <c r="S19" i="11"/>
  <c r="N19" i="11"/>
  <c r="BG18" i="11"/>
  <c r="AX18" i="11"/>
  <c r="AU18" i="11"/>
  <c r="Z18" i="11"/>
  <c r="D18" i="11"/>
  <c r="BB17" i="11"/>
  <c r="AM17" i="11"/>
  <c r="AC17" i="11"/>
  <c r="Y17" i="11"/>
  <c r="M17" i="11"/>
  <c r="I17" i="11"/>
  <c r="BI16" i="11"/>
  <c r="AN16" i="11"/>
  <c r="AH16" i="11"/>
  <c r="Y16" i="11"/>
  <c r="P16" i="11"/>
  <c r="AZ15" i="11"/>
  <c r="AI15" i="11"/>
  <c r="Z15" i="11"/>
  <c r="N15" i="11"/>
  <c r="AZ14" i="11"/>
  <c r="AO14" i="11"/>
  <c r="AH14" i="11"/>
  <c r="AE14" i="11"/>
  <c r="AA14" i="11"/>
  <c r="U14" i="11"/>
  <c r="J14" i="11"/>
  <c r="L14" i="17" s="1"/>
  <c r="BA13" i="11"/>
  <c r="AO13" i="11"/>
  <c r="AI13" i="11"/>
  <c r="Z13" i="11"/>
  <c r="S13" i="11"/>
  <c r="O13" i="11"/>
  <c r="BG12" i="11"/>
  <c r="AQ12" i="11"/>
  <c r="AO12" i="11"/>
  <c r="AL12" i="11"/>
  <c r="AC12" i="11"/>
  <c r="T12" i="11"/>
  <c r="O12" i="11"/>
  <c r="BJ11" i="11"/>
  <c r="AL11" i="11"/>
  <c r="AC11" i="11"/>
  <c r="S11" i="11"/>
  <c r="O11" i="11"/>
  <c r="BE10" i="11"/>
  <c r="AZ10" i="11"/>
  <c r="AI10" i="11"/>
  <c r="AB10" i="11"/>
  <c r="S10" i="11"/>
  <c r="K10" i="11"/>
  <c r="BH9" i="11"/>
  <c r="AH9" i="11"/>
  <c r="Z9" i="11"/>
  <c r="C9" i="11"/>
  <c r="BA8" i="11"/>
  <c r="AK8" i="11"/>
  <c r="AG8" i="11"/>
  <c r="V8" i="11"/>
  <c r="K8" i="11"/>
  <c r="BC7" i="11"/>
  <c r="AM7" i="11"/>
  <c r="AH7" i="11"/>
  <c r="W7" i="11"/>
  <c r="O7" i="11"/>
  <c r="BE6" i="11"/>
  <c r="BB6" i="11"/>
  <c r="AO6" i="11"/>
  <c r="AG6" i="11"/>
  <c r="Z6" i="11"/>
  <c r="V6" i="11"/>
  <c r="S6" i="11"/>
  <c r="K6" i="11"/>
  <c r="BB5" i="11"/>
  <c r="AN5" i="11"/>
  <c r="AG5" i="11"/>
  <c r="AE5" i="11"/>
  <c r="W5" i="11"/>
  <c r="AC4" i="11"/>
  <c r="V4" i="11"/>
  <c r="P4" i="11"/>
  <c r="BB3" i="11"/>
  <c r="AT3" i="11"/>
  <c r="S3" i="11"/>
  <c r="E3" i="11"/>
  <c r="BJ2" i="11"/>
  <c r="AU2" i="11"/>
  <c r="N2" i="11"/>
  <c r="M140" i="5"/>
  <c r="N140" i="5" s="1"/>
  <c r="X139" i="5"/>
  <c r="B139" i="5"/>
  <c r="H138" i="5"/>
  <c r="M137" i="5"/>
  <c r="N137" i="5" s="1"/>
  <c r="B132" i="5"/>
  <c r="M131" i="5"/>
  <c r="N131" i="5" s="1"/>
  <c r="X129" i="5"/>
  <c r="Y126" i="5"/>
  <c r="H124" i="5"/>
  <c r="B124" i="5"/>
  <c r="H123" i="5"/>
  <c r="B123" i="5"/>
  <c r="X120" i="5"/>
  <c r="H117" i="5"/>
  <c r="H115" i="5"/>
  <c r="B113" i="5"/>
  <c r="H112" i="5"/>
  <c r="H108" i="5"/>
  <c r="Y106" i="5"/>
  <c r="M106" i="5"/>
  <c r="N106" i="5" s="1"/>
  <c r="Y102" i="5"/>
  <c r="Y99" i="5"/>
  <c r="AO235" i="11"/>
  <c r="AN235" i="11"/>
  <c r="AM235" i="11"/>
  <c r="AL235" i="11"/>
  <c r="AK235" i="11"/>
  <c r="AI235" i="11"/>
  <c r="AH235" i="11"/>
  <c r="AG235" i="11"/>
  <c r="AF235" i="11"/>
  <c r="AE235" i="11"/>
  <c r="AC235" i="11"/>
  <c r="AB235" i="11"/>
  <c r="AA235" i="11"/>
  <c r="Z235" i="11"/>
  <c r="Y235" i="11"/>
  <c r="W235" i="11"/>
  <c r="V235" i="11"/>
  <c r="U235" i="11"/>
  <c r="T235" i="11"/>
  <c r="S235" i="11"/>
  <c r="Q235" i="11"/>
  <c r="P235" i="11"/>
  <c r="O235" i="11"/>
  <c r="N235" i="11"/>
  <c r="M235" i="11"/>
  <c r="K235" i="11"/>
  <c r="M235" i="17" s="1"/>
  <c r="J235" i="11"/>
  <c r="L235" i="17" s="1"/>
  <c r="I235" i="11"/>
  <c r="K235" i="17" s="1"/>
  <c r="H235" i="11"/>
  <c r="J235" i="17" s="1"/>
  <c r="G235" i="11"/>
  <c r="E235" i="11"/>
  <c r="D235" i="11"/>
  <c r="C235" i="11"/>
  <c r="B235" i="11"/>
  <c r="BJ234" i="11"/>
  <c r="BI234" i="11"/>
  <c r="BH234" i="11"/>
  <c r="BG234" i="11"/>
  <c r="BE234" i="11"/>
  <c r="BC234" i="11"/>
  <c r="BB234" i="11"/>
  <c r="BA234" i="11"/>
  <c r="AZ234" i="11"/>
  <c r="AX234" i="11"/>
  <c r="AV234" i="11"/>
  <c r="AU234" i="11"/>
  <c r="AT234" i="11"/>
  <c r="AS234" i="11"/>
  <c r="AQ234" i="11"/>
  <c r="AO234" i="11"/>
  <c r="AN234" i="11"/>
  <c r="AM234" i="11"/>
  <c r="AL234" i="11"/>
  <c r="AK234" i="11"/>
  <c r="AI234" i="11"/>
  <c r="AH234" i="11"/>
  <c r="AG234" i="11"/>
  <c r="AF234" i="11"/>
  <c r="AE234" i="11"/>
  <c r="AC234" i="11"/>
  <c r="AB234" i="11"/>
  <c r="AA234" i="11"/>
  <c r="Z234" i="11"/>
  <c r="Y234" i="11"/>
  <c r="W234" i="11"/>
  <c r="V234" i="11"/>
  <c r="U234" i="11"/>
  <c r="T234" i="11"/>
  <c r="S234" i="11"/>
  <c r="Q234" i="11"/>
  <c r="P234" i="11"/>
  <c r="O234" i="11"/>
  <c r="N234" i="11"/>
  <c r="M234" i="11"/>
  <c r="K234" i="11"/>
  <c r="M234" i="17" s="1"/>
  <c r="J234" i="11"/>
  <c r="L234" i="17" s="1"/>
  <c r="I234" i="11"/>
  <c r="K234" i="17" s="1"/>
  <c r="H234" i="11"/>
  <c r="J234" i="17" s="1"/>
  <c r="G234" i="11"/>
  <c r="E234" i="11"/>
  <c r="D234" i="11"/>
  <c r="C234" i="11"/>
  <c r="B234" i="11"/>
  <c r="BJ233" i="11"/>
  <c r="BI233" i="11"/>
  <c r="BH233" i="11"/>
  <c r="BG233" i="11"/>
  <c r="BE233" i="11"/>
  <c r="BC233" i="11"/>
  <c r="BB233" i="11"/>
  <c r="BA233" i="11"/>
  <c r="AZ233" i="11"/>
  <c r="AX233" i="11"/>
  <c r="AV233" i="11"/>
  <c r="AU233" i="11"/>
  <c r="AT233" i="11"/>
  <c r="AS233" i="11"/>
  <c r="AQ233" i="11"/>
  <c r="AO233" i="11"/>
  <c r="AN233" i="11"/>
  <c r="AM233" i="11"/>
  <c r="AL233" i="11"/>
  <c r="AK233" i="11"/>
  <c r="AI233" i="11"/>
  <c r="AH233" i="11"/>
  <c r="AG233" i="11"/>
  <c r="AF233" i="11"/>
  <c r="AE233" i="11"/>
  <c r="AC233" i="11"/>
  <c r="AB233" i="11"/>
  <c r="AA233" i="11"/>
  <c r="Z233" i="11"/>
  <c r="Y233" i="11"/>
  <c r="W233" i="11"/>
  <c r="V233" i="11"/>
  <c r="U233" i="11"/>
  <c r="T233" i="11"/>
  <c r="S233" i="11"/>
  <c r="Q233" i="11"/>
  <c r="P233" i="11"/>
  <c r="O233" i="11"/>
  <c r="N233" i="11"/>
  <c r="M233" i="11"/>
  <c r="K233" i="11"/>
  <c r="M233" i="17" s="1"/>
  <c r="J233" i="11"/>
  <c r="L233" i="17" s="1"/>
  <c r="I233" i="11"/>
  <c r="K233" i="17" s="1"/>
  <c r="H233" i="11"/>
  <c r="J233" i="17" s="1"/>
  <c r="G233" i="11"/>
  <c r="E233" i="11"/>
  <c r="D233" i="11"/>
  <c r="C233" i="11"/>
  <c r="B233" i="11"/>
  <c r="BJ232" i="11"/>
  <c r="BI232" i="11"/>
  <c r="BH232" i="11"/>
  <c r="BG232" i="11"/>
  <c r="BE232" i="11"/>
  <c r="BC232" i="11"/>
  <c r="BB232" i="11"/>
  <c r="BA232" i="11"/>
  <c r="AZ232" i="11"/>
  <c r="AX232" i="11"/>
  <c r="AV232" i="11"/>
  <c r="AU232" i="11"/>
  <c r="AT232" i="11"/>
  <c r="AS232" i="11"/>
  <c r="AQ232" i="11"/>
  <c r="AO232" i="11"/>
  <c r="AN232" i="11"/>
  <c r="AM232" i="11"/>
  <c r="AL232" i="11"/>
  <c r="AK232" i="11"/>
  <c r="AI232" i="11"/>
  <c r="AH232" i="11"/>
  <c r="AG232" i="11"/>
  <c r="AF232" i="11"/>
  <c r="AE232" i="11"/>
  <c r="AC232" i="11"/>
  <c r="AB232" i="11"/>
  <c r="AA232" i="11"/>
  <c r="Z232" i="11"/>
  <c r="Y232" i="11"/>
  <c r="W232" i="11"/>
  <c r="V232" i="11"/>
  <c r="U232" i="11"/>
  <c r="T232" i="11"/>
  <c r="S232" i="11"/>
  <c r="Q232" i="11"/>
  <c r="P232" i="11"/>
  <c r="O232" i="11"/>
  <c r="N232" i="11"/>
  <c r="M232" i="11"/>
  <c r="K232" i="11"/>
  <c r="M232" i="17" s="1"/>
  <c r="J232" i="11"/>
  <c r="L232" i="17" s="1"/>
  <c r="I232" i="11"/>
  <c r="K232" i="17" s="1"/>
  <c r="H232" i="11"/>
  <c r="J232" i="17" s="1"/>
  <c r="G232" i="11"/>
  <c r="E232" i="11"/>
  <c r="D232" i="11"/>
  <c r="C232" i="11"/>
  <c r="B232" i="11"/>
  <c r="BJ231" i="11"/>
  <c r="BI231" i="11"/>
  <c r="BH231" i="11"/>
  <c r="BG231" i="11"/>
  <c r="BE231" i="11"/>
  <c r="BC231" i="11"/>
  <c r="BB231" i="11"/>
  <c r="BA231" i="11"/>
  <c r="AZ231" i="11"/>
  <c r="AX231" i="11"/>
  <c r="AV231" i="11"/>
  <c r="AU231" i="11"/>
  <c r="AT231" i="11"/>
  <c r="AS231" i="11"/>
  <c r="AQ231" i="11"/>
  <c r="AO231" i="11"/>
  <c r="AN231" i="11"/>
  <c r="AM231" i="11"/>
  <c r="AL231" i="11"/>
  <c r="AK231" i="11"/>
  <c r="AI231" i="11"/>
  <c r="AH231" i="11"/>
  <c r="AG231" i="11"/>
  <c r="AF231" i="11"/>
  <c r="AE231" i="11"/>
  <c r="AC231" i="11"/>
  <c r="AB231" i="11"/>
  <c r="AA231" i="11"/>
  <c r="Z231" i="11"/>
  <c r="Y231" i="11"/>
  <c r="W231" i="11"/>
  <c r="V231" i="11"/>
  <c r="U231" i="11"/>
  <c r="T231" i="11"/>
  <c r="S231" i="11"/>
  <c r="Q231" i="11"/>
  <c r="P231" i="11"/>
  <c r="O231" i="11"/>
  <c r="N231" i="11"/>
  <c r="M231" i="11"/>
  <c r="K231" i="11"/>
  <c r="M231" i="17" s="1"/>
  <c r="J231" i="11"/>
  <c r="L231" i="17" s="1"/>
  <c r="I231" i="11"/>
  <c r="K231" i="17" s="1"/>
  <c r="H231" i="11"/>
  <c r="J231" i="17" s="1"/>
  <c r="G231" i="11"/>
  <c r="E231" i="11"/>
  <c r="D231" i="11"/>
  <c r="C231" i="11"/>
  <c r="B231" i="11"/>
  <c r="BJ230" i="11"/>
  <c r="BI230" i="11"/>
  <c r="BH230" i="11"/>
  <c r="BG230" i="11"/>
  <c r="BE230" i="11"/>
  <c r="BC230" i="11"/>
  <c r="BB230" i="11"/>
  <c r="BA230" i="11"/>
  <c r="AZ230" i="11"/>
  <c r="AX230" i="11"/>
  <c r="AV230" i="11"/>
  <c r="AU230" i="11"/>
  <c r="AT230" i="11"/>
  <c r="AS230" i="11"/>
  <c r="AQ230" i="11"/>
  <c r="AO230" i="11"/>
  <c r="AN230" i="11"/>
  <c r="AM230" i="11"/>
  <c r="AL230" i="11"/>
  <c r="AK230" i="11"/>
  <c r="AI230" i="11"/>
  <c r="AH230" i="11"/>
  <c r="AG230" i="11"/>
  <c r="AF230" i="11"/>
  <c r="AE230" i="11"/>
  <c r="AC230" i="11"/>
  <c r="AB230" i="11"/>
  <c r="AA230" i="11"/>
  <c r="Z230" i="11"/>
  <c r="Y230" i="11"/>
  <c r="W230" i="11"/>
  <c r="V230" i="11"/>
  <c r="U230" i="11"/>
  <c r="T230" i="11"/>
  <c r="S230" i="11"/>
  <c r="Q230" i="11"/>
  <c r="P230" i="11"/>
  <c r="O230" i="11"/>
  <c r="N230" i="11"/>
  <c r="M230" i="11"/>
  <c r="K230" i="11"/>
  <c r="M230" i="17" s="1"/>
  <c r="J230" i="11"/>
  <c r="L230" i="17" s="1"/>
  <c r="I230" i="11"/>
  <c r="K230" i="17" s="1"/>
  <c r="H230" i="11"/>
  <c r="J230" i="17" s="1"/>
  <c r="G230" i="11"/>
  <c r="E230" i="11"/>
  <c r="D230" i="11"/>
  <c r="C230" i="11"/>
  <c r="B230" i="11"/>
  <c r="BJ229" i="11"/>
  <c r="BI229" i="11"/>
  <c r="BH229" i="11"/>
  <c r="BG229" i="11"/>
  <c r="BE229" i="11"/>
  <c r="BC229" i="11"/>
  <c r="BB229" i="11"/>
  <c r="BA229" i="11"/>
  <c r="AZ229" i="11"/>
  <c r="AX229" i="11"/>
  <c r="AV229" i="11"/>
  <c r="AU229" i="11"/>
  <c r="AT229" i="11"/>
  <c r="AS229" i="11"/>
  <c r="AQ229" i="11"/>
  <c r="AO229" i="11"/>
  <c r="AN229" i="11"/>
  <c r="AM229" i="11"/>
  <c r="AL229" i="11"/>
  <c r="AK229" i="11"/>
  <c r="AI229" i="11"/>
  <c r="AH229" i="11"/>
  <c r="AG229" i="11"/>
  <c r="AF229" i="11"/>
  <c r="AE229" i="11"/>
  <c r="AC229" i="11"/>
  <c r="AB229" i="11"/>
  <c r="AA229" i="11"/>
  <c r="Z229" i="11"/>
  <c r="Y229" i="11"/>
  <c r="W229" i="11"/>
  <c r="V229" i="11"/>
  <c r="U229" i="11"/>
  <c r="T229" i="11"/>
  <c r="S229" i="11"/>
  <c r="Q229" i="11"/>
  <c r="P229" i="11"/>
  <c r="O229" i="11"/>
  <c r="N229" i="11"/>
  <c r="M229" i="11"/>
  <c r="K229" i="11"/>
  <c r="J229" i="11"/>
  <c r="L229" i="17" s="1"/>
  <c r="I229" i="11"/>
  <c r="H229" i="11"/>
  <c r="G229" i="11"/>
  <c r="E229" i="11"/>
  <c r="D229" i="11"/>
  <c r="C229" i="11"/>
  <c r="B229" i="11"/>
  <c r="BJ228" i="11"/>
  <c r="BI228" i="11"/>
  <c r="BH228" i="11"/>
  <c r="BG228" i="11"/>
  <c r="BE228" i="11"/>
  <c r="BC228" i="11"/>
  <c r="BB228" i="11"/>
  <c r="BA228" i="11"/>
  <c r="AZ228" i="11"/>
  <c r="AX228" i="11"/>
  <c r="AV228" i="11"/>
  <c r="AU228" i="11"/>
  <c r="AT228" i="11"/>
  <c r="AS228" i="11"/>
  <c r="AQ228" i="11"/>
  <c r="AO228" i="11"/>
  <c r="AN228" i="11"/>
  <c r="AM228" i="11"/>
  <c r="AL228" i="11"/>
  <c r="AK228" i="11"/>
  <c r="AI228" i="11"/>
  <c r="AH228" i="11"/>
  <c r="AG228" i="11"/>
  <c r="AF228" i="11"/>
  <c r="AE228" i="11"/>
  <c r="AC228" i="11"/>
  <c r="AB228" i="11"/>
  <c r="AA228" i="11"/>
  <c r="Z228" i="11"/>
  <c r="Y228" i="11"/>
  <c r="W228" i="11"/>
  <c r="V228" i="11"/>
  <c r="U228" i="11"/>
  <c r="T228" i="11"/>
  <c r="S228" i="11"/>
  <c r="Q228" i="11"/>
  <c r="P228" i="11"/>
  <c r="O228" i="11"/>
  <c r="N228" i="11"/>
  <c r="M228" i="11"/>
  <c r="K228" i="11"/>
  <c r="M228" i="17" s="1"/>
  <c r="J228" i="11"/>
  <c r="L228" i="17" s="1"/>
  <c r="I228" i="11"/>
  <c r="K228" i="17" s="1"/>
  <c r="H228" i="11"/>
  <c r="J228" i="17" s="1"/>
  <c r="G228" i="11"/>
  <c r="E228" i="11"/>
  <c r="D228" i="11"/>
  <c r="C228" i="11"/>
  <c r="B228" i="11"/>
  <c r="BJ227" i="11"/>
  <c r="BI227" i="11"/>
  <c r="BH227" i="11"/>
  <c r="BG227" i="11"/>
  <c r="BE227" i="11"/>
  <c r="BC227" i="11"/>
  <c r="BB227" i="11"/>
  <c r="BA227" i="11"/>
  <c r="AZ227" i="11"/>
  <c r="AX227" i="11"/>
  <c r="AV227" i="11"/>
  <c r="AU227" i="11"/>
  <c r="AT227" i="11"/>
  <c r="AS227" i="11"/>
  <c r="AQ227" i="11"/>
  <c r="AO227" i="11"/>
  <c r="AN227" i="11"/>
  <c r="AM227" i="11"/>
  <c r="AL227" i="11"/>
  <c r="AK227" i="11"/>
  <c r="AI227" i="11"/>
  <c r="AH227" i="11"/>
  <c r="AG227" i="11"/>
  <c r="AF227" i="11"/>
  <c r="AE227" i="11"/>
  <c r="AC227" i="11"/>
  <c r="AB227" i="11"/>
  <c r="AA227" i="11"/>
  <c r="Z227" i="11"/>
  <c r="Y227" i="11"/>
  <c r="W227" i="11"/>
  <c r="V227" i="11"/>
  <c r="U227" i="11"/>
  <c r="T227" i="11"/>
  <c r="S227" i="11"/>
  <c r="Q227" i="11"/>
  <c r="P227" i="11"/>
  <c r="O227" i="11"/>
  <c r="N227" i="11"/>
  <c r="M227" i="11"/>
  <c r="K227" i="11"/>
  <c r="M227" i="17" s="1"/>
  <c r="J227" i="11"/>
  <c r="L227" i="17" s="1"/>
  <c r="I227" i="11"/>
  <c r="K227" i="17" s="1"/>
  <c r="H227" i="11"/>
  <c r="J227" i="17" s="1"/>
  <c r="G227" i="11"/>
  <c r="E227" i="11"/>
  <c r="D227" i="11"/>
  <c r="C227" i="11"/>
  <c r="B227" i="11"/>
  <c r="BJ226" i="11"/>
  <c r="BI226" i="11"/>
  <c r="BH226" i="11"/>
  <c r="BG226" i="11"/>
  <c r="BE226" i="11"/>
  <c r="BC226" i="11"/>
  <c r="BB226" i="11"/>
  <c r="BA226" i="11"/>
  <c r="AZ226" i="11"/>
  <c r="AX226" i="11"/>
  <c r="AV226" i="11"/>
  <c r="AU226" i="11"/>
  <c r="AT226" i="11"/>
  <c r="AS226" i="11"/>
  <c r="AQ226" i="11"/>
  <c r="AO226" i="11"/>
  <c r="AN226" i="11"/>
  <c r="AM226" i="11"/>
  <c r="AL226" i="11"/>
  <c r="AK226" i="11"/>
  <c r="AI226" i="11"/>
  <c r="AH226" i="11"/>
  <c r="AG226" i="11"/>
  <c r="AF226" i="11"/>
  <c r="AE226" i="11"/>
  <c r="AC226" i="11"/>
  <c r="AB226" i="11"/>
  <c r="AA226" i="11"/>
  <c r="Z226" i="11"/>
  <c r="Y226" i="11"/>
  <c r="W226" i="11"/>
  <c r="V226" i="11"/>
  <c r="U226" i="11"/>
  <c r="T226" i="11"/>
  <c r="S226" i="11"/>
  <c r="Q226" i="11"/>
  <c r="P226" i="11"/>
  <c r="O226" i="11"/>
  <c r="N226" i="11"/>
  <c r="M226" i="11"/>
  <c r="K226" i="11"/>
  <c r="M226" i="17" s="1"/>
  <c r="J226" i="11"/>
  <c r="L226" i="17" s="1"/>
  <c r="I226" i="11"/>
  <c r="K226" i="17" s="1"/>
  <c r="H226" i="11"/>
  <c r="J226" i="17" s="1"/>
  <c r="G226" i="11"/>
  <c r="E226" i="11"/>
  <c r="D226" i="11"/>
  <c r="C226" i="11"/>
  <c r="B226" i="11"/>
  <c r="BJ225" i="11"/>
  <c r="BI225" i="11"/>
  <c r="BH225" i="11"/>
  <c r="BG225" i="11"/>
  <c r="BE225" i="11"/>
  <c r="BC225" i="11"/>
  <c r="BB225" i="11"/>
  <c r="BA225" i="11"/>
  <c r="AZ225" i="11"/>
  <c r="AX225" i="11"/>
  <c r="AV225" i="11"/>
  <c r="AU225" i="11"/>
  <c r="AT225" i="11"/>
  <c r="AS225" i="11"/>
  <c r="AQ225" i="11"/>
  <c r="AO225" i="11"/>
  <c r="AN225" i="11"/>
  <c r="AM225" i="11"/>
  <c r="AL225" i="11"/>
  <c r="AK225" i="11"/>
  <c r="AI225" i="11"/>
  <c r="AH225" i="11"/>
  <c r="AG225" i="11"/>
  <c r="AF225" i="11"/>
  <c r="AE225" i="11"/>
  <c r="AC225" i="11"/>
  <c r="AB225" i="11"/>
  <c r="AA225" i="11"/>
  <c r="Z225" i="11"/>
  <c r="Y225" i="11"/>
  <c r="W225" i="11"/>
  <c r="V225" i="11"/>
  <c r="U225" i="11"/>
  <c r="T225" i="11"/>
  <c r="S225" i="11"/>
  <c r="Q225" i="11"/>
  <c r="P225" i="11"/>
  <c r="O225" i="11"/>
  <c r="N225" i="11"/>
  <c r="M225" i="11"/>
  <c r="K225" i="11"/>
  <c r="M225" i="17" s="1"/>
  <c r="J225" i="11"/>
  <c r="L225" i="17" s="1"/>
  <c r="I225" i="11"/>
  <c r="K225" i="17" s="1"/>
  <c r="H225" i="11"/>
  <c r="J225" i="17" s="1"/>
  <c r="G225" i="11"/>
  <c r="E225" i="11"/>
  <c r="D225" i="11"/>
  <c r="C225" i="11"/>
  <c r="B225" i="11"/>
  <c r="BJ224" i="11"/>
  <c r="BI224" i="11"/>
  <c r="BH224" i="11"/>
  <c r="BG224" i="11"/>
  <c r="BE224" i="11"/>
  <c r="BC224" i="11"/>
  <c r="BB224" i="11"/>
  <c r="BA224" i="11"/>
  <c r="AZ224" i="11"/>
  <c r="AX224" i="11"/>
  <c r="AV224" i="11"/>
  <c r="AU224" i="11"/>
  <c r="AT224" i="11"/>
  <c r="AS224" i="11"/>
  <c r="AQ224" i="11"/>
  <c r="AO224" i="11"/>
  <c r="AN224" i="11"/>
  <c r="AM224" i="11"/>
  <c r="AL224" i="11"/>
  <c r="AK224" i="11"/>
  <c r="AI224" i="11"/>
  <c r="AH224" i="11"/>
  <c r="AG224" i="11"/>
  <c r="AF224" i="11"/>
  <c r="AE224" i="11"/>
  <c r="AC224" i="11"/>
  <c r="AB224" i="11"/>
  <c r="AA224" i="11"/>
  <c r="Z224" i="11"/>
  <c r="Y224" i="11"/>
  <c r="W224" i="11"/>
  <c r="V224" i="11"/>
  <c r="U224" i="11"/>
  <c r="T224" i="11"/>
  <c r="S224" i="11"/>
  <c r="Q224" i="11"/>
  <c r="P224" i="11"/>
  <c r="O224" i="11"/>
  <c r="N224" i="11"/>
  <c r="M224" i="11"/>
  <c r="K224" i="11"/>
  <c r="M224" i="17" s="1"/>
  <c r="J224" i="11"/>
  <c r="L224" i="17" s="1"/>
  <c r="I224" i="11"/>
  <c r="K224" i="17" s="1"/>
  <c r="H224" i="11"/>
  <c r="J224" i="17" s="1"/>
  <c r="G224" i="11"/>
  <c r="E224" i="11"/>
  <c r="D224" i="11"/>
  <c r="C224" i="11"/>
  <c r="B224" i="11"/>
  <c r="BJ223" i="11"/>
  <c r="BI223" i="11"/>
  <c r="BH223" i="11"/>
  <c r="BG223" i="11"/>
  <c r="BE223" i="11"/>
  <c r="BC223" i="11"/>
  <c r="BB223" i="11"/>
  <c r="BA223" i="11"/>
  <c r="AZ223" i="11"/>
  <c r="AX223" i="11"/>
  <c r="AV223" i="11"/>
  <c r="AU223" i="11"/>
  <c r="AT223" i="11"/>
  <c r="AS223" i="11"/>
  <c r="AQ223" i="11"/>
  <c r="AO223" i="11"/>
  <c r="AN223" i="11"/>
  <c r="AM223" i="11"/>
  <c r="AL223" i="11"/>
  <c r="AK223" i="11"/>
  <c r="AI223" i="11"/>
  <c r="AH223" i="11"/>
  <c r="AG223" i="11"/>
  <c r="AF223" i="11"/>
  <c r="AE223" i="11"/>
  <c r="AC223" i="11"/>
  <c r="AB223" i="11"/>
  <c r="AA223" i="11"/>
  <c r="Z223" i="11"/>
  <c r="Y223" i="11"/>
  <c r="W223" i="11"/>
  <c r="V223" i="11"/>
  <c r="U223" i="11"/>
  <c r="T223" i="11"/>
  <c r="S223" i="11"/>
  <c r="Q223" i="11"/>
  <c r="P223" i="11"/>
  <c r="O223" i="11"/>
  <c r="N223" i="11"/>
  <c r="M223" i="11"/>
  <c r="K223" i="11"/>
  <c r="M223" i="17" s="1"/>
  <c r="J223" i="11"/>
  <c r="L223" i="17" s="1"/>
  <c r="I223" i="11"/>
  <c r="K223" i="17" s="1"/>
  <c r="H223" i="11"/>
  <c r="J223" i="17" s="1"/>
  <c r="G223" i="11"/>
  <c r="E223" i="11"/>
  <c r="D223" i="11"/>
  <c r="C223" i="11"/>
  <c r="B223" i="11"/>
  <c r="BJ222" i="11"/>
  <c r="BI222" i="11"/>
  <c r="BH222" i="11"/>
  <c r="BG222" i="11"/>
  <c r="BE222" i="11"/>
  <c r="BC222" i="11"/>
  <c r="BB222" i="11"/>
  <c r="BA222" i="11"/>
  <c r="AZ222" i="11"/>
  <c r="AX222" i="11"/>
  <c r="AV222" i="11"/>
  <c r="AU222" i="11"/>
  <c r="AT222" i="11"/>
  <c r="AS222" i="11"/>
  <c r="AQ222" i="11"/>
  <c r="AO222" i="11"/>
  <c r="AN222" i="11"/>
  <c r="AM222" i="11"/>
  <c r="AL222" i="11"/>
  <c r="AK222" i="11"/>
  <c r="AI222" i="11"/>
  <c r="AH222" i="11"/>
  <c r="AG222" i="11"/>
  <c r="AF222" i="11"/>
  <c r="AE222" i="11"/>
  <c r="AC222" i="11"/>
  <c r="AB222" i="11"/>
  <c r="AA222" i="11"/>
  <c r="Z222" i="11"/>
  <c r="Y222" i="11"/>
  <c r="W222" i="11"/>
  <c r="V222" i="11"/>
  <c r="U222" i="11"/>
  <c r="T222" i="11"/>
  <c r="S222" i="11"/>
  <c r="Q222" i="11"/>
  <c r="P222" i="11"/>
  <c r="O222" i="11"/>
  <c r="N222" i="11"/>
  <c r="M222" i="11"/>
  <c r="K222" i="11"/>
  <c r="M222" i="17" s="1"/>
  <c r="J222" i="11"/>
  <c r="L222" i="17" s="1"/>
  <c r="I222" i="11"/>
  <c r="K222" i="17" s="1"/>
  <c r="H222" i="11"/>
  <c r="J222" i="17" s="1"/>
  <c r="G222" i="11"/>
  <c r="E222" i="11"/>
  <c r="D222" i="11"/>
  <c r="C222" i="11"/>
  <c r="B222" i="11"/>
  <c r="BJ221" i="11"/>
  <c r="BI221" i="11"/>
  <c r="BH221" i="11"/>
  <c r="BG221" i="11"/>
  <c r="BE221" i="11"/>
  <c r="BC221" i="11"/>
  <c r="BB221" i="11"/>
  <c r="BA221" i="11"/>
  <c r="AZ221" i="11"/>
  <c r="AX221" i="11"/>
  <c r="AV221" i="11"/>
  <c r="AU221" i="11"/>
  <c r="AT221" i="11"/>
  <c r="AS221" i="11"/>
  <c r="AQ221" i="11"/>
  <c r="AO221" i="11"/>
  <c r="AN221" i="11"/>
  <c r="AM221" i="11"/>
  <c r="AL221" i="11"/>
  <c r="AK221" i="11"/>
  <c r="AI221" i="11"/>
  <c r="AH221" i="11"/>
  <c r="AG221" i="11"/>
  <c r="AF221" i="11"/>
  <c r="AE221" i="11"/>
  <c r="AC221" i="11"/>
  <c r="AB221" i="11"/>
  <c r="AA221" i="11"/>
  <c r="Z221" i="11"/>
  <c r="Y221" i="11"/>
  <c r="W221" i="11"/>
  <c r="V221" i="11"/>
  <c r="U221" i="11"/>
  <c r="T221" i="11"/>
  <c r="S221" i="11"/>
  <c r="Q221" i="11"/>
  <c r="P221" i="11"/>
  <c r="O221" i="11"/>
  <c r="N221" i="11"/>
  <c r="M221" i="11"/>
  <c r="K221" i="11"/>
  <c r="M221" i="17" s="1"/>
  <c r="J221" i="11"/>
  <c r="L221" i="17" s="1"/>
  <c r="I221" i="11"/>
  <c r="K221" i="17" s="1"/>
  <c r="H221" i="11"/>
  <c r="J221" i="17" s="1"/>
  <c r="G221" i="11"/>
  <c r="E221" i="11"/>
  <c r="D221" i="11"/>
  <c r="C221" i="11"/>
  <c r="B221" i="11"/>
  <c r="BJ220" i="11"/>
  <c r="BI220" i="11"/>
  <c r="BH220" i="11"/>
  <c r="BG220" i="11"/>
  <c r="BE220" i="11"/>
  <c r="BC220" i="11"/>
  <c r="BB220" i="11"/>
  <c r="BA220" i="11"/>
  <c r="AZ220" i="11"/>
  <c r="AX220" i="11"/>
  <c r="AV220" i="11"/>
  <c r="AU220" i="11"/>
  <c r="AT220" i="11"/>
  <c r="AS220" i="11"/>
  <c r="AQ220" i="11"/>
  <c r="AO220" i="11"/>
  <c r="AN220" i="11"/>
  <c r="AM220" i="11"/>
  <c r="AL220" i="11"/>
  <c r="AK220" i="11"/>
  <c r="AI220" i="11"/>
  <c r="AH220" i="11"/>
  <c r="AG220" i="11"/>
  <c r="AF220" i="11"/>
  <c r="AE220" i="11"/>
  <c r="AC220" i="11"/>
  <c r="AB220" i="11"/>
  <c r="AA220" i="11"/>
  <c r="Z220" i="11"/>
  <c r="Y220" i="11"/>
  <c r="W220" i="11"/>
  <c r="V220" i="11"/>
  <c r="U220" i="11"/>
  <c r="T220" i="11"/>
  <c r="S220" i="11"/>
  <c r="Q220" i="11"/>
  <c r="P220" i="11"/>
  <c r="O220" i="11"/>
  <c r="N220" i="11"/>
  <c r="M220" i="11"/>
  <c r="K220" i="11"/>
  <c r="M220" i="17" s="1"/>
  <c r="J220" i="11"/>
  <c r="L220" i="17" s="1"/>
  <c r="I220" i="11"/>
  <c r="K220" i="17" s="1"/>
  <c r="H220" i="11"/>
  <c r="J220" i="17" s="1"/>
  <c r="G220" i="11"/>
  <c r="E220" i="11"/>
  <c r="D220" i="11"/>
  <c r="C220" i="11"/>
  <c r="B220" i="11"/>
  <c r="BJ219" i="11"/>
  <c r="BI219" i="11"/>
  <c r="BH219" i="11"/>
  <c r="BG219" i="11"/>
  <c r="BE219" i="11"/>
  <c r="BC219" i="11"/>
  <c r="BB219" i="11"/>
  <c r="BA219" i="11"/>
  <c r="AZ219" i="11"/>
  <c r="AX219" i="11"/>
  <c r="AV219" i="11"/>
  <c r="AU219" i="11"/>
  <c r="AT219" i="11"/>
  <c r="AS219" i="11"/>
  <c r="AQ219" i="11"/>
  <c r="AO219" i="11"/>
  <c r="AN219" i="11"/>
  <c r="AM219" i="11"/>
  <c r="AL219" i="11"/>
  <c r="AK219" i="11"/>
  <c r="AI219" i="11"/>
  <c r="AH219" i="11"/>
  <c r="AG219" i="11"/>
  <c r="AF219" i="11"/>
  <c r="AE219" i="11"/>
  <c r="AC219" i="11"/>
  <c r="AB219" i="11"/>
  <c r="AA219" i="11"/>
  <c r="Z219" i="11"/>
  <c r="Y219" i="11"/>
  <c r="W219" i="11"/>
  <c r="V219" i="11"/>
  <c r="U219" i="11"/>
  <c r="T219" i="11"/>
  <c r="S219" i="11"/>
  <c r="Q219" i="11"/>
  <c r="P219" i="11"/>
  <c r="O219" i="11"/>
  <c r="N219" i="11"/>
  <c r="M219" i="11"/>
  <c r="K219" i="11"/>
  <c r="M219" i="17" s="1"/>
  <c r="J219" i="11"/>
  <c r="L219" i="17" s="1"/>
  <c r="I219" i="11"/>
  <c r="K219" i="17" s="1"/>
  <c r="H219" i="11"/>
  <c r="J219" i="17" s="1"/>
  <c r="G219" i="11"/>
  <c r="E219" i="11"/>
  <c r="D219" i="11"/>
  <c r="C219" i="11"/>
  <c r="B219" i="11"/>
  <c r="BJ218" i="11"/>
  <c r="BI218" i="11"/>
  <c r="BH218" i="11"/>
  <c r="BG218" i="11"/>
  <c r="BE218" i="11"/>
  <c r="BC218" i="11"/>
  <c r="BB218" i="11"/>
  <c r="BA218" i="11"/>
  <c r="AZ218" i="11"/>
  <c r="AX218" i="11"/>
  <c r="AV218" i="11"/>
  <c r="AU218" i="11"/>
  <c r="AT218" i="11"/>
  <c r="AS218" i="11"/>
  <c r="AQ218" i="11"/>
  <c r="AO218" i="11"/>
  <c r="AN218" i="11"/>
  <c r="AM218" i="11"/>
  <c r="AL218" i="11"/>
  <c r="AK218" i="11"/>
  <c r="AI218" i="11"/>
  <c r="AH218" i="11"/>
  <c r="AG218" i="11"/>
  <c r="AF218" i="11"/>
  <c r="AE218" i="11"/>
  <c r="AC218" i="11"/>
  <c r="AB218" i="11"/>
  <c r="AA218" i="11"/>
  <c r="Z218" i="11"/>
  <c r="Y218" i="11"/>
  <c r="W218" i="11"/>
  <c r="V218" i="11"/>
  <c r="U218" i="11"/>
  <c r="T218" i="11"/>
  <c r="S218" i="11"/>
  <c r="Q218" i="11"/>
  <c r="P218" i="11"/>
  <c r="O218" i="11"/>
  <c r="N218" i="11"/>
  <c r="M218" i="11"/>
  <c r="K218" i="11"/>
  <c r="M218" i="17" s="1"/>
  <c r="J218" i="11"/>
  <c r="L218" i="17" s="1"/>
  <c r="I218" i="11"/>
  <c r="K218" i="17" s="1"/>
  <c r="H218" i="11"/>
  <c r="J218" i="17" s="1"/>
  <c r="G218" i="11"/>
  <c r="E218" i="11"/>
  <c r="D218" i="11"/>
  <c r="C218" i="11"/>
  <c r="B218" i="11"/>
  <c r="BJ217" i="11"/>
  <c r="BI217" i="11"/>
  <c r="BH217" i="11"/>
  <c r="BG217" i="11"/>
  <c r="BE217" i="11"/>
  <c r="BC217" i="11"/>
  <c r="BB217" i="11"/>
  <c r="BA217" i="11"/>
  <c r="AZ217" i="11"/>
  <c r="AX217" i="11"/>
  <c r="AV217" i="11"/>
  <c r="AU217" i="11"/>
  <c r="AT217" i="11"/>
  <c r="AS217" i="11"/>
  <c r="AQ217" i="11"/>
  <c r="AO217" i="11"/>
  <c r="AN217" i="11"/>
  <c r="AM217" i="11"/>
  <c r="AL217" i="11"/>
  <c r="AK217" i="11"/>
  <c r="AI217" i="11"/>
  <c r="AH217" i="11"/>
  <c r="AG217" i="11"/>
  <c r="AF217" i="11"/>
  <c r="AE217" i="11"/>
  <c r="AC217" i="11"/>
  <c r="AB217" i="11"/>
  <c r="AA217" i="11"/>
  <c r="Z217" i="11"/>
  <c r="Y217" i="11"/>
  <c r="W217" i="11"/>
  <c r="V217" i="11"/>
  <c r="U217" i="11"/>
  <c r="T217" i="11"/>
  <c r="S217" i="11"/>
  <c r="Q217" i="11"/>
  <c r="P217" i="11"/>
  <c r="O217" i="11"/>
  <c r="N217" i="11"/>
  <c r="M217" i="11"/>
  <c r="K217" i="11"/>
  <c r="M217" i="17" s="1"/>
  <c r="J217" i="11"/>
  <c r="L217" i="17" s="1"/>
  <c r="I217" i="11"/>
  <c r="K217" i="17" s="1"/>
  <c r="H217" i="11"/>
  <c r="J217" i="17" s="1"/>
  <c r="G217" i="11"/>
  <c r="E217" i="11"/>
  <c r="D217" i="11"/>
  <c r="C217" i="11"/>
  <c r="B217" i="11"/>
  <c r="BJ216" i="11"/>
  <c r="BI216" i="11"/>
  <c r="BH216" i="11"/>
  <c r="BG216" i="11"/>
  <c r="BE216" i="11"/>
  <c r="BC216" i="11"/>
  <c r="BB216" i="11"/>
  <c r="BA216" i="11"/>
  <c r="AZ216" i="11"/>
  <c r="AX216" i="11"/>
  <c r="AV216" i="11"/>
  <c r="AU216" i="11"/>
  <c r="AT216" i="11"/>
  <c r="AS216" i="11"/>
  <c r="AQ216" i="11"/>
  <c r="AO216" i="11"/>
  <c r="AN216" i="11"/>
  <c r="AM216" i="11"/>
  <c r="AL216" i="11"/>
  <c r="AK216" i="11"/>
  <c r="AI216" i="11"/>
  <c r="AH216" i="11"/>
  <c r="AG216" i="11"/>
  <c r="AF216" i="11"/>
  <c r="AE216" i="11"/>
  <c r="AC216" i="11"/>
  <c r="AB216" i="11"/>
  <c r="AA216" i="11"/>
  <c r="Z216" i="11"/>
  <c r="Y216" i="11"/>
  <c r="W216" i="11"/>
  <c r="V216" i="11"/>
  <c r="U216" i="11"/>
  <c r="T216" i="11"/>
  <c r="S216" i="11"/>
  <c r="Q216" i="11"/>
  <c r="P216" i="11"/>
  <c r="O216" i="11"/>
  <c r="N216" i="11"/>
  <c r="M216" i="11"/>
  <c r="K216" i="11"/>
  <c r="M216" i="17" s="1"/>
  <c r="J216" i="11"/>
  <c r="L216" i="17" s="1"/>
  <c r="I216" i="11"/>
  <c r="K216" i="17" s="1"/>
  <c r="H216" i="11"/>
  <c r="J216" i="17" s="1"/>
  <c r="G216" i="11"/>
  <c r="E216" i="11"/>
  <c r="D216" i="11"/>
  <c r="C216" i="11"/>
  <c r="B216" i="11"/>
  <c r="BJ215" i="11"/>
  <c r="BI215" i="11"/>
  <c r="BH215" i="11"/>
  <c r="BG215" i="11"/>
  <c r="BE215" i="11"/>
  <c r="BC215" i="11"/>
  <c r="BB215" i="11"/>
  <c r="BA215" i="11"/>
  <c r="AZ215" i="11"/>
  <c r="AX215" i="11"/>
  <c r="AV215" i="11"/>
  <c r="AU215" i="11"/>
  <c r="AT215" i="11"/>
  <c r="AS215" i="11"/>
  <c r="AQ215" i="11"/>
  <c r="AO215" i="11"/>
  <c r="AN215" i="11"/>
  <c r="AM215" i="11"/>
  <c r="AL215" i="11"/>
  <c r="AK215" i="11"/>
  <c r="AI215" i="11"/>
  <c r="AH215" i="11"/>
  <c r="AG215" i="11"/>
  <c r="AF215" i="11"/>
  <c r="AE215" i="11"/>
  <c r="AC215" i="11"/>
  <c r="AB215" i="11"/>
  <c r="AA215" i="11"/>
  <c r="Z215" i="11"/>
  <c r="Y215" i="11"/>
  <c r="W215" i="11"/>
  <c r="V215" i="11"/>
  <c r="U215" i="11"/>
  <c r="T215" i="11"/>
  <c r="S215" i="11"/>
  <c r="Q215" i="11"/>
  <c r="P215" i="11"/>
  <c r="O215" i="11"/>
  <c r="N215" i="11"/>
  <c r="M215" i="11"/>
  <c r="K215" i="11"/>
  <c r="M215" i="17" s="1"/>
  <c r="J215" i="11"/>
  <c r="L215" i="17" s="1"/>
  <c r="I215" i="11"/>
  <c r="K215" i="17" s="1"/>
  <c r="H215" i="11"/>
  <c r="J215" i="17" s="1"/>
  <c r="G215" i="11"/>
  <c r="E215" i="11"/>
  <c r="D215" i="11"/>
  <c r="C215" i="11"/>
  <c r="B215" i="11"/>
  <c r="BJ214" i="11"/>
  <c r="BI214" i="11"/>
  <c r="BH214" i="11"/>
  <c r="BG214" i="11"/>
  <c r="BE214" i="11"/>
  <c r="BC214" i="11"/>
  <c r="BB214" i="11"/>
  <c r="BA214" i="11"/>
  <c r="AZ214" i="11"/>
  <c r="AX214" i="11"/>
  <c r="AV214" i="11"/>
  <c r="AU214" i="11"/>
  <c r="AT214" i="11"/>
  <c r="AS214" i="11"/>
  <c r="AQ214" i="11"/>
  <c r="AO214" i="11"/>
  <c r="AN214" i="11"/>
  <c r="AM214" i="11"/>
  <c r="AL214" i="11"/>
  <c r="AK214" i="11"/>
  <c r="AI214" i="11"/>
  <c r="AH214" i="11"/>
  <c r="AG214" i="11"/>
  <c r="AF214" i="11"/>
  <c r="AE214" i="11"/>
  <c r="AC214" i="11"/>
  <c r="AB214" i="11"/>
  <c r="AA214" i="11"/>
  <c r="Z214" i="11"/>
  <c r="Y214" i="11"/>
  <c r="W214" i="11"/>
  <c r="V214" i="11"/>
  <c r="U214" i="11"/>
  <c r="T214" i="11"/>
  <c r="S214" i="11"/>
  <c r="Q214" i="11"/>
  <c r="P214" i="11"/>
  <c r="O214" i="11"/>
  <c r="N214" i="11"/>
  <c r="M214" i="11"/>
  <c r="K214" i="11"/>
  <c r="M214" i="17" s="1"/>
  <c r="J214" i="11"/>
  <c r="L214" i="17" s="1"/>
  <c r="I214" i="11"/>
  <c r="K214" i="17" s="1"/>
  <c r="H214" i="11"/>
  <c r="J214" i="17" s="1"/>
  <c r="G214" i="11"/>
  <c r="E214" i="11"/>
  <c r="D214" i="11"/>
  <c r="C214" i="11"/>
  <c r="B214" i="11"/>
  <c r="BJ213" i="11"/>
  <c r="BI213" i="11"/>
  <c r="BH213" i="11"/>
  <c r="BG213" i="11"/>
  <c r="BE213" i="11"/>
  <c r="BC213" i="11"/>
  <c r="BB213" i="11"/>
  <c r="BA213" i="11"/>
  <c r="AZ213" i="11"/>
  <c r="AX213" i="11"/>
  <c r="AV213" i="11"/>
  <c r="AU213" i="11"/>
  <c r="AT213" i="11"/>
  <c r="AS213" i="11"/>
  <c r="AQ213" i="11"/>
  <c r="AO213" i="11"/>
  <c r="AN213" i="11"/>
  <c r="AM213" i="11"/>
  <c r="AL213" i="11"/>
  <c r="AK213" i="11"/>
  <c r="AI213" i="11"/>
  <c r="AH213" i="11"/>
  <c r="AG213" i="11"/>
  <c r="AF213" i="11"/>
  <c r="AE213" i="11"/>
  <c r="AC213" i="11"/>
  <c r="AB213" i="11"/>
  <c r="AA213" i="11"/>
  <c r="Z213" i="11"/>
  <c r="Y213" i="11"/>
  <c r="W213" i="11"/>
  <c r="V213" i="11"/>
  <c r="U213" i="11"/>
  <c r="T213" i="11"/>
  <c r="S213" i="11"/>
  <c r="Q213" i="11"/>
  <c r="P213" i="11"/>
  <c r="O213" i="11"/>
  <c r="N213" i="11"/>
  <c r="M213" i="11"/>
  <c r="K213" i="11"/>
  <c r="M213" i="17" s="1"/>
  <c r="J213" i="11"/>
  <c r="L213" i="17" s="1"/>
  <c r="I213" i="11"/>
  <c r="K213" i="17" s="1"/>
  <c r="H213" i="11"/>
  <c r="J213" i="17" s="1"/>
  <c r="G213" i="11"/>
  <c r="E213" i="11"/>
  <c r="D213" i="11"/>
  <c r="C213" i="11"/>
  <c r="B213" i="11"/>
  <c r="BJ212" i="11"/>
  <c r="BI212" i="11"/>
  <c r="BH212" i="11"/>
  <c r="BG212" i="11"/>
  <c r="BE212" i="11"/>
  <c r="BC212" i="11"/>
  <c r="BB212" i="11"/>
  <c r="BA212" i="11"/>
  <c r="AZ212" i="11"/>
  <c r="AX212" i="11"/>
  <c r="AV212" i="11"/>
  <c r="AU212" i="11"/>
  <c r="AT212" i="11"/>
  <c r="AS212" i="11"/>
  <c r="AQ212" i="11"/>
  <c r="AO212" i="11"/>
  <c r="AN212" i="11"/>
  <c r="AM212" i="11"/>
  <c r="AL212" i="11"/>
  <c r="AK212" i="11"/>
  <c r="AI212" i="11"/>
  <c r="AH212" i="11"/>
  <c r="AG212" i="11"/>
  <c r="AF212" i="11"/>
  <c r="AE212" i="11"/>
  <c r="AC212" i="11"/>
  <c r="AB212" i="11"/>
  <c r="AA212" i="11"/>
  <c r="Z212" i="11"/>
  <c r="Y212" i="11"/>
  <c r="W212" i="11"/>
  <c r="V212" i="11"/>
  <c r="U212" i="11"/>
  <c r="T212" i="11"/>
  <c r="S212" i="11"/>
  <c r="Q212" i="11"/>
  <c r="P212" i="11"/>
  <c r="O212" i="11"/>
  <c r="N212" i="11"/>
  <c r="M212" i="11"/>
  <c r="K212" i="11"/>
  <c r="M212" i="17" s="1"/>
  <c r="J212" i="11"/>
  <c r="L212" i="17" s="1"/>
  <c r="I212" i="11"/>
  <c r="K212" i="17" s="1"/>
  <c r="H212" i="11"/>
  <c r="J212" i="17" s="1"/>
  <c r="G212" i="11"/>
  <c r="E212" i="11"/>
  <c r="D212" i="11"/>
  <c r="C212" i="11"/>
  <c r="B212" i="11"/>
  <c r="BJ211" i="11"/>
  <c r="BI211" i="11"/>
  <c r="BH211" i="11"/>
  <c r="BG211" i="11"/>
  <c r="BE211" i="11"/>
  <c r="BC211" i="11"/>
  <c r="BB211" i="11"/>
  <c r="BA211" i="11"/>
  <c r="AZ211" i="11"/>
  <c r="AX211" i="11"/>
  <c r="AV211" i="11"/>
  <c r="AU211" i="11"/>
  <c r="AT211" i="11"/>
  <c r="AS211" i="11"/>
  <c r="AQ211" i="11"/>
  <c r="AO211" i="11"/>
  <c r="AN211" i="11"/>
  <c r="AM211" i="11"/>
  <c r="AL211" i="11"/>
  <c r="AK211" i="11"/>
  <c r="AI211" i="11"/>
  <c r="AH211" i="11"/>
  <c r="AG211" i="11"/>
  <c r="AF211" i="11"/>
  <c r="AE211" i="11"/>
  <c r="AC211" i="11"/>
  <c r="AB211" i="11"/>
  <c r="AA211" i="11"/>
  <c r="Z211" i="11"/>
  <c r="Y211" i="11"/>
  <c r="W211" i="11"/>
  <c r="V211" i="11"/>
  <c r="U211" i="11"/>
  <c r="T211" i="11"/>
  <c r="S211" i="11"/>
  <c r="Q211" i="11"/>
  <c r="P211" i="11"/>
  <c r="O211" i="11"/>
  <c r="N211" i="11"/>
  <c r="M211" i="11"/>
  <c r="K211" i="11"/>
  <c r="M211" i="17" s="1"/>
  <c r="J211" i="11"/>
  <c r="L211" i="17" s="1"/>
  <c r="I211" i="11"/>
  <c r="K211" i="17" s="1"/>
  <c r="H211" i="11"/>
  <c r="J211" i="17" s="1"/>
  <c r="G211" i="11"/>
  <c r="E211" i="11"/>
  <c r="D211" i="11"/>
  <c r="C211" i="11"/>
  <c r="B211" i="11"/>
  <c r="BJ210" i="11"/>
  <c r="BI210" i="11"/>
  <c r="BH210" i="11"/>
  <c r="BG210" i="11"/>
  <c r="BE210" i="11"/>
  <c r="BC210" i="11"/>
  <c r="BB210" i="11"/>
  <c r="BA210" i="11"/>
  <c r="AZ210" i="11"/>
  <c r="AX210" i="11"/>
  <c r="AV210" i="11"/>
  <c r="AU210" i="11"/>
  <c r="AT210" i="11"/>
  <c r="AS210" i="11"/>
  <c r="AQ210" i="11"/>
  <c r="AO210" i="11"/>
  <c r="AN210" i="11"/>
  <c r="AM210" i="11"/>
  <c r="AL210" i="11"/>
  <c r="AK210" i="11"/>
  <c r="AI210" i="11"/>
  <c r="AH210" i="11"/>
  <c r="AG210" i="11"/>
  <c r="AF210" i="11"/>
  <c r="AE210" i="11"/>
  <c r="AC210" i="11"/>
  <c r="AB210" i="11"/>
  <c r="AA210" i="11"/>
  <c r="Z210" i="11"/>
  <c r="Y210" i="11"/>
  <c r="W210" i="11"/>
  <c r="V210" i="11"/>
  <c r="U210" i="11"/>
  <c r="T210" i="11"/>
  <c r="S210" i="11"/>
  <c r="Q210" i="11"/>
  <c r="P210" i="11"/>
  <c r="O210" i="11"/>
  <c r="N210" i="11"/>
  <c r="M210" i="11"/>
  <c r="K210" i="11"/>
  <c r="M210" i="17" s="1"/>
  <c r="J210" i="11"/>
  <c r="L210" i="17" s="1"/>
  <c r="I210" i="11"/>
  <c r="K210" i="17" s="1"/>
  <c r="H210" i="11"/>
  <c r="J210" i="17" s="1"/>
  <c r="D210" i="11"/>
  <c r="BJ209" i="11"/>
  <c r="BC209" i="11"/>
  <c r="AV209" i="11"/>
  <c r="AN209" i="11"/>
  <c r="AK209" i="11"/>
  <c r="AF209" i="11"/>
  <c r="AC209" i="11"/>
  <c r="Y209" i="11"/>
  <c r="U209" i="11"/>
  <c r="S209" i="11"/>
  <c r="N209" i="11"/>
  <c r="I209" i="11"/>
  <c r="K209" i="17" s="1"/>
  <c r="B209" i="11"/>
  <c r="BJ208" i="11"/>
  <c r="AZ208" i="11"/>
  <c r="AV208" i="11"/>
  <c r="Y208" i="11"/>
  <c r="V208" i="11"/>
  <c r="Q208" i="11"/>
  <c r="G208" i="11"/>
  <c r="BA207" i="11"/>
  <c r="AQ207" i="11"/>
  <c r="AO207" i="11"/>
  <c r="AL207" i="11"/>
  <c r="AG207" i="11"/>
  <c r="Z207" i="11"/>
  <c r="S207" i="11"/>
  <c r="M207" i="11"/>
  <c r="I207" i="11"/>
  <c r="BH206" i="11"/>
  <c r="AZ206" i="11"/>
  <c r="AO206" i="11"/>
  <c r="AL206" i="11"/>
  <c r="AG206" i="11"/>
  <c r="Y206" i="11"/>
  <c r="Q206" i="11"/>
  <c r="BC205" i="11"/>
  <c r="AN205" i="11"/>
  <c r="AI205" i="11"/>
  <c r="AC205" i="11"/>
  <c r="N205" i="11"/>
  <c r="D205" i="11"/>
  <c r="BG204" i="11"/>
  <c r="AX204" i="11"/>
  <c r="AT204" i="11"/>
  <c r="J204" i="11"/>
  <c r="BI203" i="11"/>
  <c r="AZ203" i="11"/>
  <c r="AL203" i="11"/>
  <c r="AF203" i="11"/>
  <c r="AB203" i="11"/>
  <c r="N203" i="11"/>
  <c r="B203" i="11"/>
  <c r="BE202" i="11"/>
  <c r="BC202" i="11"/>
  <c r="AU202" i="11"/>
  <c r="T202" i="11"/>
  <c r="N202" i="11"/>
  <c r="D202" i="11"/>
  <c r="AQ201" i="11"/>
  <c r="AM201" i="11"/>
  <c r="AI201" i="11"/>
  <c r="AE201" i="11"/>
  <c r="AB201" i="11"/>
  <c r="U201" i="11"/>
  <c r="O201" i="11"/>
  <c r="C201" i="11"/>
  <c r="BE200" i="11"/>
  <c r="BB200" i="11"/>
  <c r="AK200" i="11"/>
  <c r="AI200" i="11"/>
  <c r="AB200" i="11"/>
  <c r="T200" i="11"/>
  <c r="O200" i="11"/>
  <c r="BB199" i="11"/>
  <c r="AN199" i="11"/>
  <c r="AK199" i="11"/>
  <c r="AH199" i="11"/>
  <c r="V199" i="11"/>
  <c r="M199" i="11"/>
  <c r="I199" i="11"/>
  <c r="BH198" i="11"/>
  <c r="AU198" i="11"/>
  <c r="Y198" i="11"/>
  <c r="V198" i="11"/>
  <c r="P198" i="11"/>
  <c r="D198" i="11"/>
  <c r="BE197" i="11"/>
  <c r="BB197" i="11"/>
  <c r="AN197" i="11"/>
  <c r="AH197" i="11"/>
  <c r="AC197" i="11"/>
  <c r="N197" i="11"/>
  <c r="E197" i="11"/>
  <c r="BG196" i="11"/>
  <c r="AU196" i="11"/>
  <c r="T196" i="11"/>
  <c r="M196" i="11"/>
  <c r="H196" i="11"/>
  <c r="J196" i="17" s="1"/>
  <c r="BB195" i="11"/>
  <c r="AL195" i="11"/>
  <c r="AG195" i="11"/>
  <c r="AC195" i="11"/>
  <c r="Y195" i="11"/>
  <c r="O195" i="11"/>
  <c r="E195" i="11"/>
  <c r="BG194" i="11"/>
  <c r="AU194" i="11"/>
  <c r="U194" i="11"/>
  <c r="I194" i="11"/>
  <c r="K194" i="17" s="1"/>
  <c r="Y190" i="11"/>
  <c r="U190" i="11"/>
  <c r="P190" i="11"/>
  <c r="BJ189" i="11"/>
  <c r="AS189" i="11"/>
  <c r="V189" i="11"/>
  <c r="M189" i="11"/>
  <c r="H189" i="11"/>
  <c r="BB188" i="11"/>
  <c r="AS188" i="11"/>
  <c r="M188" i="11"/>
  <c r="H188" i="11"/>
  <c r="BJ187" i="11"/>
  <c r="AX187" i="11"/>
  <c r="AU187" i="11"/>
  <c r="P187" i="11"/>
  <c r="G187" i="11"/>
  <c r="E187" i="11"/>
  <c r="BG186" i="11"/>
  <c r="AX186" i="11"/>
  <c r="AT186" i="11"/>
  <c r="S186" i="11"/>
  <c r="H186" i="11"/>
  <c r="BC185" i="11"/>
  <c r="AN185" i="11"/>
  <c r="AK185" i="11"/>
  <c r="AG185" i="11"/>
  <c r="AA185" i="11"/>
  <c r="N185" i="11"/>
  <c r="B185" i="11"/>
  <c r="BE184" i="11"/>
  <c r="AZ184" i="11"/>
  <c r="AM184" i="11"/>
  <c r="AF184" i="11"/>
  <c r="AB184" i="11"/>
  <c r="U184" i="11"/>
  <c r="K184" i="11"/>
  <c r="BH183" i="11"/>
  <c r="AS183" i="11"/>
  <c r="T183" i="11"/>
  <c r="J183" i="11"/>
  <c r="BI182" i="11"/>
  <c r="AZ182" i="11"/>
  <c r="AQ182" i="11"/>
  <c r="AM182" i="11"/>
  <c r="AG182" i="11"/>
  <c r="Z182" i="11"/>
  <c r="S182" i="11"/>
  <c r="J182" i="11"/>
  <c r="BJ181" i="11"/>
  <c r="BB181" i="11"/>
  <c r="AO181" i="11"/>
  <c r="AK181" i="11"/>
  <c r="AI181" i="11"/>
  <c r="AE181" i="11"/>
  <c r="Z181" i="11"/>
  <c r="S181" i="11"/>
  <c r="K181" i="11"/>
  <c r="B181" i="11"/>
  <c r="BE180" i="11"/>
  <c r="BA180" i="11"/>
  <c r="AQ180" i="11"/>
  <c r="AO180" i="11"/>
  <c r="AK180" i="11"/>
  <c r="AF180" i="11"/>
  <c r="AB180" i="11"/>
  <c r="S180" i="11"/>
  <c r="P180" i="11"/>
  <c r="C180" i="11"/>
  <c r="BC179" i="11"/>
  <c r="AO179" i="11"/>
  <c r="AK179" i="11"/>
  <c r="AH179" i="11"/>
  <c r="U179" i="11"/>
  <c r="K179" i="11"/>
  <c r="BI178" i="11"/>
  <c r="AZ178" i="11"/>
  <c r="AO178" i="11"/>
  <c r="AI178" i="11"/>
  <c r="AE178" i="11"/>
  <c r="U178" i="11"/>
  <c r="M178" i="11"/>
  <c r="H178" i="11"/>
  <c r="BH177" i="11"/>
  <c r="BB177" i="11"/>
  <c r="AQ177" i="11"/>
  <c r="AN177" i="11"/>
  <c r="AI177" i="11"/>
  <c r="Y177" i="11"/>
  <c r="M177" i="11"/>
  <c r="J177" i="11"/>
  <c r="B177" i="11"/>
  <c r="BE176" i="11"/>
  <c r="BB176" i="11"/>
  <c r="AO176" i="11"/>
  <c r="AI176" i="11"/>
  <c r="W176" i="11"/>
  <c r="N176" i="11"/>
  <c r="AV175" i="11"/>
  <c r="W175" i="11"/>
  <c r="K175" i="11"/>
  <c r="M175" i="17" s="1"/>
  <c r="BC174" i="11"/>
  <c r="AO174" i="11"/>
  <c r="AK174" i="11"/>
  <c r="AF174" i="11"/>
  <c r="AA174" i="11"/>
  <c r="Q174" i="11"/>
  <c r="G174" i="11"/>
  <c r="E174" i="11"/>
  <c r="BG173" i="11"/>
  <c r="AT173" i="11"/>
  <c r="Y173" i="11"/>
  <c r="O173" i="11"/>
  <c r="E173" i="11"/>
  <c r="BH172" i="11"/>
  <c r="AX172" i="11"/>
  <c r="AT172" i="11"/>
  <c r="W172" i="11"/>
  <c r="P172" i="11"/>
  <c r="E172" i="11"/>
  <c r="BH171" i="11"/>
  <c r="AT171" i="11"/>
  <c r="AE171" i="11"/>
  <c r="Z171" i="11"/>
  <c r="N171" i="11"/>
  <c r="E171" i="11"/>
  <c r="BH170" i="11"/>
  <c r="AV170" i="11"/>
  <c r="AC170" i="11"/>
  <c r="Y170" i="11"/>
  <c r="T170" i="11"/>
  <c r="K170" i="11"/>
  <c r="BJ169" i="11"/>
  <c r="AZ169" i="11"/>
  <c r="AO169" i="11"/>
  <c r="AL169" i="11"/>
  <c r="I169" i="11"/>
  <c r="BJ168" i="11"/>
  <c r="BA168" i="11"/>
  <c r="AO168" i="11"/>
  <c r="AL168" i="11"/>
  <c r="AG168" i="11"/>
  <c r="AE168" i="11"/>
  <c r="AA168" i="11"/>
  <c r="O168" i="11"/>
  <c r="D168" i="11"/>
  <c r="BC167" i="11"/>
  <c r="AT167" i="11"/>
  <c r="Z167" i="11"/>
  <c r="O167" i="11"/>
  <c r="BC166" i="11"/>
  <c r="AQ166" i="11"/>
  <c r="AO166" i="11"/>
  <c r="AK166" i="11"/>
  <c r="AF166" i="11"/>
  <c r="Y166" i="11"/>
  <c r="S166" i="11"/>
  <c r="K166" i="11"/>
  <c r="B166" i="11"/>
  <c r="BB165" i="11"/>
  <c r="AN165" i="11"/>
  <c r="AK165" i="11"/>
  <c r="AF165" i="11"/>
  <c r="AE165" i="11"/>
  <c r="Z165" i="11"/>
  <c r="S165" i="11"/>
  <c r="P165" i="11"/>
  <c r="E165" i="11"/>
  <c r="BH164" i="11"/>
  <c r="AU164" i="11"/>
  <c r="T164" i="11"/>
  <c r="O164" i="11"/>
  <c r="B164" i="11"/>
  <c r="AZ163" i="11"/>
  <c r="AM163" i="11"/>
  <c r="AF163" i="11"/>
  <c r="Z163" i="11"/>
  <c r="S163" i="11"/>
  <c r="H163" i="11"/>
  <c r="BJ162" i="11"/>
  <c r="AV162" i="11"/>
  <c r="Y162" i="11"/>
  <c r="T162" i="11"/>
  <c r="K162" i="11"/>
  <c r="BI161" i="11"/>
  <c r="AQ161" i="11"/>
  <c r="AO161" i="11"/>
  <c r="AK161" i="11"/>
  <c r="AI161" i="11"/>
  <c r="AE161" i="11"/>
  <c r="AA161" i="11"/>
  <c r="Y161" i="11"/>
  <c r="T161" i="11"/>
  <c r="K161" i="11"/>
  <c r="B161" i="11"/>
  <c r="BG160" i="11"/>
  <c r="AU160" i="11"/>
  <c r="V160" i="11"/>
  <c r="P160" i="11"/>
  <c r="E160" i="11"/>
  <c r="BG159" i="11"/>
  <c r="AV159" i="11"/>
  <c r="AE159" i="11"/>
  <c r="AA159" i="11"/>
  <c r="O159" i="11"/>
  <c r="BI158" i="11"/>
  <c r="BA158" i="11"/>
  <c r="AO158" i="11"/>
  <c r="AK158" i="11"/>
  <c r="AH158" i="11"/>
  <c r="Z158" i="11"/>
  <c r="Q158" i="11"/>
  <c r="B158" i="11"/>
  <c r="BA157" i="11"/>
  <c r="AO157" i="11"/>
  <c r="AK157" i="11"/>
  <c r="AH157" i="11"/>
  <c r="AE157" i="11"/>
  <c r="AA157" i="11"/>
  <c r="S157" i="11"/>
  <c r="H157" i="11"/>
  <c r="BH156" i="11"/>
  <c r="AU156" i="11"/>
  <c r="N156" i="11"/>
  <c r="B156" i="11"/>
  <c r="BB155" i="11"/>
  <c r="AK155" i="11"/>
  <c r="AG155" i="11"/>
  <c r="Z155" i="11"/>
  <c r="U155" i="11"/>
  <c r="K155" i="11"/>
  <c r="BC154" i="11"/>
  <c r="AL154" i="11"/>
  <c r="AE154" i="11"/>
  <c r="Z154" i="11"/>
  <c r="Y154" i="11"/>
  <c r="V154" i="11"/>
  <c r="Q154" i="11"/>
  <c r="D154" i="11"/>
  <c r="Q115" i="11"/>
  <c r="G115" i="11"/>
  <c r="D115" i="11"/>
  <c r="BH114" i="11"/>
  <c r="AT114" i="11"/>
  <c r="Z114" i="11"/>
  <c r="Y114" i="11"/>
  <c r="Q114" i="11"/>
  <c r="BG113" i="11"/>
  <c r="AX113" i="11"/>
  <c r="AS113" i="11"/>
  <c r="Q113" i="11"/>
  <c r="AX112" i="11"/>
  <c r="AT112" i="11"/>
  <c r="I112" i="11"/>
  <c r="B112" i="11"/>
  <c r="BA111" i="11"/>
  <c r="AK111" i="11"/>
  <c r="AI111" i="11"/>
  <c r="Z111" i="11"/>
  <c r="U111" i="11"/>
  <c r="K111" i="11"/>
  <c r="BG110" i="11"/>
  <c r="AT110" i="11"/>
  <c r="U110" i="11"/>
  <c r="K110" i="11"/>
  <c r="BG109" i="11"/>
  <c r="AV109" i="11"/>
  <c r="S109" i="11"/>
  <c r="P109" i="11"/>
  <c r="BH108" i="11"/>
  <c r="BA108" i="11"/>
  <c r="AL108" i="11"/>
  <c r="AF108" i="11"/>
  <c r="AA108" i="11"/>
  <c r="I108" i="11"/>
  <c r="BJ107" i="11"/>
  <c r="AU107" i="11"/>
  <c r="AA107" i="11"/>
  <c r="M107" i="11"/>
  <c r="H107" i="11"/>
  <c r="BI106" i="11"/>
  <c r="AZ106" i="11"/>
  <c r="AO106" i="11"/>
  <c r="AK106" i="11"/>
  <c r="AG106" i="11"/>
  <c r="Y106" i="11"/>
  <c r="W106" i="11"/>
  <c r="P106" i="11"/>
  <c r="G106" i="11"/>
  <c r="BC105" i="11"/>
  <c r="AM105" i="11"/>
  <c r="AE105" i="11"/>
  <c r="AA105" i="11"/>
  <c r="W105" i="11"/>
  <c r="Q105" i="11"/>
  <c r="AX104" i="11"/>
  <c r="AT104" i="11"/>
  <c r="AE104" i="11"/>
  <c r="AB104" i="11"/>
  <c r="U104" i="11"/>
  <c r="O104" i="11"/>
  <c r="BJ103" i="11"/>
  <c r="AZ103" i="11"/>
  <c r="AO103" i="11"/>
  <c r="AI103" i="11"/>
  <c r="Z103" i="11"/>
  <c r="H103" i="11"/>
  <c r="BJ102" i="11"/>
  <c r="BA102" i="11"/>
  <c r="AN102" i="11"/>
  <c r="AK102" i="11"/>
  <c r="AI102" i="11"/>
  <c r="AE102" i="11"/>
  <c r="AC102" i="11"/>
  <c r="N102" i="11"/>
  <c r="BE101" i="11"/>
  <c r="BA101" i="11"/>
  <c r="AM101" i="11"/>
  <c r="AK101" i="11"/>
  <c r="AG101" i="11"/>
  <c r="AA101" i="11"/>
  <c r="T101" i="11"/>
  <c r="I101" i="11"/>
  <c r="BI100" i="11"/>
  <c r="AU100" i="11"/>
  <c r="K100" i="11"/>
  <c r="D100" i="11"/>
  <c r="BE99" i="11"/>
  <c r="BB99" i="11"/>
  <c r="AS99" i="11"/>
  <c r="Z99" i="11"/>
  <c r="M99" i="11"/>
  <c r="H99" i="11"/>
  <c r="BI98" i="11"/>
  <c r="BA98" i="11"/>
  <c r="AO98" i="11"/>
  <c r="AI98" i="11"/>
  <c r="AC98" i="11"/>
  <c r="J98" i="11"/>
  <c r="G98" i="11"/>
  <c r="E98" i="11"/>
  <c r="BI97" i="11"/>
  <c r="BB97" i="11"/>
  <c r="AO97" i="11"/>
  <c r="AL97" i="11"/>
  <c r="AB97" i="11"/>
  <c r="T97" i="11"/>
  <c r="K97" i="11"/>
  <c r="G97" i="11"/>
  <c r="E97" i="11"/>
  <c r="BI96" i="11"/>
  <c r="BE96" i="11"/>
  <c r="AU96" i="11"/>
  <c r="W96" i="11"/>
  <c r="M96" i="11"/>
  <c r="I96" i="11"/>
  <c r="BJ95" i="11"/>
  <c r="BA95" i="11"/>
  <c r="AL95" i="11"/>
  <c r="AG95" i="11"/>
  <c r="W95" i="11"/>
  <c r="P95" i="11"/>
  <c r="BG94" i="11"/>
  <c r="BC94" i="11"/>
  <c r="AN94" i="11"/>
  <c r="AE94" i="11"/>
  <c r="AA94" i="11"/>
  <c r="T94" i="11"/>
  <c r="J94" i="11"/>
  <c r="D94" i="11"/>
  <c r="BE93" i="11"/>
  <c r="BC93" i="11"/>
  <c r="AO93" i="11"/>
  <c r="AH93" i="11"/>
  <c r="W93" i="11"/>
  <c r="N93" i="11"/>
  <c r="D93" i="11"/>
  <c r="BA92" i="11"/>
  <c r="AO92" i="11"/>
  <c r="AK92" i="11"/>
  <c r="AH92" i="11"/>
  <c r="AB92" i="11"/>
  <c r="T92" i="11"/>
  <c r="K92" i="11"/>
  <c r="BI91" i="11"/>
  <c r="AX91" i="11"/>
  <c r="AU91" i="11"/>
  <c r="W91" i="11"/>
  <c r="N91" i="11"/>
  <c r="AS90" i="11"/>
  <c r="Z90" i="11"/>
  <c r="O90" i="11"/>
  <c r="B90" i="11"/>
  <c r="BE89" i="11"/>
  <c r="BB89" i="11"/>
  <c r="AK89" i="11"/>
  <c r="AH89" i="11"/>
  <c r="AE89" i="11"/>
  <c r="AB89" i="11"/>
  <c r="U89" i="11"/>
  <c r="M89" i="11"/>
  <c r="J89" i="11"/>
  <c r="BI88" i="11"/>
  <c r="BA88" i="11"/>
  <c r="AM88" i="11"/>
  <c r="AF88" i="11"/>
  <c r="V88" i="11"/>
  <c r="U88" i="11"/>
  <c r="P88" i="11"/>
  <c r="D88" i="11"/>
  <c r="BB87" i="11"/>
  <c r="AK87" i="11"/>
  <c r="AI87" i="11"/>
  <c r="AF87" i="11"/>
  <c r="Y87" i="11"/>
  <c r="W87" i="11"/>
  <c r="T87" i="11"/>
  <c r="M87" i="11"/>
  <c r="G87" i="11"/>
  <c r="E87" i="11"/>
  <c r="BH86" i="11"/>
  <c r="AQ86" i="11"/>
  <c r="AM86" i="11"/>
  <c r="AH86" i="11"/>
  <c r="AA86" i="11"/>
  <c r="J86" i="11"/>
  <c r="AQ85" i="11"/>
  <c r="AN85" i="11"/>
  <c r="AH85" i="11"/>
  <c r="Y85" i="11"/>
  <c r="U85" i="11"/>
  <c r="N85" i="11"/>
  <c r="AZ84" i="11"/>
  <c r="AS84" i="11"/>
  <c r="T84" i="11"/>
  <c r="P84" i="11"/>
  <c r="AZ83" i="11"/>
  <c r="AM83" i="11"/>
  <c r="AC83" i="11"/>
  <c r="V83" i="11"/>
  <c r="J83" i="11"/>
  <c r="L83" i="17" s="1"/>
  <c r="BH82" i="11"/>
  <c r="AM82" i="11"/>
  <c r="AF82" i="11"/>
  <c r="Y82" i="11"/>
  <c r="N82" i="11"/>
  <c r="AK81" i="11"/>
  <c r="AF81" i="11"/>
  <c r="V81" i="11"/>
  <c r="M81" i="11"/>
  <c r="G81" i="11"/>
  <c r="E81" i="11"/>
  <c r="AQ80" i="11"/>
  <c r="AI80" i="11"/>
  <c r="AB80" i="11"/>
  <c r="P80" i="11"/>
  <c r="AZ79" i="11"/>
  <c r="AM79" i="11"/>
  <c r="AE79" i="11"/>
  <c r="W79" i="11"/>
  <c r="N79" i="11"/>
  <c r="BJ78" i="11"/>
  <c r="AH78" i="11"/>
  <c r="AE78" i="11"/>
  <c r="Z78" i="11"/>
  <c r="K78" i="11"/>
  <c r="BJ77" i="11"/>
  <c r="AV77" i="11"/>
  <c r="V77" i="11"/>
  <c r="K77" i="11"/>
  <c r="BA76" i="11"/>
  <c r="AM76" i="11"/>
  <c r="AF76" i="11"/>
  <c r="W76" i="11"/>
  <c r="G76" i="11"/>
  <c r="E76" i="11"/>
  <c r="BB75" i="11"/>
  <c r="AC75" i="11"/>
  <c r="Q75" i="11"/>
  <c r="AZ74" i="11"/>
  <c r="AL74" i="11"/>
  <c r="AF74" i="11"/>
  <c r="T74" i="11"/>
  <c r="O74" i="11"/>
  <c r="C74" i="11"/>
  <c r="BB73" i="11"/>
  <c r="AM73" i="11"/>
  <c r="AG73" i="11"/>
  <c r="Z73" i="11"/>
  <c r="Q73" i="11"/>
  <c r="D73" i="11"/>
  <c r="P27" i="11"/>
  <c r="H27" i="11"/>
  <c r="BC26" i="11"/>
  <c r="AM26" i="11"/>
  <c r="AE26" i="11"/>
  <c r="Z26" i="11"/>
  <c r="P26" i="11"/>
  <c r="B26" i="11"/>
  <c r="BE25" i="11"/>
  <c r="BA25" i="11"/>
  <c r="AS25" i="11"/>
  <c r="M25" i="11"/>
  <c r="E25" i="11"/>
  <c r="AS24" i="11"/>
  <c r="J24" i="11"/>
  <c r="AZ23" i="11"/>
  <c r="AK23" i="11"/>
  <c r="AH23" i="11"/>
  <c r="Y23" i="11"/>
  <c r="U23" i="11"/>
  <c r="Q23" i="11"/>
  <c r="BI22" i="11"/>
  <c r="AZ22" i="11"/>
  <c r="AM22" i="11"/>
  <c r="AF22" i="11"/>
  <c r="W22" i="11"/>
  <c r="O22" i="11"/>
  <c r="C22" i="11"/>
  <c r="BG21" i="11"/>
  <c r="AM21" i="11"/>
  <c r="AC21" i="11"/>
  <c r="Y21" i="11"/>
  <c r="T21" i="11"/>
  <c r="K21" i="11"/>
  <c r="AT20" i="11"/>
  <c r="I20" i="11"/>
  <c r="BI19" i="11"/>
  <c r="AU19" i="11"/>
  <c r="W19" i="11"/>
  <c r="H19" i="11"/>
  <c r="BI18" i="11"/>
  <c r="AT18" i="11"/>
  <c r="O18" i="11"/>
  <c r="C18" i="11"/>
  <c r="BA17" i="11"/>
  <c r="AN17" i="11"/>
  <c r="AG17" i="11"/>
  <c r="W17" i="11"/>
  <c r="Q17" i="11"/>
  <c r="C17" i="11"/>
  <c r="BA16" i="11"/>
  <c r="AS16" i="11"/>
  <c r="B16" i="11"/>
  <c r="AX15" i="11"/>
  <c r="AS15" i="11"/>
  <c r="S15" i="11"/>
  <c r="G15" i="11"/>
  <c r="D15" i="11"/>
  <c r="BA14" i="11"/>
  <c r="AK14" i="11"/>
  <c r="AF14" i="11"/>
  <c r="I14" i="11"/>
  <c r="BJ13" i="11"/>
  <c r="AU13" i="11"/>
  <c r="Q13" i="11"/>
  <c r="D13" i="11"/>
  <c r="BE12" i="11"/>
  <c r="BC12" i="11"/>
  <c r="AT12" i="11"/>
  <c r="S12" i="11"/>
  <c r="M12" i="11"/>
  <c r="H12" i="11"/>
  <c r="BB11" i="11"/>
  <c r="AT11" i="11"/>
  <c r="G11" i="11"/>
  <c r="D11" i="11"/>
  <c r="BC10" i="11"/>
  <c r="AN10" i="11"/>
  <c r="AF10" i="11"/>
  <c r="V10" i="11"/>
  <c r="N10" i="11"/>
  <c r="BJ9" i="11"/>
  <c r="AX9" i="11"/>
  <c r="AU9" i="11"/>
  <c r="P9" i="11"/>
  <c r="B9" i="11"/>
  <c r="AM8" i="11"/>
  <c r="AB8" i="11"/>
  <c r="P8" i="11"/>
  <c r="B8" i="11"/>
  <c r="AV5" i="11"/>
  <c r="Q5" i="11"/>
  <c r="BA4" i="11"/>
  <c r="AM4" i="11"/>
  <c r="AL4" i="11"/>
  <c r="AE4" i="11"/>
  <c r="Y4" i="11"/>
  <c r="S4" i="11"/>
  <c r="J4" i="11"/>
  <c r="AU3" i="11"/>
  <c r="T3" i="11"/>
  <c r="J3" i="11"/>
  <c r="BB2" i="11"/>
  <c r="AQ2" i="11"/>
  <c r="AL2" i="11"/>
  <c r="AF2" i="11"/>
  <c r="Y2" i="11"/>
  <c r="M2" i="11"/>
  <c r="E2" i="11"/>
  <c r="H145" i="5"/>
  <c r="X135" i="5"/>
  <c r="H133" i="5"/>
  <c r="X131" i="5"/>
  <c r="X126" i="5"/>
  <c r="M125" i="5"/>
  <c r="N125" i="5" s="1"/>
  <c r="B122" i="5"/>
  <c r="H116" i="5"/>
  <c r="X115" i="5"/>
  <c r="M115" i="5"/>
  <c r="N115" i="5" s="1"/>
  <c r="B115" i="5"/>
  <c r="Y114" i="5"/>
  <c r="X113" i="5"/>
  <c r="Y109" i="5"/>
  <c r="Y105" i="5"/>
  <c r="B102" i="5"/>
  <c r="M101" i="5"/>
  <c r="N101" i="5" s="1"/>
  <c r="B101" i="5"/>
  <c r="X99" i="5"/>
  <c r="Y97" i="5"/>
  <c r="BE153" i="11"/>
  <c r="BC153" i="11"/>
  <c r="BB153" i="11"/>
  <c r="BA153" i="11"/>
  <c r="AZ153" i="11"/>
  <c r="AX153" i="11"/>
  <c r="AV153" i="11"/>
  <c r="AU153" i="11"/>
  <c r="AT153" i="11"/>
  <c r="AS153" i="11"/>
  <c r="AQ153" i="11"/>
  <c r="AO153" i="11"/>
  <c r="AN153" i="11"/>
  <c r="AM153" i="11"/>
  <c r="AL153" i="11"/>
  <c r="AK153" i="11"/>
  <c r="AI153" i="11"/>
  <c r="AH153" i="11"/>
  <c r="AG153" i="11"/>
  <c r="AF153" i="11"/>
  <c r="AE153" i="11"/>
  <c r="AC153" i="11"/>
  <c r="AB153" i="11"/>
  <c r="AA153" i="11"/>
  <c r="Z153" i="11"/>
  <c r="Y153" i="11"/>
  <c r="W153" i="11"/>
  <c r="V153" i="11"/>
  <c r="U153" i="11"/>
  <c r="T153" i="11"/>
  <c r="S153" i="11"/>
  <c r="Q153" i="11"/>
  <c r="P153" i="11"/>
  <c r="O153" i="11"/>
  <c r="N153" i="11"/>
  <c r="M153" i="11"/>
  <c r="K153" i="11"/>
  <c r="M153" i="17" s="1"/>
  <c r="J153" i="11"/>
  <c r="L153" i="17" s="1"/>
  <c r="I153" i="11"/>
  <c r="K153" i="17" s="1"/>
  <c r="H153" i="11"/>
  <c r="J153" i="17" s="1"/>
  <c r="G153" i="11"/>
  <c r="E153" i="11"/>
  <c r="D153" i="11"/>
  <c r="C153" i="11"/>
  <c r="B153" i="11"/>
  <c r="BJ152" i="11"/>
  <c r="BI152" i="11"/>
  <c r="BH152" i="11"/>
  <c r="BG152" i="11"/>
  <c r="BE152" i="11"/>
  <c r="BC152" i="11"/>
  <c r="BB152" i="11"/>
  <c r="BA152" i="11"/>
  <c r="AZ152" i="11"/>
  <c r="AX152" i="11"/>
  <c r="AV152" i="11"/>
  <c r="AU152" i="11"/>
  <c r="AT152" i="11"/>
  <c r="AS152" i="11"/>
  <c r="AQ152" i="11"/>
  <c r="AO152" i="11"/>
  <c r="AN152" i="11"/>
  <c r="AM152" i="11"/>
  <c r="AL152" i="11"/>
  <c r="AK152" i="11"/>
  <c r="AI152" i="11"/>
  <c r="AH152" i="11"/>
  <c r="AG152" i="11"/>
  <c r="AF152" i="11"/>
  <c r="AE152" i="11"/>
  <c r="AC152" i="11"/>
  <c r="AB152" i="11"/>
  <c r="AA152" i="11"/>
  <c r="Z152" i="11"/>
  <c r="Y152" i="11"/>
  <c r="W152" i="11"/>
  <c r="V152" i="11"/>
  <c r="U152" i="11"/>
  <c r="T152" i="11"/>
  <c r="S152" i="11"/>
  <c r="Q152" i="11"/>
  <c r="P152" i="11"/>
  <c r="O152" i="11"/>
  <c r="N152" i="11"/>
  <c r="M152" i="11"/>
  <c r="K152" i="11"/>
  <c r="M152" i="17" s="1"/>
  <c r="J152" i="11"/>
  <c r="L152" i="17" s="1"/>
  <c r="I152" i="11"/>
  <c r="K152" i="17" s="1"/>
  <c r="H152" i="11"/>
  <c r="J152" i="17" s="1"/>
  <c r="G152" i="11"/>
  <c r="E152" i="11"/>
  <c r="D152" i="11"/>
  <c r="C152" i="11"/>
  <c r="B152" i="11"/>
  <c r="BJ151" i="11"/>
  <c r="BI151" i="11"/>
  <c r="BH151" i="11"/>
  <c r="BG151" i="11"/>
  <c r="BE151" i="11"/>
  <c r="BC151" i="11"/>
  <c r="BB151" i="11"/>
  <c r="BA151" i="11"/>
  <c r="AZ151" i="11"/>
  <c r="AX151" i="11"/>
  <c r="AV151" i="11"/>
  <c r="AU151" i="11"/>
  <c r="AT151" i="11"/>
  <c r="AS151" i="11"/>
  <c r="AQ151" i="11"/>
  <c r="AO151" i="11"/>
  <c r="AN151" i="11"/>
  <c r="AM151" i="11"/>
  <c r="AL151" i="11"/>
  <c r="AK151" i="11"/>
  <c r="AI151" i="11"/>
  <c r="AH151" i="11"/>
  <c r="AG151" i="11"/>
  <c r="AF151" i="11"/>
  <c r="AE151" i="11"/>
  <c r="AC151" i="11"/>
  <c r="AB151" i="11"/>
  <c r="AA151" i="11"/>
  <c r="Z151" i="11"/>
  <c r="Y151" i="11"/>
  <c r="W151" i="11"/>
  <c r="V151" i="11"/>
  <c r="U151" i="11"/>
  <c r="T151" i="11"/>
  <c r="S151" i="11"/>
  <c r="Q151" i="11"/>
  <c r="P151" i="11"/>
  <c r="O151" i="11"/>
  <c r="N151" i="11"/>
  <c r="M151" i="11"/>
  <c r="K151" i="11"/>
  <c r="M151" i="17" s="1"/>
  <c r="J151" i="11"/>
  <c r="L151" i="17" s="1"/>
  <c r="I151" i="11"/>
  <c r="K151" i="17" s="1"/>
  <c r="H151" i="11"/>
  <c r="J151" i="17" s="1"/>
  <c r="G151" i="11"/>
  <c r="E151" i="11"/>
  <c r="D151" i="11"/>
  <c r="C151" i="11"/>
  <c r="B151" i="11"/>
  <c r="BJ150" i="11"/>
  <c r="BI150" i="11"/>
  <c r="BH150" i="11"/>
  <c r="BG150" i="11"/>
  <c r="BE150" i="11"/>
  <c r="BC150" i="11"/>
  <c r="BB150" i="11"/>
  <c r="BA150" i="11"/>
  <c r="AZ150" i="11"/>
  <c r="AX150" i="11"/>
  <c r="AV150" i="11"/>
  <c r="AU150" i="11"/>
  <c r="AT150" i="11"/>
  <c r="AS150" i="11"/>
  <c r="AQ150" i="11"/>
  <c r="AO150" i="11"/>
  <c r="AN150" i="11"/>
  <c r="AM150" i="11"/>
  <c r="AL150" i="11"/>
  <c r="AK150" i="11"/>
  <c r="AI150" i="11"/>
  <c r="AH150" i="11"/>
  <c r="AG150" i="11"/>
  <c r="AF150" i="11"/>
  <c r="AE150" i="11"/>
  <c r="AC150" i="11"/>
  <c r="AB150" i="11"/>
  <c r="AA150" i="11"/>
  <c r="Z150" i="11"/>
  <c r="Y150" i="11"/>
  <c r="W150" i="11"/>
  <c r="V150" i="11"/>
  <c r="U150" i="11"/>
  <c r="T150" i="11"/>
  <c r="S150" i="11"/>
  <c r="Q150" i="11"/>
  <c r="P150" i="11"/>
  <c r="O150" i="11"/>
  <c r="N150" i="11"/>
  <c r="M150" i="11"/>
  <c r="K150" i="11"/>
  <c r="M150" i="17" s="1"/>
  <c r="J150" i="11"/>
  <c r="L150" i="17" s="1"/>
  <c r="I150" i="11"/>
  <c r="K150" i="17" s="1"/>
  <c r="H150" i="11"/>
  <c r="J150" i="17" s="1"/>
  <c r="G150" i="11"/>
  <c r="E150" i="11"/>
  <c r="D150" i="11"/>
  <c r="C150" i="11"/>
  <c r="B150" i="11"/>
  <c r="BJ149" i="11"/>
  <c r="BI149" i="11"/>
  <c r="BH149" i="11"/>
  <c r="BG149" i="11"/>
  <c r="BE149" i="11"/>
  <c r="BC149" i="11"/>
  <c r="BB149" i="11"/>
  <c r="BA149" i="11"/>
  <c r="AZ149" i="11"/>
  <c r="AX149" i="11"/>
  <c r="AV149" i="11"/>
  <c r="AU149" i="11"/>
  <c r="AT149" i="11"/>
  <c r="AS149" i="11"/>
  <c r="AQ149" i="11"/>
  <c r="AO149" i="11"/>
  <c r="AN149" i="11"/>
  <c r="AM149" i="11"/>
  <c r="AL149" i="11"/>
  <c r="AK149" i="11"/>
  <c r="AI149" i="11"/>
  <c r="AH149" i="11"/>
  <c r="AG149" i="11"/>
  <c r="AF149" i="11"/>
  <c r="AE149" i="11"/>
  <c r="AC149" i="11"/>
  <c r="AB149" i="11"/>
  <c r="AA149" i="11"/>
  <c r="Z149" i="11"/>
  <c r="Y149" i="11"/>
  <c r="W149" i="11"/>
  <c r="V149" i="11"/>
  <c r="U149" i="11"/>
  <c r="T149" i="11"/>
  <c r="S149" i="11"/>
  <c r="Q149" i="11"/>
  <c r="P149" i="11"/>
  <c r="O149" i="11"/>
  <c r="N149" i="11"/>
  <c r="M149" i="11"/>
  <c r="K149" i="11"/>
  <c r="M149" i="17" s="1"/>
  <c r="J149" i="11"/>
  <c r="L149" i="17" s="1"/>
  <c r="I149" i="11"/>
  <c r="K149" i="17" s="1"/>
  <c r="H149" i="11"/>
  <c r="J149" i="17" s="1"/>
  <c r="G149" i="11"/>
  <c r="E149" i="11"/>
  <c r="D149" i="11"/>
  <c r="C149" i="11"/>
  <c r="B149" i="11"/>
  <c r="BJ148" i="11"/>
  <c r="BI148" i="11"/>
  <c r="BH148" i="11"/>
  <c r="BG148" i="11"/>
  <c r="BE148" i="11"/>
  <c r="BC148" i="11"/>
  <c r="BB148" i="11"/>
  <c r="BA148" i="11"/>
  <c r="AZ148" i="11"/>
  <c r="AX148" i="11"/>
  <c r="AV148" i="11"/>
  <c r="AU148" i="11"/>
  <c r="AT148" i="11"/>
  <c r="AS148" i="11"/>
  <c r="AQ148" i="11"/>
  <c r="AO148" i="11"/>
  <c r="AN148" i="11"/>
  <c r="AM148" i="11"/>
  <c r="AL148" i="11"/>
  <c r="AK148" i="11"/>
  <c r="AI148" i="11"/>
  <c r="AH148" i="11"/>
  <c r="AG148" i="11"/>
  <c r="AF148" i="11"/>
  <c r="AE148" i="11"/>
  <c r="AC148" i="11"/>
  <c r="AB148" i="11"/>
  <c r="AA148" i="11"/>
  <c r="Z148" i="11"/>
  <c r="Y148" i="11"/>
  <c r="W148" i="11"/>
  <c r="V148" i="11"/>
  <c r="U148" i="11"/>
  <c r="T148" i="11"/>
  <c r="S148" i="11"/>
  <c r="Q148" i="11"/>
  <c r="P148" i="11"/>
  <c r="O148" i="11"/>
  <c r="N148" i="11"/>
  <c r="M148" i="11"/>
  <c r="K148" i="11"/>
  <c r="M148" i="17" s="1"/>
  <c r="J148" i="11"/>
  <c r="L148" i="17" s="1"/>
  <c r="I148" i="11"/>
  <c r="K148" i="17" s="1"/>
  <c r="H148" i="11"/>
  <c r="J148" i="17" s="1"/>
  <c r="G148" i="11"/>
  <c r="E148" i="11"/>
  <c r="D148" i="11"/>
  <c r="C148" i="11"/>
  <c r="B148" i="11"/>
  <c r="BJ147" i="11"/>
  <c r="BI147" i="11"/>
  <c r="BH147" i="11"/>
  <c r="BG147" i="11"/>
  <c r="BE147" i="11"/>
  <c r="BC147" i="11"/>
  <c r="BB147" i="11"/>
  <c r="BA147" i="11"/>
  <c r="AZ147" i="11"/>
  <c r="AX147" i="11"/>
  <c r="AV147" i="11"/>
  <c r="AU147" i="11"/>
  <c r="AT147" i="11"/>
  <c r="AS147" i="11"/>
  <c r="AQ147" i="11"/>
  <c r="AO147" i="11"/>
  <c r="AN147" i="11"/>
  <c r="AM147" i="11"/>
  <c r="AL147" i="11"/>
  <c r="AK147" i="11"/>
  <c r="AI147" i="11"/>
  <c r="AH147" i="11"/>
  <c r="AG147" i="11"/>
  <c r="AF147" i="11"/>
  <c r="AE147" i="11"/>
  <c r="AC147" i="11"/>
  <c r="AB147" i="11"/>
  <c r="AA147" i="11"/>
  <c r="Z147" i="11"/>
  <c r="Y147" i="11"/>
  <c r="W147" i="11"/>
  <c r="V147" i="11"/>
  <c r="U147" i="11"/>
  <c r="T147" i="11"/>
  <c r="S147" i="11"/>
  <c r="Q147" i="11"/>
  <c r="P147" i="11"/>
  <c r="O147" i="11"/>
  <c r="N147" i="11"/>
  <c r="M147" i="11"/>
  <c r="K147" i="11"/>
  <c r="M147" i="17" s="1"/>
  <c r="J147" i="11"/>
  <c r="L147" i="17" s="1"/>
  <c r="I147" i="11"/>
  <c r="K147" i="17" s="1"/>
  <c r="H147" i="11"/>
  <c r="J147" i="17" s="1"/>
  <c r="G147" i="11"/>
  <c r="E147" i="11"/>
  <c r="D147" i="11"/>
  <c r="C147" i="11"/>
  <c r="B147" i="11"/>
  <c r="BJ146" i="11"/>
  <c r="BI146" i="11"/>
  <c r="BH146" i="11"/>
  <c r="BG146" i="11"/>
  <c r="BE146" i="11"/>
  <c r="BC146" i="11"/>
  <c r="BB146" i="11"/>
  <c r="BA146" i="11"/>
  <c r="AZ146" i="11"/>
  <c r="AX146" i="11"/>
  <c r="AV146" i="11"/>
  <c r="AU146" i="11"/>
  <c r="AT146" i="11"/>
  <c r="AS146" i="11"/>
  <c r="AQ146" i="11"/>
  <c r="AO146" i="11"/>
  <c r="AN146" i="11"/>
  <c r="AM146" i="11"/>
  <c r="AL146" i="11"/>
  <c r="AK146" i="11"/>
  <c r="AI146" i="11"/>
  <c r="AH146" i="11"/>
  <c r="AG146" i="11"/>
  <c r="AF146" i="11"/>
  <c r="AE146" i="11"/>
  <c r="AC146" i="11"/>
  <c r="AB146" i="11"/>
  <c r="AA146" i="11"/>
  <c r="Z146" i="11"/>
  <c r="Y146" i="11"/>
  <c r="W146" i="11"/>
  <c r="V146" i="11"/>
  <c r="U146" i="11"/>
  <c r="T146" i="11"/>
  <c r="S146" i="11"/>
  <c r="Q146" i="11"/>
  <c r="P146" i="11"/>
  <c r="O146" i="11"/>
  <c r="N146" i="11"/>
  <c r="M146" i="11"/>
  <c r="K146" i="11"/>
  <c r="M146" i="17" s="1"/>
  <c r="J146" i="11"/>
  <c r="L146" i="17" s="1"/>
  <c r="I146" i="11"/>
  <c r="K146" i="17" s="1"/>
  <c r="H146" i="11"/>
  <c r="G146" i="11"/>
  <c r="E146" i="11"/>
  <c r="D146" i="11"/>
  <c r="C146" i="11"/>
  <c r="B146" i="11"/>
  <c r="BJ145" i="11"/>
  <c r="BI145" i="11"/>
  <c r="BH145" i="11"/>
  <c r="BG145" i="11"/>
  <c r="BE145" i="11"/>
  <c r="BC145" i="11"/>
  <c r="BB145" i="11"/>
  <c r="BA145" i="11"/>
  <c r="AZ145" i="11"/>
  <c r="AX145" i="11"/>
  <c r="AV145" i="11"/>
  <c r="AU145" i="11"/>
  <c r="AT145" i="11"/>
  <c r="AS145" i="11"/>
  <c r="AQ145" i="11"/>
  <c r="AO145" i="11"/>
  <c r="AN145" i="11"/>
  <c r="AM145" i="11"/>
  <c r="AL145" i="11"/>
  <c r="AK145" i="11"/>
  <c r="AI145" i="11"/>
  <c r="AH145" i="11"/>
  <c r="AG145" i="11"/>
  <c r="AF145" i="11"/>
  <c r="AE145" i="11"/>
  <c r="AC145" i="11"/>
  <c r="AB145" i="11"/>
  <c r="AA145" i="11"/>
  <c r="Z145" i="11"/>
  <c r="Y145" i="11"/>
  <c r="W145" i="11"/>
  <c r="V145" i="11"/>
  <c r="U145" i="11"/>
  <c r="T145" i="11"/>
  <c r="S145" i="11"/>
  <c r="Q145" i="11"/>
  <c r="P145" i="11"/>
  <c r="O145" i="11"/>
  <c r="N145" i="11"/>
  <c r="M145" i="11"/>
  <c r="K145" i="11"/>
  <c r="M145" i="17" s="1"/>
  <c r="J145" i="11"/>
  <c r="L145" i="17" s="1"/>
  <c r="I145" i="11"/>
  <c r="K145" i="17" s="1"/>
  <c r="H145" i="11"/>
  <c r="J145" i="17" s="1"/>
  <c r="G145" i="11"/>
  <c r="E145" i="11"/>
  <c r="D145" i="11"/>
  <c r="C145" i="11"/>
  <c r="B145" i="11"/>
  <c r="BJ144" i="11"/>
  <c r="BI144" i="11"/>
  <c r="BH144" i="11"/>
  <c r="BG144" i="11"/>
  <c r="BE144" i="11"/>
  <c r="BC144" i="11"/>
  <c r="BB144" i="11"/>
  <c r="BA144" i="11"/>
  <c r="AZ144" i="11"/>
  <c r="AX144" i="11"/>
  <c r="AV144" i="11"/>
  <c r="AU144" i="11"/>
  <c r="AT144" i="11"/>
  <c r="AS144" i="11"/>
  <c r="AQ144" i="11"/>
  <c r="AO144" i="11"/>
  <c r="AN144" i="11"/>
  <c r="AM144" i="11"/>
  <c r="AL144" i="11"/>
  <c r="AK144" i="11"/>
  <c r="AI144" i="11"/>
  <c r="AH144" i="11"/>
  <c r="AG144" i="11"/>
  <c r="AF144" i="11"/>
  <c r="AE144" i="11"/>
  <c r="AC144" i="11"/>
  <c r="AB144" i="11"/>
  <c r="AA144" i="11"/>
  <c r="Z144" i="11"/>
  <c r="Y144" i="11"/>
  <c r="W144" i="11"/>
  <c r="V144" i="11"/>
  <c r="U144" i="11"/>
  <c r="T144" i="11"/>
  <c r="S144" i="11"/>
  <c r="Q144" i="11"/>
  <c r="P144" i="11"/>
  <c r="O144" i="11"/>
  <c r="N144" i="11"/>
  <c r="M144" i="11"/>
  <c r="K144" i="11"/>
  <c r="M144" i="17" s="1"/>
  <c r="J144" i="11"/>
  <c r="L144" i="17" s="1"/>
  <c r="I144" i="11"/>
  <c r="K144" i="17" s="1"/>
  <c r="H144" i="11"/>
  <c r="J144" i="17" s="1"/>
  <c r="G144" i="11"/>
  <c r="E144" i="11"/>
  <c r="D144" i="11"/>
  <c r="C144" i="11"/>
  <c r="B144" i="11"/>
  <c r="BJ143" i="11"/>
  <c r="BI143" i="11"/>
  <c r="BH143" i="11"/>
  <c r="BG143" i="11"/>
  <c r="BE143" i="11"/>
  <c r="BC143" i="11"/>
  <c r="BB143" i="11"/>
  <c r="BA143" i="11"/>
  <c r="AZ143" i="11"/>
  <c r="AX143" i="11"/>
  <c r="AV143" i="11"/>
  <c r="AU143" i="11"/>
  <c r="AT143" i="11"/>
  <c r="AS143" i="11"/>
  <c r="AQ143" i="11"/>
  <c r="AO143" i="11"/>
  <c r="AN143" i="11"/>
  <c r="AM143" i="11"/>
  <c r="AL143" i="11"/>
  <c r="AK143" i="11"/>
  <c r="AI143" i="11"/>
  <c r="AH143" i="11"/>
  <c r="AG143" i="11"/>
  <c r="AF143" i="11"/>
  <c r="AE143" i="11"/>
  <c r="AC143" i="11"/>
  <c r="AB143" i="11"/>
  <c r="AA143" i="11"/>
  <c r="Z143" i="11"/>
  <c r="Y143" i="11"/>
  <c r="W143" i="11"/>
  <c r="V143" i="11"/>
  <c r="U143" i="11"/>
  <c r="T143" i="11"/>
  <c r="S143" i="11"/>
  <c r="Q143" i="11"/>
  <c r="P143" i="11"/>
  <c r="O143" i="11"/>
  <c r="N143" i="11"/>
  <c r="M143" i="11"/>
  <c r="K143" i="11"/>
  <c r="M143" i="17" s="1"/>
  <c r="J143" i="11"/>
  <c r="L143" i="17" s="1"/>
  <c r="I143" i="11"/>
  <c r="K143" i="17" s="1"/>
  <c r="H143" i="11"/>
  <c r="J143" i="17" s="1"/>
  <c r="G143" i="11"/>
  <c r="E143" i="11"/>
  <c r="D143" i="11"/>
  <c r="C143" i="11"/>
  <c r="B143" i="11"/>
  <c r="BJ142" i="11"/>
  <c r="BI142" i="11"/>
  <c r="BH142" i="11"/>
  <c r="BG142" i="11"/>
  <c r="BE142" i="11"/>
  <c r="BC142" i="11"/>
  <c r="BB142" i="11"/>
  <c r="BA142" i="11"/>
  <c r="AZ142" i="11"/>
  <c r="AX142" i="11"/>
  <c r="AV142" i="11"/>
  <c r="AU142" i="11"/>
  <c r="AT142" i="11"/>
  <c r="AS142" i="11"/>
  <c r="AQ142" i="11"/>
  <c r="AO142" i="11"/>
  <c r="AN142" i="11"/>
  <c r="AM142" i="11"/>
  <c r="AL142" i="11"/>
  <c r="AK142" i="11"/>
  <c r="AI142" i="11"/>
  <c r="AH142" i="11"/>
  <c r="AG142" i="11"/>
  <c r="AF142" i="11"/>
  <c r="AE142" i="11"/>
  <c r="AC142" i="11"/>
  <c r="AB142" i="11"/>
  <c r="AA142" i="11"/>
  <c r="Z142" i="11"/>
  <c r="Y142" i="11"/>
  <c r="W142" i="11"/>
  <c r="V142" i="11"/>
  <c r="U142" i="11"/>
  <c r="T142" i="11"/>
  <c r="S142" i="11"/>
  <c r="Q142" i="11"/>
  <c r="P142" i="11"/>
  <c r="O142" i="11"/>
  <c r="N142" i="11"/>
  <c r="M142" i="11"/>
  <c r="K142" i="11"/>
  <c r="M142" i="17" s="1"/>
  <c r="J142" i="11"/>
  <c r="L142" i="17" s="1"/>
  <c r="I142" i="11"/>
  <c r="K142" i="17" s="1"/>
  <c r="H142" i="11"/>
  <c r="J142" i="17" s="1"/>
  <c r="G142" i="11"/>
  <c r="E142" i="11"/>
  <c r="D142" i="11"/>
  <c r="C142" i="11"/>
  <c r="B142" i="11"/>
  <c r="BJ141" i="11"/>
  <c r="BI141" i="11"/>
  <c r="BH141" i="11"/>
  <c r="BG141" i="11"/>
  <c r="BE141" i="11"/>
  <c r="BC141" i="11"/>
  <c r="BB141" i="11"/>
  <c r="BA141" i="11"/>
  <c r="AZ141" i="11"/>
  <c r="AX141" i="11"/>
  <c r="AV141" i="11"/>
  <c r="AU141" i="11"/>
  <c r="AT141" i="11"/>
  <c r="AS141" i="11"/>
  <c r="AQ141" i="11"/>
  <c r="AO141" i="11"/>
  <c r="AN141" i="11"/>
  <c r="AM141" i="11"/>
  <c r="AL141" i="11"/>
  <c r="AK141" i="11"/>
  <c r="AI141" i="11"/>
  <c r="AH141" i="11"/>
  <c r="AG141" i="11"/>
  <c r="AF141" i="11"/>
  <c r="AE141" i="11"/>
  <c r="AC141" i="11"/>
  <c r="AB141" i="11"/>
  <c r="AA141" i="11"/>
  <c r="Z141" i="11"/>
  <c r="Y141" i="11"/>
  <c r="W141" i="11"/>
  <c r="V141" i="11"/>
  <c r="U141" i="11"/>
  <c r="T141" i="11"/>
  <c r="S141" i="11"/>
  <c r="Q141" i="11"/>
  <c r="P141" i="11"/>
  <c r="O141" i="11"/>
  <c r="N141" i="11"/>
  <c r="M141" i="11"/>
  <c r="K141" i="11"/>
  <c r="M141" i="17" s="1"/>
  <c r="J141" i="11"/>
  <c r="L141" i="17" s="1"/>
  <c r="I141" i="11"/>
  <c r="K141" i="17" s="1"/>
  <c r="H141" i="11"/>
  <c r="J141" i="17" s="1"/>
  <c r="G141" i="11"/>
  <c r="E141" i="11"/>
  <c r="D141" i="11"/>
  <c r="C141" i="11"/>
  <c r="B141" i="11"/>
  <c r="BJ140" i="11"/>
  <c r="BI140" i="11"/>
  <c r="BH140" i="11"/>
  <c r="BG140" i="11"/>
  <c r="BE140" i="11"/>
  <c r="BC140" i="11"/>
  <c r="BB140" i="11"/>
  <c r="BA140" i="11"/>
  <c r="AZ140" i="11"/>
  <c r="AX140" i="11"/>
  <c r="AV140" i="11"/>
  <c r="AU140" i="11"/>
  <c r="AT140" i="11"/>
  <c r="AS140" i="11"/>
  <c r="AQ140" i="11"/>
  <c r="AO140" i="11"/>
  <c r="AN140" i="11"/>
  <c r="AM140" i="11"/>
  <c r="AL140" i="11"/>
  <c r="AK140" i="11"/>
  <c r="AI140" i="11"/>
  <c r="AH140" i="11"/>
  <c r="AG140" i="11"/>
  <c r="AF140" i="11"/>
  <c r="AE140" i="11"/>
  <c r="AC140" i="11"/>
  <c r="AB140" i="11"/>
  <c r="AA140" i="11"/>
  <c r="Z140" i="11"/>
  <c r="Y140" i="11"/>
  <c r="W140" i="11"/>
  <c r="V140" i="11"/>
  <c r="U140" i="11"/>
  <c r="T140" i="11"/>
  <c r="S140" i="11"/>
  <c r="Q140" i="11"/>
  <c r="P140" i="11"/>
  <c r="O140" i="11"/>
  <c r="N140" i="11"/>
  <c r="M140" i="11"/>
  <c r="K140" i="11"/>
  <c r="M140" i="17" s="1"/>
  <c r="J140" i="11"/>
  <c r="L140" i="17" s="1"/>
  <c r="I140" i="11"/>
  <c r="K140" i="17" s="1"/>
  <c r="H140" i="11"/>
  <c r="J140" i="17" s="1"/>
  <c r="G140" i="11"/>
  <c r="E140" i="11"/>
  <c r="D140" i="11"/>
  <c r="C140" i="11"/>
  <c r="B140" i="11"/>
  <c r="BJ139" i="11"/>
  <c r="BI139" i="11"/>
  <c r="BH139" i="11"/>
  <c r="BG139" i="11"/>
  <c r="BE139" i="11"/>
  <c r="BC139" i="11"/>
  <c r="BB139" i="11"/>
  <c r="BA139" i="11"/>
  <c r="AZ139" i="11"/>
  <c r="AX139" i="11"/>
  <c r="AV139" i="11"/>
  <c r="AU139" i="11"/>
  <c r="AT139" i="11"/>
  <c r="AS139" i="11"/>
  <c r="AQ139" i="11"/>
  <c r="AO139" i="11"/>
  <c r="AN139" i="11"/>
  <c r="AM139" i="11"/>
  <c r="AL139" i="11"/>
  <c r="AK139" i="11"/>
  <c r="AI139" i="11"/>
  <c r="AH139" i="11"/>
  <c r="AG139" i="11"/>
  <c r="AF139" i="11"/>
  <c r="AE139" i="11"/>
  <c r="AC139" i="11"/>
  <c r="AB139" i="11"/>
  <c r="AA139" i="11"/>
  <c r="Z139" i="11"/>
  <c r="Y139" i="11"/>
  <c r="W139" i="11"/>
  <c r="V139" i="11"/>
  <c r="U139" i="11"/>
  <c r="T139" i="11"/>
  <c r="S139" i="11"/>
  <c r="Q139" i="11"/>
  <c r="P139" i="11"/>
  <c r="O139" i="11"/>
  <c r="N139" i="11"/>
  <c r="M139" i="11"/>
  <c r="K139" i="11"/>
  <c r="M139" i="17" s="1"/>
  <c r="J139" i="11"/>
  <c r="L139" i="17" s="1"/>
  <c r="I139" i="11"/>
  <c r="K139" i="17" s="1"/>
  <c r="H139" i="11"/>
  <c r="J139" i="17" s="1"/>
  <c r="G139" i="11"/>
  <c r="E139" i="11"/>
  <c r="D139" i="11"/>
  <c r="C139" i="11"/>
  <c r="B139" i="11"/>
  <c r="BJ138" i="11"/>
  <c r="BI138" i="11"/>
  <c r="BH138" i="11"/>
  <c r="BG138" i="11"/>
  <c r="BE138" i="11"/>
  <c r="BC138" i="11"/>
  <c r="BB138" i="11"/>
  <c r="BA138" i="11"/>
  <c r="AZ138" i="11"/>
  <c r="AX138" i="11"/>
  <c r="AV138" i="11"/>
  <c r="AU138" i="11"/>
  <c r="AT138" i="11"/>
  <c r="AS138" i="11"/>
  <c r="AQ138" i="11"/>
  <c r="AO138" i="11"/>
  <c r="AN138" i="11"/>
  <c r="AM138" i="11"/>
  <c r="AL138" i="11"/>
  <c r="AK138" i="11"/>
  <c r="AI138" i="11"/>
  <c r="AH138" i="11"/>
  <c r="AG138" i="11"/>
  <c r="AF138" i="11"/>
  <c r="AE138" i="11"/>
  <c r="AC138" i="11"/>
  <c r="AB138" i="11"/>
  <c r="AA138" i="11"/>
  <c r="Z138" i="11"/>
  <c r="Y138" i="11"/>
  <c r="W138" i="11"/>
  <c r="V138" i="11"/>
  <c r="U138" i="11"/>
  <c r="T138" i="11"/>
  <c r="S138" i="11"/>
  <c r="Q138" i="11"/>
  <c r="P138" i="11"/>
  <c r="O138" i="11"/>
  <c r="N138" i="11"/>
  <c r="M138" i="11"/>
  <c r="K138" i="11"/>
  <c r="M138" i="17" s="1"/>
  <c r="J138" i="11"/>
  <c r="L138" i="17" s="1"/>
  <c r="I138" i="11"/>
  <c r="K138" i="17" s="1"/>
  <c r="H138" i="11"/>
  <c r="J138" i="17" s="1"/>
  <c r="G138" i="11"/>
  <c r="E138" i="11"/>
  <c r="D138" i="11"/>
  <c r="C138" i="11"/>
  <c r="B138" i="11"/>
  <c r="BJ137" i="11"/>
  <c r="BI137" i="11"/>
  <c r="BH137" i="11"/>
  <c r="BG137" i="11"/>
  <c r="BE137" i="11"/>
  <c r="BC137" i="11"/>
  <c r="BB137" i="11"/>
  <c r="BA137" i="11"/>
  <c r="AZ137" i="11"/>
  <c r="AX137" i="11"/>
  <c r="AV137" i="11"/>
  <c r="AU137" i="11"/>
  <c r="AT137" i="11"/>
  <c r="AS137" i="11"/>
  <c r="AQ137" i="11"/>
  <c r="AO137" i="11"/>
  <c r="AN137" i="11"/>
  <c r="AM137" i="11"/>
  <c r="AL137" i="11"/>
  <c r="AK137" i="11"/>
  <c r="AI137" i="11"/>
  <c r="AH137" i="11"/>
  <c r="AG137" i="11"/>
  <c r="AF137" i="11"/>
  <c r="AE137" i="11"/>
  <c r="AC137" i="11"/>
  <c r="AB137" i="11"/>
  <c r="AA137" i="11"/>
  <c r="Z137" i="11"/>
  <c r="Y137" i="11"/>
  <c r="W137" i="11"/>
  <c r="V137" i="11"/>
  <c r="U137" i="11"/>
  <c r="T137" i="11"/>
  <c r="S137" i="11"/>
  <c r="Q137" i="11"/>
  <c r="P137" i="11"/>
  <c r="O137" i="11"/>
  <c r="N137" i="11"/>
  <c r="M137" i="11"/>
  <c r="K137" i="11"/>
  <c r="M137" i="17" s="1"/>
  <c r="J137" i="11"/>
  <c r="L137" i="17" s="1"/>
  <c r="I137" i="11"/>
  <c r="K137" i="17" s="1"/>
  <c r="H137" i="11"/>
  <c r="J137" i="17" s="1"/>
  <c r="G137" i="11"/>
  <c r="E137" i="11"/>
  <c r="D137" i="11"/>
  <c r="C137" i="11"/>
  <c r="B137" i="11"/>
  <c r="BJ136" i="11"/>
  <c r="BI136" i="11"/>
  <c r="BH136" i="11"/>
  <c r="BG136" i="11"/>
  <c r="BE136" i="11"/>
  <c r="BC136" i="11"/>
  <c r="BB136" i="11"/>
  <c r="BA136" i="11"/>
  <c r="AZ136" i="11"/>
  <c r="AX136" i="11"/>
  <c r="AV136" i="11"/>
  <c r="AU136" i="11"/>
  <c r="AT136" i="11"/>
  <c r="AS136" i="11"/>
  <c r="AQ136" i="11"/>
  <c r="AO136" i="11"/>
  <c r="AN136" i="11"/>
  <c r="AM136" i="11"/>
  <c r="AL136" i="11"/>
  <c r="AK136" i="11"/>
  <c r="AI136" i="11"/>
  <c r="AH136" i="11"/>
  <c r="AG136" i="11"/>
  <c r="AF136" i="11"/>
  <c r="AE136" i="11"/>
  <c r="AC136" i="11"/>
  <c r="AB136" i="11"/>
  <c r="AA136" i="11"/>
  <c r="Z136" i="11"/>
  <c r="Y136" i="11"/>
  <c r="W136" i="11"/>
  <c r="V136" i="11"/>
  <c r="U136" i="11"/>
  <c r="T136" i="11"/>
  <c r="S136" i="11"/>
  <c r="Q136" i="11"/>
  <c r="P136" i="11"/>
  <c r="O136" i="11"/>
  <c r="N136" i="11"/>
  <c r="M136" i="11"/>
  <c r="K136" i="11"/>
  <c r="M136" i="17" s="1"/>
  <c r="J136" i="11"/>
  <c r="L136" i="17" s="1"/>
  <c r="I136" i="11"/>
  <c r="K136" i="17" s="1"/>
  <c r="H136" i="11"/>
  <c r="J136" i="17" s="1"/>
  <c r="G136" i="11"/>
  <c r="E136" i="11"/>
  <c r="D136" i="11"/>
  <c r="C136" i="11"/>
  <c r="B136" i="11"/>
  <c r="BJ135" i="11"/>
  <c r="BI135" i="11"/>
  <c r="BH135" i="11"/>
  <c r="BG135" i="11"/>
  <c r="BE135" i="11"/>
  <c r="BC135" i="11"/>
  <c r="BB135" i="11"/>
  <c r="BA135" i="11"/>
  <c r="AZ135" i="11"/>
  <c r="AX135" i="11"/>
  <c r="AV135" i="11"/>
  <c r="AU135" i="11"/>
  <c r="AT135" i="11"/>
  <c r="AS135" i="11"/>
  <c r="AQ135" i="11"/>
  <c r="AO135" i="11"/>
  <c r="AN135" i="11"/>
  <c r="AM135" i="11"/>
  <c r="AL135" i="11"/>
  <c r="AK135" i="11"/>
  <c r="AI135" i="11"/>
  <c r="AH135" i="11"/>
  <c r="AG135" i="11"/>
  <c r="AF135" i="11"/>
  <c r="AE135" i="11"/>
  <c r="AC135" i="11"/>
  <c r="AB135" i="11"/>
  <c r="AA135" i="11"/>
  <c r="Z135" i="11"/>
  <c r="Y135" i="11"/>
  <c r="W135" i="11"/>
  <c r="V135" i="11"/>
  <c r="U135" i="11"/>
  <c r="T135" i="11"/>
  <c r="S135" i="11"/>
  <c r="Q135" i="11"/>
  <c r="P135" i="11"/>
  <c r="O135" i="11"/>
  <c r="N135" i="11"/>
  <c r="M135" i="11"/>
  <c r="K135" i="11"/>
  <c r="M135" i="17" s="1"/>
  <c r="J135" i="11"/>
  <c r="L135" i="17" s="1"/>
  <c r="I135" i="11"/>
  <c r="K135" i="17" s="1"/>
  <c r="H135" i="11"/>
  <c r="J135" i="17" s="1"/>
  <c r="G135" i="11"/>
  <c r="E135" i="11"/>
  <c r="D135" i="11"/>
  <c r="C135" i="11"/>
  <c r="B135" i="11"/>
  <c r="BJ134" i="11"/>
  <c r="BI134" i="11"/>
  <c r="BH134" i="11"/>
  <c r="BG134" i="11"/>
  <c r="BE134" i="11"/>
  <c r="BC134" i="11"/>
  <c r="BB134" i="11"/>
  <c r="BA134" i="11"/>
  <c r="AZ134" i="11"/>
  <c r="AX134" i="11"/>
  <c r="AV134" i="11"/>
  <c r="AU134" i="11"/>
  <c r="AT134" i="11"/>
  <c r="AS134" i="11"/>
  <c r="AQ134" i="11"/>
  <c r="AO134" i="11"/>
  <c r="AN134" i="11"/>
  <c r="AM134" i="11"/>
  <c r="AL134" i="11"/>
  <c r="AK134" i="11"/>
  <c r="AI134" i="11"/>
  <c r="AH134" i="11"/>
  <c r="AG134" i="11"/>
  <c r="AF134" i="11"/>
  <c r="AE134" i="11"/>
  <c r="AC134" i="11"/>
  <c r="AB134" i="11"/>
  <c r="AA134" i="11"/>
  <c r="Z134" i="11"/>
  <c r="Y134" i="11"/>
  <c r="W134" i="11"/>
  <c r="V134" i="11"/>
  <c r="U134" i="11"/>
  <c r="T134" i="11"/>
  <c r="S134" i="11"/>
  <c r="Q134" i="11"/>
  <c r="P134" i="11"/>
  <c r="O134" i="11"/>
  <c r="N134" i="11"/>
  <c r="M134" i="11"/>
  <c r="K134" i="11"/>
  <c r="M134" i="17" s="1"/>
  <c r="J134" i="11"/>
  <c r="L134" i="17" s="1"/>
  <c r="I134" i="11"/>
  <c r="K134" i="17" s="1"/>
  <c r="H134" i="11"/>
  <c r="J134" i="17" s="1"/>
  <c r="G134" i="11"/>
  <c r="E134" i="11"/>
  <c r="D134" i="11"/>
  <c r="C134" i="11"/>
  <c r="B134" i="11"/>
  <c r="BJ133" i="11"/>
  <c r="BI133" i="11"/>
  <c r="BH133" i="11"/>
  <c r="BG133" i="11"/>
  <c r="BE133" i="11"/>
  <c r="BC133" i="11"/>
  <c r="BB133" i="11"/>
  <c r="BA133" i="11"/>
  <c r="AZ133" i="11"/>
  <c r="AX133" i="11"/>
  <c r="AV133" i="11"/>
  <c r="AU133" i="11"/>
  <c r="AT133" i="11"/>
  <c r="AS133" i="11"/>
  <c r="AQ133" i="11"/>
  <c r="AO133" i="11"/>
  <c r="AN133" i="11"/>
  <c r="AM133" i="11"/>
  <c r="AL133" i="11"/>
  <c r="AK133" i="11"/>
  <c r="AI133" i="11"/>
  <c r="AH133" i="11"/>
  <c r="AG133" i="11"/>
  <c r="AF133" i="11"/>
  <c r="AE133" i="11"/>
  <c r="AC133" i="11"/>
  <c r="AB133" i="11"/>
  <c r="AA133" i="11"/>
  <c r="Z133" i="11"/>
  <c r="Y133" i="11"/>
  <c r="W133" i="11"/>
  <c r="V133" i="11"/>
  <c r="U133" i="11"/>
  <c r="T133" i="11"/>
  <c r="S133" i="11"/>
  <c r="Q133" i="11"/>
  <c r="P133" i="11"/>
  <c r="O133" i="11"/>
  <c r="N133" i="11"/>
  <c r="M133" i="11"/>
  <c r="K133" i="11"/>
  <c r="M133" i="17" s="1"/>
  <c r="J133" i="11"/>
  <c r="L133" i="17" s="1"/>
  <c r="I133" i="11"/>
  <c r="K133" i="17" s="1"/>
  <c r="H133" i="11"/>
  <c r="J133" i="17" s="1"/>
  <c r="G133" i="11"/>
  <c r="E133" i="11"/>
  <c r="D133" i="11"/>
  <c r="C133" i="11"/>
  <c r="B133" i="11"/>
  <c r="BJ132" i="11"/>
  <c r="BI132" i="11"/>
  <c r="BH132" i="11"/>
  <c r="BG132" i="11"/>
  <c r="BE132" i="11"/>
  <c r="BC132" i="11"/>
  <c r="BB132" i="11"/>
  <c r="BA132" i="11"/>
  <c r="AZ132" i="11"/>
  <c r="AX132" i="11"/>
  <c r="AV132" i="11"/>
  <c r="AU132" i="11"/>
  <c r="AT132" i="11"/>
  <c r="AS132" i="11"/>
  <c r="AQ132" i="11"/>
  <c r="AO132" i="11"/>
  <c r="AN132" i="11"/>
  <c r="AM132" i="11"/>
  <c r="AL132" i="11"/>
  <c r="AK132" i="11"/>
  <c r="AI132" i="11"/>
  <c r="AH132" i="11"/>
  <c r="AG132" i="11"/>
  <c r="AF132" i="11"/>
  <c r="AE132" i="11"/>
  <c r="AC132" i="11"/>
  <c r="AB132" i="11"/>
  <c r="AA132" i="11"/>
  <c r="Z132" i="11"/>
  <c r="Y132" i="11"/>
  <c r="W132" i="11"/>
  <c r="V132" i="11"/>
  <c r="U132" i="11"/>
  <c r="T132" i="11"/>
  <c r="S132" i="11"/>
  <c r="Q132" i="11"/>
  <c r="P132" i="11"/>
  <c r="O132" i="11"/>
  <c r="N132" i="11"/>
  <c r="M132" i="11"/>
  <c r="K132" i="11"/>
  <c r="M132" i="17" s="1"/>
  <c r="J132" i="11"/>
  <c r="L132" i="17" s="1"/>
  <c r="I132" i="11"/>
  <c r="K132" i="17" s="1"/>
  <c r="H132" i="11"/>
  <c r="J132" i="17" s="1"/>
  <c r="G132" i="11"/>
  <c r="E132" i="11"/>
  <c r="D132" i="11"/>
  <c r="C132" i="11"/>
  <c r="B132" i="11"/>
  <c r="BJ131" i="11"/>
  <c r="BI131" i="11"/>
  <c r="BH131" i="11"/>
  <c r="BG131" i="11"/>
  <c r="BE131" i="11"/>
  <c r="BC131" i="11"/>
  <c r="BB131" i="11"/>
  <c r="BA131" i="11"/>
  <c r="AZ131" i="11"/>
  <c r="AX131" i="11"/>
  <c r="AV131" i="11"/>
  <c r="AU131" i="11"/>
  <c r="AT131" i="11"/>
  <c r="AS131" i="11"/>
  <c r="AQ131" i="11"/>
  <c r="AO131" i="11"/>
  <c r="AN131" i="11"/>
  <c r="AM131" i="11"/>
  <c r="AL131" i="11"/>
  <c r="AK131" i="11"/>
  <c r="AI131" i="11"/>
  <c r="AH131" i="11"/>
  <c r="AG131" i="11"/>
  <c r="AF131" i="11"/>
  <c r="AE131" i="11"/>
  <c r="AC131" i="11"/>
  <c r="AB131" i="11"/>
  <c r="AA131" i="11"/>
  <c r="Z131" i="11"/>
  <c r="Y131" i="11"/>
  <c r="W131" i="11"/>
  <c r="V131" i="11"/>
  <c r="U131" i="11"/>
  <c r="T131" i="11"/>
  <c r="S131" i="11"/>
  <c r="Q131" i="11"/>
  <c r="P131" i="11"/>
  <c r="O131" i="11"/>
  <c r="N131" i="11"/>
  <c r="M131" i="11"/>
  <c r="K131" i="11"/>
  <c r="M131" i="17" s="1"/>
  <c r="J131" i="11"/>
  <c r="L131" i="17" s="1"/>
  <c r="I131" i="11"/>
  <c r="K131" i="17" s="1"/>
  <c r="H131" i="11"/>
  <c r="J131" i="17" s="1"/>
  <c r="G131" i="11"/>
  <c r="E131" i="11"/>
  <c r="D131" i="11"/>
  <c r="C131" i="11"/>
  <c r="B131" i="11"/>
  <c r="BJ130" i="11"/>
  <c r="BI130" i="11"/>
  <c r="BH130" i="11"/>
  <c r="BG130" i="11"/>
  <c r="BE130" i="11"/>
  <c r="BC130" i="11"/>
  <c r="BB130" i="11"/>
  <c r="BA130" i="11"/>
  <c r="AZ130" i="11"/>
  <c r="AX130" i="11"/>
  <c r="AV130" i="11"/>
  <c r="AU130" i="11"/>
  <c r="AT130" i="11"/>
  <c r="AS130" i="11"/>
  <c r="AQ130" i="11"/>
  <c r="AO130" i="11"/>
  <c r="AN130" i="11"/>
  <c r="AM130" i="11"/>
  <c r="AL130" i="11"/>
  <c r="AK130" i="11"/>
  <c r="AI130" i="11"/>
  <c r="AH130" i="11"/>
  <c r="AG130" i="11"/>
  <c r="AF130" i="11"/>
  <c r="AE130" i="11"/>
  <c r="AC130" i="11"/>
  <c r="AB130" i="11"/>
  <c r="AA130" i="11"/>
  <c r="Z130" i="11"/>
  <c r="Y130" i="11"/>
  <c r="W130" i="11"/>
  <c r="V130" i="11"/>
  <c r="U130" i="11"/>
  <c r="T130" i="11"/>
  <c r="S130" i="11"/>
  <c r="Q130" i="11"/>
  <c r="P130" i="11"/>
  <c r="O130" i="11"/>
  <c r="N130" i="11"/>
  <c r="M130" i="11"/>
  <c r="K130" i="11"/>
  <c r="M130" i="17" s="1"/>
  <c r="J130" i="11"/>
  <c r="L130" i="17" s="1"/>
  <c r="I130" i="11"/>
  <c r="K130" i="17" s="1"/>
  <c r="H130" i="11"/>
  <c r="J130" i="17" s="1"/>
  <c r="G130" i="11"/>
  <c r="E130" i="11"/>
  <c r="D130" i="11"/>
  <c r="C130" i="11"/>
  <c r="B130" i="11"/>
  <c r="BJ129" i="11"/>
  <c r="BI129" i="11"/>
  <c r="BH129" i="11"/>
  <c r="BG129" i="11"/>
  <c r="BE129" i="11"/>
  <c r="BC129" i="11"/>
  <c r="BB129" i="11"/>
  <c r="BA129" i="11"/>
  <c r="AZ129" i="11"/>
  <c r="AX129" i="11"/>
  <c r="AV129" i="11"/>
  <c r="AU129" i="11"/>
  <c r="AT129" i="11"/>
  <c r="AS129" i="11"/>
  <c r="AQ129" i="11"/>
  <c r="AO129" i="11"/>
  <c r="AN129" i="11"/>
  <c r="AM129" i="11"/>
  <c r="AL129" i="11"/>
  <c r="AK129" i="11"/>
  <c r="AI129" i="11"/>
  <c r="AH129" i="11"/>
  <c r="AG129" i="11"/>
  <c r="AF129" i="11"/>
  <c r="AE129" i="11"/>
  <c r="AC129" i="11"/>
  <c r="AB129" i="11"/>
  <c r="AA129" i="11"/>
  <c r="Z129" i="11"/>
  <c r="Y129" i="11"/>
  <c r="W129" i="11"/>
  <c r="V129" i="11"/>
  <c r="U129" i="11"/>
  <c r="T129" i="11"/>
  <c r="S129" i="11"/>
  <c r="Q129" i="11"/>
  <c r="P129" i="11"/>
  <c r="O129" i="11"/>
  <c r="N129" i="11"/>
  <c r="M129" i="11"/>
  <c r="K129" i="11"/>
  <c r="M129" i="17" s="1"/>
  <c r="J129" i="11"/>
  <c r="L129" i="17" s="1"/>
  <c r="I129" i="11"/>
  <c r="K129" i="17" s="1"/>
  <c r="H129" i="11"/>
  <c r="J129" i="17" s="1"/>
  <c r="G129" i="11"/>
  <c r="E129" i="11"/>
  <c r="D129" i="11"/>
  <c r="C129" i="11"/>
  <c r="B129" i="11"/>
  <c r="BJ128" i="11"/>
  <c r="BI128" i="11"/>
  <c r="BH128" i="11"/>
  <c r="BG128" i="11"/>
  <c r="BE128" i="11"/>
  <c r="BC128" i="11"/>
  <c r="BB128" i="11"/>
  <c r="BA128" i="11"/>
  <c r="AZ128" i="11"/>
  <c r="AX128" i="11"/>
  <c r="AV128" i="11"/>
  <c r="AU128" i="11"/>
  <c r="AT128" i="11"/>
  <c r="AS128" i="11"/>
  <c r="AQ128" i="11"/>
  <c r="AO128" i="11"/>
  <c r="AN128" i="11"/>
  <c r="AM128" i="11"/>
  <c r="AL128" i="11"/>
  <c r="AK128" i="11"/>
  <c r="AI128" i="11"/>
  <c r="AH128" i="11"/>
  <c r="AG128" i="11"/>
  <c r="AF128" i="11"/>
  <c r="AE128" i="11"/>
  <c r="AC128" i="11"/>
  <c r="AB128" i="11"/>
  <c r="AA128" i="11"/>
  <c r="Z128" i="11"/>
  <c r="Y128" i="11"/>
  <c r="W128" i="11"/>
  <c r="V128" i="11"/>
  <c r="U128" i="11"/>
  <c r="T128" i="11"/>
  <c r="S128" i="11"/>
  <c r="Q128" i="11"/>
  <c r="P128" i="11"/>
  <c r="O128" i="11"/>
  <c r="N128" i="11"/>
  <c r="M128" i="11"/>
  <c r="K128" i="11"/>
  <c r="M128" i="17" s="1"/>
  <c r="J128" i="11"/>
  <c r="L128" i="17" s="1"/>
  <c r="I128" i="11"/>
  <c r="K128" i="17" s="1"/>
  <c r="H128" i="11"/>
  <c r="J128" i="17" s="1"/>
  <c r="G128" i="11"/>
  <c r="E128" i="11"/>
  <c r="D128" i="11"/>
  <c r="C128" i="11"/>
  <c r="B128" i="11"/>
  <c r="BJ127" i="11"/>
  <c r="BI127" i="11"/>
  <c r="BH127" i="11"/>
  <c r="BG127" i="11"/>
  <c r="BE127" i="11"/>
  <c r="BC127" i="11"/>
  <c r="BB127" i="11"/>
  <c r="BA127" i="11"/>
  <c r="AZ127" i="11"/>
  <c r="AX127" i="11"/>
  <c r="AV127" i="11"/>
  <c r="AU127" i="11"/>
  <c r="AT127" i="11"/>
  <c r="AS127" i="11"/>
  <c r="AQ127" i="11"/>
  <c r="AO127" i="11"/>
  <c r="AN127" i="11"/>
  <c r="AM127" i="11"/>
  <c r="AL127" i="11"/>
  <c r="AK127" i="11"/>
  <c r="AI127" i="11"/>
  <c r="AH127" i="11"/>
  <c r="AG127" i="11"/>
  <c r="AF127" i="11"/>
  <c r="AE127" i="11"/>
  <c r="AC127" i="11"/>
  <c r="AB127" i="11"/>
  <c r="AA127" i="11"/>
  <c r="Z127" i="11"/>
  <c r="Y127" i="11"/>
  <c r="W127" i="11"/>
  <c r="V127" i="11"/>
  <c r="U127" i="11"/>
  <c r="T127" i="11"/>
  <c r="S127" i="11"/>
  <c r="Q127" i="11"/>
  <c r="P127" i="11"/>
  <c r="O127" i="11"/>
  <c r="N127" i="11"/>
  <c r="M127" i="11"/>
  <c r="K127" i="11"/>
  <c r="M127" i="17" s="1"/>
  <c r="J127" i="11"/>
  <c r="L127" i="17" s="1"/>
  <c r="I127" i="11"/>
  <c r="K127" i="17" s="1"/>
  <c r="H127" i="11"/>
  <c r="J127" i="17" s="1"/>
  <c r="G127" i="11"/>
  <c r="E127" i="11"/>
  <c r="D127" i="11"/>
  <c r="C127" i="11"/>
  <c r="B127" i="11"/>
  <c r="BJ126" i="11"/>
  <c r="BI126" i="11"/>
  <c r="BH126" i="11"/>
  <c r="BG126" i="11"/>
  <c r="BE126" i="11"/>
  <c r="BC126" i="11"/>
  <c r="BB126" i="11"/>
  <c r="BA126" i="11"/>
  <c r="AZ126" i="11"/>
  <c r="AX126" i="11"/>
  <c r="AV126" i="11"/>
  <c r="AU126" i="11"/>
  <c r="AT126" i="11"/>
  <c r="AS126" i="11"/>
  <c r="AQ126" i="11"/>
  <c r="AO126" i="11"/>
  <c r="AN126" i="11"/>
  <c r="AM126" i="11"/>
  <c r="AL126" i="11"/>
  <c r="AK126" i="11"/>
  <c r="AI126" i="11"/>
  <c r="AH126" i="11"/>
  <c r="AG126" i="11"/>
  <c r="AF126" i="11"/>
  <c r="AE126" i="11"/>
  <c r="AC126" i="11"/>
  <c r="AB126" i="11"/>
  <c r="AA126" i="11"/>
  <c r="Z126" i="11"/>
  <c r="Y126" i="11"/>
  <c r="W126" i="11"/>
  <c r="V126" i="11"/>
  <c r="U126" i="11"/>
  <c r="T126" i="11"/>
  <c r="S126" i="11"/>
  <c r="Q126" i="11"/>
  <c r="P126" i="11"/>
  <c r="O126" i="11"/>
  <c r="N126" i="11"/>
  <c r="M126" i="11"/>
  <c r="K126" i="11"/>
  <c r="M126" i="17" s="1"/>
  <c r="J126" i="11"/>
  <c r="L126" i="17" s="1"/>
  <c r="I126" i="11"/>
  <c r="K126" i="17" s="1"/>
  <c r="H126" i="11"/>
  <c r="J126" i="17" s="1"/>
  <c r="G126" i="11"/>
  <c r="E126" i="11"/>
  <c r="D126" i="11"/>
  <c r="C126" i="11"/>
  <c r="B126" i="11"/>
  <c r="BJ125" i="11"/>
  <c r="BI125" i="11"/>
  <c r="BH125" i="11"/>
  <c r="BG125" i="11"/>
  <c r="BE125" i="11"/>
  <c r="BC125" i="11"/>
  <c r="BB125" i="11"/>
  <c r="BA125" i="11"/>
  <c r="AZ125" i="11"/>
  <c r="AX125" i="11"/>
  <c r="AV125" i="11"/>
  <c r="AU125" i="11"/>
  <c r="AT125" i="11"/>
  <c r="AS125" i="11"/>
  <c r="AQ125" i="11"/>
  <c r="AO125" i="11"/>
  <c r="AN125" i="11"/>
  <c r="AM125" i="11"/>
  <c r="AL125" i="11"/>
  <c r="AK125" i="11"/>
  <c r="AI125" i="11"/>
  <c r="AH125" i="11"/>
  <c r="AG125" i="11"/>
  <c r="AF125" i="11"/>
  <c r="AE125" i="11"/>
  <c r="AC125" i="11"/>
  <c r="AB125" i="11"/>
  <c r="AA125" i="11"/>
  <c r="Z125" i="11"/>
  <c r="Y125" i="11"/>
  <c r="W125" i="11"/>
  <c r="V125" i="11"/>
  <c r="U125" i="11"/>
  <c r="T125" i="11"/>
  <c r="S125" i="11"/>
  <c r="Q125" i="11"/>
  <c r="P125" i="11"/>
  <c r="O125" i="11"/>
  <c r="N125" i="11"/>
  <c r="M125" i="11"/>
  <c r="K125" i="11"/>
  <c r="M125" i="17" s="1"/>
  <c r="J125" i="11"/>
  <c r="L125" i="17" s="1"/>
  <c r="I125" i="11"/>
  <c r="K125" i="17" s="1"/>
  <c r="H125" i="11"/>
  <c r="J125" i="17" s="1"/>
  <c r="G125" i="11"/>
  <c r="E125" i="11"/>
  <c r="D125" i="11"/>
  <c r="C125" i="11"/>
  <c r="B125" i="11"/>
  <c r="BJ124" i="11"/>
  <c r="BI124" i="11"/>
  <c r="BH124" i="11"/>
  <c r="BG124" i="11"/>
  <c r="BE124" i="11"/>
  <c r="BC124" i="11"/>
  <c r="BB124" i="11"/>
  <c r="BA124" i="11"/>
  <c r="AZ124" i="11"/>
  <c r="AX124" i="11"/>
  <c r="AV124" i="11"/>
  <c r="AU124" i="11"/>
  <c r="AT124" i="11"/>
  <c r="AS124" i="11"/>
  <c r="AQ124" i="11"/>
  <c r="AO124" i="11"/>
  <c r="AN124" i="11"/>
  <c r="AM124" i="11"/>
  <c r="AL124" i="11"/>
  <c r="AK124" i="11"/>
  <c r="AI124" i="11"/>
  <c r="AH124" i="11"/>
  <c r="AG124" i="11"/>
  <c r="AF124" i="11"/>
  <c r="AE124" i="11"/>
  <c r="AC124" i="11"/>
  <c r="AB124" i="11"/>
  <c r="AA124" i="11"/>
  <c r="Z124" i="11"/>
  <c r="Y124" i="11"/>
  <c r="W124" i="11"/>
  <c r="V124" i="11"/>
  <c r="U124" i="11"/>
  <c r="T124" i="11"/>
  <c r="S124" i="11"/>
  <c r="Q124" i="11"/>
  <c r="P124" i="11"/>
  <c r="O124" i="11"/>
  <c r="N124" i="11"/>
  <c r="M124" i="11"/>
  <c r="K124" i="11"/>
  <c r="M124" i="17" s="1"/>
  <c r="J124" i="11"/>
  <c r="L124" i="17" s="1"/>
  <c r="I124" i="11"/>
  <c r="K124" i="17" s="1"/>
  <c r="H124" i="11"/>
  <c r="J124" i="17" s="1"/>
  <c r="G124" i="11"/>
  <c r="E124" i="11"/>
  <c r="D124" i="11"/>
  <c r="C124" i="11"/>
  <c r="B124" i="11"/>
  <c r="BJ123" i="11"/>
  <c r="BI123" i="11"/>
  <c r="BH123" i="11"/>
  <c r="BG123" i="11"/>
  <c r="BE123" i="11"/>
  <c r="BC123" i="11"/>
  <c r="BB123" i="11"/>
  <c r="BA123" i="11"/>
  <c r="AZ123" i="11"/>
  <c r="AX123" i="11"/>
  <c r="AV123" i="11"/>
  <c r="AU123" i="11"/>
  <c r="AT123" i="11"/>
  <c r="AS123" i="11"/>
  <c r="AQ123" i="11"/>
  <c r="AO123" i="11"/>
  <c r="AN123" i="11"/>
  <c r="AM123" i="11"/>
  <c r="AL123" i="11"/>
  <c r="AK123" i="11"/>
  <c r="AI123" i="11"/>
  <c r="AH123" i="11"/>
  <c r="AG123" i="11"/>
  <c r="AF123" i="11"/>
  <c r="AE123" i="11"/>
  <c r="AC123" i="11"/>
  <c r="AB123" i="11"/>
  <c r="AA123" i="11"/>
  <c r="Z123" i="11"/>
  <c r="Y123" i="11"/>
  <c r="W123" i="11"/>
  <c r="V123" i="11"/>
  <c r="U123" i="11"/>
  <c r="T123" i="11"/>
  <c r="S123" i="11"/>
  <c r="Q123" i="11"/>
  <c r="P123" i="11"/>
  <c r="O123" i="11"/>
  <c r="N123" i="11"/>
  <c r="M123" i="11"/>
  <c r="K123" i="11"/>
  <c r="M123" i="17" s="1"/>
  <c r="J123" i="11"/>
  <c r="L123" i="17" s="1"/>
  <c r="I123" i="11"/>
  <c r="K123" i="17" s="1"/>
  <c r="H123" i="11"/>
  <c r="J123" i="17" s="1"/>
  <c r="G123" i="11"/>
  <c r="E123" i="11"/>
  <c r="D123" i="11"/>
  <c r="C123" i="11"/>
  <c r="B123" i="11"/>
  <c r="BJ122" i="11"/>
  <c r="BI122" i="11"/>
  <c r="BH122" i="11"/>
  <c r="BG122" i="11"/>
  <c r="BE122" i="11"/>
  <c r="BC122" i="11"/>
  <c r="BB122" i="11"/>
  <c r="BA122" i="11"/>
  <c r="AZ122" i="11"/>
  <c r="AX122" i="11"/>
  <c r="AV122" i="11"/>
  <c r="AU122" i="11"/>
  <c r="AT122" i="11"/>
  <c r="AS122" i="11"/>
  <c r="AQ122" i="11"/>
  <c r="AO122" i="11"/>
  <c r="AN122" i="11"/>
  <c r="AM122" i="11"/>
  <c r="AL122" i="11"/>
  <c r="AK122" i="11"/>
  <c r="AI122" i="11"/>
  <c r="F119" i="1" s="1"/>
  <c r="AH122" i="11"/>
  <c r="F118" i="1" s="1"/>
  <c r="AG122" i="11"/>
  <c r="F117" i="1" s="1"/>
  <c r="AF122" i="11"/>
  <c r="F116" i="1" s="1"/>
  <c r="AE122" i="11"/>
  <c r="AC122" i="11"/>
  <c r="AB122" i="11"/>
  <c r="AA122" i="11"/>
  <c r="Z122" i="11"/>
  <c r="Y122" i="11"/>
  <c r="W122" i="11"/>
  <c r="V122" i="11"/>
  <c r="U122" i="11"/>
  <c r="T122" i="11"/>
  <c r="S122" i="11"/>
  <c r="Q122" i="11"/>
  <c r="P122" i="11"/>
  <c r="O122" i="11"/>
  <c r="N122" i="11"/>
  <c r="M122" i="11"/>
  <c r="K122" i="11"/>
  <c r="M122" i="17" s="1"/>
  <c r="J122" i="11"/>
  <c r="L122" i="17" s="1"/>
  <c r="I122" i="11"/>
  <c r="K122" i="17" s="1"/>
  <c r="H122" i="11"/>
  <c r="J122" i="17" s="1"/>
  <c r="G122" i="11"/>
  <c r="E122" i="11"/>
  <c r="D122" i="11"/>
  <c r="C122" i="11"/>
  <c r="B122" i="11"/>
  <c r="BJ121" i="11"/>
  <c r="BI121" i="11"/>
  <c r="BH121" i="11"/>
  <c r="BG121" i="11"/>
  <c r="BE121" i="11"/>
  <c r="BC121" i="11"/>
  <c r="BB121" i="11"/>
  <c r="BA121" i="11"/>
  <c r="AZ121" i="11"/>
  <c r="AX121" i="11"/>
  <c r="AV121" i="11"/>
  <c r="AU121" i="11"/>
  <c r="AT121" i="11"/>
  <c r="AS121" i="11"/>
  <c r="AQ121" i="11"/>
  <c r="AO121" i="11"/>
  <c r="AN121" i="11"/>
  <c r="AM121" i="11"/>
  <c r="AL121" i="11"/>
  <c r="AK121" i="11"/>
  <c r="AI121" i="11"/>
  <c r="AH121" i="11"/>
  <c r="AG121" i="11"/>
  <c r="AF121" i="11"/>
  <c r="AE121" i="11"/>
  <c r="AC121" i="11"/>
  <c r="AB121" i="11"/>
  <c r="AA121" i="11"/>
  <c r="Z121" i="11"/>
  <c r="Y121" i="11"/>
  <c r="W121" i="11"/>
  <c r="V121" i="11"/>
  <c r="U121" i="11"/>
  <c r="T121" i="11"/>
  <c r="S121" i="11"/>
  <c r="Q121" i="11"/>
  <c r="P121" i="11"/>
  <c r="O121" i="11"/>
  <c r="N121" i="11"/>
  <c r="M121" i="11"/>
  <c r="K121" i="11"/>
  <c r="M121" i="17" s="1"/>
  <c r="J121" i="11"/>
  <c r="L121" i="17" s="1"/>
  <c r="I121" i="11"/>
  <c r="K121" i="17" s="1"/>
  <c r="H121" i="11"/>
  <c r="J121" i="17" s="1"/>
  <c r="G121" i="11"/>
  <c r="E121" i="11"/>
  <c r="D121" i="11"/>
  <c r="C121" i="11"/>
  <c r="B121" i="11"/>
  <c r="BJ120" i="11"/>
  <c r="BI120" i="11"/>
  <c r="BH120" i="11"/>
  <c r="BG120" i="11"/>
  <c r="BE120" i="11"/>
  <c r="BC120" i="11"/>
  <c r="BB120" i="11"/>
  <c r="BA120" i="11"/>
  <c r="AZ120" i="11"/>
  <c r="AX120" i="11"/>
  <c r="AV120" i="11"/>
  <c r="AU120" i="11"/>
  <c r="AT120" i="11"/>
  <c r="AS120" i="11"/>
  <c r="AQ120" i="11"/>
  <c r="AO120" i="11"/>
  <c r="AN120" i="11"/>
  <c r="AM120" i="11"/>
  <c r="AL120" i="11"/>
  <c r="AK120" i="11"/>
  <c r="AI120" i="11"/>
  <c r="AH120" i="11"/>
  <c r="AG120" i="11"/>
  <c r="AF120" i="11"/>
  <c r="AE120" i="11"/>
  <c r="AC120" i="11"/>
  <c r="AB120" i="11"/>
  <c r="AA120" i="11"/>
  <c r="Z120" i="11"/>
  <c r="Y120" i="11"/>
  <c r="W120" i="11"/>
  <c r="V120" i="11"/>
  <c r="U120" i="11"/>
  <c r="T120" i="11"/>
  <c r="S120" i="11"/>
  <c r="Q120" i="11"/>
  <c r="P120" i="11"/>
  <c r="O120" i="11"/>
  <c r="N120" i="11"/>
  <c r="M120" i="11"/>
  <c r="K120" i="11"/>
  <c r="M120" i="17" s="1"/>
  <c r="J120" i="11"/>
  <c r="L120" i="17" s="1"/>
  <c r="I120" i="11"/>
  <c r="K120" i="17" s="1"/>
  <c r="H120" i="11"/>
  <c r="J120" i="17" s="1"/>
  <c r="G120" i="11"/>
  <c r="E120" i="11"/>
  <c r="D120" i="11"/>
  <c r="C120" i="11"/>
  <c r="B120" i="11"/>
  <c r="BJ119" i="11"/>
  <c r="BI119" i="11"/>
  <c r="BH119" i="11"/>
  <c r="BG119" i="11"/>
  <c r="BE119" i="11"/>
  <c r="BC119" i="11"/>
  <c r="BB119" i="11"/>
  <c r="BA119" i="11"/>
  <c r="AZ119" i="11"/>
  <c r="AX119" i="11"/>
  <c r="AV119" i="11"/>
  <c r="AU119" i="11"/>
  <c r="AT119" i="11"/>
  <c r="AS119" i="11"/>
  <c r="AQ119" i="11"/>
  <c r="AO119" i="11"/>
  <c r="AN119" i="11"/>
  <c r="AM119" i="11"/>
  <c r="AL119" i="11"/>
  <c r="AK119" i="11"/>
  <c r="AI119" i="11"/>
  <c r="AH119" i="11"/>
  <c r="AG119" i="11"/>
  <c r="AF119" i="11"/>
  <c r="AE119" i="11"/>
  <c r="AC119" i="11"/>
  <c r="AB119" i="11"/>
  <c r="AA119" i="11"/>
  <c r="Z119" i="11"/>
  <c r="Y119" i="11"/>
  <c r="W119" i="11"/>
  <c r="V119" i="11"/>
  <c r="U119" i="11"/>
  <c r="T119" i="11"/>
  <c r="S119" i="11"/>
  <c r="Q119" i="11"/>
  <c r="P119" i="11"/>
  <c r="O119" i="11"/>
  <c r="N119" i="11"/>
  <c r="M119" i="11"/>
  <c r="K119" i="11"/>
  <c r="M119" i="17" s="1"/>
  <c r="J119" i="11"/>
  <c r="L119" i="17" s="1"/>
  <c r="I119" i="11"/>
  <c r="K119" i="17" s="1"/>
  <c r="H119" i="11"/>
  <c r="J119" i="17" s="1"/>
  <c r="G119" i="11"/>
  <c r="E119" i="11"/>
  <c r="D119" i="11"/>
  <c r="C119" i="11"/>
  <c r="B119" i="11"/>
  <c r="BJ118" i="11"/>
  <c r="BI118" i="11"/>
  <c r="BH118" i="11"/>
  <c r="BG118" i="11"/>
  <c r="BE118" i="11"/>
  <c r="BC118" i="11"/>
  <c r="BB118" i="11"/>
  <c r="BA118" i="11"/>
  <c r="AZ118" i="11"/>
  <c r="AX118" i="11"/>
  <c r="AV118" i="11"/>
  <c r="AU118" i="11"/>
  <c r="AT118" i="11"/>
  <c r="AS118" i="11"/>
  <c r="AQ118" i="11"/>
  <c r="AO118" i="11"/>
  <c r="AN118" i="11"/>
  <c r="AM118" i="11"/>
  <c r="AL118" i="11"/>
  <c r="AK118" i="11"/>
  <c r="AI118" i="11"/>
  <c r="AH118" i="11"/>
  <c r="AG118" i="11"/>
  <c r="AF118" i="11"/>
  <c r="AE118" i="11"/>
  <c r="AC118" i="11"/>
  <c r="AB118" i="11"/>
  <c r="AA118" i="11"/>
  <c r="Z118" i="11"/>
  <c r="Y118" i="11"/>
  <c r="W118" i="11"/>
  <c r="V118" i="11"/>
  <c r="U118" i="11"/>
  <c r="T118" i="11"/>
  <c r="S118" i="11"/>
  <c r="Q118" i="11"/>
  <c r="P118" i="11"/>
  <c r="O118" i="11"/>
  <c r="N118" i="11"/>
  <c r="M118" i="11"/>
  <c r="K118" i="11"/>
  <c r="M118" i="17" s="1"/>
  <c r="J118" i="11"/>
  <c r="L118" i="17" s="1"/>
  <c r="I118" i="11"/>
  <c r="K118" i="17" s="1"/>
  <c r="H118" i="11"/>
  <c r="J118" i="17" s="1"/>
  <c r="G118" i="11"/>
  <c r="E118" i="11"/>
  <c r="D118" i="11"/>
  <c r="C118" i="11"/>
  <c r="B118" i="11"/>
  <c r="BJ117" i="11"/>
  <c r="BI117" i="11"/>
  <c r="BH117" i="11"/>
  <c r="BG117" i="11"/>
  <c r="BE117" i="11"/>
  <c r="BC117" i="11"/>
  <c r="BB117" i="11"/>
  <c r="BA117" i="11"/>
  <c r="AZ117" i="11"/>
  <c r="AX117" i="11"/>
  <c r="AV117" i="11"/>
  <c r="AU117" i="11"/>
  <c r="AT117" i="11"/>
  <c r="AS117" i="11"/>
  <c r="AQ117" i="11"/>
  <c r="AO117" i="11"/>
  <c r="AN117" i="11"/>
  <c r="AM117" i="11"/>
  <c r="AL117" i="11"/>
  <c r="AK117" i="11"/>
  <c r="AI117" i="11"/>
  <c r="AH117" i="11"/>
  <c r="AG117" i="11"/>
  <c r="AF117" i="11"/>
  <c r="AE117" i="11"/>
  <c r="AC117" i="11"/>
  <c r="AB117" i="11"/>
  <c r="AA117" i="11"/>
  <c r="Z117" i="11"/>
  <c r="Y117" i="11"/>
  <c r="W117" i="11"/>
  <c r="V117" i="11"/>
  <c r="U117" i="11"/>
  <c r="T117" i="11"/>
  <c r="S117" i="11"/>
  <c r="Q117" i="11"/>
  <c r="P117" i="11"/>
  <c r="O117" i="11"/>
  <c r="N117" i="11"/>
  <c r="M117" i="11"/>
  <c r="K117" i="11"/>
  <c r="M117" i="17" s="1"/>
  <c r="J117" i="11"/>
  <c r="L117" i="17" s="1"/>
  <c r="I117" i="11"/>
  <c r="K117" i="17" s="1"/>
  <c r="H117" i="11"/>
  <c r="J117" i="17" s="1"/>
  <c r="G117" i="11"/>
  <c r="E117" i="11"/>
  <c r="D117" i="11"/>
  <c r="C117" i="11"/>
  <c r="B117" i="11"/>
  <c r="BJ116" i="11"/>
  <c r="BI116" i="11"/>
  <c r="BH116" i="11"/>
  <c r="BG116" i="11"/>
  <c r="BE116" i="11"/>
  <c r="BC116" i="11"/>
  <c r="BB116" i="11"/>
  <c r="BA116" i="11"/>
  <c r="AZ116" i="11"/>
  <c r="AX116" i="11"/>
  <c r="AV116" i="11"/>
  <c r="AU116" i="11"/>
  <c r="AT116" i="11"/>
  <c r="AS116" i="11"/>
  <c r="AQ116" i="11"/>
  <c r="AO116" i="11"/>
  <c r="AN116" i="11"/>
  <c r="AM116" i="11"/>
  <c r="AL116" i="11"/>
  <c r="AK116" i="11"/>
  <c r="AI116" i="11"/>
  <c r="AH116" i="11"/>
  <c r="AG116" i="11"/>
  <c r="AF116" i="11"/>
  <c r="AE116" i="11"/>
  <c r="AC116" i="11"/>
  <c r="AB116" i="11"/>
  <c r="AA116" i="11"/>
  <c r="Z116" i="11"/>
  <c r="Y116" i="11"/>
  <c r="W116" i="11"/>
  <c r="V116" i="11"/>
  <c r="U116" i="11"/>
  <c r="T116" i="11"/>
  <c r="S116" i="11"/>
  <c r="Q116" i="11"/>
  <c r="P116" i="11"/>
  <c r="O116" i="11"/>
  <c r="N116" i="11"/>
  <c r="M116" i="11"/>
  <c r="K116" i="11"/>
  <c r="M116" i="17" s="1"/>
  <c r="J116" i="11"/>
  <c r="L116" i="17" s="1"/>
  <c r="I116" i="11"/>
  <c r="K116" i="17" s="1"/>
  <c r="H116" i="11"/>
  <c r="J116" i="17" s="1"/>
  <c r="G116" i="11"/>
  <c r="E116" i="11"/>
  <c r="D116" i="11"/>
  <c r="C116" i="11"/>
  <c r="B116" i="11"/>
  <c r="BJ115" i="11"/>
  <c r="BI115" i="11"/>
  <c r="BH115" i="11"/>
  <c r="BG115" i="11"/>
  <c r="BE115" i="11"/>
  <c r="BC115" i="11"/>
  <c r="BB115" i="11"/>
  <c r="BA115" i="11"/>
  <c r="AZ115" i="11"/>
  <c r="AX115" i="11"/>
  <c r="AV115" i="11"/>
  <c r="AU115" i="11"/>
  <c r="AT115" i="11"/>
  <c r="AS115" i="11"/>
  <c r="AQ115" i="11"/>
  <c r="AO115" i="11"/>
  <c r="AN115" i="11"/>
  <c r="AM115" i="11"/>
  <c r="AL115" i="11"/>
  <c r="AK115" i="11"/>
  <c r="AI115" i="11"/>
  <c r="AH115" i="11"/>
  <c r="AG115" i="11"/>
  <c r="AF115" i="11"/>
  <c r="AE115" i="11"/>
  <c r="AC115" i="11"/>
  <c r="AB115" i="11"/>
  <c r="AA115" i="11"/>
  <c r="Z115" i="11"/>
  <c r="Y115" i="11"/>
  <c r="W115" i="11"/>
  <c r="V115" i="11"/>
  <c r="S115" i="11"/>
  <c r="O115" i="11"/>
  <c r="B115" i="11"/>
  <c r="BE114" i="11"/>
  <c r="AS114" i="11"/>
  <c r="K114" i="11"/>
  <c r="BB113" i="11"/>
  <c r="AI113" i="11"/>
  <c r="AC113" i="11"/>
  <c r="V113" i="11"/>
  <c r="N113" i="11"/>
  <c r="B113" i="11"/>
  <c r="BB112" i="11"/>
  <c r="AQ112" i="11"/>
  <c r="AN112" i="11"/>
  <c r="AB112" i="11"/>
  <c r="V112" i="11"/>
  <c r="S112" i="11"/>
  <c r="O112" i="11"/>
  <c r="BI111" i="11"/>
  <c r="AM111" i="11"/>
  <c r="AF111" i="11"/>
  <c r="AA111" i="11"/>
  <c r="P111" i="11"/>
  <c r="D111" i="11"/>
  <c r="BC110" i="11"/>
  <c r="AQ110" i="11"/>
  <c r="AN110" i="11"/>
  <c r="AI110" i="11"/>
  <c r="AC110" i="11"/>
  <c r="S110" i="11"/>
  <c r="O110" i="11"/>
  <c r="G110" i="11"/>
  <c r="AU109" i="11"/>
  <c r="M109" i="11"/>
  <c r="I109" i="11"/>
  <c r="B109" i="11"/>
  <c r="BC108" i="11"/>
  <c r="AO108" i="11"/>
  <c r="AK108" i="11"/>
  <c r="AH108" i="11"/>
  <c r="Y108" i="11"/>
  <c r="V108" i="11"/>
  <c r="U108" i="11"/>
  <c r="Q108" i="11"/>
  <c r="C108" i="11"/>
  <c r="BC107" i="11"/>
  <c r="AO107" i="11"/>
  <c r="AG107" i="11"/>
  <c r="P107" i="11"/>
  <c r="G107" i="11"/>
  <c r="E107" i="11"/>
  <c r="BG106" i="11"/>
  <c r="AN106" i="11"/>
  <c r="AI106" i="11"/>
  <c r="AE106" i="11"/>
  <c r="Z106" i="11"/>
  <c r="V106" i="11"/>
  <c r="Q106" i="11"/>
  <c r="AT105" i="11"/>
  <c r="T105" i="11"/>
  <c r="J105" i="11"/>
  <c r="BI104" i="11"/>
  <c r="AU104" i="11"/>
  <c r="AC104" i="11"/>
  <c r="Q104" i="11"/>
  <c r="BH103" i="11"/>
  <c r="AT103" i="11"/>
  <c r="M103" i="11"/>
  <c r="I103" i="11"/>
  <c r="G103" i="11"/>
  <c r="D103" i="11"/>
  <c r="BG102" i="11"/>
  <c r="AX102" i="11"/>
  <c r="AT102" i="11"/>
  <c r="Y102" i="11"/>
  <c r="S102" i="11"/>
  <c r="I102" i="11"/>
  <c r="BH101" i="11"/>
  <c r="AU101" i="11"/>
  <c r="Z101" i="11"/>
  <c r="P101" i="11"/>
  <c r="G101" i="11"/>
  <c r="BC100" i="11"/>
  <c r="AN100" i="11"/>
  <c r="AG100" i="11"/>
  <c r="AE100" i="11"/>
  <c r="AA100" i="11"/>
  <c r="P100" i="11"/>
  <c r="G100" i="11"/>
  <c r="E100" i="11"/>
  <c r="BC99" i="11"/>
  <c r="AT99" i="11"/>
  <c r="T99" i="11"/>
  <c r="O99" i="11"/>
  <c r="AX98" i="11"/>
  <c r="AT98" i="11"/>
  <c r="AE98" i="11"/>
  <c r="AA98" i="11"/>
  <c r="T98" i="11"/>
  <c r="Q98" i="11"/>
  <c r="AS97" i="11"/>
  <c r="AE97" i="11"/>
  <c r="Z97" i="11"/>
  <c r="P97" i="11"/>
  <c r="AZ96" i="11"/>
  <c r="AN96" i="11"/>
  <c r="AF96" i="11"/>
  <c r="Y96" i="11"/>
  <c r="S96" i="11"/>
  <c r="N96" i="11"/>
  <c r="BB95" i="11"/>
  <c r="AQ95" i="11"/>
  <c r="AN95" i="11"/>
  <c r="AI95" i="11"/>
  <c r="AC95" i="11"/>
  <c r="V95" i="11"/>
  <c r="S95" i="11"/>
  <c r="I95" i="11"/>
  <c r="AV94" i="11"/>
  <c r="AH94" i="11"/>
  <c r="AC94" i="11"/>
  <c r="V94" i="11"/>
  <c r="M94" i="11"/>
  <c r="I94" i="11"/>
  <c r="BG93" i="11"/>
  <c r="AU93" i="11"/>
  <c r="P93" i="11"/>
  <c r="B93" i="11"/>
  <c r="BB92" i="11"/>
  <c r="AN92" i="11"/>
  <c r="AG92" i="11"/>
  <c r="AF92" i="11"/>
  <c r="V92" i="11"/>
  <c r="O92" i="11"/>
  <c r="E92" i="11"/>
  <c r="AZ91" i="11"/>
  <c r="AS91" i="11"/>
  <c r="J91" i="11"/>
  <c r="BE90" i="11"/>
  <c r="BC90" i="11"/>
  <c r="AK90" i="11"/>
  <c r="AI90" i="11"/>
  <c r="Q90" i="11"/>
  <c r="AZ89" i="11"/>
  <c r="AQ89" i="11"/>
  <c r="AM89" i="11"/>
  <c r="AI89" i="11"/>
  <c r="AC89" i="11"/>
  <c r="W89" i="11"/>
  <c r="S89" i="11"/>
  <c r="P89" i="11"/>
  <c r="G89" i="11"/>
  <c r="E89" i="11"/>
  <c r="AU88" i="11"/>
  <c r="N88" i="11"/>
  <c r="C88" i="11"/>
  <c r="BE87" i="11"/>
  <c r="BC87" i="11"/>
  <c r="AS87" i="11"/>
  <c r="J87" i="11"/>
  <c r="L87" i="17" s="1"/>
  <c r="AZ86" i="11"/>
  <c r="AS86" i="11"/>
  <c r="G86" i="11"/>
  <c r="C86" i="11"/>
  <c r="BA85" i="11"/>
  <c r="AO85" i="11"/>
  <c r="AF85" i="11"/>
  <c r="V85" i="11"/>
  <c r="H85" i="11"/>
  <c r="BH84" i="11"/>
  <c r="AQ84" i="11"/>
  <c r="AK84" i="11"/>
  <c r="AH84" i="11"/>
  <c r="Z84" i="11"/>
  <c r="H84" i="11"/>
  <c r="J84" i="17" s="1"/>
  <c r="BI83" i="11"/>
  <c r="AK83" i="11"/>
  <c r="AG83" i="11"/>
  <c r="Y83" i="11"/>
  <c r="M83" i="11"/>
  <c r="E83" i="11"/>
  <c r="AX82" i="11"/>
  <c r="AV82" i="11"/>
  <c r="O82" i="11"/>
  <c r="BJ81" i="11"/>
  <c r="AX81" i="11"/>
  <c r="AU81" i="11"/>
  <c r="H81" i="11"/>
  <c r="BI80" i="11"/>
  <c r="AT80" i="11"/>
  <c r="AA80" i="11"/>
  <c r="Q80" i="11"/>
  <c r="BB79" i="11"/>
  <c r="AO79" i="11"/>
  <c r="AK79" i="11"/>
  <c r="AG79" i="11"/>
  <c r="AA79" i="11"/>
  <c r="S79" i="11"/>
  <c r="G79" i="11"/>
  <c r="E79" i="11"/>
  <c r="BC78" i="11"/>
  <c r="AQ78" i="11"/>
  <c r="AN78" i="11"/>
  <c r="AI78" i="11"/>
  <c r="AC78" i="11"/>
  <c r="V78" i="11"/>
  <c r="J78" i="11"/>
  <c r="L78" i="17" s="1"/>
  <c r="AT77" i="11"/>
  <c r="S77" i="11"/>
  <c r="J77" i="11"/>
  <c r="L77" i="17" s="1"/>
  <c r="BJ76" i="11"/>
  <c r="AN76" i="11"/>
  <c r="AH76" i="11"/>
  <c r="AE76" i="11"/>
  <c r="AC76" i="11"/>
  <c r="V76" i="11"/>
  <c r="Q76" i="11"/>
  <c r="BC75" i="11"/>
  <c r="AO75" i="11"/>
  <c r="AL75" i="11"/>
  <c r="AA75" i="11"/>
  <c r="S75" i="11"/>
  <c r="M75" i="11"/>
  <c r="J75" i="11"/>
  <c r="BJ74" i="11"/>
  <c r="AS74" i="11"/>
  <c r="Z74" i="11"/>
  <c r="J74" i="11"/>
  <c r="BG73" i="11"/>
  <c r="AS73" i="11"/>
  <c r="T73" i="11"/>
  <c r="G73" i="11"/>
  <c r="E73" i="11"/>
  <c r="AV26" i="11"/>
  <c r="W26" i="11"/>
  <c r="N26" i="11"/>
  <c r="AZ25" i="11"/>
  <c r="AL25" i="11"/>
  <c r="AE25" i="11"/>
  <c r="AB25" i="11"/>
  <c r="S25" i="11"/>
  <c r="O25" i="11"/>
  <c r="BH24" i="11"/>
  <c r="AK24" i="11"/>
  <c r="AG24" i="11"/>
  <c r="AA24" i="11"/>
  <c r="P24" i="11"/>
  <c r="AS23" i="11"/>
  <c r="I23" i="11"/>
  <c r="K23" i="17" s="1"/>
  <c r="B23" i="11"/>
  <c r="AL22" i="11"/>
  <c r="AB22" i="11"/>
  <c r="U22" i="11"/>
  <c r="K22" i="11"/>
  <c r="M22" i="17" s="1"/>
  <c r="BI21" i="11"/>
  <c r="AU21" i="11"/>
  <c r="E21" i="11"/>
  <c r="BE20" i="11"/>
  <c r="BB20" i="11"/>
  <c r="AO20" i="11"/>
  <c r="AG20" i="11"/>
  <c r="Y20" i="11"/>
  <c r="T20" i="11"/>
  <c r="J20" i="11"/>
  <c r="L20" i="17" s="1"/>
  <c r="AZ17" i="11"/>
  <c r="AF17" i="11"/>
  <c r="V17" i="11"/>
  <c r="K17" i="11"/>
  <c r="M17" i="17" s="1"/>
  <c r="AZ16" i="11"/>
  <c r="AK16" i="11"/>
  <c r="AE16" i="11"/>
  <c r="AC16" i="11"/>
  <c r="V16" i="11"/>
  <c r="Q16" i="11"/>
  <c r="C16" i="11"/>
  <c r="BC15" i="11"/>
  <c r="AK15" i="11"/>
  <c r="AG15" i="11"/>
  <c r="Y15" i="11"/>
  <c r="U15" i="11"/>
  <c r="P15" i="11"/>
  <c r="C15" i="11"/>
  <c r="BE14" i="11"/>
  <c r="BC14" i="11"/>
  <c r="AQ14" i="11"/>
  <c r="AN14" i="11"/>
  <c r="AG14" i="11"/>
  <c r="T14" i="11"/>
  <c r="H14" i="11"/>
  <c r="J14" i="17" s="1"/>
  <c r="BI13" i="11"/>
  <c r="AT13" i="11"/>
  <c r="P13" i="11"/>
  <c r="AN12" i="11"/>
  <c r="AI12" i="11"/>
  <c r="AA12" i="11"/>
  <c r="K12" i="11"/>
  <c r="BI11" i="11"/>
  <c r="AX11" i="11"/>
  <c r="AN11" i="11"/>
  <c r="AI11" i="11"/>
  <c r="AA11" i="11"/>
  <c r="U11" i="11"/>
  <c r="I11" i="11"/>
  <c r="K11" i="17" s="1"/>
  <c r="BG10" i="11"/>
  <c r="AL10" i="11"/>
  <c r="AG10" i="11"/>
  <c r="Z10" i="11"/>
  <c r="P10" i="11"/>
  <c r="BC9" i="11"/>
  <c r="AM9" i="11"/>
  <c r="AE9" i="11"/>
  <c r="AC9" i="11"/>
  <c r="N9" i="11"/>
  <c r="AL8" i="11"/>
  <c r="AE8" i="11"/>
  <c r="W8" i="11"/>
  <c r="T8" i="11"/>
  <c r="N8" i="11"/>
  <c r="BI7" i="11"/>
  <c r="AQ7" i="11"/>
  <c r="AN7" i="11"/>
  <c r="AI7" i="11"/>
  <c r="AA7" i="11"/>
  <c r="U7" i="11"/>
  <c r="K7" i="11"/>
  <c r="BH6" i="11"/>
  <c r="AT6" i="11"/>
  <c r="J6" i="11"/>
  <c r="BI5" i="11"/>
  <c r="AT5" i="11"/>
  <c r="S5" i="11"/>
  <c r="AO4" i="11"/>
  <c r="AK4" i="11"/>
  <c r="AF4" i="11"/>
  <c r="T4" i="11"/>
  <c r="H4" i="11"/>
  <c r="J4" i="17" s="1"/>
  <c r="BE3" i="11"/>
  <c r="AZ3" i="11"/>
  <c r="AI3" i="11"/>
  <c r="AB3" i="11"/>
  <c r="P3" i="11"/>
  <c r="BG2" i="11"/>
  <c r="AK2" i="11"/>
  <c r="AG2" i="11"/>
  <c r="Z2" i="11"/>
  <c r="O2" i="11"/>
  <c r="Y140" i="5"/>
  <c r="H140" i="5"/>
  <c r="B140" i="5"/>
  <c r="H136" i="5"/>
  <c r="Y134" i="5"/>
  <c r="X132" i="5"/>
  <c r="X125" i="5"/>
  <c r="Y124" i="5"/>
  <c r="X119" i="5"/>
  <c r="B118" i="5"/>
  <c r="M116" i="5"/>
  <c r="N116" i="5" s="1"/>
  <c r="M114" i="5"/>
  <c r="N114" i="5" s="1"/>
  <c r="X111" i="5"/>
  <c r="B109" i="5"/>
  <c r="Y108" i="5"/>
  <c r="B103" i="5"/>
  <c r="I72" i="11"/>
  <c r="K72" i="17" s="1"/>
  <c r="H72" i="11"/>
  <c r="J72" i="17" s="1"/>
  <c r="G72" i="11"/>
  <c r="E72" i="11"/>
  <c r="D72" i="11"/>
  <c r="C72" i="11"/>
  <c r="B72" i="11"/>
  <c r="BJ71" i="11"/>
  <c r="BI71" i="11"/>
  <c r="BH71" i="11"/>
  <c r="BG71" i="11"/>
  <c r="BE71" i="11"/>
  <c r="BC71" i="11"/>
  <c r="BB71" i="11"/>
  <c r="BA71" i="11"/>
  <c r="AZ71" i="11"/>
  <c r="AX71" i="11"/>
  <c r="AV71" i="11"/>
  <c r="AU71" i="11"/>
  <c r="AT71" i="11"/>
  <c r="AS71" i="11"/>
  <c r="AQ71" i="11"/>
  <c r="AO71" i="11"/>
  <c r="AN71" i="11"/>
  <c r="AM71" i="11"/>
  <c r="AL71" i="11"/>
  <c r="AK71" i="11"/>
  <c r="AI71" i="11"/>
  <c r="AH71" i="11"/>
  <c r="AG71" i="11"/>
  <c r="AF71" i="11"/>
  <c r="AE71" i="11"/>
  <c r="AC71" i="11"/>
  <c r="AB71" i="11"/>
  <c r="AA71" i="11"/>
  <c r="Z71" i="11"/>
  <c r="Y71" i="11"/>
  <c r="W71" i="11"/>
  <c r="V71" i="11"/>
  <c r="U71" i="11"/>
  <c r="T71" i="11"/>
  <c r="S71" i="11"/>
  <c r="Q71" i="11"/>
  <c r="P71" i="11"/>
  <c r="O71" i="11"/>
  <c r="N71" i="11"/>
  <c r="M71" i="11"/>
  <c r="K71" i="11"/>
  <c r="M71" i="17" s="1"/>
  <c r="J71" i="11"/>
  <c r="L71" i="17" s="1"/>
  <c r="I71" i="11"/>
  <c r="K71" i="17" s="1"/>
  <c r="H71" i="11"/>
  <c r="J71" i="17" s="1"/>
  <c r="G71" i="11"/>
  <c r="E71" i="11"/>
  <c r="D71" i="11"/>
  <c r="C71" i="11"/>
  <c r="B71" i="11"/>
  <c r="BJ70" i="11"/>
  <c r="BI70" i="11"/>
  <c r="BH70" i="11"/>
  <c r="BG70" i="11"/>
  <c r="BE70" i="11"/>
  <c r="BC70" i="11"/>
  <c r="BB70" i="11"/>
  <c r="BA70" i="11"/>
  <c r="AZ70" i="11"/>
  <c r="AX70" i="11"/>
  <c r="AV70" i="11"/>
  <c r="AU70" i="11"/>
  <c r="AT70" i="11"/>
  <c r="AS70" i="11"/>
  <c r="AQ70" i="11"/>
  <c r="AO70" i="11"/>
  <c r="AN70" i="11"/>
  <c r="AM70" i="11"/>
  <c r="AL70" i="11"/>
  <c r="AK70" i="11"/>
  <c r="AI70" i="11"/>
  <c r="AH70" i="11"/>
  <c r="AG70" i="11"/>
  <c r="AF70" i="11"/>
  <c r="AE70" i="11"/>
  <c r="AC70" i="11"/>
  <c r="AB70" i="11"/>
  <c r="AA70" i="11"/>
  <c r="Z70" i="11"/>
  <c r="Y70" i="11"/>
  <c r="W70" i="11"/>
  <c r="V70" i="11"/>
  <c r="U70" i="11"/>
  <c r="T70" i="11"/>
  <c r="S70" i="11"/>
  <c r="Q70" i="11"/>
  <c r="P70" i="11"/>
  <c r="O70" i="11"/>
  <c r="N70" i="11"/>
  <c r="M70" i="11"/>
  <c r="K70" i="11"/>
  <c r="M70" i="17" s="1"/>
  <c r="J70" i="11"/>
  <c r="L70" i="17" s="1"/>
  <c r="I70" i="11"/>
  <c r="K70" i="17" s="1"/>
  <c r="H70" i="11"/>
  <c r="J70" i="17" s="1"/>
  <c r="G70" i="11"/>
  <c r="E70" i="11"/>
  <c r="D70" i="11"/>
  <c r="C70" i="11"/>
  <c r="B70" i="11"/>
  <c r="BJ69" i="11"/>
  <c r="BI69" i="11"/>
  <c r="BH69" i="11"/>
  <c r="BG69" i="11"/>
  <c r="BE69" i="11"/>
  <c r="BC69" i="11"/>
  <c r="BB69" i="11"/>
  <c r="BA69" i="11"/>
  <c r="AZ69" i="11"/>
  <c r="AX69" i="11"/>
  <c r="AV69" i="11"/>
  <c r="AU69" i="11"/>
  <c r="AT69" i="11"/>
  <c r="AS69" i="11"/>
  <c r="AQ69" i="11"/>
  <c r="AO69" i="11"/>
  <c r="AN69" i="11"/>
  <c r="AM69" i="11"/>
  <c r="AL69" i="11"/>
  <c r="AK69" i="11"/>
  <c r="AI69" i="11"/>
  <c r="AH69" i="11"/>
  <c r="AG69" i="11"/>
  <c r="AF69" i="11"/>
  <c r="AE69" i="11"/>
  <c r="AC69" i="11"/>
  <c r="AB69" i="11"/>
  <c r="AA69" i="11"/>
  <c r="Z69" i="11"/>
  <c r="Y69" i="11"/>
  <c r="W69" i="11"/>
  <c r="V69" i="11"/>
  <c r="U69" i="11"/>
  <c r="T69" i="11"/>
  <c r="S69" i="11"/>
  <c r="Q69" i="11"/>
  <c r="P69" i="11"/>
  <c r="O69" i="11"/>
  <c r="N69" i="11"/>
  <c r="M69" i="11"/>
  <c r="K69" i="11"/>
  <c r="M69" i="17" s="1"/>
  <c r="J69" i="11"/>
  <c r="L69" i="17" s="1"/>
  <c r="I69" i="11"/>
  <c r="K69" i="17" s="1"/>
  <c r="H69" i="11"/>
  <c r="J69" i="17" s="1"/>
  <c r="G69" i="11"/>
  <c r="E69" i="11"/>
  <c r="D69" i="11"/>
  <c r="C69" i="11"/>
  <c r="B69" i="11"/>
  <c r="BJ68" i="11"/>
  <c r="BI68" i="11"/>
  <c r="BH68" i="11"/>
  <c r="BG68" i="11"/>
  <c r="BE68" i="11"/>
  <c r="BC68" i="11"/>
  <c r="BB68" i="11"/>
  <c r="BA68" i="11"/>
  <c r="AZ68" i="11"/>
  <c r="AX68" i="11"/>
  <c r="AV68" i="11"/>
  <c r="AU68" i="11"/>
  <c r="AT68" i="11"/>
  <c r="AS68" i="11"/>
  <c r="AQ68" i="11"/>
  <c r="AO68" i="11"/>
  <c r="AN68" i="11"/>
  <c r="AM68" i="11"/>
  <c r="AL68" i="11"/>
  <c r="AK68" i="11"/>
  <c r="AI68" i="11"/>
  <c r="AH68" i="11"/>
  <c r="AG68" i="11"/>
  <c r="AF68" i="11"/>
  <c r="AE68" i="11"/>
  <c r="AC68" i="11"/>
  <c r="AB68" i="11"/>
  <c r="AA68" i="11"/>
  <c r="Z68" i="11"/>
  <c r="Y68" i="11"/>
  <c r="W68" i="11"/>
  <c r="V68" i="11"/>
  <c r="U68" i="11"/>
  <c r="T68" i="11"/>
  <c r="S68" i="11"/>
  <c r="Q68" i="11"/>
  <c r="P68" i="11"/>
  <c r="O68" i="11"/>
  <c r="N68" i="11"/>
  <c r="M68" i="11"/>
  <c r="K68" i="11"/>
  <c r="M68" i="17" s="1"/>
  <c r="J68" i="11"/>
  <c r="L68" i="17" s="1"/>
  <c r="I68" i="11"/>
  <c r="K68" i="17" s="1"/>
  <c r="H68" i="11"/>
  <c r="J68" i="17" s="1"/>
  <c r="G68" i="11"/>
  <c r="E68" i="11"/>
  <c r="D68" i="11"/>
  <c r="C68" i="11"/>
  <c r="B68" i="11"/>
  <c r="BJ67" i="11"/>
  <c r="BI67" i="11"/>
  <c r="BH67" i="11"/>
  <c r="BG67" i="11"/>
  <c r="BE67" i="11"/>
  <c r="BC67" i="11"/>
  <c r="BB67" i="11"/>
  <c r="BA67" i="11"/>
  <c r="AZ67" i="11"/>
  <c r="AX67" i="11"/>
  <c r="AV67" i="11"/>
  <c r="AU67" i="11"/>
  <c r="AT67" i="11"/>
  <c r="AS67" i="11"/>
  <c r="AQ67" i="11"/>
  <c r="AO67" i="11"/>
  <c r="AN67" i="11"/>
  <c r="AM67" i="11"/>
  <c r="AL67" i="11"/>
  <c r="AK67" i="11"/>
  <c r="AI67" i="11"/>
  <c r="AH67" i="11"/>
  <c r="AG67" i="11"/>
  <c r="AF67" i="11"/>
  <c r="AE67" i="11"/>
  <c r="AC67" i="11"/>
  <c r="AB67" i="11"/>
  <c r="AA67" i="11"/>
  <c r="Z67" i="11"/>
  <c r="Y67" i="11"/>
  <c r="W67" i="11"/>
  <c r="V67" i="11"/>
  <c r="U67" i="11"/>
  <c r="T67" i="11"/>
  <c r="S67" i="11"/>
  <c r="Q67" i="11"/>
  <c r="P67" i="11"/>
  <c r="O67" i="11"/>
  <c r="N67" i="11"/>
  <c r="M67" i="11"/>
  <c r="K67" i="11"/>
  <c r="J67" i="11"/>
  <c r="I67" i="11"/>
  <c r="H67" i="11"/>
  <c r="J67" i="17" s="1"/>
  <c r="G67" i="11"/>
  <c r="E67" i="11"/>
  <c r="D67" i="11"/>
  <c r="C67" i="11"/>
  <c r="B67" i="11"/>
  <c r="BJ66" i="11"/>
  <c r="BI66" i="11"/>
  <c r="BH66" i="11"/>
  <c r="BG66" i="11"/>
  <c r="BE66" i="11"/>
  <c r="BC66" i="11"/>
  <c r="BB66" i="11"/>
  <c r="BA66" i="11"/>
  <c r="AZ66" i="11"/>
  <c r="AX66" i="11"/>
  <c r="AV66" i="11"/>
  <c r="AU66" i="11"/>
  <c r="AT66" i="11"/>
  <c r="AS66" i="11"/>
  <c r="AQ66" i="11"/>
  <c r="AO66" i="11"/>
  <c r="AN66" i="11"/>
  <c r="AM66" i="11"/>
  <c r="AL66" i="11"/>
  <c r="AK66" i="11"/>
  <c r="AI66" i="11"/>
  <c r="AH66" i="11"/>
  <c r="AG66" i="11"/>
  <c r="AF66" i="11"/>
  <c r="AE66" i="11"/>
  <c r="AC66" i="11"/>
  <c r="AB66" i="11"/>
  <c r="AA66" i="11"/>
  <c r="Z66" i="11"/>
  <c r="Y66" i="11"/>
  <c r="W66" i="11"/>
  <c r="V66" i="11"/>
  <c r="U66" i="11"/>
  <c r="T66" i="11"/>
  <c r="S66" i="11"/>
  <c r="Q66" i="11"/>
  <c r="P66" i="11"/>
  <c r="O66" i="11"/>
  <c r="N66" i="11"/>
  <c r="M66" i="11"/>
  <c r="K66" i="11"/>
  <c r="J66" i="11"/>
  <c r="I66" i="11"/>
  <c r="H66" i="11"/>
  <c r="G66" i="11"/>
  <c r="E66" i="11"/>
  <c r="D66" i="11"/>
  <c r="C66" i="11"/>
  <c r="B66" i="11"/>
  <c r="BJ65" i="11"/>
  <c r="BI65" i="11"/>
  <c r="BH65" i="11"/>
  <c r="BG65" i="11"/>
  <c r="BE65" i="11"/>
  <c r="BC65" i="11"/>
  <c r="BB65" i="11"/>
  <c r="BA65" i="11"/>
  <c r="AZ65" i="11"/>
  <c r="AX65" i="11"/>
  <c r="AV65" i="11"/>
  <c r="AU65" i="11"/>
  <c r="AT65" i="11"/>
  <c r="AS65" i="11"/>
  <c r="AQ65" i="11"/>
  <c r="AO65" i="11"/>
  <c r="AN65" i="11"/>
  <c r="AM65" i="11"/>
  <c r="AL65" i="11"/>
  <c r="AK65" i="11"/>
  <c r="AI65" i="11"/>
  <c r="AH65" i="11"/>
  <c r="AG65" i="11"/>
  <c r="AF65" i="11"/>
  <c r="AE65" i="11"/>
  <c r="AC65" i="11"/>
  <c r="AB65" i="11"/>
  <c r="AA65" i="11"/>
  <c r="Z65" i="11"/>
  <c r="Y65" i="11"/>
  <c r="W65" i="11"/>
  <c r="V65" i="11"/>
  <c r="U65" i="11"/>
  <c r="T65" i="11"/>
  <c r="S65" i="11"/>
  <c r="Q65" i="11"/>
  <c r="P65" i="11"/>
  <c r="O65" i="11"/>
  <c r="N65" i="11"/>
  <c r="M65" i="11"/>
  <c r="K65" i="11"/>
  <c r="M65" i="17" s="1"/>
  <c r="J65" i="11"/>
  <c r="L65" i="17" s="1"/>
  <c r="I65" i="11"/>
  <c r="K65" i="17" s="1"/>
  <c r="H65" i="11"/>
  <c r="J65" i="17" s="1"/>
  <c r="G65" i="11"/>
  <c r="E65" i="11"/>
  <c r="D65" i="11"/>
  <c r="C65" i="11"/>
  <c r="B65" i="11"/>
  <c r="BJ64" i="11"/>
  <c r="BI64" i="11"/>
  <c r="BH64" i="11"/>
  <c r="BG64" i="11"/>
  <c r="BE64" i="11"/>
  <c r="BC64" i="11"/>
  <c r="BB64" i="11"/>
  <c r="BA64" i="11"/>
  <c r="AZ64" i="11"/>
  <c r="AX64" i="11"/>
  <c r="AV64" i="11"/>
  <c r="AU64" i="11"/>
  <c r="AT64" i="11"/>
  <c r="AS64" i="11"/>
  <c r="AQ64" i="11"/>
  <c r="AO64" i="11"/>
  <c r="AN64" i="11"/>
  <c r="AM64" i="11"/>
  <c r="AL64" i="11"/>
  <c r="AK64" i="11"/>
  <c r="AI64" i="11"/>
  <c r="AH64" i="11"/>
  <c r="AG64" i="11"/>
  <c r="AF64" i="11"/>
  <c r="AE64" i="11"/>
  <c r="AC64" i="11"/>
  <c r="AB64" i="11"/>
  <c r="AA64" i="11"/>
  <c r="Z64" i="11"/>
  <c r="Y64" i="11"/>
  <c r="W64" i="11"/>
  <c r="V64" i="11"/>
  <c r="U64" i="11"/>
  <c r="T64" i="11"/>
  <c r="S64" i="11"/>
  <c r="Q64" i="11"/>
  <c r="P64" i="11"/>
  <c r="O64" i="11"/>
  <c r="N64" i="11"/>
  <c r="M64" i="11"/>
  <c r="K64" i="11"/>
  <c r="M64" i="17" s="1"/>
  <c r="J64" i="11"/>
  <c r="L64" i="17" s="1"/>
  <c r="I64" i="11"/>
  <c r="K64" i="17" s="1"/>
  <c r="H64" i="11"/>
  <c r="J64" i="17" s="1"/>
  <c r="G64" i="11"/>
  <c r="E64" i="11"/>
  <c r="D64" i="11"/>
  <c r="C64" i="11"/>
  <c r="B64" i="11"/>
  <c r="BJ63" i="11"/>
  <c r="BI63" i="11"/>
  <c r="BH63" i="11"/>
  <c r="BG63" i="11"/>
  <c r="BE63" i="11"/>
  <c r="BC63" i="11"/>
  <c r="BB63" i="11"/>
  <c r="BA63" i="11"/>
  <c r="AZ63" i="11"/>
  <c r="AX63" i="11"/>
  <c r="AV63" i="11"/>
  <c r="AU63" i="11"/>
  <c r="AT63" i="11"/>
  <c r="AS63" i="11"/>
  <c r="AQ63" i="11"/>
  <c r="AO63" i="11"/>
  <c r="AN63" i="11"/>
  <c r="AM63" i="11"/>
  <c r="AL63" i="11"/>
  <c r="AK63" i="11"/>
  <c r="AI63" i="11"/>
  <c r="AH63" i="11"/>
  <c r="AG63" i="11"/>
  <c r="AF63" i="11"/>
  <c r="AE63" i="11"/>
  <c r="AC63" i="11"/>
  <c r="AB63" i="11"/>
  <c r="AA63" i="11"/>
  <c r="Z63" i="11"/>
  <c r="Y63" i="11"/>
  <c r="W63" i="11"/>
  <c r="V63" i="11"/>
  <c r="U63" i="11"/>
  <c r="T63" i="11"/>
  <c r="S63" i="11"/>
  <c r="Q63" i="11"/>
  <c r="P63" i="11"/>
  <c r="O63" i="11"/>
  <c r="N63" i="11"/>
  <c r="M63" i="11"/>
  <c r="K63" i="11"/>
  <c r="M63" i="17" s="1"/>
  <c r="J63" i="11"/>
  <c r="L63" i="17" s="1"/>
  <c r="I63" i="11"/>
  <c r="K63" i="17" s="1"/>
  <c r="H63" i="11"/>
  <c r="J63" i="17" s="1"/>
  <c r="G63" i="11"/>
  <c r="E63" i="11"/>
  <c r="D63" i="11"/>
  <c r="C63" i="11"/>
  <c r="B63" i="11"/>
  <c r="BJ62" i="11"/>
  <c r="BI62" i="11"/>
  <c r="BH62" i="11"/>
  <c r="BG62" i="11"/>
  <c r="BE62" i="11"/>
  <c r="BC62" i="11"/>
  <c r="BB62" i="11"/>
  <c r="BA62" i="11"/>
  <c r="AZ62" i="11"/>
  <c r="AX62" i="11"/>
  <c r="AV62" i="11"/>
  <c r="AU62" i="11"/>
  <c r="AT62" i="11"/>
  <c r="AS62" i="11"/>
  <c r="AQ62" i="11"/>
  <c r="AO62" i="11"/>
  <c r="AN62" i="11"/>
  <c r="AM62" i="11"/>
  <c r="AL62" i="11"/>
  <c r="AK62" i="11"/>
  <c r="AI62" i="11"/>
  <c r="AH62" i="11"/>
  <c r="AG62" i="11"/>
  <c r="AF62" i="11"/>
  <c r="AE62" i="11"/>
  <c r="AC62" i="11"/>
  <c r="AB62" i="11"/>
  <c r="AA62" i="11"/>
  <c r="Z62" i="11"/>
  <c r="Y62" i="11"/>
  <c r="W62" i="11"/>
  <c r="V62" i="11"/>
  <c r="U62" i="11"/>
  <c r="T62" i="11"/>
  <c r="S62" i="11"/>
  <c r="Q62" i="11"/>
  <c r="P62" i="11"/>
  <c r="O62" i="11"/>
  <c r="N62" i="11"/>
  <c r="M62" i="11"/>
  <c r="K62" i="11"/>
  <c r="M62" i="17" s="1"/>
  <c r="J62" i="11"/>
  <c r="L62" i="17" s="1"/>
  <c r="I62" i="11"/>
  <c r="K62" i="17" s="1"/>
  <c r="H62" i="11"/>
  <c r="J62" i="17" s="1"/>
  <c r="G62" i="11"/>
  <c r="E62" i="11"/>
  <c r="D62" i="11"/>
  <c r="C62" i="11"/>
  <c r="B62" i="11"/>
  <c r="BJ61" i="11"/>
  <c r="BI61" i="11"/>
  <c r="BH61" i="11"/>
  <c r="BG61" i="11"/>
  <c r="BE61" i="11"/>
  <c r="BC61" i="11"/>
  <c r="BB61" i="11"/>
  <c r="BA61" i="11"/>
  <c r="AZ61" i="11"/>
  <c r="AX61" i="11"/>
  <c r="AV61" i="11"/>
  <c r="AU61" i="11"/>
  <c r="AT61" i="11"/>
  <c r="AS61" i="11"/>
  <c r="AQ61" i="11"/>
  <c r="AO61" i="11"/>
  <c r="AN61" i="11"/>
  <c r="AM61" i="11"/>
  <c r="AL61" i="11"/>
  <c r="AK61" i="11"/>
  <c r="AI61" i="11"/>
  <c r="AH61" i="11"/>
  <c r="AG61" i="11"/>
  <c r="AF61" i="11"/>
  <c r="AE61" i="11"/>
  <c r="AC61" i="11"/>
  <c r="AB61" i="11"/>
  <c r="AA61" i="11"/>
  <c r="Z61" i="11"/>
  <c r="Y61" i="11"/>
  <c r="W61" i="11"/>
  <c r="V61" i="11"/>
  <c r="U61" i="11"/>
  <c r="T61" i="11"/>
  <c r="S61" i="11"/>
  <c r="Q61" i="11"/>
  <c r="P61" i="11"/>
  <c r="O61" i="11"/>
  <c r="N61" i="11"/>
  <c r="M61" i="11"/>
  <c r="K61" i="11"/>
  <c r="M61" i="17" s="1"/>
  <c r="J61" i="11"/>
  <c r="L61" i="17" s="1"/>
  <c r="I61" i="11"/>
  <c r="K61" i="17" s="1"/>
  <c r="H61" i="11"/>
  <c r="J61" i="17" s="1"/>
  <c r="G61" i="11"/>
  <c r="E61" i="11"/>
  <c r="D61" i="11"/>
  <c r="C61" i="11"/>
  <c r="B61" i="11"/>
  <c r="BJ60" i="11"/>
  <c r="BI60" i="11"/>
  <c r="BH60" i="11"/>
  <c r="BG60" i="11"/>
  <c r="BE60" i="11"/>
  <c r="BC60" i="11"/>
  <c r="BB60" i="11"/>
  <c r="BA60" i="11"/>
  <c r="AZ60" i="11"/>
  <c r="AX60" i="11"/>
  <c r="AV60" i="11"/>
  <c r="AU60" i="11"/>
  <c r="AT60" i="11"/>
  <c r="AS60" i="11"/>
  <c r="AQ60" i="11"/>
  <c r="AO60" i="11"/>
  <c r="AN60" i="11"/>
  <c r="AM60" i="11"/>
  <c r="AL60" i="11"/>
  <c r="AK60" i="11"/>
  <c r="AI60" i="11"/>
  <c r="AH60" i="11"/>
  <c r="AG60" i="11"/>
  <c r="AF60" i="11"/>
  <c r="AE60" i="11"/>
  <c r="AC60" i="11"/>
  <c r="AB60" i="11"/>
  <c r="AA60" i="11"/>
  <c r="Z60" i="11"/>
  <c r="Y60" i="11"/>
  <c r="W60" i="11"/>
  <c r="V60" i="11"/>
  <c r="U60" i="11"/>
  <c r="T60" i="11"/>
  <c r="S60" i="11"/>
  <c r="Q60" i="11"/>
  <c r="P60" i="11"/>
  <c r="O60" i="11"/>
  <c r="N60" i="11"/>
  <c r="M60" i="11"/>
  <c r="K60" i="11"/>
  <c r="M60" i="17" s="1"/>
  <c r="J60" i="11"/>
  <c r="L60" i="17" s="1"/>
  <c r="I60" i="11"/>
  <c r="K60" i="17" s="1"/>
  <c r="H60" i="11"/>
  <c r="J60" i="17" s="1"/>
  <c r="G60" i="11"/>
  <c r="E60" i="11"/>
  <c r="D60" i="11"/>
  <c r="C60" i="11"/>
  <c r="B60" i="11"/>
  <c r="BJ59" i="11"/>
  <c r="BI59" i="11"/>
  <c r="BH59" i="11"/>
  <c r="BG59" i="11"/>
  <c r="BE59" i="11"/>
  <c r="BC59" i="11"/>
  <c r="BB59" i="11"/>
  <c r="BA59" i="11"/>
  <c r="AZ59" i="11"/>
  <c r="AX59" i="11"/>
  <c r="AV59" i="11"/>
  <c r="AU59" i="11"/>
  <c r="AT59" i="11"/>
  <c r="AS59" i="11"/>
  <c r="AQ59" i="11"/>
  <c r="AO59" i="11"/>
  <c r="AN59" i="11"/>
  <c r="AM59" i="11"/>
  <c r="AL59" i="11"/>
  <c r="AK59" i="11"/>
  <c r="AI59" i="11"/>
  <c r="AH59" i="11"/>
  <c r="AG59" i="11"/>
  <c r="AF59" i="11"/>
  <c r="AE59" i="11"/>
  <c r="AC59" i="11"/>
  <c r="AB59" i="11"/>
  <c r="AA59" i="11"/>
  <c r="Z59" i="11"/>
  <c r="Y59" i="11"/>
  <c r="W59" i="11"/>
  <c r="V59" i="11"/>
  <c r="U59" i="11"/>
  <c r="T59" i="11"/>
  <c r="S59" i="11"/>
  <c r="Q59" i="11"/>
  <c r="P59" i="11"/>
  <c r="O59" i="11"/>
  <c r="N59" i="11"/>
  <c r="M59" i="11"/>
  <c r="K59" i="11"/>
  <c r="M59" i="17" s="1"/>
  <c r="J59" i="11"/>
  <c r="L59" i="17" s="1"/>
  <c r="I59" i="11"/>
  <c r="K59" i="17" s="1"/>
  <c r="H59" i="11"/>
  <c r="J59" i="17" s="1"/>
  <c r="G59" i="11"/>
  <c r="E59" i="11"/>
  <c r="D59" i="11"/>
  <c r="C59" i="11"/>
  <c r="B59" i="11"/>
  <c r="BJ58" i="11"/>
  <c r="BI58" i="11"/>
  <c r="BH58" i="11"/>
  <c r="BG58" i="11"/>
  <c r="BE58" i="11"/>
  <c r="BC58" i="11"/>
  <c r="BB58" i="11"/>
  <c r="BA58" i="11"/>
  <c r="AZ58" i="11"/>
  <c r="AX58" i="11"/>
  <c r="AV58" i="11"/>
  <c r="AU58" i="11"/>
  <c r="AT58" i="11"/>
  <c r="AS58" i="11"/>
  <c r="AQ58" i="11"/>
  <c r="AO58" i="11"/>
  <c r="AN58" i="11"/>
  <c r="AM58" i="11"/>
  <c r="AL58" i="11"/>
  <c r="AK58" i="11"/>
  <c r="AI58" i="11"/>
  <c r="AH58" i="11"/>
  <c r="AG58" i="11"/>
  <c r="AF58" i="11"/>
  <c r="AE58" i="11"/>
  <c r="AC58" i="11"/>
  <c r="AB58" i="11"/>
  <c r="AA58" i="11"/>
  <c r="Z58" i="11"/>
  <c r="Y58" i="11"/>
  <c r="W58" i="11"/>
  <c r="V58" i="11"/>
  <c r="U58" i="11"/>
  <c r="T58" i="11"/>
  <c r="S58" i="11"/>
  <c r="Q58" i="11"/>
  <c r="P58" i="11"/>
  <c r="O58" i="11"/>
  <c r="N58" i="11"/>
  <c r="M58" i="11"/>
  <c r="K58" i="11"/>
  <c r="M58" i="17" s="1"/>
  <c r="J58" i="11"/>
  <c r="L58" i="17" s="1"/>
  <c r="I58" i="11"/>
  <c r="K58" i="17" s="1"/>
  <c r="H58" i="11"/>
  <c r="J58" i="17" s="1"/>
  <c r="G58" i="11"/>
  <c r="E58" i="11"/>
  <c r="D58" i="11"/>
  <c r="C58" i="11"/>
  <c r="B58" i="11"/>
  <c r="BJ57" i="11"/>
  <c r="BI57" i="11"/>
  <c r="BH57" i="11"/>
  <c r="BG57" i="11"/>
  <c r="BE57" i="11"/>
  <c r="BC57" i="11"/>
  <c r="BB57" i="11"/>
  <c r="BA57" i="11"/>
  <c r="AZ57" i="11"/>
  <c r="AX57" i="11"/>
  <c r="AV57" i="11"/>
  <c r="AU57" i="11"/>
  <c r="AT57" i="11"/>
  <c r="AS57" i="11"/>
  <c r="AQ57" i="11"/>
  <c r="AO57" i="11"/>
  <c r="AN57" i="11"/>
  <c r="AM57" i="11"/>
  <c r="AL57" i="11"/>
  <c r="AK57" i="11"/>
  <c r="AI57" i="11"/>
  <c r="AH57" i="11"/>
  <c r="AG57" i="11"/>
  <c r="AF57" i="11"/>
  <c r="AE57" i="11"/>
  <c r="AC57" i="11"/>
  <c r="AB57" i="11"/>
  <c r="AA57" i="11"/>
  <c r="Z57" i="11"/>
  <c r="Y57" i="11"/>
  <c r="W57" i="11"/>
  <c r="V57" i="11"/>
  <c r="U57" i="11"/>
  <c r="T57" i="11"/>
  <c r="S57" i="11"/>
  <c r="Q57" i="11"/>
  <c r="P57" i="11"/>
  <c r="O57" i="11"/>
  <c r="N57" i="11"/>
  <c r="M57" i="11"/>
  <c r="K57" i="11"/>
  <c r="M57" i="17" s="1"/>
  <c r="J57" i="11"/>
  <c r="L57" i="17" s="1"/>
  <c r="I57" i="11"/>
  <c r="K57" i="17" s="1"/>
  <c r="H57" i="11"/>
  <c r="J57" i="17" s="1"/>
  <c r="G57" i="11"/>
  <c r="E57" i="11"/>
  <c r="D57" i="11"/>
  <c r="C57" i="11"/>
  <c r="B57" i="11"/>
  <c r="BJ56" i="11"/>
  <c r="BI56" i="11"/>
  <c r="BH56" i="11"/>
  <c r="BG56" i="11"/>
  <c r="BE56" i="11"/>
  <c r="BC56" i="11"/>
  <c r="BB56" i="11"/>
  <c r="BA56" i="11"/>
  <c r="AZ56" i="11"/>
  <c r="AX56" i="11"/>
  <c r="AV56" i="11"/>
  <c r="AU56" i="11"/>
  <c r="AT56" i="11"/>
  <c r="AS56" i="11"/>
  <c r="AQ56" i="11"/>
  <c r="AO56" i="11"/>
  <c r="AN56" i="11"/>
  <c r="AM56" i="11"/>
  <c r="AL56" i="11"/>
  <c r="AK56" i="11"/>
  <c r="AI56" i="11"/>
  <c r="AH56" i="11"/>
  <c r="AG56" i="11"/>
  <c r="AF56" i="11"/>
  <c r="AE56" i="11"/>
  <c r="AC56" i="11"/>
  <c r="AB56" i="11"/>
  <c r="AA56" i="11"/>
  <c r="Z56" i="11"/>
  <c r="Y56" i="11"/>
  <c r="W56" i="11"/>
  <c r="V56" i="11"/>
  <c r="U56" i="11"/>
  <c r="T56" i="11"/>
  <c r="S56" i="11"/>
  <c r="Q56" i="11"/>
  <c r="P56" i="11"/>
  <c r="O56" i="11"/>
  <c r="N56" i="11"/>
  <c r="M56" i="11"/>
  <c r="K56" i="11"/>
  <c r="M56" i="17" s="1"/>
  <c r="J56" i="11"/>
  <c r="L56" i="17" s="1"/>
  <c r="I56" i="11"/>
  <c r="K56" i="17" s="1"/>
  <c r="H56" i="11"/>
  <c r="J56" i="17" s="1"/>
  <c r="G56" i="11"/>
  <c r="E56" i="11"/>
  <c r="D56" i="11"/>
  <c r="C56" i="11"/>
  <c r="B56" i="11"/>
  <c r="BJ55" i="11"/>
  <c r="BI55" i="11"/>
  <c r="BH55" i="11"/>
  <c r="BG55" i="11"/>
  <c r="BE55" i="11"/>
  <c r="BC55" i="11"/>
  <c r="BB55" i="11"/>
  <c r="BA55" i="11"/>
  <c r="AZ55" i="11"/>
  <c r="AX55" i="11"/>
  <c r="AV55" i="11"/>
  <c r="AU55" i="11"/>
  <c r="AT55" i="11"/>
  <c r="AS55" i="11"/>
  <c r="AQ55" i="11"/>
  <c r="AO55" i="11"/>
  <c r="AN55" i="11"/>
  <c r="AM55" i="11"/>
  <c r="AL55" i="11"/>
  <c r="AK55" i="11"/>
  <c r="AI55" i="11"/>
  <c r="AH55" i="11"/>
  <c r="AG55" i="11"/>
  <c r="AF55" i="11"/>
  <c r="AE55" i="11"/>
  <c r="AC55" i="11"/>
  <c r="AB55" i="11"/>
  <c r="AA55" i="11"/>
  <c r="Z55" i="11"/>
  <c r="Y55" i="11"/>
  <c r="W55" i="11"/>
  <c r="V55" i="11"/>
  <c r="U55" i="11"/>
  <c r="T55" i="11"/>
  <c r="S55" i="11"/>
  <c r="Q55" i="11"/>
  <c r="P55" i="11"/>
  <c r="O55" i="11"/>
  <c r="N55" i="11"/>
  <c r="M55" i="11"/>
  <c r="K55" i="11"/>
  <c r="M55" i="17" s="1"/>
  <c r="J55" i="11"/>
  <c r="L55" i="17" s="1"/>
  <c r="I55" i="11"/>
  <c r="K55" i="17" s="1"/>
  <c r="H55" i="11"/>
  <c r="J55" i="17" s="1"/>
  <c r="G55" i="11"/>
  <c r="E55" i="11"/>
  <c r="D55" i="11"/>
  <c r="C55" i="11"/>
  <c r="B55" i="11"/>
  <c r="BJ54" i="11"/>
  <c r="BI54" i="11"/>
  <c r="BH54" i="11"/>
  <c r="BG54" i="11"/>
  <c r="BE54" i="11"/>
  <c r="BC54" i="11"/>
  <c r="BB54" i="11"/>
  <c r="BA54" i="11"/>
  <c r="AZ54" i="11"/>
  <c r="AX54" i="11"/>
  <c r="AV54" i="11"/>
  <c r="AU54" i="11"/>
  <c r="AT54" i="11"/>
  <c r="AS54" i="11"/>
  <c r="AQ54" i="11"/>
  <c r="AO54" i="11"/>
  <c r="AN54" i="11"/>
  <c r="AM54" i="11"/>
  <c r="AL54" i="11"/>
  <c r="AK54" i="11"/>
  <c r="AI54" i="11"/>
  <c r="AH54" i="11"/>
  <c r="AG54" i="11"/>
  <c r="AF54" i="11"/>
  <c r="AE54" i="11"/>
  <c r="AC54" i="11"/>
  <c r="AB54" i="11"/>
  <c r="AA54" i="11"/>
  <c r="Z54" i="11"/>
  <c r="Y54" i="11"/>
  <c r="W54" i="11"/>
  <c r="V54" i="11"/>
  <c r="U54" i="11"/>
  <c r="T54" i="11"/>
  <c r="S54" i="11"/>
  <c r="Q54" i="11"/>
  <c r="P54" i="11"/>
  <c r="O54" i="11"/>
  <c r="N54" i="11"/>
  <c r="M54" i="11"/>
  <c r="K54" i="11"/>
  <c r="M54" i="17" s="1"/>
  <c r="J54" i="11"/>
  <c r="L54" i="17" s="1"/>
  <c r="I54" i="11"/>
  <c r="K54" i="17" s="1"/>
  <c r="H54" i="11"/>
  <c r="J54" i="17" s="1"/>
  <c r="G54" i="11"/>
  <c r="E54" i="11"/>
  <c r="D54" i="11"/>
  <c r="C54" i="11"/>
  <c r="B54" i="11"/>
  <c r="BJ53" i="11"/>
  <c r="BI53" i="11"/>
  <c r="BH53" i="11"/>
  <c r="BG53" i="11"/>
  <c r="BE53" i="11"/>
  <c r="BC53" i="11"/>
  <c r="BB53" i="11"/>
  <c r="BA53" i="11"/>
  <c r="AZ53" i="11"/>
  <c r="AX53" i="11"/>
  <c r="AV53" i="11"/>
  <c r="AU53" i="11"/>
  <c r="AT53" i="11"/>
  <c r="AS53" i="11"/>
  <c r="AQ53" i="11"/>
  <c r="AO53" i="11"/>
  <c r="AN53" i="11"/>
  <c r="AM53" i="11"/>
  <c r="AL53" i="11"/>
  <c r="AK53" i="11"/>
  <c r="AI53" i="11"/>
  <c r="AH53" i="11"/>
  <c r="AG53" i="11"/>
  <c r="AF53" i="11"/>
  <c r="AE53" i="11"/>
  <c r="AC53" i="11"/>
  <c r="AB53" i="11"/>
  <c r="AA53" i="11"/>
  <c r="Z53" i="11"/>
  <c r="Y53" i="11"/>
  <c r="W53" i="11"/>
  <c r="V53" i="11"/>
  <c r="U53" i="11"/>
  <c r="T53" i="11"/>
  <c r="S53" i="11"/>
  <c r="Q53" i="11"/>
  <c r="P53" i="11"/>
  <c r="O53" i="11"/>
  <c r="N53" i="11"/>
  <c r="M53" i="11"/>
  <c r="K53" i="11"/>
  <c r="M53" i="17" s="1"/>
  <c r="J53" i="11"/>
  <c r="L53" i="17" s="1"/>
  <c r="I53" i="11"/>
  <c r="K53" i="17" s="1"/>
  <c r="H53" i="11"/>
  <c r="J53" i="17" s="1"/>
  <c r="G53" i="11"/>
  <c r="E53" i="11"/>
  <c r="D53" i="11"/>
  <c r="C53" i="11"/>
  <c r="B53" i="11"/>
  <c r="BJ52" i="11"/>
  <c r="BI52" i="11"/>
  <c r="BH52" i="11"/>
  <c r="BG52" i="11"/>
  <c r="BE52" i="11"/>
  <c r="BC52" i="11"/>
  <c r="BB52" i="11"/>
  <c r="BA52" i="11"/>
  <c r="AZ52" i="11"/>
  <c r="AX52" i="11"/>
  <c r="AV52" i="11"/>
  <c r="AU52" i="11"/>
  <c r="AT52" i="11"/>
  <c r="AS52" i="11"/>
  <c r="AQ52" i="11"/>
  <c r="AO52" i="11"/>
  <c r="AN52" i="11"/>
  <c r="AM52" i="11"/>
  <c r="AL52" i="11"/>
  <c r="AK52" i="11"/>
  <c r="AI52" i="11"/>
  <c r="AH52" i="11"/>
  <c r="AG52" i="11"/>
  <c r="AF52" i="11"/>
  <c r="AE52" i="11"/>
  <c r="AC52" i="11"/>
  <c r="AB52" i="11"/>
  <c r="AA52" i="11"/>
  <c r="Z52" i="11"/>
  <c r="Y52" i="11"/>
  <c r="W52" i="11"/>
  <c r="V52" i="11"/>
  <c r="U52" i="11"/>
  <c r="T52" i="11"/>
  <c r="S52" i="11"/>
  <c r="Q52" i="11"/>
  <c r="P52" i="11"/>
  <c r="O52" i="11"/>
  <c r="N52" i="11"/>
  <c r="M52" i="11"/>
  <c r="K52" i="11"/>
  <c r="M52" i="17" s="1"/>
  <c r="J52" i="11"/>
  <c r="L52" i="17" s="1"/>
  <c r="I52" i="11"/>
  <c r="K52" i="17" s="1"/>
  <c r="H52" i="11"/>
  <c r="J52" i="17" s="1"/>
  <c r="G52" i="11"/>
  <c r="E52" i="11"/>
  <c r="D52" i="11"/>
  <c r="C52" i="11"/>
  <c r="B52" i="11"/>
  <c r="BJ51" i="11"/>
  <c r="BI51" i="11"/>
  <c r="BH51" i="11"/>
  <c r="BG51" i="11"/>
  <c r="BE51" i="11"/>
  <c r="BC51" i="11"/>
  <c r="BB51" i="11"/>
  <c r="BA51" i="11"/>
  <c r="AZ51" i="11"/>
  <c r="AX51" i="11"/>
  <c r="AV51" i="11"/>
  <c r="AU51" i="11"/>
  <c r="AT51" i="11"/>
  <c r="AS51" i="11"/>
  <c r="AQ51" i="11"/>
  <c r="AO51" i="11"/>
  <c r="AN51" i="11"/>
  <c r="AM51" i="11"/>
  <c r="AL51" i="11"/>
  <c r="AK51" i="11"/>
  <c r="AI51" i="11"/>
  <c r="AH51" i="11"/>
  <c r="AG51" i="11"/>
  <c r="AF51" i="11"/>
  <c r="AE51" i="11"/>
  <c r="AC51" i="11"/>
  <c r="AB51" i="11"/>
  <c r="AA51" i="11"/>
  <c r="Z51" i="11"/>
  <c r="Y51" i="11"/>
  <c r="W51" i="11"/>
  <c r="V51" i="11"/>
  <c r="U51" i="11"/>
  <c r="T51" i="11"/>
  <c r="S51" i="11"/>
  <c r="Q51" i="11"/>
  <c r="P51" i="11"/>
  <c r="O51" i="11"/>
  <c r="N51" i="11"/>
  <c r="M51" i="11"/>
  <c r="K51" i="11"/>
  <c r="M51" i="17" s="1"/>
  <c r="J51" i="11"/>
  <c r="L51" i="17" s="1"/>
  <c r="I51" i="11"/>
  <c r="K51" i="17" s="1"/>
  <c r="H51" i="11"/>
  <c r="J51" i="17" s="1"/>
  <c r="G51" i="11"/>
  <c r="E51" i="11"/>
  <c r="D51" i="11"/>
  <c r="C51" i="11"/>
  <c r="B51" i="11"/>
  <c r="BJ50" i="11"/>
  <c r="BI50" i="11"/>
  <c r="BH50" i="11"/>
  <c r="BG50" i="11"/>
  <c r="BE50" i="11"/>
  <c r="BC50" i="11"/>
  <c r="BB50" i="11"/>
  <c r="BA50" i="11"/>
  <c r="AZ50" i="11"/>
  <c r="AX50" i="11"/>
  <c r="AV50" i="11"/>
  <c r="AU50" i="11"/>
  <c r="AT50" i="11"/>
  <c r="AS50" i="11"/>
  <c r="AQ50" i="11"/>
  <c r="AO50" i="11"/>
  <c r="AN50" i="11"/>
  <c r="AM50" i="11"/>
  <c r="AL50" i="11"/>
  <c r="AK50" i="11"/>
  <c r="AI50" i="11"/>
  <c r="AH50" i="11"/>
  <c r="AG50" i="11"/>
  <c r="AF50" i="11"/>
  <c r="AE50" i="11"/>
  <c r="AC50" i="11"/>
  <c r="AB50" i="11"/>
  <c r="AA50" i="11"/>
  <c r="Z50" i="11"/>
  <c r="Y50" i="11"/>
  <c r="W50" i="11"/>
  <c r="V50" i="11"/>
  <c r="U50" i="11"/>
  <c r="T50" i="11"/>
  <c r="S50" i="11"/>
  <c r="Q50" i="11"/>
  <c r="P50" i="11"/>
  <c r="O50" i="11"/>
  <c r="N50" i="11"/>
  <c r="M50" i="11"/>
  <c r="K50" i="11"/>
  <c r="M50" i="17" s="1"/>
  <c r="J50" i="11"/>
  <c r="L50" i="17" s="1"/>
  <c r="I50" i="11"/>
  <c r="K50" i="17" s="1"/>
  <c r="H50" i="11"/>
  <c r="J50" i="17" s="1"/>
  <c r="G50" i="11"/>
  <c r="E50" i="11"/>
  <c r="D50" i="11"/>
  <c r="C50" i="11"/>
  <c r="B50" i="11"/>
  <c r="BJ49" i="11"/>
  <c r="BI49" i="11"/>
  <c r="BH49" i="11"/>
  <c r="BG49" i="11"/>
  <c r="BE49" i="11"/>
  <c r="BC49" i="11"/>
  <c r="BB49" i="11"/>
  <c r="BA49" i="11"/>
  <c r="AZ49" i="11"/>
  <c r="AX49" i="11"/>
  <c r="AV49" i="11"/>
  <c r="AU49" i="11"/>
  <c r="AT49" i="11"/>
  <c r="AS49" i="11"/>
  <c r="AQ49" i="11"/>
  <c r="AO49" i="11"/>
  <c r="AN49" i="11"/>
  <c r="AM49" i="11"/>
  <c r="AL49" i="11"/>
  <c r="AK49" i="11"/>
  <c r="AI49" i="11"/>
  <c r="AH49" i="11"/>
  <c r="AG49" i="11"/>
  <c r="AF49" i="11"/>
  <c r="AE49" i="11"/>
  <c r="AC49" i="11"/>
  <c r="AB49" i="11"/>
  <c r="AA49" i="11"/>
  <c r="Z49" i="11"/>
  <c r="Y49" i="11"/>
  <c r="W49" i="11"/>
  <c r="V49" i="11"/>
  <c r="U49" i="11"/>
  <c r="T49" i="11"/>
  <c r="S49" i="11"/>
  <c r="Q49" i="11"/>
  <c r="P49" i="11"/>
  <c r="O49" i="11"/>
  <c r="N49" i="11"/>
  <c r="M49" i="11"/>
  <c r="K49" i="11"/>
  <c r="M49" i="17" s="1"/>
  <c r="J49" i="11"/>
  <c r="L49" i="17" s="1"/>
  <c r="I49" i="11"/>
  <c r="K49" i="17" s="1"/>
  <c r="H49" i="11"/>
  <c r="J49" i="17" s="1"/>
  <c r="G49" i="11"/>
  <c r="E49" i="11"/>
  <c r="D49" i="11"/>
  <c r="C49" i="11"/>
  <c r="B49" i="11"/>
  <c r="BJ48" i="11"/>
  <c r="BI48" i="11"/>
  <c r="BH48" i="11"/>
  <c r="BG48" i="11"/>
  <c r="BE48" i="11"/>
  <c r="BC48" i="11"/>
  <c r="BB48" i="11"/>
  <c r="BA48" i="11"/>
  <c r="AZ48" i="11"/>
  <c r="AX48" i="11"/>
  <c r="AV48" i="11"/>
  <c r="AU48" i="11"/>
  <c r="AT48" i="11"/>
  <c r="AS48" i="11"/>
  <c r="AQ48" i="11"/>
  <c r="AO48" i="11"/>
  <c r="AN48" i="11"/>
  <c r="AM48" i="11"/>
  <c r="AL48" i="11"/>
  <c r="AK48" i="11"/>
  <c r="AI48" i="11"/>
  <c r="AH48" i="11"/>
  <c r="AG48" i="11"/>
  <c r="AF48" i="11"/>
  <c r="AE48" i="11"/>
  <c r="AC48" i="11"/>
  <c r="AB48" i="11"/>
  <c r="AA48" i="11"/>
  <c r="Z48" i="11"/>
  <c r="Y48" i="11"/>
  <c r="W48" i="11"/>
  <c r="V48" i="11"/>
  <c r="U48" i="11"/>
  <c r="T48" i="11"/>
  <c r="S48" i="11"/>
  <c r="Q48" i="11"/>
  <c r="P48" i="11"/>
  <c r="O48" i="11"/>
  <c r="N48" i="11"/>
  <c r="M48" i="11"/>
  <c r="K48" i="11"/>
  <c r="M48" i="17" s="1"/>
  <c r="J48" i="11"/>
  <c r="L48" i="17" s="1"/>
  <c r="I48" i="11"/>
  <c r="K48" i="17" s="1"/>
  <c r="H48" i="11"/>
  <c r="J48" i="17" s="1"/>
  <c r="G48" i="11"/>
  <c r="E48" i="11"/>
  <c r="D48" i="11"/>
  <c r="C48" i="11"/>
  <c r="B48" i="11"/>
  <c r="BJ47" i="11"/>
  <c r="BI47" i="11"/>
  <c r="BH47" i="11"/>
  <c r="BG47" i="11"/>
  <c r="BE47" i="11"/>
  <c r="BC47" i="11"/>
  <c r="BB47" i="11"/>
  <c r="BA47" i="11"/>
  <c r="AZ47" i="11"/>
  <c r="AX47" i="11"/>
  <c r="AV47" i="11"/>
  <c r="AU47" i="11"/>
  <c r="AT47" i="11"/>
  <c r="AS47" i="11"/>
  <c r="AQ47" i="11"/>
  <c r="AO47" i="11"/>
  <c r="AN47" i="11"/>
  <c r="AM47" i="11"/>
  <c r="AL47" i="11"/>
  <c r="AK47" i="11"/>
  <c r="AI47" i="11"/>
  <c r="AH47" i="11"/>
  <c r="AG47" i="11"/>
  <c r="AF47" i="11"/>
  <c r="AE47" i="11"/>
  <c r="AC47" i="11"/>
  <c r="AB47" i="11"/>
  <c r="AA47" i="11"/>
  <c r="Z47" i="11"/>
  <c r="Y47" i="11"/>
  <c r="W47" i="11"/>
  <c r="V47" i="11"/>
  <c r="U47" i="11"/>
  <c r="T47" i="11"/>
  <c r="S47" i="11"/>
  <c r="Q47" i="11"/>
  <c r="P47" i="11"/>
  <c r="O47" i="11"/>
  <c r="N47" i="11"/>
  <c r="M47" i="11"/>
  <c r="K47" i="11"/>
  <c r="M47" i="17" s="1"/>
  <c r="J47" i="11"/>
  <c r="L47" i="17" s="1"/>
  <c r="I47" i="11"/>
  <c r="K47" i="17" s="1"/>
  <c r="H47" i="11"/>
  <c r="J47" i="17" s="1"/>
  <c r="G47" i="11"/>
  <c r="E47" i="11"/>
  <c r="D47" i="11"/>
  <c r="C47" i="11"/>
  <c r="B47" i="11"/>
  <c r="BJ46" i="11"/>
  <c r="BI46" i="11"/>
  <c r="BH46" i="11"/>
  <c r="BG46" i="11"/>
  <c r="BE46" i="11"/>
  <c r="BC46" i="11"/>
  <c r="BB46" i="11"/>
  <c r="BA46" i="11"/>
  <c r="AZ46" i="11"/>
  <c r="AX46" i="11"/>
  <c r="AV46" i="11"/>
  <c r="AU46" i="11"/>
  <c r="AT46" i="11"/>
  <c r="AS46" i="11"/>
  <c r="AQ46" i="11"/>
  <c r="AO46" i="11"/>
  <c r="AN46" i="11"/>
  <c r="AM46" i="11"/>
  <c r="AL46" i="11"/>
  <c r="AK46" i="11"/>
  <c r="AI46" i="11"/>
  <c r="AH46" i="11"/>
  <c r="AG46" i="11"/>
  <c r="AF46" i="11"/>
  <c r="AE46" i="11"/>
  <c r="AC46" i="11"/>
  <c r="AB46" i="11"/>
  <c r="AA46" i="11"/>
  <c r="Z46" i="11"/>
  <c r="Y46" i="11"/>
  <c r="W46" i="11"/>
  <c r="V46" i="11"/>
  <c r="U46" i="11"/>
  <c r="T46" i="11"/>
  <c r="S46" i="11"/>
  <c r="Q46" i="11"/>
  <c r="P46" i="11"/>
  <c r="O46" i="11"/>
  <c r="N46" i="11"/>
  <c r="M46" i="11"/>
  <c r="K46" i="11"/>
  <c r="M46" i="17" s="1"/>
  <c r="J46" i="11"/>
  <c r="L46" i="17" s="1"/>
  <c r="I46" i="11"/>
  <c r="K46" i="17" s="1"/>
  <c r="H46" i="11"/>
  <c r="J46" i="17" s="1"/>
  <c r="G46" i="11"/>
  <c r="E46" i="11"/>
  <c r="D46" i="11"/>
  <c r="C46" i="11"/>
  <c r="B46" i="11"/>
  <c r="BJ45" i="11"/>
  <c r="BI45" i="11"/>
  <c r="BH45" i="11"/>
  <c r="BG45" i="11"/>
  <c r="BE45" i="11"/>
  <c r="BC45" i="11"/>
  <c r="BB45" i="11"/>
  <c r="BA45" i="11"/>
  <c r="AZ45" i="11"/>
  <c r="AX45" i="11"/>
  <c r="AV45" i="11"/>
  <c r="AU45" i="11"/>
  <c r="AT45" i="11"/>
  <c r="AS45" i="11"/>
  <c r="AQ45" i="11"/>
  <c r="AO45" i="11"/>
  <c r="AN45" i="11"/>
  <c r="AM45" i="11"/>
  <c r="AL45" i="11"/>
  <c r="AK45" i="11"/>
  <c r="AI45" i="11"/>
  <c r="AH45" i="11"/>
  <c r="AG45" i="11"/>
  <c r="AF45" i="11"/>
  <c r="AE45" i="11"/>
  <c r="AC45" i="11"/>
  <c r="AB45" i="11"/>
  <c r="AA45" i="11"/>
  <c r="Z45" i="11"/>
  <c r="Y45" i="11"/>
  <c r="W45" i="11"/>
  <c r="V45" i="11"/>
  <c r="U45" i="11"/>
  <c r="T45" i="11"/>
  <c r="S45" i="11"/>
  <c r="Q45" i="11"/>
  <c r="P45" i="11"/>
  <c r="O45" i="11"/>
  <c r="N45" i="11"/>
  <c r="M45" i="11"/>
  <c r="K45" i="11"/>
  <c r="J45" i="11"/>
  <c r="I45" i="11"/>
  <c r="H45" i="11"/>
  <c r="G45" i="11"/>
  <c r="E45" i="11"/>
  <c r="D45" i="11"/>
  <c r="C45" i="11"/>
  <c r="B45" i="11"/>
  <c r="BJ44" i="11"/>
  <c r="BI44" i="11"/>
  <c r="BH44" i="11"/>
  <c r="BG44" i="11"/>
  <c r="BE44" i="11"/>
  <c r="BC44" i="11"/>
  <c r="BB44" i="11"/>
  <c r="BA44" i="11"/>
  <c r="AZ44" i="11"/>
  <c r="AX44" i="11"/>
  <c r="AV44" i="11"/>
  <c r="AU44" i="11"/>
  <c r="AT44" i="11"/>
  <c r="AS44" i="11"/>
  <c r="AQ44" i="11"/>
  <c r="AO44" i="11"/>
  <c r="AN44" i="11"/>
  <c r="AM44" i="11"/>
  <c r="AL44" i="11"/>
  <c r="AK44" i="11"/>
  <c r="AI44" i="11"/>
  <c r="AH44" i="11"/>
  <c r="AG44" i="11"/>
  <c r="AF44" i="11"/>
  <c r="AE44" i="11"/>
  <c r="AC44" i="11"/>
  <c r="AB44" i="11"/>
  <c r="AA44" i="11"/>
  <c r="Z44" i="11"/>
  <c r="Y44" i="11"/>
  <c r="W44" i="11"/>
  <c r="V44" i="11"/>
  <c r="U44" i="11"/>
  <c r="T44" i="11"/>
  <c r="S44" i="11"/>
  <c r="Q44" i="11"/>
  <c r="P44" i="11"/>
  <c r="O44" i="11"/>
  <c r="N44" i="11"/>
  <c r="M44" i="11"/>
  <c r="K44" i="11"/>
  <c r="M44" i="17" s="1"/>
  <c r="J44" i="11"/>
  <c r="L44" i="17" s="1"/>
  <c r="I44" i="11"/>
  <c r="K44" i="17" s="1"/>
  <c r="H44" i="11"/>
  <c r="J44" i="17" s="1"/>
  <c r="G44" i="11"/>
  <c r="E44" i="11"/>
  <c r="D44" i="11"/>
  <c r="C44" i="11"/>
  <c r="B44" i="11"/>
  <c r="BJ43" i="11"/>
  <c r="BI43" i="11"/>
  <c r="BH43" i="11"/>
  <c r="BG43" i="11"/>
  <c r="BE43" i="11"/>
  <c r="BC43" i="11"/>
  <c r="BB43" i="11"/>
  <c r="BA43" i="11"/>
  <c r="AZ43" i="11"/>
  <c r="AX43" i="11"/>
  <c r="AV43" i="11"/>
  <c r="AU43" i="11"/>
  <c r="AT43" i="11"/>
  <c r="AS43" i="11"/>
  <c r="AQ43" i="11"/>
  <c r="AO43" i="11"/>
  <c r="AN43" i="11"/>
  <c r="AM43" i="11"/>
  <c r="AL43" i="11"/>
  <c r="AK43" i="11"/>
  <c r="AI43" i="11"/>
  <c r="AH43" i="11"/>
  <c r="AG43" i="11"/>
  <c r="AF43" i="11"/>
  <c r="AE43" i="11"/>
  <c r="AC43" i="11"/>
  <c r="AB43" i="11"/>
  <c r="AA43" i="11"/>
  <c r="Z43" i="11"/>
  <c r="Y43" i="11"/>
  <c r="W43" i="11"/>
  <c r="V43" i="11"/>
  <c r="U43" i="11"/>
  <c r="T43" i="11"/>
  <c r="S43" i="11"/>
  <c r="Q43" i="11"/>
  <c r="P43" i="11"/>
  <c r="O43" i="11"/>
  <c r="N43" i="11"/>
  <c r="M43" i="11"/>
  <c r="K43" i="11"/>
  <c r="M43" i="17" s="1"/>
  <c r="J43" i="11"/>
  <c r="L43" i="17" s="1"/>
  <c r="I43" i="11"/>
  <c r="K43" i="17" s="1"/>
  <c r="H43" i="11"/>
  <c r="J43" i="17" s="1"/>
  <c r="G43" i="11"/>
  <c r="E43" i="11"/>
  <c r="D43" i="11"/>
  <c r="C43" i="11"/>
  <c r="B43" i="11"/>
  <c r="BJ42" i="11"/>
  <c r="BI42" i="11"/>
  <c r="BH42" i="11"/>
  <c r="BG42" i="11"/>
  <c r="BE42" i="11"/>
  <c r="BC42" i="11"/>
  <c r="BB42" i="11"/>
  <c r="BA42" i="11"/>
  <c r="AZ42" i="11"/>
  <c r="AX42" i="11"/>
  <c r="AV42" i="11"/>
  <c r="AU42" i="11"/>
  <c r="AT42" i="11"/>
  <c r="AS42" i="11"/>
  <c r="AQ42" i="11"/>
  <c r="AO42" i="11"/>
  <c r="AN42" i="11"/>
  <c r="AM42" i="11"/>
  <c r="AL42" i="11"/>
  <c r="AK42" i="11"/>
  <c r="AI42" i="11"/>
  <c r="AH42" i="11"/>
  <c r="AG42" i="11"/>
  <c r="AF42" i="11"/>
  <c r="AE42" i="11"/>
  <c r="AC42" i="11"/>
  <c r="AB42" i="11"/>
  <c r="AA42" i="11"/>
  <c r="Z42" i="11"/>
  <c r="Y42" i="11"/>
  <c r="W42" i="11"/>
  <c r="V42" i="11"/>
  <c r="U42" i="11"/>
  <c r="T42" i="11"/>
  <c r="S42" i="11"/>
  <c r="Q42" i="11"/>
  <c r="P42" i="11"/>
  <c r="O42" i="11"/>
  <c r="N42" i="11"/>
  <c r="M42" i="11"/>
  <c r="K42" i="11"/>
  <c r="M42" i="17" s="1"/>
  <c r="J42" i="11"/>
  <c r="L42" i="17" s="1"/>
  <c r="I42" i="11"/>
  <c r="K42" i="17" s="1"/>
  <c r="H42" i="11"/>
  <c r="J42" i="17" s="1"/>
  <c r="G42" i="11"/>
  <c r="E42" i="11"/>
  <c r="D42" i="11"/>
  <c r="C42" i="11"/>
  <c r="B42" i="11"/>
  <c r="BJ41" i="11"/>
  <c r="BI41" i="11"/>
  <c r="BH41" i="11"/>
  <c r="BG41" i="11"/>
  <c r="BE41" i="11"/>
  <c r="BC41" i="11"/>
  <c r="BB41" i="11"/>
  <c r="BA41" i="11"/>
  <c r="AZ41" i="11"/>
  <c r="AX41" i="11"/>
  <c r="AV41" i="11"/>
  <c r="AU41" i="11"/>
  <c r="AT41" i="11"/>
  <c r="AS41" i="11"/>
  <c r="AQ41" i="11"/>
  <c r="AO41" i="11"/>
  <c r="AN41" i="11"/>
  <c r="AM41" i="11"/>
  <c r="AL41" i="11"/>
  <c r="AK41" i="11"/>
  <c r="AI41" i="11"/>
  <c r="AH41" i="11"/>
  <c r="AG41" i="11"/>
  <c r="AF41" i="11"/>
  <c r="AE41" i="11"/>
  <c r="AC41" i="11"/>
  <c r="AB41" i="11"/>
  <c r="AA41" i="11"/>
  <c r="Z41" i="11"/>
  <c r="Y41" i="11"/>
  <c r="W41" i="11"/>
  <c r="V41" i="11"/>
  <c r="U41" i="11"/>
  <c r="T41" i="11"/>
  <c r="S41" i="11"/>
  <c r="Q41" i="11"/>
  <c r="P41" i="11"/>
  <c r="O41" i="11"/>
  <c r="N41" i="11"/>
  <c r="M41" i="11"/>
  <c r="K41" i="11"/>
  <c r="M41" i="17" s="1"/>
  <c r="J41" i="11"/>
  <c r="L41" i="17" s="1"/>
  <c r="I41" i="11"/>
  <c r="K41" i="17" s="1"/>
  <c r="H41" i="11"/>
  <c r="J41" i="17" s="1"/>
  <c r="G41" i="11"/>
  <c r="E41" i="11"/>
  <c r="D41" i="11"/>
  <c r="C41" i="11"/>
  <c r="B41" i="11"/>
  <c r="BJ40" i="11"/>
  <c r="BI40" i="11"/>
  <c r="BH40" i="11"/>
  <c r="BG40" i="11"/>
  <c r="BE40" i="11"/>
  <c r="BC40" i="11"/>
  <c r="BB40" i="11"/>
  <c r="BA40" i="11"/>
  <c r="AZ40" i="11"/>
  <c r="AX40" i="11"/>
  <c r="AV40" i="11"/>
  <c r="AU40" i="11"/>
  <c r="AT40" i="11"/>
  <c r="AS40" i="11"/>
  <c r="AQ40" i="11"/>
  <c r="AO40" i="11"/>
  <c r="AN40" i="11"/>
  <c r="AM40" i="11"/>
  <c r="AL40" i="11"/>
  <c r="AK40" i="11"/>
  <c r="AI40" i="11"/>
  <c r="AH40" i="11"/>
  <c r="AG40" i="11"/>
  <c r="AF40" i="11"/>
  <c r="AE40" i="11"/>
  <c r="AC40" i="11"/>
  <c r="AB40" i="11"/>
  <c r="AA40" i="11"/>
  <c r="Z40" i="11"/>
  <c r="Y40" i="11"/>
  <c r="W40" i="11"/>
  <c r="V40" i="11"/>
  <c r="U40" i="11"/>
  <c r="T40" i="11"/>
  <c r="S40" i="11"/>
  <c r="Q40" i="11"/>
  <c r="P40" i="11"/>
  <c r="O40" i="11"/>
  <c r="N40" i="11"/>
  <c r="M40" i="11"/>
  <c r="K40" i="11"/>
  <c r="M40" i="17" s="1"/>
  <c r="J40" i="11"/>
  <c r="L40" i="17" s="1"/>
  <c r="I40" i="11"/>
  <c r="K40" i="17" s="1"/>
  <c r="H40" i="11"/>
  <c r="J40" i="17" s="1"/>
  <c r="G40" i="11"/>
  <c r="E40" i="11"/>
  <c r="D40" i="11"/>
  <c r="C40" i="11"/>
  <c r="B40" i="11"/>
  <c r="BJ39" i="11"/>
  <c r="BI39" i="11"/>
  <c r="BH39" i="11"/>
  <c r="BG39" i="11"/>
  <c r="BE39" i="11"/>
  <c r="BC39" i="11"/>
  <c r="BB39" i="11"/>
  <c r="BA39" i="11"/>
  <c r="AZ39" i="11"/>
  <c r="AX39" i="11"/>
  <c r="AV39" i="11"/>
  <c r="AU39" i="11"/>
  <c r="AT39" i="11"/>
  <c r="AS39" i="11"/>
  <c r="AQ39" i="11"/>
  <c r="AO39" i="11"/>
  <c r="AN39" i="11"/>
  <c r="AM39" i="11"/>
  <c r="AL39" i="11"/>
  <c r="AK39" i="11"/>
  <c r="AI39" i="11"/>
  <c r="AH39" i="11"/>
  <c r="AG39" i="11"/>
  <c r="AF39" i="11"/>
  <c r="AE39" i="11"/>
  <c r="AC39" i="11"/>
  <c r="AB39" i="11"/>
  <c r="AA39" i="11"/>
  <c r="Z39" i="11"/>
  <c r="Y39" i="11"/>
  <c r="W39" i="11"/>
  <c r="V39" i="11"/>
  <c r="U39" i="11"/>
  <c r="T39" i="11"/>
  <c r="S39" i="11"/>
  <c r="Q39" i="11"/>
  <c r="P39" i="11"/>
  <c r="O39" i="11"/>
  <c r="N39" i="11"/>
  <c r="M39" i="11"/>
  <c r="K39" i="11"/>
  <c r="M39" i="17" s="1"/>
  <c r="J39" i="11"/>
  <c r="L39" i="17" s="1"/>
  <c r="I39" i="11"/>
  <c r="K39" i="17" s="1"/>
  <c r="H39" i="11"/>
  <c r="J39" i="17" s="1"/>
  <c r="G39" i="11"/>
  <c r="E39" i="11"/>
  <c r="D39" i="11"/>
  <c r="C39" i="11"/>
  <c r="B39" i="11"/>
  <c r="BJ38" i="11"/>
  <c r="BI38" i="11"/>
  <c r="BH38" i="11"/>
  <c r="BG38" i="11"/>
  <c r="BE38" i="11"/>
  <c r="BC38" i="11"/>
  <c r="BB38" i="11"/>
  <c r="BA38" i="11"/>
  <c r="AZ38" i="11"/>
  <c r="AX38" i="11"/>
  <c r="AV38" i="11"/>
  <c r="AU38" i="11"/>
  <c r="AT38" i="11"/>
  <c r="AS38" i="11"/>
  <c r="AQ38" i="11"/>
  <c r="AO38" i="11"/>
  <c r="AN38" i="11"/>
  <c r="AM38" i="11"/>
  <c r="AL38" i="11"/>
  <c r="AK38" i="11"/>
  <c r="AI38" i="11"/>
  <c r="AH38" i="11"/>
  <c r="AG38" i="11"/>
  <c r="AF38" i="11"/>
  <c r="AE38" i="11"/>
  <c r="AC38" i="11"/>
  <c r="AB38" i="11"/>
  <c r="AA38" i="11"/>
  <c r="Z38" i="11"/>
  <c r="Y38" i="11"/>
  <c r="W38" i="11"/>
  <c r="V38" i="11"/>
  <c r="U38" i="11"/>
  <c r="T38" i="11"/>
  <c r="S38" i="11"/>
  <c r="Q38" i="11"/>
  <c r="P38" i="11"/>
  <c r="O38" i="11"/>
  <c r="N38" i="11"/>
  <c r="M38" i="11"/>
  <c r="K38" i="11"/>
  <c r="M38" i="17" s="1"/>
  <c r="J38" i="11"/>
  <c r="L38" i="17" s="1"/>
  <c r="I38" i="11"/>
  <c r="K38" i="17" s="1"/>
  <c r="H38" i="11"/>
  <c r="J38" i="17" s="1"/>
  <c r="G38" i="11"/>
  <c r="E38" i="11"/>
  <c r="D38" i="11"/>
  <c r="C38" i="11"/>
  <c r="B38" i="11"/>
  <c r="BJ37" i="11"/>
  <c r="BI37" i="11"/>
  <c r="BH37" i="11"/>
  <c r="BG37" i="11"/>
  <c r="BE37" i="11"/>
  <c r="BC37" i="11"/>
  <c r="BB37" i="11"/>
  <c r="BA37" i="11"/>
  <c r="AZ37" i="11"/>
  <c r="AX37" i="11"/>
  <c r="AV37" i="11"/>
  <c r="AU37" i="11"/>
  <c r="AT37" i="11"/>
  <c r="AS37" i="11"/>
  <c r="AQ37" i="11"/>
  <c r="AO37" i="11"/>
  <c r="AN37" i="11"/>
  <c r="AM37" i="11"/>
  <c r="AL37" i="11"/>
  <c r="AK37" i="11"/>
  <c r="AI37" i="11"/>
  <c r="AH37" i="11"/>
  <c r="AG37" i="11"/>
  <c r="AF37" i="11"/>
  <c r="AE37" i="11"/>
  <c r="AC37" i="11"/>
  <c r="AB37" i="11"/>
  <c r="AA37" i="11"/>
  <c r="Z37" i="11"/>
  <c r="Y37" i="11"/>
  <c r="W37" i="11"/>
  <c r="V37" i="11"/>
  <c r="U37" i="11"/>
  <c r="T37" i="11"/>
  <c r="S37" i="11"/>
  <c r="Q37" i="11"/>
  <c r="P37" i="11"/>
  <c r="O37" i="11"/>
  <c r="N37" i="11"/>
  <c r="M37" i="11"/>
  <c r="K37" i="11"/>
  <c r="M37" i="17" s="1"/>
  <c r="J37" i="11"/>
  <c r="L37" i="17" s="1"/>
  <c r="I37" i="11"/>
  <c r="K37" i="17" s="1"/>
  <c r="H37" i="11"/>
  <c r="J37" i="17" s="1"/>
  <c r="G37" i="11"/>
  <c r="E37" i="11"/>
  <c r="D37" i="11"/>
  <c r="C37" i="11"/>
  <c r="B37" i="11"/>
  <c r="BJ36" i="11"/>
  <c r="BI36" i="11"/>
  <c r="BH36" i="11"/>
  <c r="BG36" i="11"/>
  <c r="BE36" i="11"/>
  <c r="BC36" i="11"/>
  <c r="BB36" i="11"/>
  <c r="BA36" i="11"/>
  <c r="AZ36" i="11"/>
  <c r="AX36" i="11"/>
  <c r="AV36" i="11"/>
  <c r="AU36" i="11"/>
  <c r="AT36" i="11"/>
  <c r="AS36" i="11"/>
  <c r="AQ36" i="11"/>
  <c r="AO36" i="11"/>
  <c r="AN36" i="11"/>
  <c r="AM36" i="11"/>
  <c r="AL36" i="11"/>
  <c r="AK36" i="11"/>
  <c r="AI36" i="11"/>
  <c r="AH36" i="11"/>
  <c r="AG36" i="11"/>
  <c r="AF36" i="11"/>
  <c r="AE36" i="11"/>
  <c r="AC36" i="11"/>
  <c r="AB36" i="11"/>
  <c r="AA36" i="11"/>
  <c r="Z36" i="11"/>
  <c r="Y36" i="11"/>
  <c r="W36" i="11"/>
  <c r="V36" i="11"/>
  <c r="U36" i="11"/>
  <c r="T36" i="11"/>
  <c r="S36" i="11"/>
  <c r="Q36" i="11"/>
  <c r="P36" i="11"/>
  <c r="O36" i="11"/>
  <c r="N36" i="11"/>
  <c r="M36" i="11"/>
  <c r="K36" i="11"/>
  <c r="M36" i="17" s="1"/>
  <c r="J36" i="11"/>
  <c r="L36" i="17" s="1"/>
  <c r="I36" i="11"/>
  <c r="K36" i="17" s="1"/>
  <c r="H36" i="11"/>
  <c r="J36" i="17" s="1"/>
  <c r="G36" i="11"/>
  <c r="E36" i="11"/>
  <c r="D36" i="11"/>
  <c r="C36" i="11"/>
  <c r="B36" i="11"/>
  <c r="BJ35" i="11"/>
  <c r="BI35" i="11"/>
  <c r="BH35" i="11"/>
  <c r="BG35" i="11"/>
  <c r="BE35" i="11"/>
  <c r="BC35" i="11"/>
  <c r="BB35" i="11"/>
  <c r="BA35" i="11"/>
  <c r="AZ35" i="11"/>
  <c r="AX35" i="11"/>
  <c r="AV35" i="11"/>
  <c r="AU35" i="11"/>
  <c r="AT35" i="11"/>
  <c r="AS35" i="11"/>
  <c r="AQ35" i="11"/>
  <c r="AO35" i="11"/>
  <c r="AN35" i="11"/>
  <c r="AM35" i="11"/>
  <c r="AL35" i="11"/>
  <c r="AK35" i="11"/>
  <c r="AI35" i="11"/>
  <c r="AH35" i="11"/>
  <c r="AG35" i="11"/>
  <c r="AF35" i="11"/>
  <c r="AE35" i="11"/>
  <c r="AC35" i="11"/>
  <c r="AB35" i="11"/>
  <c r="AA35" i="11"/>
  <c r="Z35" i="11"/>
  <c r="Y35" i="11"/>
  <c r="W35" i="11"/>
  <c r="V35" i="11"/>
  <c r="U35" i="11"/>
  <c r="T35" i="11"/>
  <c r="S35" i="11"/>
  <c r="Q35" i="11"/>
  <c r="P35" i="11"/>
  <c r="O35" i="11"/>
  <c r="N35" i="11"/>
  <c r="M35" i="11"/>
  <c r="K35" i="11"/>
  <c r="M35" i="17" s="1"/>
  <c r="J35" i="11"/>
  <c r="L35" i="17" s="1"/>
  <c r="I35" i="11"/>
  <c r="K35" i="17" s="1"/>
  <c r="H35" i="11"/>
  <c r="J35" i="17" s="1"/>
  <c r="G35" i="11"/>
  <c r="E35" i="11"/>
  <c r="D35" i="11"/>
  <c r="C35" i="11"/>
  <c r="B35" i="11"/>
  <c r="BJ34" i="11"/>
  <c r="BI34" i="11"/>
  <c r="BH34" i="11"/>
  <c r="BG34" i="11"/>
  <c r="BE34" i="11"/>
  <c r="BC34" i="11"/>
  <c r="BB34" i="11"/>
  <c r="BA34" i="11"/>
  <c r="AZ34" i="11"/>
  <c r="AX34" i="11"/>
  <c r="AV34" i="11"/>
  <c r="AU34" i="11"/>
  <c r="AT34" i="11"/>
  <c r="AS34" i="11"/>
  <c r="AQ34" i="11"/>
  <c r="AO34" i="11"/>
  <c r="AN34" i="11"/>
  <c r="AM34" i="11"/>
  <c r="AL34" i="11"/>
  <c r="AK34" i="11"/>
  <c r="AI34" i="11"/>
  <c r="AH34" i="11"/>
  <c r="AG34" i="11"/>
  <c r="AF34" i="11"/>
  <c r="AE34" i="11"/>
  <c r="AC34" i="11"/>
  <c r="AB34" i="11"/>
  <c r="AA34" i="11"/>
  <c r="Z34" i="11"/>
  <c r="Y34" i="11"/>
  <c r="W34" i="11"/>
  <c r="V34" i="11"/>
  <c r="U34" i="11"/>
  <c r="T34" i="11"/>
  <c r="S34" i="11"/>
  <c r="Q34" i="11"/>
  <c r="P34" i="11"/>
  <c r="O34" i="11"/>
  <c r="N34" i="11"/>
  <c r="M34" i="11"/>
  <c r="K34" i="11"/>
  <c r="M34" i="17" s="1"/>
  <c r="J34" i="11"/>
  <c r="L34" i="17" s="1"/>
  <c r="I34" i="11"/>
  <c r="K34" i="17" s="1"/>
  <c r="H34" i="11"/>
  <c r="J34" i="17" s="1"/>
  <c r="G34" i="11"/>
  <c r="E34" i="11"/>
  <c r="D34" i="11"/>
  <c r="C34" i="11"/>
  <c r="B34" i="11"/>
  <c r="BJ33" i="11"/>
  <c r="BI33" i="11"/>
  <c r="BH33" i="11"/>
  <c r="BG33" i="11"/>
  <c r="BE33" i="11"/>
  <c r="BC33" i="11"/>
  <c r="BB33" i="11"/>
  <c r="BA33" i="11"/>
  <c r="AZ33" i="11"/>
  <c r="AX33" i="11"/>
  <c r="AV33" i="11"/>
  <c r="AU33" i="11"/>
  <c r="AT33" i="11"/>
  <c r="AS33" i="11"/>
  <c r="AQ33" i="11"/>
  <c r="AO33" i="11"/>
  <c r="AN33" i="11"/>
  <c r="AM33" i="11"/>
  <c r="AL33" i="11"/>
  <c r="AK33" i="11"/>
  <c r="AI33" i="11"/>
  <c r="AH33" i="11"/>
  <c r="AG33" i="11"/>
  <c r="AF33" i="11"/>
  <c r="AE33" i="11"/>
  <c r="AC33" i="11"/>
  <c r="AB33" i="11"/>
  <c r="AA33" i="11"/>
  <c r="Z33" i="11"/>
  <c r="Y33" i="11"/>
  <c r="W33" i="11"/>
  <c r="V33" i="11"/>
  <c r="U33" i="11"/>
  <c r="T33" i="11"/>
  <c r="S33" i="11"/>
  <c r="Q33" i="11"/>
  <c r="P33" i="11"/>
  <c r="O33" i="11"/>
  <c r="N33" i="11"/>
  <c r="M33" i="11"/>
  <c r="K33" i="11"/>
  <c r="M33" i="17" s="1"/>
  <c r="J33" i="11"/>
  <c r="L33" i="17" s="1"/>
  <c r="I33" i="11"/>
  <c r="K33" i="17" s="1"/>
  <c r="H33" i="11"/>
  <c r="J33" i="17" s="1"/>
  <c r="G33" i="11"/>
  <c r="E33" i="11"/>
  <c r="D33" i="11"/>
  <c r="C33" i="11"/>
  <c r="B33" i="11"/>
  <c r="BJ32" i="11"/>
  <c r="BI32" i="11"/>
  <c r="BH32" i="11"/>
  <c r="BG32" i="11"/>
  <c r="BE32" i="11"/>
  <c r="BC32" i="11"/>
  <c r="BB32" i="11"/>
  <c r="BA32" i="11"/>
  <c r="AZ32" i="11"/>
  <c r="AX32" i="11"/>
  <c r="AV32" i="11"/>
  <c r="AU32" i="11"/>
  <c r="AT32" i="11"/>
  <c r="AS32" i="11"/>
  <c r="AQ32" i="11"/>
  <c r="AO32" i="11"/>
  <c r="AN32" i="11"/>
  <c r="AM32" i="11"/>
  <c r="AL32" i="11"/>
  <c r="AK32" i="11"/>
  <c r="AI32" i="11"/>
  <c r="AH32" i="11"/>
  <c r="AG32" i="11"/>
  <c r="AF32" i="11"/>
  <c r="AE32" i="11"/>
  <c r="AC32" i="11"/>
  <c r="AB32" i="11"/>
  <c r="AA32" i="11"/>
  <c r="Z32" i="11"/>
  <c r="Y32" i="11"/>
  <c r="W32" i="11"/>
  <c r="V32" i="11"/>
  <c r="U32" i="11"/>
  <c r="T32" i="11"/>
  <c r="S32" i="11"/>
  <c r="Q32" i="11"/>
  <c r="P32" i="11"/>
  <c r="O32" i="11"/>
  <c r="N32" i="11"/>
  <c r="M32" i="11"/>
  <c r="K32" i="11"/>
  <c r="M32" i="17" s="1"/>
  <c r="J32" i="11"/>
  <c r="L32" i="17" s="1"/>
  <c r="I32" i="11"/>
  <c r="K32" i="17" s="1"/>
  <c r="H32" i="11"/>
  <c r="J32" i="17" s="1"/>
  <c r="G32" i="11"/>
  <c r="E32" i="11"/>
  <c r="D32" i="11"/>
  <c r="C32" i="11"/>
  <c r="B32" i="11"/>
  <c r="BJ31" i="11"/>
  <c r="BI31" i="11"/>
  <c r="BH31" i="11"/>
  <c r="BG31" i="11"/>
  <c r="BE31" i="11"/>
  <c r="BC31" i="11"/>
  <c r="BB31" i="11"/>
  <c r="BA31" i="11"/>
  <c r="AZ31" i="11"/>
  <c r="AX31" i="11"/>
  <c r="AV31" i="11"/>
  <c r="AU31" i="11"/>
  <c r="AT31" i="11"/>
  <c r="AS31" i="11"/>
  <c r="AQ31" i="11"/>
  <c r="AO31" i="11"/>
  <c r="AN31" i="11"/>
  <c r="AM31" i="11"/>
  <c r="AL31" i="11"/>
  <c r="AK31" i="11"/>
  <c r="AI31" i="11"/>
  <c r="AH31" i="11"/>
  <c r="AG31" i="11"/>
  <c r="AF31" i="11"/>
  <c r="AE31" i="11"/>
  <c r="AC31" i="11"/>
  <c r="AB31" i="11"/>
  <c r="AA31" i="11"/>
  <c r="Z31" i="11"/>
  <c r="Y31" i="11"/>
  <c r="W31" i="11"/>
  <c r="V31" i="11"/>
  <c r="U31" i="11"/>
  <c r="T31" i="11"/>
  <c r="S31" i="11"/>
  <c r="Q31" i="11"/>
  <c r="P31" i="11"/>
  <c r="O31" i="11"/>
  <c r="N31" i="11"/>
  <c r="M31" i="11"/>
  <c r="K31" i="11"/>
  <c r="M31" i="17" s="1"/>
  <c r="J31" i="11"/>
  <c r="L31" i="17" s="1"/>
  <c r="I31" i="11"/>
  <c r="K31" i="17" s="1"/>
  <c r="H31" i="11"/>
  <c r="J31" i="17" s="1"/>
  <c r="G31" i="11"/>
  <c r="E31" i="11"/>
  <c r="D31" i="11"/>
  <c r="C31" i="11"/>
  <c r="B31" i="11"/>
  <c r="BJ30" i="11"/>
  <c r="BI30" i="11"/>
  <c r="BH30" i="11"/>
  <c r="BG30" i="11"/>
  <c r="BE30" i="11"/>
  <c r="BC30" i="11"/>
  <c r="BB30" i="11"/>
  <c r="BA30" i="11"/>
  <c r="AZ30" i="11"/>
  <c r="AX30" i="11"/>
  <c r="AV30" i="11"/>
  <c r="AU30" i="11"/>
  <c r="AT30" i="11"/>
  <c r="AS30" i="11"/>
  <c r="AQ30" i="11"/>
  <c r="AO30" i="11"/>
  <c r="AN30" i="11"/>
  <c r="AM30" i="11"/>
  <c r="AL30" i="11"/>
  <c r="AK30" i="11"/>
  <c r="AI30" i="11"/>
  <c r="AH30" i="11"/>
  <c r="AG30" i="11"/>
  <c r="AF30" i="11"/>
  <c r="AE30" i="11"/>
  <c r="AC30" i="11"/>
  <c r="AB30" i="11"/>
  <c r="AA30" i="11"/>
  <c r="Z30" i="11"/>
  <c r="Y30" i="11"/>
  <c r="W30" i="11"/>
  <c r="V30" i="11"/>
  <c r="U30" i="11"/>
  <c r="T30" i="11"/>
  <c r="S30" i="11"/>
  <c r="Q30" i="11"/>
  <c r="P30" i="11"/>
  <c r="O30" i="11"/>
  <c r="N30" i="11"/>
  <c r="M30" i="11"/>
  <c r="K30" i="11"/>
  <c r="M30" i="17" s="1"/>
  <c r="J30" i="11"/>
  <c r="L30" i="17" s="1"/>
  <c r="I30" i="11"/>
  <c r="K30" i="17" s="1"/>
  <c r="H30" i="11"/>
  <c r="J30" i="17" s="1"/>
  <c r="G30" i="11"/>
  <c r="E30" i="11"/>
  <c r="D30" i="11"/>
  <c r="C30" i="11"/>
  <c r="B30" i="11"/>
  <c r="BJ29" i="11"/>
  <c r="BI29" i="11"/>
  <c r="BH29" i="11"/>
  <c r="BG29" i="11"/>
  <c r="BE29" i="11"/>
  <c r="BC29" i="11"/>
  <c r="BB29" i="11"/>
  <c r="BA29" i="11"/>
  <c r="AZ29" i="11"/>
  <c r="AX29" i="11"/>
  <c r="AV29" i="11"/>
  <c r="AU29" i="11"/>
  <c r="AT29" i="11"/>
  <c r="AS29" i="11"/>
  <c r="AQ29" i="11"/>
  <c r="AO29" i="11"/>
  <c r="AN29" i="11"/>
  <c r="AM29" i="11"/>
  <c r="AL29" i="11"/>
  <c r="AK29" i="11"/>
  <c r="AI29" i="11"/>
  <c r="AH29" i="11"/>
  <c r="AG29" i="11"/>
  <c r="AF29" i="11"/>
  <c r="AE29" i="11"/>
  <c r="AC29" i="11"/>
  <c r="AB29" i="11"/>
  <c r="AA29" i="11"/>
  <c r="Z29" i="11"/>
  <c r="Y29" i="11"/>
  <c r="W29" i="11"/>
  <c r="V29" i="11"/>
  <c r="U29" i="11"/>
  <c r="T29" i="11"/>
  <c r="S29" i="11"/>
  <c r="Q29" i="11"/>
  <c r="P29" i="11"/>
  <c r="O29" i="11"/>
  <c r="N29" i="11"/>
  <c r="M29" i="11"/>
  <c r="K29" i="11"/>
  <c r="M29" i="17" s="1"/>
  <c r="J29" i="11"/>
  <c r="L29" i="17" s="1"/>
  <c r="I29" i="11"/>
  <c r="K29" i="17" s="1"/>
  <c r="H29" i="11"/>
  <c r="J29" i="17" s="1"/>
  <c r="G29" i="11"/>
  <c r="E29" i="11"/>
  <c r="D29" i="11"/>
  <c r="C29" i="11"/>
  <c r="B29" i="11"/>
  <c r="BJ28" i="11"/>
  <c r="BI28" i="11"/>
  <c r="BH28" i="11"/>
  <c r="BG28" i="11"/>
  <c r="BE28" i="11"/>
  <c r="BC28" i="11"/>
  <c r="BB28" i="11"/>
  <c r="BA28" i="11"/>
  <c r="AZ28" i="11"/>
  <c r="AX28" i="11"/>
  <c r="AV28" i="11"/>
  <c r="AU28" i="11"/>
  <c r="AT28" i="11"/>
  <c r="AS28" i="11"/>
  <c r="AQ28" i="11"/>
  <c r="AO28" i="11"/>
  <c r="AN28" i="11"/>
  <c r="AM28" i="11"/>
  <c r="AL28" i="11"/>
  <c r="AK28" i="11"/>
  <c r="AI28" i="11"/>
  <c r="AH28" i="11"/>
  <c r="AG28" i="11"/>
  <c r="AF28" i="11"/>
  <c r="AE28" i="11"/>
  <c r="AC28" i="11"/>
  <c r="AB28" i="11"/>
  <c r="AA28" i="11"/>
  <c r="Z28" i="11"/>
  <c r="Y28" i="11"/>
  <c r="W28" i="11"/>
  <c r="V28" i="11"/>
  <c r="U28" i="11"/>
  <c r="T28" i="11"/>
  <c r="S28" i="11"/>
  <c r="Q28" i="11"/>
  <c r="P28" i="11"/>
  <c r="O28" i="11"/>
  <c r="N28" i="11"/>
  <c r="M28" i="11"/>
  <c r="K28" i="11"/>
  <c r="M28" i="17" s="1"/>
  <c r="J28" i="11"/>
  <c r="L28" i="17" s="1"/>
  <c r="I28" i="11"/>
  <c r="K28" i="17" s="1"/>
  <c r="H28" i="11"/>
  <c r="J28" i="17" s="1"/>
  <c r="G28" i="11"/>
  <c r="E28" i="11"/>
  <c r="D28" i="11"/>
  <c r="C28" i="11"/>
  <c r="B28" i="11"/>
  <c r="BJ27" i="11"/>
  <c r="BI27" i="11"/>
  <c r="BH27" i="11"/>
  <c r="BG27" i="11"/>
  <c r="BE27" i="11"/>
  <c r="BC27" i="11"/>
  <c r="BB27" i="11"/>
  <c r="BA27" i="11"/>
  <c r="AZ27" i="11"/>
  <c r="AX27" i="11"/>
  <c r="AV27" i="11"/>
  <c r="AU27" i="11"/>
  <c r="AT27" i="11"/>
  <c r="AS27" i="11"/>
  <c r="AQ27" i="11"/>
  <c r="AO27" i="11"/>
  <c r="AN27" i="11"/>
  <c r="AM27" i="11"/>
  <c r="AL27" i="11"/>
  <c r="AK27" i="11"/>
  <c r="AI27" i="11"/>
  <c r="AH27" i="11"/>
  <c r="AG27" i="11"/>
  <c r="AF27" i="11"/>
  <c r="AE27" i="11"/>
  <c r="AC27" i="11"/>
  <c r="AB27" i="11"/>
  <c r="AA27" i="11"/>
  <c r="Z27" i="11"/>
  <c r="Y27" i="11"/>
  <c r="W27" i="11"/>
  <c r="V27" i="11"/>
  <c r="U27" i="11"/>
  <c r="T27" i="11"/>
  <c r="Q27" i="11"/>
  <c r="M27" i="11"/>
  <c r="K27" i="11"/>
  <c r="M27" i="17" s="1"/>
  <c r="D27" i="11"/>
  <c r="Y25" i="11"/>
  <c r="U25" i="11"/>
  <c r="I25" i="11"/>
  <c r="K25" i="17" s="1"/>
  <c r="BA24" i="11"/>
  <c r="AN24" i="11"/>
  <c r="AI24" i="11"/>
  <c r="AC24" i="11"/>
  <c r="N24" i="11"/>
  <c r="BA23" i="11"/>
  <c r="AI23" i="11"/>
  <c r="AC23" i="11"/>
  <c r="V23" i="11"/>
  <c r="M23" i="11"/>
  <c r="G23" i="11"/>
  <c r="D23" i="11"/>
  <c r="BB22" i="11"/>
  <c r="AN22" i="11"/>
  <c r="Y22" i="11"/>
  <c r="V22" i="11"/>
  <c r="J22" i="11"/>
  <c r="L22" i="17" s="1"/>
  <c r="BJ21" i="11"/>
  <c r="AT21" i="11"/>
  <c r="H21" i="11"/>
  <c r="J21" i="17" s="1"/>
  <c r="BG20" i="11"/>
  <c r="AK20" i="11"/>
  <c r="AH20" i="11"/>
  <c r="AC20" i="11"/>
  <c r="H20" i="11"/>
  <c r="BH19" i="11"/>
  <c r="AN19" i="11"/>
  <c r="AL19" i="11"/>
  <c r="AG19" i="11"/>
  <c r="P19" i="11"/>
  <c r="AZ18" i="11"/>
  <c r="AI18" i="11"/>
  <c r="V18" i="11"/>
  <c r="K18" i="11"/>
  <c r="M18" i="17" s="1"/>
  <c r="BJ17" i="11"/>
  <c r="AX17" i="11"/>
  <c r="AV17" i="11"/>
  <c r="S17" i="11"/>
  <c r="O17" i="11"/>
  <c r="BJ16" i="11"/>
  <c r="AX16" i="11"/>
  <c r="AU16" i="11"/>
  <c r="J16" i="11"/>
  <c r="BJ15" i="11"/>
  <c r="AU15" i="11"/>
  <c r="K15" i="11"/>
  <c r="M15" i="17" s="1"/>
  <c r="BB14" i="11"/>
  <c r="AM14" i="11"/>
  <c r="AI14" i="11"/>
  <c r="AC14" i="11"/>
  <c r="W14" i="11"/>
  <c r="P14" i="11"/>
  <c r="BG13" i="11"/>
  <c r="AV13" i="11"/>
  <c r="U13" i="11"/>
  <c r="H13" i="11"/>
  <c r="J13" i="17" s="1"/>
  <c r="BH12" i="11"/>
  <c r="AX12" i="11"/>
  <c r="AV12" i="11"/>
  <c r="G12" i="11"/>
  <c r="C12" i="11"/>
  <c r="BC11" i="11"/>
  <c r="AQ11" i="11"/>
  <c r="AK11" i="11"/>
  <c r="AF11" i="11"/>
  <c r="Y11" i="11"/>
  <c r="V11" i="11"/>
  <c r="Q11" i="11"/>
  <c r="C11" i="11"/>
  <c r="BA10" i="11"/>
  <c r="AH10" i="11"/>
  <c r="AA10" i="11"/>
  <c r="Q10" i="11"/>
  <c r="AV9" i="11"/>
  <c r="K9" i="11"/>
  <c r="M9" i="17" s="1"/>
  <c r="BE8" i="11"/>
  <c r="AZ8" i="11"/>
  <c r="AS8" i="11"/>
  <c r="C8" i="11"/>
  <c r="AX7" i="11"/>
  <c r="AU7" i="11"/>
  <c r="S7" i="11"/>
  <c r="P7" i="11"/>
  <c r="C7" i="11"/>
  <c r="BC6" i="11"/>
  <c r="AH6" i="11"/>
  <c r="U6" i="11"/>
  <c r="I6" i="11"/>
  <c r="K6" i="17" s="1"/>
  <c r="AU5" i="11"/>
  <c r="N5" i="11"/>
  <c r="BJ4" i="11"/>
  <c r="BB4" i="11"/>
  <c r="AN4" i="11"/>
  <c r="AH4" i="11"/>
  <c r="AA4" i="11"/>
  <c r="W4" i="11"/>
  <c r="O4" i="11"/>
  <c r="BJ3" i="11"/>
  <c r="AQ3" i="11"/>
  <c r="AL3" i="11"/>
  <c r="AC3" i="11"/>
  <c r="M3" i="11"/>
  <c r="I3" i="11"/>
  <c r="K3" i="17" s="1"/>
  <c r="B3" i="11"/>
  <c r="AX2" i="11"/>
  <c r="AT2" i="11"/>
  <c r="U2" i="11"/>
  <c r="K2" i="11"/>
  <c r="M2" i="17" s="1"/>
  <c r="M134" i="5"/>
  <c r="N134" i="5" s="1"/>
  <c r="Y133" i="5"/>
  <c r="B129" i="5"/>
  <c r="M128" i="5"/>
  <c r="N128" i="5" s="1"/>
  <c r="X127" i="5"/>
  <c r="Y125" i="5"/>
  <c r="H125" i="5"/>
  <c r="H122" i="5"/>
  <c r="X121" i="5"/>
  <c r="B120" i="5"/>
  <c r="M119" i="5"/>
  <c r="N119" i="5" s="1"/>
  <c r="Y115" i="5"/>
  <c r="X108" i="5"/>
  <c r="B107" i="5"/>
  <c r="Y101" i="5"/>
  <c r="Y100" i="5"/>
  <c r="B100" i="5"/>
  <c r="K217" i="10"/>
  <c r="A217" i="17" s="1"/>
  <c r="A708" i="18" s="1"/>
  <c r="G217" i="10"/>
  <c r="D217" i="17" s="1"/>
  <c r="C217" i="10"/>
  <c r="A217" i="10"/>
  <c r="AA216" i="10"/>
  <c r="Y216" i="10"/>
  <c r="V216" i="10"/>
  <c r="P216" i="10"/>
  <c r="K216" i="10"/>
  <c r="A216" i="17" s="1"/>
  <c r="A707" i="18" s="1"/>
  <c r="G216" i="10"/>
  <c r="D216" i="17" s="1"/>
  <c r="C216" i="10"/>
  <c r="A216" i="10"/>
  <c r="AA215" i="10"/>
  <c r="Y215" i="10"/>
  <c r="V215" i="10"/>
  <c r="P215" i="10"/>
  <c r="K215" i="10"/>
  <c r="A215" i="17" s="1"/>
  <c r="A706" i="18" s="1"/>
  <c r="G215" i="10"/>
  <c r="D215" i="17" s="1"/>
  <c r="C215" i="10"/>
  <c r="A215" i="10"/>
  <c r="AA214" i="10"/>
  <c r="Y214" i="10"/>
  <c r="V214" i="10"/>
  <c r="P214" i="10"/>
  <c r="K214" i="10"/>
  <c r="A214" i="17" s="1"/>
  <c r="A705" i="18" s="1"/>
  <c r="G214" i="10"/>
  <c r="D214" i="17" s="1"/>
  <c r="C214" i="10"/>
  <c r="A214" i="10"/>
  <c r="AA213" i="10"/>
  <c r="Y213" i="10"/>
  <c r="V213" i="10"/>
  <c r="P213" i="10"/>
  <c r="K213" i="10"/>
  <c r="A213" i="17" s="1"/>
  <c r="A704" i="18" s="1"/>
  <c r="G213" i="10"/>
  <c r="D213" i="17" s="1"/>
  <c r="C213" i="10"/>
  <c r="A213" i="10"/>
  <c r="AA212" i="10"/>
  <c r="Y212" i="10"/>
  <c r="V212" i="10"/>
  <c r="P212" i="10"/>
  <c r="K212" i="10"/>
  <c r="A212" i="17" s="1"/>
  <c r="A703" i="18" s="1"/>
  <c r="G212" i="10"/>
  <c r="D212" i="17" s="1"/>
  <c r="C212" i="10"/>
  <c r="A212" i="10"/>
  <c r="AA211" i="10"/>
  <c r="Y211" i="10"/>
  <c r="V211" i="10"/>
  <c r="P211" i="10"/>
  <c r="K211" i="10"/>
  <c r="A211" i="17" s="1"/>
  <c r="A702" i="18" s="1"/>
  <c r="G211" i="10"/>
  <c r="D211" i="17" s="1"/>
  <c r="C211" i="10"/>
  <c r="A211" i="10"/>
  <c r="AA210" i="10"/>
  <c r="Y210" i="10"/>
  <c r="V210" i="10"/>
  <c r="P210" i="10"/>
  <c r="K210" i="10"/>
  <c r="A210" i="17" s="1"/>
  <c r="A701" i="18" s="1"/>
  <c r="G210" i="10"/>
  <c r="D210" i="17" s="1"/>
  <c r="C210" i="10"/>
  <c r="A210" i="10"/>
  <c r="AA209" i="10"/>
  <c r="Y209" i="10"/>
  <c r="V209" i="10"/>
  <c r="P209" i="10"/>
  <c r="K209" i="10"/>
  <c r="A209" i="17" s="1"/>
  <c r="A700" i="18" s="1"/>
  <c r="G209" i="10"/>
  <c r="D209" i="17" s="1"/>
  <c r="C209" i="10"/>
  <c r="A209" i="10"/>
  <c r="AA208" i="10"/>
  <c r="Y208" i="10"/>
  <c r="V208" i="10"/>
  <c r="P208" i="10"/>
  <c r="K208" i="10"/>
  <c r="A208" i="17" s="1"/>
  <c r="A699" i="18" s="1"/>
  <c r="G208" i="10"/>
  <c r="D208" i="17" s="1"/>
  <c r="C208" i="10"/>
  <c r="A208" i="10"/>
  <c r="AA207" i="10"/>
  <c r="Y207" i="10"/>
  <c r="V207" i="10"/>
  <c r="P207" i="10"/>
  <c r="K207" i="10"/>
  <c r="A207" i="17" s="1"/>
  <c r="A698" i="18" s="1"/>
  <c r="G207" i="10"/>
  <c r="D207" i="17" s="1"/>
  <c r="C207" i="10"/>
  <c r="A207" i="10"/>
  <c r="AA206" i="10"/>
  <c r="Y206" i="10"/>
  <c r="V206" i="10"/>
  <c r="P206" i="10"/>
  <c r="K206" i="10"/>
  <c r="A206" i="17" s="1"/>
  <c r="A697" i="18" s="1"/>
  <c r="G206" i="10"/>
  <c r="D206" i="17" s="1"/>
  <c r="C206" i="10"/>
  <c r="A206" i="10"/>
  <c r="AA205" i="10"/>
  <c r="Y205" i="10"/>
  <c r="V205" i="10"/>
  <c r="P205" i="10"/>
  <c r="K205" i="10"/>
  <c r="A205" i="17" s="1"/>
  <c r="A696" i="18" s="1"/>
  <c r="G205" i="10"/>
  <c r="D205" i="17" s="1"/>
  <c r="C205" i="10"/>
  <c r="A205" i="10"/>
  <c r="AA204" i="10"/>
  <c r="Y204" i="10"/>
  <c r="V204" i="10"/>
  <c r="P204" i="10"/>
  <c r="K204" i="10"/>
  <c r="A204" i="17" s="1"/>
  <c r="A695" i="18" s="1"/>
  <c r="G204" i="10"/>
  <c r="D204" i="17" s="1"/>
  <c r="C204" i="10"/>
  <c r="A204" i="10"/>
  <c r="AA203" i="10"/>
  <c r="Y203" i="10"/>
  <c r="V203" i="10"/>
  <c r="P203" i="10"/>
  <c r="K203" i="10"/>
  <c r="A203" i="17" s="1"/>
  <c r="A694" i="18" s="1"/>
  <c r="G203" i="10"/>
  <c r="D203" i="17" s="1"/>
  <c r="C203" i="10"/>
  <c r="A203" i="10"/>
  <c r="AA202" i="10"/>
  <c r="Y202" i="10"/>
  <c r="V202" i="10"/>
  <c r="P202" i="10"/>
  <c r="K202" i="10"/>
  <c r="A202" i="17" s="1"/>
  <c r="A693" i="18" s="1"/>
  <c r="G202" i="10"/>
  <c r="D202" i="17" s="1"/>
  <c r="C202" i="10"/>
  <c r="A202" i="10"/>
  <c r="AA201" i="10"/>
  <c r="Y201" i="10"/>
  <c r="V201" i="10"/>
  <c r="P201" i="10"/>
  <c r="K201" i="10"/>
  <c r="A201" i="17" s="1"/>
  <c r="A692" i="18" s="1"/>
  <c r="G201" i="10"/>
  <c r="D201" i="17" s="1"/>
  <c r="C201" i="10"/>
  <c r="A201" i="10"/>
  <c r="AA200" i="10"/>
  <c r="Y200" i="10"/>
  <c r="V200" i="10"/>
  <c r="P200" i="10"/>
  <c r="K200" i="10"/>
  <c r="A200" i="17" s="1"/>
  <c r="A691" i="18" s="1"/>
  <c r="G200" i="10"/>
  <c r="D200" i="17" s="1"/>
  <c r="C200" i="10"/>
  <c r="A200" i="10"/>
  <c r="AA199" i="10"/>
  <c r="Y199" i="10"/>
  <c r="V199" i="10"/>
  <c r="P199" i="10"/>
  <c r="K199" i="10"/>
  <c r="A199" i="17" s="1"/>
  <c r="A690" i="18" s="1"/>
  <c r="G199" i="10"/>
  <c r="D199" i="17" s="1"/>
  <c r="C199" i="10"/>
  <c r="A199" i="10"/>
  <c r="AA198" i="10"/>
  <c r="Y198" i="10"/>
  <c r="V198" i="10"/>
  <c r="P198" i="10"/>
  <c r="K198" i="10"/>
  <c r="A198" i="17" s="1"/>
  <c r="A689" i="18" s="1"/>
  <c r="G198" i="10"/>
  <c r="D198" i="17" s="1"/>
  <c r="C198" i="10"/>
  <c r="A198" i="10"/>
  <c r="AA197" i="10"/>
  <c r="Y197" i="10"/>
  <c r="V197" i="10"/>
  <c r="P197" i="10"/>
  <c r="K197" i="10"/>
  <c r="A197" i="17" s="1"/>
  <c r="A688" i="18" s="1"/>
  <c r="G197" i="10"/>
  <c r="D197" i="17" s="1"/>
  <c r="C197" i="10"/>
  <c r="A197" i="10"/>
  <c r="AA196" i="10"/>
  <c r="Y196" i="10"/>
  <c r="V196" i="10"/>
  <c r="P196" i="10"/>
  <c r="K196" i="10"/>
  <c r="A196" i="17" s="1"/>
  <c r="A687" i="18" s="1"/>
  <c r="G196" i="10"/>
  <c r="D196" i="17" s="1"/>
  <c r="C196" i="10"/>
  <c r="A196" i="10"/>
  <c r="AA195" i="10"/>
  <c r="Y195" i="10"/>
  <c r="V195" i="10"/>
  <c r="P195" i="10"/>
  <c r="K195" i="10"/>
  <c r="A195" i="17" s="1"/>
  <c r="A686" i="18" s="1"/>
  <c r="G195" i="10"/>
  <c r="D195" i="17" s="1"/>
  <c r="C195" i="10"/>
  <c r="A195" i="10"/>
  <c r="AA194" i="10"/>
  <c r="Y194" i="10"/>
  <c r="V194" i="10"/>
  <c r="P194" i="10"/>
  <c r="K194" i="10"/>
  <c r="A194" i="17" s="1"/>
  <c r="A685" i="18" s="1"/>
  <c r="G194" i="10"/>
  <c r="D194" i="17" s="1"/>
  <c r="C194" i="10"/>
  <c r="A194" i="10"/>
  <c r="AA193" i="10"/>
  <c r="Y193" i="10"/>
  <c r="V193" i="10"/>
  <c r="P193" i="10"/>
  <c r="K193" i="10"/>
  <c r="A193" i="17" s="1"/>
  <c r="A684" i="18" s="1"/>
  <c r="G193" i="10"/>
  <c r="D193" i="17" s="1"/>
  <c r="C193" i="10"/>
  <c r="A193" i="10"/>
  <c r="AA190" i="10"/>
  <c r="Y190" i="10"/>
  <c r="V190" i="10"/>
  <c r="P190" i="10"/>
  <c r="K190" i="10"/>
  <c r="A190" i="17" s="1"/>
  <c r="A681" i="18" s="1"/>
  <c r="G190" i="10"/>
  <c r="D190" i="17" s="1"/>
  <c r="C190" i="10"/>
  <c r="A190" i="10"/>
  <c r="AA189" i="10"/>
  <c r="Y189" i="10"/>
  <c r="V189" i="10"/>
  <c r="P189" i="10"/>
  <c r="K189" i="10"/>
  <c r="A189" i="17" s="1"/>
  <c r="A680" i="18" s="1"/>
  <c r="G189" i="10"/>
  <c r="D189" i="17" s="1"/>
  <c r="C189" i="10"/>
  <c r="A189" i="10"/>
  <c r="AA188" i="10"/>
  <c r="Y188" i="10"/>
  <c r="V188" i="10"/>
  <c r="P188" i="10"/>
  <c r="K188" i="10"/>
  <c r="A188" i="17" s="1"/>
  <c r="A679" i="18" s="1"/>
  <c r="G188" i="10"/>
  <c r="D188" i="17" s="1"/>
  <c r="C188" i="10"/>
  <c r="A188" i="10"/>
  <c r="AA187" i="10"/>
  <c r="Y187" i="10"/>
  <c r="V187" i="10"/>
  <c r="P187" i="10"/>
  <c r="K187" i="10"/>
  <c r="A187" i="17" s="1"/>
  <c r="A678" i="18" s="1"/>
  <c r="G187" i="10"/>
  <c r="D187" i="17" s="1"/>
  <c r="C187" i="10"/>
  <c r="A187" i="10"/>
  <c r="AA186" i="10"/>
  <c r="Y186" i="10"/>
  <c r="V186" i="10"/>
  <c r="P186" i="10"/>
  <c r="K186" i="10"/>
  <c r="A186" i="17" s="1"/>
  <c r="A677" i="18" s="1"/>
  <c r="G186" i="10"/>
  <c r="D186" i="17" s="1"/>
  <c r="C186" i="10"/>
  <c r="A186" i="10"/>
  <c r="AA185" i="10"/>
  <c r="Y185" i="10"/>
  <c r="V185" i="10"/>
  <c r="P185" i="10"/>
  <c r="K185" i="10"/>
  <c r="A185" i="17" s="1"/>
  <c r="A676" i="18" s="1"/>
  <c r="G185" i="10"/>
  <c r="D185" i="17" s="1"/>
  <c r="C185" i="10"/>
  <c r="A185" i="10"/>
  <c r="AA184" i="10"/>
  <c r="Y184" i="10"/>
  <c r="V184" i="10"/>
  <c r="P184" i="10"/>
  <c r="K184" i="10"/>
  <c r="A184" i="17" s="1"/>
  <c r="A675" i="18" s="1"/>
  <c r="G184" i="10"/>
  <c r="D184" i="17" s="1"/>
  <c r="C184" i="10"/>
  <c r="A184" i="10"/>
  <c r="AA183" i="10"/>
  <c r="Y183" i="10"/>
  <c r="V183" i="10"/>
  <c r="P183" i="10"/>
  <c r="K183" i="10"/>
  <c r="A183" i="17" s="1"/>
  <c r="A674" i="18" s="1"/>
  <c r="G183" i="10"/>
  <c r="D183" i="17" s="1"/>
  <c r="C183" i="10"/>
  <c r="A183" i="10"/>
  <c r="AA182" i="10"/>
  <c r="Y182" i="10"/>
  <c r="V182" i="10"/>
  <c r="P182" i="10"/>
  <c r="K182" i="10"/>
  <c r="A182" i="17" s="1"/>
  <c r="A673" i="18" s="1"/>
  <c r="G182" i="10"/>
  <c r="D182" i="17" s="1"/>
  <c r="C182" i="10"/>
  <c r="A182" i="10"/>
  <c r="AA181" i="10"/>
  <c r="Y181" i="10"/>
  <c r="V181" i="10"/>
  <c r="P181" i="10"/>
  <c r="K181" i="10"/>
  <c r="A181" i="17" s="1"/>
  <c r="A672" i="18" s="1"/>
  <c r="G181" i="10"/>
  <c r="D181" i="17" s="1"/>
  <c r="C181" i="10"/>
  <c r="A181" i="10"/>
  <c r="AA180" i="10"/>
  <c r="Y180" i="10"/>
  <c r="V180" i="10"/>
  <c r="P180" i="10"/>
  <c r="K180" i="10"/>
  <c r="A180" i="17" s="1"/>
  <c r="A671" i="18" s="1"/>
  <c r="G180" i="10"/>
  <c r="D180" i="17" s="1"/>
  <c r="C180" i="10"/>
  <c r="A180" i="10"/>
  <c r="AA179" i="10"/>
  <c r="Y179" i="10"/>
  <c r="V179" i="10"/>
  <c r="P179" i="10"/>
  <c r="K179" i="10"/>
  <c r="A179" i="17" s="1"/>
  <c r="A670" i="18" s="1"/>
  <c r="G179" i="10"/>
  <c r="D179" i="17" s="1"/>
  <c r="C179" i="10"/>
  <c r="A179" i="10"/>
  <c r="AA178" i="10"/>
  <c r="Y178" i="10"/>
  <c r="V178" i="10"/>
  <c r="P178" i="10"/>
  <c r="K178" i="10"/>
  <c r="A178" i="17" s="1"/>
  <c r="A669" i="18" s="1"/>
  <c r="G178" i="10"/>
  <c r="D178" i="17" s="1"/>
  <c r="C178" i="10"/>
  <c r="A178" i="10"/>
  <c r="AA177" i="10"/>
  <c r="Y177" i="10"/>
  <c r="V177" i="10"/>
  <c r="P177" i="10"/>
  <c r="K177" i="10"/>
  <c r="A177" i="17" s="1"/>
  <c r="A668" i="18" s="1"/>
  <c r="G177" i="10"/>
  <c r="D177" i="17" s="1"/>
  <c r="C177" i="10"/>
  <c r="A177" i="10"/>
  <c r="AA176" i="10"/>
  <c r="Y176" i="10"/>
  <c r="V176" i="10"/>
  <c r="P176" i="10"/>
  <c r="K176" i="10"/>
  <c r="A176" i="17" s="1"/>
  <c r="A667" i="18" s="1"/>
  <c r="G176" i="10"/>
  <c r="D176" i="17" s="1"/>
  <c r="C176" i="10"/>
  <c r="A176" i="10"/>
  <c r="AA175" i="10"/>
  <c r="Y175" i="10"/>
  <c r="V175" i="10"/>
  <c r="P175" i="10"/>
  <c r="K175" i="10"/>
  <c r="A175" i="17" s="1"/>
  <c r="A666" i="18" s="1"/>
  <c r="G175" i="10"/>
  <c r="D175" i="17" s="1"/>
  <c r="C175" i="10"/>
  <c r="A175" i="10"/>
  <c r="AA174" i="10"/>
  <c r="Y174" i="10"/>
  <c r="V174" i="10"/>
  <c r="P174" i="10"/>
  <c r="K174" i="10"/>
  <c r="A174" i="17" s="1"/>
  <c r="A665" i="18" s="1"/>
  <c r="G174" i="10"/>
  <c r="D174" i="17" s="1"/>
  <c r="C174" i="10"/>
  <c r="A174" i="10"/>
  <c r="AA173" i="10"/>
  <c r="Y173" i="10"/>
  <c r="V173" i="10"/>
  <c r="P173" i="10"/>
  <c r="K173" i="10"/>
  <c r="A173" i="17" s="1"/>
  <c r="A664" i="18" s="1"/>
  <c r="G173" i="10"/>
  <c r="D173" i="17" s="1"/>
  <c r="C173" i="10"/>
  <c r="A173" i="10"/>
  <c r="AA172" i="10"/>
  <c r="Y172" i="10"/>
  <c r="V172" i="10"/>
  <c r="P172" i="10"/>
  <c r="K172" i="10"/>
  <c r="A172" i="17" s="1"/>
  <c r="A663" i="18" s="1"/>
  <c r="G172" i="10"/>
  <c r="D172" i="17" s="1"/>
  <c r="C172" i="10"/>
  <c r="A172" i="10"/>
  <c r="AA171" i="10"/>
  <c r="Y171" i="10"/>
  <c r="V171" i="10"/>
  <c r="P171" i="10"/>
  <c r="K171" i="10"/>
  <c r="A171" i="17" s="1"/>
  <c r="A662" i="18" s="1"/>
  <c r="G171" i="10"/>
  <c r="D171" i="17" s="1"/>
  <c r="C171" i="10"/>
  <c r="A171" i="10"/>
  <c r="AA170" i="10"/>
  <c r="Y170" i="10"/>
  <c r="V170" i="10"/>
  <c r="P170" i="10"/>
  <c r="K170" i="10"/>
  <c r="A170" i="17" s="1"/>
  <c r="A661" i="18" s="1"/>
  <c r="G170" i="10"/>
  <c r="D170" i="17" s="1"/>
  <c r="C170" i="10"/>
  <c r="A170" i="10"/>
  <c r="AA169" i="10"/>
  <c r="Y169" i="10"/>
  <c r="V169" i="10"/>
  <c r="P169" i="10"/>
  <c r="K169" i="10"/>
  <c r="A169" i="17" s="1"/>
  <c r="A660" i="18" s="1"/>
  <c r="G169" i="10"/>
  <c r="D169" i="17" s="1"/>
  <c r="C169" i="10"/>
  <c r="A169" i="10"/>
  <c r="AA168" i="10"/>
  <c r="Y168" i="10"/>
  <c r="V168" i="10"/>
  <c r="P168" i="10"/>
  <c r="K168" i="10"/>
  <c r="A168" i="17" s="1"/>
  <c r="A659" i="18" s="1"/>
  <c r="G168" i="10"/>
  <c r="D168" i="17" s="1"/>
  <c r="C168" i="10"/>
  <c r="A168" i="10"/>
  <c r="AA167" i="10"/>
  <c r="Y167" i="10"/>
  <c r="V167" i="10"/>
  <c r="P167" i="10"/>
  <c r="K167" i="10"/>
  <c r="A167" i="17" s="1"/>
  <c r="A658" i="18" s="1"/>
  <c r="G167" i="10"/>
  <c r="D167" i="17" s="1"/>
  <c r="C167" i="10"/>
  <c r="A167" i="10"/>
  <c r="AA166" i="10"/>
  <c r="Y166" i="10"/>
  <c r="V166" i="10"/>
  <c r="P166" i="10"/>
  <c r="K166" i="10"/>
  <c r="A166" i="17" s="1"/>
  <c r="A657" i="18" s="1"/>
  <c r="G166" i="10"/>
  <c r="D166" i="17" s="1"/>
  <c r="C166" i="10"/>
  <c r="A166" i="10"/>
  <c r="AA165" i="10"/>
  <c r="Y165" i="10"/>
  <c r="V165" i="10"/>
  <c r="P165" i="10"/>
  <c r="K165" i="10"/>
  <c r="A165" i="17" s="1"/>
  <c r="A656" i="18" s="1"/>
  <c r="G165" i="10"/>
  <c r="D165" i="17" s="1"/>
  <c r="C165" i="10"/>
  <c r="A165" i="10"/>
  <c r="AA164" i="10"/>
  <c r="Y164" i="10"/>
  <c r="V164" i="10"/>
  <c r="P164" i="10"/>
  <c r="K164" i="10"/>
  <c r="A164" i="17" s="1"/>
  <c r="A655" i="18" s="1"/>
  <c r="G164" i="10"/>
  <c r="D164" i="17" s="1"/>
  <c r="C164" i="10"/>
  <c r="A164" i="10"/>
  <c r="AA163" i="10"/>
  <c r="Y163" i="10"/>
  <c r="V163" i="10"/>
  <c r="P163" i="10"/>
  <c r="K163" i="10"/>
  <c r="A163" i="17" s="1"/>
  <c r="A654" i="18" s="1"/>
  <c r="G163" i="10"/>
  <c r="D163" i="17" s="1"/>
  <c r="C163" i="10"/>
  <c r="A163" i="10"/>
  <c r="AA162" i="10"/>
  <c r="Y162" i="10"/>
  <c r="V162" i="10"/>
  <c r="P162" i="10"/>
  <c r="K162" i="10"/>
  <c r="A162" i="17" s="1"/>
  <c r="A653" i="18" s="1"/>
  <c r="G162" i="10"/>
  <c r="D162" i="17" s="1"/>
  <c r="C162" i="10"/>
  <c r="A162" i="10"/>
  <c r="AA161" i="10"/>
  <c r="Y161" i="10"/>
  <c r="V161" i="10"/>
  <c r="P161" i="10"/>
  <c r="K161" i="10"/>
  <c r="A161" i="17" s="1"/>
  <c r="A652" i="18" s="1"/>
  <c r="G161" i="10"/>
  <c r="D161" i="17" s="1"/>
  <c r="C161" i="10"/>
  <c r="A161" i="10"/>
  <c r="AA160" i="10"/>
  <c r="Y160" i="10"/>
  <c r="V160" i="10"/>
  <c r="P160" i="10"/>
  <c r="K160" i="10"/>
  <c r="A160" i="17" s="1"/>
  <c r="A651" i="18" s="1"/>
  <c r="G160" i="10"/>
  <c r="D160" i="17" s="1"/>
  <c r="C160" i="10"/>
  <c r="A160" i="10"/>
  <c r="AA159" i="10"/>
  <c r="Y159" i="10"/>
  <c r="V159" i="10"/>
  <c r="P159" i="10"/>
  <c r="K159" i="10"/>
  <c r="A159" i="17" s="1"/>
  <c r="A650" i="18" s="1"/>
  <c r="G159" i="10"/>
  <c r="D159" i="17" s="1"/>
  <c r="C159" i="10"/>
  <c r="A159" i="10"/>
  <c r="AA158" i="10"/>
  <c r="Y158" i="10"/>
  <c r="V158" i="10"/>
  <c r="P158" i="10"/>
  <c r="K158" i="10"/>
  <c r="A158" i="17" s="1"/>
  <c r="A649" i="18" s="1"/>
  <c r="G158" i="10"/>
  <c r="D158" i="17" s="1"/>
  <c r="C158" i="10"/>
  <c r="A158" i="10"/>
  <c r="AA157" i="10"/>
  <c r="Y157" i="10"/>
  <c r="V157" i="10"/>
  <c r="P157" i="10"/>
  <c r="K157" i="10"/>
  <c r="A157" i="17" s="1"/>
  <c r="A648" i="18" s="1"/>
  <c r="G157" i="10"/>
  <c r="D157" i="17" s="1"/>
  <c r="C157" i="10"/>
  <c r="A157" i="10"/>
  <c r="AA156" i="10"/>
  <c r="Y156" i="10"/>
  <c r="V156" i="10"/>
  <c r="P156" i="10"/>
  <c r="K156" i="10"/>
  <c r="A156" i="17" s="1"/>
  <c r="A647" i="18" s="1"/>
  <c r="G156" i="10"/>
  <c r="D156" i="17" s="1"/>
  <c r="C156" i="10"/>
  <c r="A156" i="10"/>
  <c r="AA155" i="10"/>
  <c r="Y155" i="10"/>
  <c r="V155" i="10"/>
  <c r="P155" i="10"/>
  <c r="K155" i="10"/>
  <c r="A155" i="17" s="1"/>
  <c r="A646" i="18" s="1"/>
  <c r="G155" i="10"/>
  <c r="D155" i="17" s="1"/>
  <c r="C155" i="10"/>
  <c r="A155" i="10"/>
  <c r="AA154" i="10"/>
  <c r="Y154" i="10"/>
  <c r="V154" i="10"/>
  <c r="P154" i="10"/>
  <c r="K154" i="10"/>
  <c r="A154" i="17" s="1"/>
  <c r="A645" i="18" s="1"/>
  <c r="G154" i="10"/>
  <c r="D154" i="17" s="1"/>
  <c r="C154" i="10"/>
  <c r="A154" i="10"/>
  <c r="AA153" i="10"/>
  <c r="Y153" i="10"/>
  <c r="V153" i="10"/>
  <c r="P153" i="10"/>
  <c r="K153" i="10"/>
  <c r="A153" i="17" s="1"/>
  <c r="A644" i="18" s="1"/>
  <c r="G153" i="10"/>
  <c r="D153" i="17" s="1"/>
  <c r="C153" i="10"/>
  <c r="A153" i="10"/>
  <c r="AA152" i="10"/>
  <c r="Y152" i="10"/>
  <c r="V152" i="10"/>
  <c r="P152" i="10"/>
  <c r="K152" i="10"/>
  <c r="A152" i="17" s="1"/>
  <c r="A643" i="18" s="1"/>
  <c r="G152" i="10"/>
  <c r="D152" i="17" s="1"/>
  <c r="C152" i="10"/>
  <c r="A152" i="10"/>
  <c r="AA151" i="10"/>
  <c r="Y151" i="10"/>
  <c r="V151" i="10"/>
  <c r="P151" i="10"/>
  <c r="K151" i="10"/>
  <c r="A151" i="17" s="1"/>
  <c r="A642" i="18" s="1"/>
  <c r="G151" i="10"/>
  <c r="D151" i="17" s="1"/>
  <c r="C151" i="10"/>
  <c r="A151" i="10"/>
  <c r="AA150" i="10"/>
  <c r="Y150" i="10"/>
  <c r="V150" i="10"/>
  <c r="P150" i="10"/>
  <c r="K150" i="10"/>
  <c r="A150" i="17" s="1"/>
  <c r="A641" i="18" s="1"/>
  <c r="G150" i="10"/>
  <c r="D150" i="17" s="1"/>
  <c r="C150" i="10"/>
  <c r="A150" i="10"/>
  <c r="AA149" i="10"/>
  <c r="Y149" i="10"/>
  <c r="V149" i="10"/>
  <c r="P149" i="10"/>
  <c r="K149" i="10"/>
  <c r="A149" i="17" s="1"/>
  <c r="A640" i="18" s="1"/>
  <c r="G149" i="10"/>
  <c r="D149" i="17" s="1"/>
  <c r="C149" i="10"/>
  <c r="A149" i="10"/>
  <c r="AA148" i="10"/>
  <c r="Y148" i="10"/>
  <c r="V148" i="10"/>
  <c r="P148" i="10"/>
  <c r="K148" i="10"/>
  <c r="A148" i="17" s="1"/>
  <c r="A639" i="18" s="1"/>
  <c r="G148" i="10"/>
  <c r="D148" i="17" s="1"/>
  <c r="C148" i="10"/>
  <c r="A148" i="10"/>
  <c r="AA147" i="10"/>
  <c r="Y147" i="10"/>
  <c r="V147" i="10"/>
  <c r="P147" i="10"/>
  <c r="K147" i="10"/>
  <c r="A147" i="17" s="1"/>
  <c r="A638" i="18" s="1"/>
  <c r="G147" i="10"/>
  <c r="D147" i="17" s="1"/>
  <c r="C147" i="10"/>
  <c r="A147" i="10"/>
  <c r="AA146" i="10"/>
  <c r="Y146" i="10"/>
  <c r="V146" i="10"/>
  <c r="P146" i="10"/>
  <c r="K146" i="10"/>
  <c r="A146" i="17" s="1"/>
  <c r="A637" i="18" s="1"/>
  <c r="G146" i="10"/>
  <c r="D146" i="17" s="1"/>
  <c r="C146" i="10"/>
  <c r="A146" i="10"/>
  <c r="AA145" i="10"/>
  <c r="Y145" i="10"/>
  <c r="V145" i="10"/>
  <c r="P145" i="10"/>
  <c r="K145" i="10"/>
  <c r="A145" i="17" s="1"/>
  <c r="A636" i="18" s="1"/>
  <c r="G145" i="10"/>
  <c r="D145" i="17" s="1"/>
  <c r="C145" i="10"/>
  <c r="A145" i="10"/>
  <c r="AA144" i="10"/>
  <c r="Y144" i="10"/>
  <c r="V144" i="10"/>
  <c r="P144" i="10"/>
  <c r="K144" i="10"/>
  <c r="A144" i="17" s="1"/>
  <c r="A635" i="18" s="1"/>
  <c r="G144" i="10"/>
  <c r="D144" i="17" s="1"/>
  <c r="C144" i="10"/>
  <c r="A144" i="10"/>
  <c r="AA143" i="10"/>
  <c r="Y143" i="10"/>
  <c r="V143" i="10"/>
  <c r="P143" i="10"/>
  <c r="K143" i="10"/>
  <c r="A143" i="17" s="1"/>
  <c r="A634" i="18" s="1"/>
  <c r="G143" i="10"/>
  <c r="D143" i="17" s="1"/>
  <c r="C143" i="10"/>
  <c r="A143" i="10"/>
  <c r="AA142" i="10"/>
  <c r="Y142" i="10"/>
  <c r="V142" i="10"/>
  <c r="P142" i="10"/>
  <c r="K142" i="10"/>
  <c r="A142" i="17" s="1"/>
  <c r="A633" i="18" s="1"/>
  <c r="G142" i="10"/>
  <c r="D142" i="17" s="1"/>
  <c r="C142" i="10"/>
  <c r="A142" i="10"/>
  <c r="AA141" i="10"/>
  <c r="Y141" i="10"/>
  <c r="V141" i="10"/>
  <c r="P141" i="10"/>
  <c r="K141" i="10"/>
  <c r="A141" i="17" s="1"/>
  <c r="A632" i="18" s="1"/>
  <c r="G141" i="10"/>
  <c r="D141" i="17" s="1"/>
  <c r="C141" i="10"/>
  <c r="A141" i="10"/>
  <c r="AA140" i="10"/>
  <c r="Y140" i="10"/>
  <c r="V140" i="10"/>
  <c r="P140" i="10"/>
  <c r="K140" i="10"/>
  <c r="A140" i="17" s="1"/>
  <c r="A631" i="18" s="1"/>
  <c r="G140" i="10"/>
  <c r="D140" i="17" s="1"/>
  <c r="C140" i="10"/>
  <c r="A140" i="10"/>
  <c r="AA139" i="10"/>
  <c r="Y139" i="10"/>
  <c r="V139" i="10"/>
  <c r="P139" i="10"/>
  <c r="K139" i="10"/>
  <c r="A139" i="17" s="1"/>
  <c r="A630" i="18" s="1"/>
  <c r="G139" i="10"/>
  <c r="D139" i="17" s="1"/>
  <c r="C139" i="10"/>
  <c r="A139" i="10"/>
  <c r="AA138" i="10"/>
  <c r="Y138" i="10"/>
  <c r="V138" i="10"/>
  <c r="P138" i="10"/>
  <c r="K138" i="10"/>
  <c r="A138" i="17" s="1"/>
  <c r="A629" i="18" s="1"/>
  <c r="G138" i="10"/>
  <c r="D138" i="17" s="1"/>
  <c r="C138" i="10"/>
  <c r="A138" i="10"/>
  <c r="AA137" i="10"/>
  <c r="Y137" i="10"/>
  <c r="V137" i="10"/>
  <c r="P137" i="10"/>
  <c r="K137" i="10"/>
  <c r="A137" i="17" s="1"/>
  <c r="A628" i="18" s="1"/>
  <c r="G137" i="10"/>
  <c r="D137" i="17" s="1"/>
  <c r="C137" i="10"/>
  <c r="A137" i="10"/>
  <c r="AA136" i="10"/>
  <c r="Y136" i="10"/>
  <c r="V136" i="10"/>
  <c r="P136" i="10"/>
  <c r="K136" i="10"/>
  <c r="A136" i="17" s="1"/>
  <c r="A627" i="18" s="1"/>
  <c r="G136" i="10"/>
  <c r="D136" i="17" s="1"/>
  <c r="C136" i="10"/>
  <c r="A136" i="10"/>
  <c r="AA135" i="10"/>
  <c r="Y135" i="10"/>
  <c r="V135" i="10"/>
  <c r="P135" i="10"/>
  <c r="K135" i="10"/>
  <c r="A135" i="17" s="1"/>
  <c r="A626" i="18" s="1"/>
  <c r="G135" i="10"/>
  <c r="D135" i="17" s="1"/>
  <c r="C135" i="10"/>
  <c r="A135" i="10"/>
  <c r="AA134" i="10"/>
  <c r="Y134" i="10"/>
  <c r="V134" i="10"/>
  <c r="P134" i="10"/>
  <c r="K134" i="10"/>
  <c r="A134" i="17" s="1"/>
  <c r="A625" i="18" s="1"/>
  <c r="G134" i="10"/>
  <c r="D134" i="17" s="1"/>
  <c r="C134" i="10"/>
  <c r="A134" i="10"/>
  <c r="AA133" i="10"/>
  <c r="Y133" i="10"/>
  <c r="V133" i="10"/>
  <c r="P133" i="10"/>
  <c r="K133" i="10"/>
  <c r="A133" i="17" s="1"/>
  <c r="A624" i="18" s="1"/>
  <c r="G133" i="10"/>
  <c r="D133" i="17" s="1"/>
  <c r="C133" i="10"/>
  <c r="A133" i="10"/>
  <c r="AA132" i="10"/>
  <c r="Y132" i="10"/>
  <c r="V132" i="10"/>
  <c r="P132" i="10"/>
  <c r="K132" i="10"/>
  <c r="A132" i="17" s="1"/>
  <c r="A623" i="18" s="1"/>
  <c r="G132" i="10"/>
  <c r="D132" i="17" s="1"/>
  <c r="C132" i="10"/>
  <c r="A132" i="10"/>
  <c r="AA131" i="10"/>
  <c r="Y131" i="10"/>
  <c r="V131" i="10"/>
  <c r="P131" i="10"/>
  <c r="K131" i="10"/>
  <c r="A131" i="17" s="1"/>
  <c r="A622" i="18" s="1"/>
  <c r="G131" i="10"/>
  <c r="D131" i="17" s="1"/>
  <c r="C131" i="10"/>
  <c r="A131" i="10"/>
  <c r="AA130" i="10"/>
  <c r="Y130" i="10"/>
  <c r="V130" i="10"/>
  <c r="P130" i="10"/>
  <c r="K130" i="10"/>
  <c r="A130" i="17" s="1"/>
  <c r="A621" i="18" s="1"/>
  <c r="G130" i="10"/>
  <c r="D130" i="17" s="1"/>
  <c r="C130" i="10"/>
  <c r="A130" i="10"/>
  <c r="AA129" i="10"/>
  <c r="Y129" i="10"/>
  <c r="V129" i="10"/>
  <c r="P129" i="10"/>
  <c r="K129" i="10"/>
  <c r="A129" i="17" s="1"/>
  <c r="A620" i="18" s="1"/>
  <c r="G129" i="10"/>
  <c r="D129" i="17" s="1"/>
  <c r="C129" i="10"/>
  <c r="A129" i="10"/>
  <c r="AA128" i="10"/>
  <c r="Y128" i="10"/>
  <c r="V128" i="10"/>
  <c r="P128" i="10"/>
  <c r="K128" i="10"/>
  <c r="A128" i="17" s="1"/>
  <c r="A619" i="18" s="1"/>
  <c r="G128" i="10"/>
  <c r="D128" i="17" s="1"/>
  <c r="C128" i="10"/>
  <c r="A128" i="10"/>
  <c r="AA127" i="10"/>
  <c r="Y127" i="10"/>
  <c r="V127" i="10"/>
  <c r="P127" i="10"/>
  <c r="K127" i="10"/>
  <c r="A127" i="17" s="1"/>
  <c r="A618" i="18" s="1"/>
  <c r="G127" i="10"/>
  <c r="D127" i="17" s="1"/>
  <c r="C127" i="10"/>
  <c r="A127" i="10"/>
  <c r="AA126" i="10"/>
  <c r="Y126" i="10"/>
  <c r="V126" i="10"/>
  <c r="P126" i="10"/>
  <c r="K126" i="10"/>
  <c r="A126" i="17" s="1"/>
  <c r="A617" i="18" s="1"/>
  <c r="G126" i="10"/>
  <c r="D126" i="17" s="1"/>
  <c r="C126" i="10"/>
  <c r="A126" i="10"/>
  <c r="AA125" i="10"/>
  <c r="Y125" i="10"/>
  <c r="V125" i="10"/>
  <c r="P125" i="10"/>
  <c r="K125" i="10"/>
  <c r="A125" i="17" s="1"/>
  <c r="A616" i="18" s="1"/>
  <c r="G125" i="10"/>
  <c r="D125" i="17" s="1"/>
  <c r="C125" i="10"/>
  <c r="A125" i="10"/>
  <c r="AA124" i="10"/>
  <c r="Y124" i="10"/>
  <c r="V124" i="10"/>
  <c r="P124" i="10"/>
  <c r="K124" i="10"/>
  <c r="A124" i="17" s="1"/>
  <c r="A615" i="18" s="1"/>
  <c r="G124" i="10"/>
  <c r="D124" i="17" s="1"/>
  <c r="C124" i="10"/>
  <c r="A124" i="10"/>
  <c r="AA123" i="10"/>
  <c r="Y123" i="10"/>
  <c r="V123" i="10"/>
  <c r="P123" i="10"/>
  <c r="K123" i="10"/>
  <c r="A123" i="17" s="1"/>
  <c r="A614" i="18" s="1"/>
  <c r="G123" i="10"/>
  <c r="D123" i="17" s="1"/>
  <c r="C123" i="10"/>
  <c r="A123" i="10"/>
  <c r="AA122" i="10"/>
  <c r="Y122" i="10"/>
  <c r="V122" i="10"/>
  <c r="P122" i="10"/>
  <c r="K122" i="10"/>
  <c r="A122" i="17" s="1"/>
  <c r="A613" i="18" s="1"/>
  <c r="G122" i="10"/>
  <c r="D122" i="17" s="1"/>
  <c r="C122" i="10"/>
  <c r="A122" i="10"/>
  <c r="AA121" i="10"/>
  <c r="Y121" i="10"/>
  <c r="V121" i="10"/>
  <c r="P121" i="10"/>
  <c r="K121" i="10"/>
  <c r="A121" i="17" s="1"/>
  <c r="A612" i="18" s="1"/>
  <c r="G121" i="10"/>
  <c r="D121" i="17" s="1"/>
  <c r="C121" i="10"/>
  <c r="A121" i="10"/>
  <c r="AA120" i="10"/>
  <c r="Y120" i="10"/>
  <c r="V120" i="10"/>
  <c r="P120" i="10"/>
  <c r="K120" i="10"/>
  <c r="A120" i="17" s="1"/>
  <c r="A611" i="18" s="1"/>
  <c r="G120" i="10"/>
  <c r="D120" i="17" s="1"/>
  <c r="C120" i="10"/>
  <c r="A120" i="10"/>
  <c r="AA119" i="10"/>
  <c r="Y119" i="10"/>
  <c r="V119" i="10"/>
  <c r="P119" i="10"/>
  <c r="K119" i="10"/>
  <c r="A119" i="17" s="1"/>
  <c r="A610" i="18" s="1"/>
  <c r="G119" i="10"/>
  <c r="D119" i="17" s="1"/>
  <c r="C119" i="10"/>
  <c r="A119" i="10"/>
  <c r="AA118" i="10"/>
  <c r="Y118" i="10"/>
  <c r="V118" i="10"/>
  <c r="P118" i="10"/>
  <c r="K118" i="10"/>
  <c r="A118" i="17" s="1"/>
  <c r="A609" i="18" s="1"/>
  <c r="G118" i="10"/>
  <c r="D118" i="17" s="1"/>
  <c r="C118" i="10"/>
  <c r="A118" i="10"/>
  <c r="AA117" i="10"/>
  <c r="Y117" i="10"/>
  <c r="V117" i="10"/>
  <c r="P117" i="10"/>
  <c r="K117" i="10"/>
  <c r="A117" i="17" s="1"/>
  <c r="A608" i="18" s="1"/>
  <c r="G117" i="10"/>
  <c r="D117" i="17" s="1"/>
  <c r="C117" i="10"/>
  <c r="A117" i="10"/>
  <c r="AA116" i="10"/>
  <c r="Y116" i="10"/>
  <c r="V116" i="10"/>
  <c r="P116" i="10"/>
  <c r="K116" i="10"/>
  <c r="A116" i="17" s="1"/>
  <c r="A607" i="18" s="1"/>
  <c r="G116" i="10"/>
  <c r="D116" i="17" s="1"/>
  <c r="C116" i="10"/>
  <c r="A116" i="10"/>
  <c r="AA115" i="10"/>
  <c r="Y115" i="10"/>
  <c r="V115" i="10"/>
  <c r="P115" i="10"/>
  <c r="K115" i="10"/>
  <c r="A115" i="17" s="1"/>
  <c r="A606" i="18" s="1"/>
  <c r="G115" i="10"/>
  <c r="D115" i="17" s="1"/>
  <c r="C115" i="10"/>
  <c r="A115" i="10"/>
  <c r="AA114" i="10"/>
  <c r="Y114" i="10"/>
  <c r="V114" i="10"/>
  <c r="P114" i="10"/>
  <c r="K114" i="10"/>
  <c r="A114" i="17" s="1"/>
  <c r="A605" i="18" s="1"/>
  <c r="G114" i="10"/>
  <c r="D114" i="17" s="1"/>
  <c r="C114" i="10"/>
  <c r="A114" i="10"/>
  <c r="AA113" i="10"/>
  <c r="Y113" i="10"/>
  <c r="V113" i="10"/>
  <c r="P113" i="10"/>
  <c r="K113" i="10"/>
  <c r="A113" i="17" s="1"/>
  <c r="A604" i="18" s="1"/>
  <c r="G113" i="10"/>
  <c r="D113" i="17" s="1"/>
  <c r="C113" i="10"/>
  <c r="A113" i="10"/>
  <c r="AA112" i="10"/>
  <c r="Y112" i="10"/>
  <c r="V112" i="10"/>
  <c r="P112" i="10"/>
  <c r="K112" i="10"/>
  <c r="A112" i="17" s="1"/>
  <c r="A603" i="18" s="1"/>
  <c r="G112" i="10"/>
  <c r="D112" i="17" s="1"/>
  <c r="C112" i="10"/>
  <c r="A112" i="10"/>
  <c r="AA111" i="10"/>
  <c r="Y111" i="10"/>
  <c r="V111" i="10"/>
  <c r="P111" i="10"/>
  <c r="K111" i="10"/>
  <c r="A111" i="17" s="1"/>
  <c r="A602" i="18" s="1"/>
  <c r="G111" i="10"/>
  <c r="D111" i="17" s="1"/>
  <c r="C111" i="10"/>
  <c r="A111" i="10"/>
  <c r="AA110" i="10"/>
  <c r="Y110" i="10"/>
  <c r="V110" i="10"/>
  <c r="P110" i="10"/>
  <c r="K110" i="10"/>
  <c r="A110" i="17" s="1"/>
  <c r="A601" i="18" s="1"/>
  <c r="G110" i="10"/>
  <c r="D110" i="17" s="1"/>
  <c r="C110" i="10"/>
  <c r="A110" i="10"/>
  <c r="AA109" i="10"/>
  <c r="Y109" i="10"/>
  <c r="V109" i="10"/>
  <c r="P109" i="10"/>
  <c r="K109" i="10"/>
  <c r="A109" i="17" s="1"/>
  <c r="A600" i="18" s="1"/>
  <c r="G109" i="10"/>
  <c r="D109" i="17" s="1"/>
  <c r="C109" i="10"/>
  <c r="A109" i="10"/>
  <c r="AA108" i="10"/>
  <c r="Y108" i="10"/>
  <c r="V108" i="10"/>
  <c r="P108" i="10"/>
  <c r="K108" i="10"/>
  <c r="A108" i="17" s="1"/>
  <c r="A599" i="18" s="1"/>
  <c r="G108" i="10"/>
  <c r="D108" i="17" s="1"/>
  <c r="C108" i="10"/>
  <c r="A108" i="10"/>
  <c r="AA107" i="10"/>
  <c r="Y107" i="10"/>
  <c r="V107" i="10"/>
  <c r="P107" i="10"/>
  <c r="K107" i="10"/>
  <c r="A107" i="17" s="1"/>
  <c r="A598" i="18" s="1"/>
  <c r="G107" i="10"/>
  <c r="D107" i="17" s="1"/>
  <c r="C107" i="10"/>
  <c r="A107" i="10"/>
  <c r="AA106" i="10"/>
  <c r="Y106" i="10"/>
  <c r="V106" i="10"/>
  <c r="P106" i="10"/>
  <c r="K106" i="10"/>
  <c r="A106" i="17" s="1"/>
  <c r="A597" i="18" s="1"/>
  <c r="G106" i="10"/>
  <c r="D106" i="17" s="1"/>
  <c r="C106" i="10"/>
  <c r="A106" i="10"/>
  <c r="AA105" i="10"/>
  <c r="Y105" i="10"/>
  <c r="V105" i="10"/>
  <c r="P105" i="10"/>
  <c r="K105" i="10"/>
  <c r="A105" i="17" s="1"/>
  <c r="A596" i="18" s="1"/>
  <c r="G105" i="10"/>
  <c r="D105" i="17" s="1"/>
  <c r="C105" i="10"/>
  <c r="A105" i="10"/>
  <c r="AA104" i="10"/>
  <c r="Y104" i="10"/>
  <c r="V104" i="10"/>
  <c r="P104" i="10"/>
  <c r="K104" i="10"/>
  <c r="A104" i="17" s="1"/>
  <c r="A595" i="18" s="1"/>
  <c r="G104" i="10"/>
  <c r="D104" i="17" s="1"/>
  <c r="C104" i="10"/>
  <c r="A104" i="10"/>
  <c r="AA103" i="10"/>
  <c r="Y103" i="10"/>
  <c r="V103" i="10"/>
  <c r="P103" i="10"/>
  <c r="K103" i="10"/>
  <c r="A103" i="17" s="1"/>
  <c r="A594" i="18" s="1"/>
  <c r="G103" i="10"/>
  <c r="D103" i="17" s="1"/>
  <c r="C103" i="10"/>
  <c r="A103" i="10"/>
  <c r="AA102" i="10"/>
  <c r="Y102" i="10"/>
  <c r="V102" i="10"/>
  <c r="P102" i="10"/>
  <c r="K102" i="10"/>
  <c r="A102" i="17" s="1"/>
  <c r="A593" i="18" s="1"/>
  <c r="G102" i="10"/>
  <c r="D102" i="17" s="1"/>
  <c r="C102" i="10"/>
  <c r="A102" i="10"/>
  <c r="AA101" i="10"/>
  <c r="Y101" i="10"/>
  <c r="V101" i="10"/>
  <c r="P101" i="10"/>
  <c r="K101" i="10"/>
  <c r="A101" i="17" s="1"/>
  <c r="A592" i="18" s="1"/>
  <c r="G101" i="10"/>
  <c r="D101" i="17" s="1"/>
  <c r="C101" i="10"/>
  <c r="A101" i="10"/>
  <c r="AA100" i="10"/>
  <c r="Y100" i="10"/>
  <c r="V100" i="10"/>
  <c r="P100" i="10"/>
  <c r="K100" i="10"/>
  <c r="A100" i="17" s="1"/>
  <c r="A591" i="18" s="1"/>
  <c r="G100" i="10"/>
  <c r="D100" i="17" s="1"/>
  <c r="C100" i="10"/>
  <c r="A100" i="10"/>
  <c r="AA99" i="10"/>
  <c r="Y99" i="10"/>
  <c r="V99" i="10"/>
  <c r="P99" i="10"/>
  <c r="K99" i="10"/>
  <c r="A99" i="17" s="1"/>
  <c r="A590" i="18" s="1"/>
  <c r="G99" i="10"/>
  <c r="D99" i="17" s="1"/>
  <c r="C99" i="10"/>
  <c r="A99" i="10"/>
  <c r="AA98" i="10"/>
  <c r="Y98" i="10"/>
  <c r="V98" i="10"/>
  <c r="P98" i="10"/>
  <c r="K98" i="10"/>
  <c r="A98" i="17" s="1"/>
  <c r="A589" i="18" s="1"/>
  <c r="G98" i="10"/>
  <c r="D98" i="17" s="1"/>
  <c r="C98" i="10"/>
  <c r="A98" i="10"/>
  <c r="AA97" i="10"/>
  <c r="Y97" i="10"/>
  <c r="V97" i="10"/>
  <c r="P97" i="10"/>
  <c r="K97" i="10"/>
  <c r="A97" i="17" s="1"/>
  <c r="A588" i="18" s="1"/>
  <c r="G97" i="10"/>
  <c r="D97" i="17" s="1"/>
  <c r="C97" i="10"/>
  <c r="A97" i="10"/>
  <c r="B182" i="5"/>
  <c r="H181" i="5"/>
  <c r="X180" i="5"/>
  <c r="M180" i="5"/>
  <c r="N180" i="5" s="1"/>
  <c r="Y178" i="5"/>
  <c r="B178" i="5"/>
  <c r="Y177" i="5"/>
  <c r="B176" i="5"/>
  <c r="X175" i="5"/>
  <c r="M175" i="5"/>
  <c r="N175" i="5" s="1"/>
  <c r="M174" i="5"/>
  <c r="N174" i="5" s="1"/>
  <c r="X172" i="5"/>
  <c r="M172" i="5"/>
  <c r="N172" i="5" s="1"/>
  <c r="M171" i="5"/>
  <c r="N171" i="5" s="1"/>
  <c r="B171" i="5"/>
  <c r="X170" i="5"/>
  <c r="X169" i="5"/>
  <c r="X168" i="5"/>
  <c r="H168" i="5"/>
  <c r="Y167" i="5"/>
  <c r="H167" i="5"/>
  <c r="B166" i="5"/>
  <c r="B165" i="5"/>
  <c r="Y163" i="5"/>
  <c r="Y162" i="5"/>
  <c r="M162" i="5"/>
  <c r="N162" i="5" s="1"/>
  <c r="Y161" i="5"/>
  <c r="B161" i="5"/>
  <c r="Y160" i="5"/>
  <c r="M160" i="5"/>
  <c r="N160" i="5" s="1"/>
  <c r="B160" i="5"/>
  <c r="Y159" i="5"/>
  <c r="X158" i="5"/>
  <c r="H158" i="5"/>
  <c r="Y157" i="5"/>
  <c r="X156" i="5"/>
  <c r="Y155" i="5"/>
  <c r="M155" i="5"/>
  <c r="N155" i="5" s="1"/>
  <c r="B155" i="5"/>
  <c r="Y154" i="5"/>
  <c r="M154" i="5"/>
  <c r="N154" i="5" s="1"/>
  <c r="M152" i="5"/>
  <c r="N152" i="5" s="1"/>
  <c r="X151" i="5"/>
  <c r="H151" i="5"/>
  <c r="B151" i="5"/>
  <c r="Y150" i="5"/>
  <c r="Y149" i="5"/>
  <c r="X147" i="5"/>
  <c r="B147" i="5"/>
  <c r="Y145" i="5"/>
  <c r="M145" i="5"/>
  <c r="N145" i="5" s="1"/>
  <c r="B143" i="5"/>
  <c r="Y138" i="5"/>
  <c r="B131" i="5"/>
  <c r="Y127" i="5"/>
  <c r="H127" i="5"/>
  <c r="X124" i="5"/>
  <c r="H118" i="5"/>
  <c r="B116" i="5"/>
  <c r="M110" i="5"/>
  <c r="N110" i="5" s="1"/>
  <c r="X102" i="5"/>
  <c r="Y36" i="10"/>
  <c r="V36" i="10"/>
  <c r="P36" i="10"/>
  <c r="K36" i="10"/>
  <c r="A36" i="17" s="1"/>
  <c r="A527" i="18" s="1"/>
  <c r="G36" i="10"/>
  <c r="D36" i="17" s="1"/>
  <c r="C36" i="10"/>
  <c r="A36" i="10"/>
  <c r="AA35" i="10"/>
  <c r="Y35" i="10"/>
  <c r="V35" i="10"/>
  <c r="P35" i="10"/>
  <c r="K35" i="10"/>
  <c r="A35" i="17" s="1"/>
  <c r="A526" i="18" s="1"/>
  <c r="G35" i="10"/>
  <c r="D35" i="17" s="1"/>
  <c r="C35" i="10"/>
  <c r="A35" i="10"/>
  <c r="AA34" i="10"/>
  <c r="Y34" i="10"/>
  <c r="V34" i="10"/>
  <c r="P34" i="10"/>
  <c r="K34" i="10"/>
  <c r="A34" i="17" s="1"/>
  <c r="A525" i="18" s="1"/>
  <c r="G34" i="10"/>
  <c r="D34" i="17" s="1"/>
  <c r="C34" i="10"/>
  <c r="A34" i="10"/>
  <c r="AA33" i="10"/>
  <c r="Y33" i="10"/>
  <c r="V33" i="10"/>
  <c r="P33" i="10"/>
  <c r="K33" i="10"/>
  <c r="A33" i="17" s="1"/>
  <c r="A524" i="18" s="1"/>
  <c r="G33" i="10"/>
  <c r="D33" i="17" s="1"/>
  <c r="C33" i="10"/>
  <c r="A33" i="10"/>
  <c r="AA32" i="10"/>
  <c r="Y32" i="10"/>
  <c r="V32" i="10"/>
  <c r="P32" i="10"/>
  <c r="K32" i="10"/>
  <c r="A32" i="17" s="1"/>
  <c r="A523" i="18" s="1"/>
  <c r="G32" i="10"/>
  <c r="D32" i="17" s="1"/>
  <c r="C32" i="10"/>
  <c r="A32" i="10"/>
  <c r="AA31" i="10"/>
  <c r="Y31" i="10"/>
  <c r="V31" i="10"/>
  <c r="P31" i="10"/>
  <c r="K31" i="10"/>
  <c r="A31" i="17" s="1"/>
  <c r="A522" i="18" s="1"/>
  <c r="G31" i="10"/>
  <c r="D31" i="17" s="1"/>
  <c r="C31" i="10"/>
  <c r="A31" i="10"/>
  <c r="AA30" i="10"/>
  <c r="Y30" i="10"/>
  <c r="V30" i="10"/>
  <c r="P30" i="10"/>
  <c r="K30" i="10"/>
  <c r="A30" i="17" s="1"/>
  <c r="A521" i="18" s="1"/>
  <c r="G30" i="10"/>
  <c r="D30" i="17" s="1"/>
  <c r="C30" i="10"/>
  <c r="A30" i="10"/>
  <c r="AA29" i="10"/>
  <c r="Y29" i="10"/>
  <c r="V29" i="10"/>
  <c r="P29" i="10"/>
  <c r="K29" i="10"/>
  <c r="A29" i="17" s="1"/>
  <c r="A520" i="18" s="1"/>
  <c r="G29" i="10"/>
  <c r="D29" i="17" s="1"/>
  <c r="C29" i="10"/>
  <c r="A29" i="10"/>
  <c r="AA28" i="10"/>
  <c r="Y28" i="10"/>
  <c r="V28" i="10"/>
  <c r="P28" i="10"/>
  <c r="K28" i="10"/>
  <c r="A28" i="17" s="1"/>
  <c r="A519" i="18" s="1"/>
  <c r="G28" i="10"/>
  <c r="D28" i="17" s="1"/>
  <c r="C28" i="10"/>
  <c r="A28" i="10"/>
  <c r="AA27" i="10"/>
  <c r="Y27" i="10"/>
  <c r="V27" i="10"/>
  <c r="P27" i="10"/>
  <c r="K27" i="10"/>
  <c r="A27" i="17" s="1"/>
  <c r="A518" i="18" s="1"/>
  <c r="G27" i="10"/>
  <c r="D27" i="17" s="1"/>
  <c r="C27" i="10"/>
  <c r="A27" i="10"/>
  <c r="AA26" i="10"/>
  <c r="Y26" i="10"/>
  <c r="V26" i="10"/>
  <c r="P26" i="10"/>
  <c r="K26" i="10"/>
  <c r="A26" i="17" s="1"/>
  <c r="A517" i="18" s="1"/>
  <c r="G26" i="10"/>
  <c r="D26" i="17" s="1"/>
  <c r="C26" i="10"/>
  <c r="A26" i="10"/>
  <c r="AA25" i="10"/>
  <c r="Y25" i="10"/>
  <c r="V25" i="10"/>
  <c r="P25" i="10"/>
  <c r="K25" i="10"/>
  <c r="A25" i="17" s="1"/>
  <c r="A516" i="18" s="1"/>
  <c r="G25" i="10"/>
  <c r="D25" i="17" s="1"/>
  <c r="C25" i="10"/>
  <c r="A25" i="10"/>
  <c r="AA24" i="10"/>
  <c r="Y24" i="10"/>
  <c r="V24" i="10"/>
  <c r="P24" i="10"/>
  <c r="K24" i="10"/>
  <c r="A24" i="17" s="1"/>
  <c r="A515" i="18" s="1"/>
  <c r="G24" i="10"/>
  <c r="D24" i="17" s="1"/>
  <c r="C24" i="10"/>
  <c r="A24" i="10"/>
  <c r="AA23" i="10"/>
  <c r="Y23" i="10"/>
  <c r="V23" i="10"/>
  <c r="P23" i="10"/>
  <c r="K23" i="10"/>
  <c r="A23" i="17" s="1"/>
  <c r="A514" i="18" s="1"/>
  <c r="G23" i="10"/>
  <c r="D23" i="17" s="1"/>
  <c r="C23" i="10"/>
  <c r="A23" i="10"/>
  <c r="AA22" i="10"/>
  <c r="Y22" i="10"/>
  <c r="V22" i="10"/>
  <c r="P22" i="10"/>
  <c r="K22" i="10"/>
  <c r="A22" i="17" s="1"/>
  <c r="A513" i="18" s="1"/>
  <c r="G22" i="10"/>
  <c r="D22" i="17" s="1"/>
  <c r="C22" i="10"/>
  <c r="A22" i="10"/>
  <c r="AA21" i="10"/>
  <c r="Y21" i="10"/>
  <c r="V21" i="10"/>
  <c r="P21" i="10"/>
  <c r="K21" i="10"/>
  <c r="A21" i="17" s="1"/>
  <c r="A512" i="18" s="1"/>
  <c r="G21" i="10"/>
  <c r="D21" i="17" s="1"/>
  <c r="C21" i="10"/>
  <c r="A21" i="10"/>
  <c r="AA20" i="10"/>
  <c r="Y20" i="10"/>
  <c r="V20" i="10"/>
  <c r="P20" i="10"/>
  <c r="K20" i="10"/>
  <c r="A20" i="17" s="1"/>
  <c r="A511" i="18" s="1"/>
  <c r="G20" i="10"/>
  <c r="D20" i="17" s="1"/>
  <c r="C20" i="10"/>
  <c r="A20" i="10"/>
  <c r="AA19" i="10"/>
  <c r="Y19" i="10"/>
  <c r="V19" i="10"/>
  <c r="P19" i="10"/>
  <c r="K19" i="10"/>
  <c r="A19" i="17" s="1"/>
  <c r="A510" i="18" s="1"/>
  <c r="G19" i="10"/>
  <c r="D19" i="17" s="1"/>
  <c r="C19" i="10"/>
  <c r="A19" i="10"/>
  <c r="AA18" i="10"/>
  <c r="Y18" i="10"/>
  <c r="V18" i="10"/>
  <c r="P18" i="10"/>
  <c r="K18" i="10"/>
  <c r="A18" i="17" s="1"/>
  <c r="A509" i="18" s="1"/>
  <c r="G18" i="10"/>
  <c r="D18" i="17" s="1"/>
  <c r="C18" i="10"/>
  <c r="A18" i="10"/>
  <c r="AA17" i="10"/>
  <c r="Y17" i="10"/>
  <c r="V17" i="10"/>
  <c r="P17" i="10"/>
  <c r="K17" i="10"/>
  <c r="A17" i="17" s="1"/>
  <c r="A508" i="18" s="1"/>
  <c r="G17" i="10"/>
  <c r="D17" i="17" s="1"/>
  <c r="C17" i="10"/>
  <c r="A17" i="10"/>
  <c r="AA16" i="10"/>
  <c r="Y16" i="10"/>
  <c r="V16" i="10"/>
  <c r="P16" i="10"/>
  <c r="K16" i="10"/>
  <c r="A16" i="17" s="1"/>
  <c r="A507" i="18" s="1"/>
  <c r="G16" i="10"/>
  <c r="D16" i="17" s="1"/>
  <c r="C16" i="10"/>
  <c r="A16" i="10"/>
  <c r="AA15" i="10"/>
  <c r="Y15" i="10"/>
  <c r="V15" i="10"/>
  <c r="P15" i="10"/>
  <c r="K15" i="10"/>
  <c r="A15" i="17" s="1"/>
  <c r="A506" i="18" s="1"/>
  <c r="G15" i="10"/>
  <c r="D15" i="17" s="1"/>
  <c r="C15" i="10"/>
  <c r="A15" i="10"/>
  <c r="AA14" i="10"/>
  <c r="Y14" i="10"/>
  <c r="V14" i="10"/>
  <c r="P14" i="10"/>
  <c r="K14" i="10"/>
  <c r="A14" i="17" s="1"/>
  <c r="A505" i="18" s="1"/>
  <c r="G14" i="10"/>
  <c r="D14" i="17" s="1"/>
  <c r="C14" i="10"/>
  <c r="A14" i="10"/>
  <c r="AA13" i="10"/>
  <c r="Y13" i="10"/>
  <c r="V13" i="10"/>
  <c r="P13" i="10"/>
  <c r="K13" i="10"/>
  <c r="A13" i="17" s="1"/>
  <c r="A504" i="18" s="1"/>
  <c r="G13" i="10"/>
  <c r="D13" i="17" s="1"/>
  <c r="C13" i="10"/>
  <c r="A13" i="10"/>
  <c r="AA12" i="10"/>
  <c r="Y12" i="10"/>
  <c r="V12" i="10"/>
  <c r="P12" i="10"/>
  <c r="K12" i="10"/>
  <c r="A12" i="17" s="1"/>
  <c r="A503" i="18" s="1"/>
  <c r="G12" i="10"/>
  <c r="D12" i="17" s="1"/>
  <c r="C12" i="10"/>
  <c r="A12" i="10"/>
  <c r="AA11" i="10"/>
  <c r="Y11" i="10"/>
  <c r="V11" i="10"/>
  <c r="P11" i="10"/>
  <c r="K11" i="10"/>
  <c r="A11" i="17" s="1"/>
  <c r="A502" i="18" s="1"/>
  <c r="G11" i="10"/>
  <c r="D11" i="17" s="1"/>
  <c r="C11" i="10"/>
  <c r="A11" i="10"/>
  <c r="AA10" i="10"/>
  <c r="Y10" i="10"/>
  <c r="V10" i="10"/>
  <c r="P10" i="10"/>
  <c r="K10" i="10"/>
  <c r="A10" i="17" s="1"/>
  <c r="A501" i="18" s="1"/>
  <c r="G10" i="10"/>
  <c r="D10" i="17" s="1"/>
  <c r="C10" i="10"/>
  <c r="A10" i="10"/>
  <c r="AA9" i="10"/>
  <c r="Y9" i="10"/>
  <c r="V9" i="10"/>
  <c r="P9" i="10"/>
  <c r="K9" i="10"/>
  <c r="A9" i="17" s="1"/>
  <c r="A500" i="18" s="1"/>
  <c r="G9" i="10"/>
  <c r="D9" i="17" s="1"/>
  <c r="C9" i="10"/>
  <c r="A9" i="10"/>
  <c r="AA8" i="10"/>
  <c r="Y8" i="10"/>
  <c r="V8" i="10"/>
  <c r="P8" i="10"/>
  <c r="K8" i="10"/>
  <c r="A8" i="17" s="1"/>
  <c r="A499" i="18" s="1"/>
  <c r="G8" i="10"/>
  <c r="D8" i="17" s="1"/>
  <c r="C8" i="10"/>
  <c r="A8" i="10"/>
  <c r="AA7" i="10"/>
  <c r="Y7" i="10"/>
  <c r="V7" i="10"/>
  <c r="P7" i="10"/>
  <c r="K7" i="10"/>
  <c r="A7" i="17" s="1"/>
  <c r="A498" i="18" s="1"/>
  <c r="G7" i="10"/>
  <c r="D7" i="17" s="1"/>
  <c r="C7" i="10"/>
  <c r="A7" i="10"/>
  <c r="AA6" i="10"/>
  <c r="Y6" i="10"/>
  <c r="V6" i="10"/>
  <c r="P6" i="10"/>
  <c r="K6" i="10"/>
  <c r="A6" i="17" s="1"/>
  <c r="A497" i="18" s="1"/>
  <c r="G6" i="10"/>
  <c r="D6" i="17" s="1"/>
  <c r="C6" i="10"/>
  <c r="A6" i="10"/>
  <c r="AA5" i="10"/>
  <c r="Y5" i="10"/>
  <c r="V5" i="10"/>
  <c r="P5" i="10"/>
  <c r="K5" i="10"/>
  <c r="A5" i="17" s="1"/>
  <c r="A496" i="18" s="1"/>
  <c r="G5" i="10"/>
  <c r="D5" i="17" s="1"/>
  <c r="C5" i="10"/>
  <c r="A5" i="10"/>
  <c r="AA4" i="10"/>
  <c r="Y4" i="10"/>
  <c r="V4" i="10"/>
  <c r="P4" i="10"/>
  <c r="K4" i="10"/>
  <c r="A4" i="17" s="1"/>
  <c r="A495" i="18" s="1"/>
  <c r="G4" i="10"/>
  <c r="D4" i="17" s="1"/>
  <c r="C4" i="10"/>
  <c r="A4" i="10"/>
  <c r="AA3" i="10"/>
  <c r="Y3" i="10"/>
  <c r="V3" i="10"/>
  <c r="P3" i="10"/>
  <c r="K3" i="10"/>
  <c r="A3" i="17" s="1"/>
  <c r="A494" i="18" s="1"/>
  <c r="G3" i="10"/>
  <c r="D3" i="17" s="1"/>
  <c r="C3" i="10"/>
  <c r="A3" i="10"/>
  <c r="AA2" i="10"/>
  <c r="Y2" i="10"/>
  <c r="V2" i="10"/>
  <c r="P2" i="10"/>
  <c r="K2" i="10"/>
  <c r="A2" i="17" s="1"/>
  <c r="A493" i="18" s="1"/>
  <c r="G2" i="10"/>
  <c r="D2" i="17" s="1"/>
  <c r="C2" i="10"/>
  <c r="A2" i="10"/>
  <c r="C14" i="8"/>
  <c r="J13" i="8"/>
  <c r="D13" i="8"/>
  <c r="J12" i="8"/>
  <c r="D12" i="8"/>
  <c r="J11" i="8"/>
  <c r="D11" i="8"/>
  <c r="J10" i="8"/>
  <c r="D10" i="8"/>
  <c r="D14" i="8" s="1"/>
  <c r="X181" i="5"/>
  <c r="B181" i="5"/>
  <c r="Y180" i="5"/>
  <c r="H180" i="5"/>
  <c r="B180" i="5"/>
  <c r="Y179" i="5"/>
  <c r="M179" i="5"/>
  <c r="N179" i="5" s="1"/>
  <c r="B179" i="5"/>
  <c r="M178" i="5"/>
  <c r="N178" i="5" s="1"/>
  <c r="H178" i="5"/>
  <c r="X177" i="5"/>
  <c r="H177" i="5"/>
  <c r="B177" i="5"/>
  <c r="X176" i="5"/>
  <c r="M176" i="5"/>
  <c r="N176" i="5" s="1"/>
  <c r="Y175" i="5"/>
  <c r="H175" i="5"/>
  <c r="B175" i="5"/>
  <c r="X174" i="5"/>
  <c r="B174" i="5"/>
  <c r="X173" i="5"/>
  <c r="H173" i="5"/>
  <c r="B173" i="5"/>
  <c r="H172" i="5"/>
  <c r="B172" i="5"/>
  <c r="X171" i="5"/>
  <c r="H170" i="5"/>
  <c r="B170" i="5"/>
  <c r="Y169" i="5"/>
  <c r="M169" i="5"/>
  <c r="N169" i="5" s="1"/>
  <c r="X167" i="5"/>
  <c r="B167" i="5"/>
  <c r="Y166" i="5"/>
  <c r="H166" i="5"/>
  <c r="Y165" i="5"/>
  <c r="X164" i="5"/>
  <c r="X163" i="5"/>
  <c r="M163" i="5"/>
  <c r="N163" i="5" s="1"/>
  <c r="H163" i="5"/>
  <c r="B163" i="5"/>
  <c r="X162" i="5"/>
  <c r="B162" i="5"/>
  <c r="H161" i="5"/>
  <c r="X160" i="5"/>
  <c r="X159" i="5"/>
  <c r="M159" i="5"/>
  <c r="N159" i="5" s="1"/>
  <c r="H159" i="5"/>
  <c r="B159" i="5"/>
  <c r="Y158" i="5"/>
  <c r="B157" i="5"/>
  <c r="B156" i="5"/>
  <c r="X154" i="5"/>
  <c r="B154" i="5"/>
  <c r="X153" i="5"/>
  <c r="M153" i="5"/>
  <c r="N153" i="5" s="1"/>
  <c r="B153" i="5"/>
  <c r="X152" i="5"/>
  <c r="B152" i="5"/>
  <c r="M150" i="5"/>
  <c r="N150" i="5" s="1"/>
  <c r="H150" i="5"/>
  <c r="B150" i="5"/>
  <c r="X149" i="5"/>
  <c r="M149" i="5"/>
  <c r="N149" i="5" s="1"/>
  <c r="H149" i="5"/>
  <c r="B149" i="5"/>
  <c r="H148" i="5"/>
  <c r="M147" i="5"/>
  <c r="N147" i="5" s="1"/>
  <c r="X146" i="5"/>
  <c r="B146" i="5"/>
  <c r="H144" i="5"/>
  <c r="M141" i="5"/>
  <c r="N141" i="5" s="1"/>
  <c r="H139" i="5"/>
  <c r="Y137" i="5"/>
  <c r="B137" i="5"/>
  <c r="B133" i="5"/>
  <c r="Y132" i="5"/>
  <c r="B128" i="5"/>
  <c r="B126" i="5"/>
  <c r="X123" i="5"/>
  <c r="X122" i="5"/>
  <c r="X110" i="5"/>
  <c r="H110" i="5"/>
  <c r="M107" i="5"/>
  <c r="N107" i="5" s="1"/>
  <c r="B104" i="5"/>
  <c r="M99" i="5"/>
  <c r="N99" i="5" s="1"/>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H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H96" i="6"/>
  <c r="H95" i="6"/>
  <c r="H94" i="6"/>
  <c r="H93" i="6"/>
  <c r="H92" i="6"/>
  <c r="H91" i="6"/>
  <c r="H90" i="6"/>
  <c r="H89" i="6"/>
  <c r="H88" i="6"/>
  <c r="H87" i="6"/>
  <c r="H86" i="6"/>
  <c r="H85" i="6"/>
  <c r="H84" i="6"/>
  <c r="H83" i="6"/>
  <c r="H82" i="6"/>
  <c r="B224" i="5"/>
  <c r="Y223" i="5"/>
  <c r="X223" i="5"/>
  <c r="M223" i="5"/>
  <c r="N223" i="5" s="1"/>
  <c r="H223" i="5"/>
  <c r="B223" i="5"/>
  <c r="Y222" i="5"/>
  <c r="X222" i="5"/>
  <c r="M222" i="5"/>
  <c r="N222" i="5" s="1"/>
  <c r="H222" i="5"/>
  <c r="B222" i="5"/>
  <c r="Y221" i="5"/>
  <c r="X221" i="5"/>
  <c r="M221" i="5"/>
  <c r="N221" i="5" s="1"/>
  <c r="H221" i="5"/>
  <c r="B221" i="5"/>
  <c r="Y220" i="5"/>
  <c r="X220" i="5"/>
  <c r="M220" i="5"/>
  <c r="N220" i="5" s="1"/>
  <c r="H220" i="5"/>
  <c r="B220" i="5"/>
  <c r="Y219" i="5"/>
  <c r="X219" i="5"/>
  <c r="M219" i="5"/>
  <c r="N219" i="5" s="1"/>
  <c r="H219" i="5"/>
  <c r="B219" i="5"/>
  <c r="Y218" i="5"/>
  <c r="X218" i="5"/>
  <c r="M218" i="5"/>
  <c r="N218" i="5" s="1"/>
  <c r="H218" i="5"/>
  <c r="B218" i="5"/>
  <c r="Y217" i="5"/>
  <c r="X217" i="5"/>
  <c r="M217" i="5"/>
  <c r="N217" i="5" s="1"/>
  <c r="H217" i="5"/>
  <c r="B217" i="5"/>
  <c r="Y216" i="5"/>
  <c r="X216" i="5"/>
  <c r="M216" i="5"/>
  <c r="N216" i="5" s="1"/>
  <c r="H216" i="5"/>
  <c r="B216" i="5"/>
  <c r="Y215" i="5"/>
  <c r="X215" i="5"/>
  <c r="M215" i="5"/>
  <c r="N215" i="5" s="1"/>
  <c r="H215" i="5"/>
  <c r="B215" i="5"/>
  <c r="Y214" i="5"/>
  <c r="X214" i="5"/>
  <c r="M214" i="5"/>
  <c r="N214" i="5" s="1"/>
  <c r="H214" i="5"/>
  <c r="B214" i="5"/>
  <c r="Y213" i="5"/>
  <c r="X213" i="5"/>
  <c r="M213" i="5"/>
  <c r="N213" i="5" s="1"/>
  <c r="H213" i="5"/>
  <c r="B213" i="5"/>
  <c r="Y212" i="5"/>
  <c r="X212" i="5"/>
  <c r="M212" i="5"/>
  <c r="N212" i="5" s="1"/>
  <c r="H212" i="5"/>
  <c r="B212" i="5"/>
  <c r="Y211" i="5"/>
  <c r="X211" i="5"/>
  <c r="M211" i="5"/>
  <c r="N211" i="5" s="1"/>
  <c r="H211" i="5"/>
  <c r="B211" i="5"/>
  <c r="Y210" i="5"/>
  <c r="X210" i="5"/>
  <c r="M210" i="5"/>
  <c r="N210" i="5" s="1"/>
  <c r="H210" i="5"/>
  <c r="B210" i="5"/>
  <c r="Y209" i="5"/>
  <c r="X209" i="5"/>
  <c r="M209" i="5"/>
  <c r="N209" i="5" s="1"/>
  <c r="H209" i="5"/>
  <c r="B209" i="5"/>
  <c r="Y208" i="5"/>
  <c r="X208" i="5"/>
  <c r="M208" i="5"/>
  <c r="N208" i="5" s="1"/>
  <c r="H208" i="5"/>
  <c r="B208" i="5"/>
  <c r="Y207" i="5"/>
  <c r="X207" i="5"/>
  <c r="M207" i="5"/>
  <c r="N207" i="5" s="1"/>
  <c r="H207" i="5"/>
  <c r="B207" i="5"/>
  <c r="Y206" i="5"/>
  <c r="X206" i="5"/>
  <c r="M206" i="5"/>
  <c r="N206" i="5" s="1"/>
  <c r="H206" i="5"/>
  <c r="B206" i="5"/>
  <c r="Y205" i="5"/>
  <c r="X205" i="5"/>
  <c r="M205" i="5"/>
  <c r="N205" i="5" s="1"/>
  <c r="H205" i="5"/>
  <c r="B205" i="5"/>
  <c r="Y204" i="5"/>
  <c r="X204" i="5"/>
  <c r="M204" i="5"/>
  <c r="N204" i="5" s="1"/>
  <c r="H204" i="5"/>
  <c r="B204" i="5"/>
  <c r="Y203" i="5"/>
  <c r="X203" i="5"/>
  <c r="M203" i="5"/>
  <c r="N203" i="5" s="1"/>
  <c r="H203" i="5"/>
  <c r="B203" i="5"/>
  <c r="Y202" i="5"/>
  <c r="X202" i="5"/>
  <c r="M202" i="5"/>
  <c r="N202" i="5" s="1"/>
  <c r="H202" i="5"/>
  <c r="B202" i="5"/>
  <c r="Y201" i="5"/>
  <c r="X201" i="5"/>
  <c r="M201" i="5"/>
  <c r="N201" i="5" s="1"/>
  <c r="H201" i="5"/>
  <c r="B201" i="5"/>
  <c r="Y200" i="5"/>
  <c r="X200" i="5"/>
  <c r="M200" i="5"/>
  <c r="N200" i="5" s="1"/>
  <c r="H200" i="5"/>
  <c r="B200" i="5"/>
  <c r="Y199" i="5"/>
  <c r="X199" i="5"/>
  <c r="M199" i="5"/>
  <c r="N199" i="5" s="1"/>
  <c r="H199" i="5"/>
  <c r="B199" i="5"/>
  <c r="Y198" i="5"/>
  <c r="X198" i="5"/>
  <c r="M198" i="5"/>
  <c r="N198" i="5" s="1"/>
  <c r="H198" i="5"/>
  <c r="B198" i="5"/>
  <c r="Y197" i="5"/>
  <c r="X197" i="5"/>
  <c r="M197" i="5"/>
  <c r="N197" i="5" s="1"/>
  <c r="H197" i="5"/>
  <c r="B197" i="5"/>
  <c r="Y196" i="5"/>
  <c r="X196" i="5"/>
  <c r="M196" i="5"/>
  <c r="N196" i="5" s="1"/>
  <c r="H196" i="5"/>
  <c r="B196" i="5"/>
  <c r="Y195" i="5"/>
  <c r="X195" i="5"/>
  <c r="M195" i="5"/>
  <c r="N195" i="5" s="1"/>
  <c r="H195" i="5"/>
  <c r="B195" i="5"/>
  <c r="Y194" i="5"/>
  <c r="X194" i="5"/>
  <c r="M194" i="5"/>
  <c r="N194" i="5" s="1"/>
  <c r="H194" i="5"/>
  <c r="B194" i="5"/>
  <c r="Y193" i="5"/>
  <c r="X193" i="5"/>
  <c r="M193" i="5"/>
  <c r="N193" i="5" s="1"/>
  <c r="H193" i="5"/>
  <c r="B193" i="5"/>
  <c r="Y190" i="5"/>
  <c r="X190" i="5"/>
  <c r="M190" i="5"/>
  <c r="N190" i="5" s="1"/>
  <c r="H190" i="5"/>
  <c r="B190" i="5"/>
  <c r="Y189" i="5"/>
  <c r="X189" i="5"/>
  <c r="M189" i="5"/>
  <c r="N189" i="5" s="1"/>
  <c r="H189" i="5"/>
  <c r="B189" i="5"/>
  <c r="Y188" i="5"/>
  <c r="X188" i="5"/>
  <c r="M188" i="5"/>
  <c r="N188" i="5" s="1"/>
  <c r="H188" i="5"/>
  <c r="B188" i="5"/>
  <c r="Y187" i="5"/>
  <c r="X187" i="5"/>
  <c r="M187" i="5"/>
  <c r="N187" i="5" s="1"/>
  <c r="H187" i="5"/>
  <c r="B187" i="5"/>
  <c r="Y186" i="5"/>
  <c r="X186" i="5"/>
  <c r="M186" i="5"/>
  <c r="N186" i="5" s="1"/>
  <c r="H186" i="5"/>
  <c r="B186" i="5"/>
  <c r="Y185" i="5"/>
  <c r="X185" i="5"/>
  <c r="M185" i="5"/>
  <c r="N185" i="5" s="1"/>
  <c r="H185" i="5"/>
  <c r="B185" i="5"/>
  <c r="Y184" i="5"/>
  <c r="X184" i="5"/>
  <c r="M184" i="5"/>
  <c r="N184" i="5" s="1"/>
  <c r="H184" i="5"/>
  <c r="B184" i="5"/>
  <c r="Y183" i="5"/>
  <c r="X183" i="5"/>
  <c r="M183" i="5"/>
  <c r="N183" i="5" s="1"/>
  <c r="H183" i="5"/>
  <c r="B183" i="5"/>
  <c r="Y182" i="5"/>
  <c r="X182" i="5"/>
  <c r="M182" i="5"/>
  <c r="N182" i="5" s="1"/>
  <c r="H182" i="5"/>
  <c r="Y181" i="5"/>
  <c r="M181" i="5"/>
  <c r="N181" i="5" s="1"/>
  <c r="X179" i="5"/>
  <c r="H179" i="5"/>
  <c r="X178" i="5"/>
  <c r="M177" i="5"/>
  <c r="N177" i="5" s="1"/>
  <c r="Y176" i="5"/>
  <c r="H176" i="5"/>
  <c r="Y174" i="5"/>
  <c r="H174" i="5"/>
  <c r="Y173" i="5"/>
  <c r="M173" i="5"/>
  <c r="N173" i="5" s="1"/>
  <c r="Y172" i="5"/>
  <c r="Y171" i="5"/>
  <c r="H171" i="5"/>
  <c r="Y170" i="5"/>
  <c r="M170" i="5"/>
  <c r="N170" i="5" s="1"/>
  <c r="H169" i="5"/>
  <c r="B169" i="5"/>
  <c r="Y168" i="5"/>
  <c r="M168" i="5"/>
  <c r="N168" i="5" s="1"/>
  <c r="B168" i="5"/>
  <c r="M167" i="5"/>
  <c r="N167" i="5" s="1"/>
  <c r="X166" i="5"/>
  <c r="M166" i="5"/>
  <c r="N166" i="5" s="1"/>
  <c r="X165" i="5"/>
  <c r="M165" i="5"/>
  <c r="N165" i="5" s="1"/>
  <c r="H165" i="5"/>
  <c r="Y164" i="5"/>
  <c r="M164" i="5"/>
  <c r="N164" i="5" s="1"/>
  <c r="H164" i="5"/>
  <c r="B164" i="5"/>
  <c r="H162" i="5"/>
  <c r="X161" i="5"/>
  <c r="M161" i="5"/>
  <c r="N161" i="5" s="1"/>
  <c r="H160" i="5"/>
  <c r="M158" i="5"/>
  <c r="N158" i="5" s="1"/>
  <c r="B158" i="5"/>
  <c r="X157" i="5"/>
  <c r="M157" i="5"/>
  <c r="N157" i="5" s="1"/>
  <c r="H157" i="5"/>
  <c r="Y156" i="5"/>
  <c r="M156" i="5"/>
  <c r="N156" i="5" s="1"/>
  <c r="H156" i="5"/>
  <c r="X155" i="5"/>
  <c r="H155" i="5"/>
  <c r="H154" i="5"/>
  <c r="Y153" i="5"/>
  <c r="H153" i="5"/>
  <c r="Y152" i="5"/>
  <c r="H152" i="5"/>
  <c r="Y151" i="5"/>
  <c r="M151" i="5"/>
  <c r="N151" i="5" s="1"/>
  <c r="X150" i="5"/>
  <c r="Y148" i="5"/>
  <c r="X148" i="5"/>
  <c r="M148" i="5"/>
  <c r="N148" i="5" s="1"/>
  <c r="B148" i="5"/>
  <c r="Y147" i="5"/>
  <c r="H147" i="5"/>
  <c r="Y146" i="5"/>
  <c r="M146" i="5"/>
  <c r="N146" i="5" s="1"/>
  <c r="H146" i="5"/>
  <c r="X145" i="5"/>
  <c r="B145" i="5"/>
  <c r="M142" i="5"/>
  <c r="N142" i="5" s="1"/>
  <c r="B142" i="5"/>
  <c r="Y141" i="5"/>
  <c r="H134" i="5"/>
  <c r="X133" i="5"/>
  <c r="X128" i="5"/>
  <c r="H126" i="5"/>
  <c r="M120" i="5"/>
  <c r="N120" i="5" s="1"/>
  <c r="X118" i="5"/>
  <c r="X117" i="5"/>
  <c r="H114" i="5"/>
  <c r="M113" i="5"/>
  <c r="N113" i="5" s="1"/>
  <c r="Y111" i="5"/>
  <c r="M105" i="5"/>
  <c r="N105" i="5" s="1"/>
  <c r="M104" i="5"/>
  <c r="N104" i="5" s="1"/>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Y242" i="5"/>
  <c r="X242" i="5"/>
  <c r="M242" i="5"/>
  <c r="N242" i="5" s="1"/>
  <c r="H242" i="5"/>
  <c r="B242" i="5"/>
  <c r="Y241" i="5"/>
  <c r="X241" i="5"/>
  <c r="M241" i="5"/>
  <c r="N241" i="5" s="1"/>
  <c r="H241" i="5"/>
  <c r="B241" i="5"/>
  <c r="Y240" i="5"/>
  <c r="X240" i="5"/>
  <c r="M240" i="5"/>
  <c r="N240" i="5" s="1"/>
  <c r="H240" i="5"/>
  <c r="B240" i="5"/>
  <c r="Y239" i="5"/>
  <c r="X239" i="5"/>
  <c r="M239" i="5"/>
  <c r="N239" i="5" s="1"/>
  <c r="H239" i="5"/>
  <c r="B239" i="5"/>
  <c r="Y238" i="5"/>
  <c r="X238" i="5"/>
  <c r="M238" i="5"/>
  <c r="N238" i="5" s="1"/>
  <c r="H238" i="5"/>
  <c r="B238" i="5"/>
  <c r="Y237" i="5"/>
  <c r="X237" i="5"/>
  <c r="M237" i="5"/>
  <c r="N237" i="5" s="1"/>
  <c r="H237" i="5"/>
  <c r="B237" i="5"/>
  <c r="Y236" i="5"/>
  <c r="X236" i="5"/>
  <c r="M236" i="5"/>
  <c r="N236" i="5" s="1"/>
  <c r="H236" i="5"/>
  <c r="B236" i="5"/>
  <c r="Y235" i="5"/>
  <c r="X235" i="5"/>
  <c r="M235" i="5"/>
  <c r="N235" i="5" s="1"/>
  <c r="H235" i="5"/>
  <c r="B235" i="5"/>
  <c r="Y234" i="5"/>
  <c r="X234" i="5"/>
  <c r="M234" i="5"/>
  <c r="N234" i="5" s="1"/>
  <c r="H234" i="5"/>
  <c r="B234" i="5"/>
  <c r="Y233" i="5"/>
  <c r="X233" i="5"/>
  <c r="M233" i="5"/>
  <c r="N233" i="5" s="1"/>
  <c r="H233" i="5"/>
  <c r="B233" i="5"/>
  <c r="Y232" i="5"/>
  <c r="X232" i="5"/>
  <c r="M232" i="5"/>
  <c r="N232" i="5" s="1"/>
  <c r="H232" i="5"/>
  <c r="B232" i="5"/>
  <c r="Y231" i="5"/>
  <c r="X231" i="5"/>
  <c r="M231" i="5"/>
  <c r="N231" i="5" s="1"/>
  <c r="H231" i="5"/>
  <c r="B231" i="5"/>
  <c r="Y230" i="5"/>
  <c r="X230" i="5"/>
  <c r="M230" i="5"/>
  <c r="N230" i="5" s="1"/>
  <c r="H230" i="5"/>
  <c r="B230" i="5"/>
  <c r="Y229" i="5"/>
  <c r="X229" i="5"/>
  <c r="M229" i="5"/>
  <c r="N229" i="5" s="1"/>
  <c r="H229" i="5"/>
  <c r="B229" i="5"/>
  <c r="Y228" i="5"/>
  <c r="X228" i="5"/>
  <c r="M228" i="5"/>
  <c r="N228" i="5" s="1"/>
  <c r="H228" i="5"/>
  <c r="B228" i="5"/>
  <c r="Y227" i="5"/>
  <c r="X227" i="5"/>
  <c r="M227" i="5"/>
  <c r="N227" i="5" s="1"/>
  <c r="H227" i="5"/>
  <c r="B227" i="5"/>
  <c r="Y226" i="5"/>
  <c r="X226" i="5"/>
  <c r="M226" i="5"/>
  <c r="N226" i="5" s="1"/>
  <c r="H226" i="5"/>
  <c r="B226" i="5"/>
  <c r="Y225" i="5"/>
  <c r="X225" i="5"/>
  <c r="M225" i="5"/>
  <c r="N225" i="5" s="1"/>
  <c r="H225" i="5"/>
  <c r="B225" i="5"/>
  <c r="Y224" i="5"/>
  <c r="X224" i="5"/>
  <c r="M224" i="5"/>
  <c r="N224" i="5" s="1"/>
  <c r="H224" i="5"/>
  <c r="Y192" i="5"/>
  <c r="X192" i="5"/>
  <c r="M192" i="5"/>
  <c r="N192" i="5" s="1"/>
  <c r="H192" i="5"/>
  <c r="B192" i="5"/>
  <c r="Y191" i="5"/>
  <c r="X191" i="5"/>
  <c r="M191" i="5"/>
  <c r="N191" i="5" s="1"/>
  <c r="H191" i="5"/>
  <c r="B191" i="5"/>
  <c r="Y96" i="5"/>
  <c r="X96" i="5"/>
  <c r="M96" i="5"/>
  <c r="N96" i="5" s="1"/>
  <c r="H96" i="5"/>
  <c r="B96" i="5"/>
  <c r="Y95" i="5"/>
  <c r="X95" i="5"/>
  <c r="M95" i="5"/>
  <c r="N95" i="5" s="1"/>
  <c r="H95" i="5"/>
  <c r="B95" i="5"/>
  <c r="Y94" i="5"/>
  <c r="X94" i="5"/>
  <c r="M94" i="5"/>
  <c r="N94" i="5" s="1"/>
  <c r="H94" i="5"/>
  <c r="B94" i="5"/>
  <c r="Y93" i="5"/>
  <c r="X93" i="5"/>
  <c r="M93" i="5"/>
  <c r="N93" i="5" s="1"/>
  <c r="H93" i="5"/>
  <c r="B93" i="5"/>
  <c r="Y92" i="5"/>
  <c r="X92" i="5"/>
  <c r="M92" i="5"/>
  <c r="N92" i="5" s="1"/>
  <c r="H92" i="5"/>
  <c r="B92" i="5"/>
  <c r="Y91" i="5"/>
  <c r="X91" i="5"/>
  <c r="M91" i="5"/>
  <c r="N91" i="5" s="1"/>
  <c r="H91" i="5"/>
  <c r="B91" i="5"/>
  <c r="Y90" i="5"/>
  <c r="X90" i="5"/>
  <c r="M90" i="5"/>
  <c r="N90" i="5" s="1"/>
  <c r="H90" i="5"/>
  <c r="B90" i="5"/>
  <c r="Y89" i="5"/>
  <c r="X89" i="5"/>
  <c r="M89" i="5"/>
  <c r="N89" i="5" s="1"/>
  <c r="H89" i="5"/>
  <c r="B89" i="5"/>
  <c r="Y88" i="5"/>
  <c r="X88" i="5"/>
  <c r="M88" i="5"/>
  <c r="N88" i="5" s="1"/>
  <c r="H88" i="5"/>
  <c r="B88" i="5"/>
  <c r="Y87" i="5"/>
  <c r="X87" i="5"/>
  <c r="M87" i="5"/>
  <c r="N87" i="5" s="1"/>
  <c r="H87" i="5"/>
  <c r="B87" i="5"/>
  <c r="Y86" i="5"/>
  <c r="X86" i="5"/>
  <c r="M86" i="5"/>
  <c r="N86" i="5" s="1"/>
  <c r="H86" i="5"/>
  <c r="B86" i="5"/>
  <c r="Y85" i="5"/>
  <c r="X85" i="5"/>
  <c r="M85" i="5"/>
  <c r="N85" i="5" s="1"/>
  <c r="H85" i="5"/>
  <c r="B85" i="5"/>
  <c r="Y84" i="5"/>
  <c r="X84" i="5"/>
  <c r="M84" i="5"/>
  <c r="N84" i="5" s="1"/>
  <c r="H84" i="5"/>
  <c r="B84" i="5"/>
  <c r="Y83" i="5"/>
  <c r="X83" i="5"/>
  <c r="M83" i="5"/>
  <c r="N83" i="5" s="1"/>
  <c r="H83" i="5"/>
  <c r="B83" i="5"/>
  <c r="Y82" i="5"/>
  <c r="X82" i="5"/>
  <c r="M82" i="5"/>
  <c r="N82" i="5" s="1"/>
  <c r="H82" i="5"/>
  <c r="B82" i="5"/>
  <c r="Y81" i="5"/>
  <c r="X81" i="5"/>
  <c r="M81" i="5"/>
  <c r="N81" i="5" s="1"/>
  <c r="H81" i="5"/>
  <c r="B81" i="5"/>
  <c r="Y80" i="5"/>
  <c r="X80" i="5"/>
  <c r="M80" i="5"/>
  <c r="N80" i="5" s="1"/>
  <c r="H80" i="5"/>
  <c r="B80" i="5"/>
  <c r="Y79" i="5"/>
  <c r="X79" i="5"/>
  <c r="M79" i="5"/>
  <c r="N79" i="5" s="1"/>
  <c r="H79" i="5"/>
  <c r="B79" i="5"/>
  <c r="Y78" i="5"/>
  <c r="X78" i="5"/>
  <c r="M78" i="5"/>
  <c r="N78" i="5" s="1"/>
  <c r="H78" i="5"/>
  <c r="B78" i="5"/>
  <c r="Y77" i="5"/>
  <c r="X77" i="5"/>
  <c r="M77" i="5"/>
  <c r="N77" i="5" s="1"/>
  <c r="H77" i="5"/>
  <c r="B77" i="5"/>
  <c r="Y76" i="5"/>
  <c r="X76" i="5"/>
  <c r="M76" i="5"/>
  <c r="N76" i="5" s="1"/>
  <c r="H76" i="5"/>
  <c r="B76" i="5"/>
  <c r="Y75" i="5"/>
  <c r="X75" i="5"/>
  <c r="M75" i="5"/>
  <c r="N75" i="5" s="1"/>
  <c r="H75" i="5"/>
  <c r="B75" i="5"/>
  <c r="Y74" i="5"/>
  <c r="X74" i="5"/>
  <c r="M74" i="5"/>
  <c r="N74" i="5" s="1"/>
  <c r="H74" i="5"/>
  <c r="B74" i="5"/>
  <c r="Y73" i="5"/>
  <c r="X73" i="5"/>
  <c r="M73" i="5"/>
  <c r="N73" i="5" s="1"/>
  <c r="H73" i="5"/>
  <c r="B73" i="5"/>
  <c r="Y72" i="5"/>
  <c r="X72" i="5"/>
  <c r="M72" i="5"/>
  <c r="N72" i="5" s="1"/>
  <c r="H72" i="5"/>
  <c r="B72" i="5"/>
  <c r="Y71" i="5"/>
  <c r="X71" i="5"/>
  <c r="M71" i="5"/>
  <c r="N71" i="5" s="1"/>
  <c r="H71" i="5"/>
  <c r="B71" i="5"/>
  <c r="Y70" i="5"/>
  <c r="X70" i="5"/>
  <c r="M70" i="5"/>
  <c r="N70" i="5" s="1"/>
  <c r="H70" i="5"/>
  <c r="B70" i="5"/>
  <c r="Y69" i="5"/>
  <c r="X69" i="5"/>
  <c r="M69" i="5"/>
  <c r="N69" i="5" s="1"/>
  <c r="H69" i="5"/>
  <c r="B69" i="5"/>
  <c r="Y68" i="5"/>
  <c r="X68" i="5"/>
  <c r="M68" i="5"/>
  <c r="N68" i="5" s="1"/>
  <c r="H68" i="5"/>
  <c r="B68" i="5"/>
  <c r="Y67" i="5"/>
  <c r="X67" i="5"/>
  <c r="M67" i="5"/>
  <c r="N67" i="5" s="1"/>
  <c r="H67" i="5"/>
  <c r="B67" i="5"/>
  <c r="Y66" i="5"/>
  <c r="X66" i="5"/>
  <c r="M66" i="5"/>
  <c r="N66" i="5" s="1"/>
  <c r="H66" i="5"/>
  <c r="B66" i="5"/>
  <c r="Y65" i="5"/>
  <c r="X65" i="5"/>
  <c r="M65" i="5"/>
  <c r="N65" i="5" s="1"/>
  <c r="H65" i="5"/>
  <c r="B65" i="5"/>
  <c r="Y64" i="5"/>
  <c r="X64" i="5"/>
  <c r="M64" i="5"/>
  <c r="N64" i="5" s="1"/>
  <c r="H64" i="5"/>
  <c r="B64" i="5"/>
  <c r="Y63" i="5"/>
  <c r="X63" i="5"/>
  <c r="M63" i="5"/>
  <c r="N63" i="5" s="1"/>
  <c r="H63" i="5"/>
  <c r="B63" i="5"/>
  <c r="Y62" i="5"/>
  <c r="X62" i="5"/>
  <c r="M62" i="5"/>
  <c r="N62" i="5" s="1"/>
  <c r="H62" i="5"/>
  <c r="B62" i="5"/>
  <c r="Y61" i="5"/>
  <c r="X61" i="5"/>
  <c r="M61" i="5"/>
  <c r="N61" i="5" s="1"/>
  <c r="H61" i="5"/>
  <c r="B61" i="5"/>
  <c r="Y60" i="5"/>
  <c r="X60" i="5"/>
  <c r="M60" i="5"/>
  <c r="N60" i="5" s="1"/>
  <c r="H60" i="5"/>
  <c r="B60" i="5"/>
  <c r="Y59" i="5"/>
  <c r="X59" i="5"/>
  <c r="M59" i="5"/>
  <c r="N59" i="5" s="1"/>
  <c r="H59" i="5"/>
  <c r="B59" i="5"/>
  <c r="Y58" i="5"/>
  <c r="X58" i="5"/>
  <c r="M58" i="5"/>
  <c r="N58" i="5" s="1"/>
  <c r="H58" i="5"/>
  <c r="B58" i="5"/>
  <c r="Y57" i="5"/>
  <c r="X57" i="5"/>
  <c r="M57" i="5"/>
  <c r="N57" i="5" s="1"/>
  <c r="H57" i="5"/>
  <c r="B57" i="5"/>
  <c r="Y56" i="5"/>
  <c r="X56" i="5"/>
  <c r="M56" i="5"/>
  <c r="N56" i="5" s="1"/>
  <c r="H56" i="5"/>
  <c r="B56" i="5"/>
  <c r="Y55" i="5"/>
  <c r="X55" i="5"/>
  <c r="M55" i="5"/>
  <c r="N55" i="5" s="1"/>
  <c r="H55" i="5"/>
  <c r="B55" i="5"/>
  <c r="Y54" i="5"/>
  <c r="X54" i="5"/>
  <c r="M54" i="5"/>
  <c r="N54" i="5" s="1"/>
  <c r="H54" i="5"/>
  <c r="B54" i="5"/>
  <c r="Y53" i="5"/>
  <c r="X53" i="5"/>
  <c r="M53" i="5"/>
  <c r="N53" i="5" s="1"/>
  <c r="H53" i="5"/>
  <c r="B53" i="5"/>
  <c r="Y52" i="5"/>
  <c r="X52" i="5"/>
  <c r="M52" i="5"/>
  <c r="N52" i="5" s="1"/>
  <c r="H52" i="5"/>
  <c r="B52" i="5"/>
  <c r="Y51" i="5"/>
  <c r="X51" i="5"/>
  <c r="M51" i="5"/>
  <c r="N51" i="5" s="1"/>
  <c r="H51" i="5"/>
  <c r="B51" i="5"/>
  <c r="Y50" i="5"/>
  <c r="X50" i="5"/>
  <c r="M50" i="5"/>
  <c r="N50" i="5" s="1"/>
  <c r="H50" i="5"/>
  <c r="B50" i="5"/>
  <c r="Y49" i="5"/>
  <c r="X49" i="5"/>
  <c r="M49" i="5"/>
  <c r="N49" i="5" s="1"/>
  <c r="H49" i="5"/>
  <c r="B49" i="5"/>
  <c r="Y48" i="5"/>
  <c r="X48" i="5"/>
  <c r="M48" i="5"/>
  <c r="N48" i="5" s="1"/>
  <c r="H48" i="5"/>
  <c r="B48" i="5"/>
  <c r="Y47" i="5"/>
  <c r="X47" i="5"/>
  <c r="M47" i="5"/>
  <c r="N47" i="5" s="1"/>
  <c r="H47" i="5"/>
  <c r="B47" i="5"/>
  <c r="Y46" i="5"/>
  <c r="X46" i="5"/>
  <c r="M46" i="5"/>
  <c r="N46" i="5" s="1"/>
  <c r="H46" i="5"/>
  <c r="B46" i="5"/>
  <c r="Y45" i="5"/>
  <c r="X45" i="5"/>
  <c r="M45" i="5"/>
  <c r="N45" i="5" s="1"/>
  <c r="H45" i="5"/>
  <c r="B45" i="5"/>
  <c r="Y44" i="5"/>
  <c r="X44" i="5"/>
  <c r="M44" i="5"/>
  <c r="N44" i="5" s="1"/>
  <c r="H44" i="5"/>
  <c r="B44" i="5"/>
  <c r="Y43" i="5"/>
  <c r="X43" i="5"/>
  <c r="M43" i="5"/>
  <c r="N43" i="5" s="1"/>
  <c r="H43" i="5"/>
  <c r="B43" i="5"/>
  <c r="Y42" i="5"/>
  <c r="X42" i="5"/>
  <c r="M42" i="5"/>
  <c r="N42" i="5" s="1"/>
  <c r="H42" i="5"/>
  <c r="B42" i="5"/>
  <c r="Y41" i="5"/>
  <c r="X41" i="5"/>
  <c r="M41" i="5"/>
  <c r="N41" i="5" s="1"/>
  <c r="H41" i="5"/>
  <c r="B41" i="5"/>
  <c r="Y40" i="5"/>
  <c r="X40" i="5"/>
  <c r="M40" i="5"/>
  <c r="N40" i="5" s="1"/>
  <c r="H40" i="5"/>
  <c r="B40" i="5"/>
  <c r="Y39" i="5"/>
  <c r="X39" i="5"/>
  <c r="M39" i="5"/>
  <c r="N39" i="5" s="1"/>
  <c r="H39" i="5"/>
  <c r="B39" i="5"/>
  <c r="Y38" i="5"/>
  <c r="X38" i="5"/>
  <c r="M38" i="5"/>
  <c r="N38" i="5" s="1"/>
  <c r="H38" i="5"/>
  <c r="B38" i="5"/>
  <c r="Y37" i="5"/>
  <c r="X37" i="5"/>
  <c r="M37" i="5"/>
  <c r="N37" i="5" s="1"/>
  <c r="H37" i="5"/>
  <c r="B37" i="5"/>
  <c r="Y36" i="5"/>
  <c r="X36" i="5"/>
  <c r="M36" i="5"/>
  <c r="N36" i="5" s="1"/>
  <c r="H36" i="5"/>
  <c r="B36" i="5"/>
  <c r="Y35" i="5"/>
  <c r="X35" i="5"/>
  <c r="M35" i="5"/>
  <c r="N35" i="5" s="1"/>
  <c r="H35" i="5"/>
  <c r="B35" i="5"/>
  <c r="Y34" i="5"/>
  <c r="X34" i="5"/>
  <c r="M34" i="5"/>
  <c r="N34" i="5" s="1"/>
  <c r="H34" i="5"/>
  <c r="B34" i="5"/>
  <c r="Y33" i="5"/>
  <c r="X33" i="5"/>
  <c r="M33" i="5"/>
  <c r="N33" i="5" s="1"/>
  <c r="H33" i="5"/>
  <c r="B33" i="5"/>
  <c r="Y32" i="5"/>
  <c r="X32" i="5"/>
  <c r="M32" i="5"/>
  <c r="N32" i="5" s="1"/>
  <c r="H32" i="5"/>
  <c r="B32" i="5"/>
  <c r="Y31" i="5"/>
  <c r="X31" i="5"/>
  <c r="M31" i="5"/>
  <c r="N31" i="5" s="1"/>
  <c r="H31" i="5"/>
  <c r="B31" i="5"/>
  <c r="Y30" i="5"/>
  <c r="X30" i="5"/>
  <c r="M30" i="5"/>
  <c r="N30" i="5" s="1"/>
  <c r="H30" i="5"/>
  <c r="B30" i="5"/>
  <c r="Y29" i="5"/>
  <c r="X29" i="5"/>
  <c r="M29" i="5"/>
  <c r="N29" i="5" s="1"/>
  <c r="H29" i="5"/>
  <c r="B29" i="5"/>
  <c r="Y28" i="5"/>
  <c r="X28" i="5"/>
  <c r="M28" i="5"/>
  <c r="N28" i="5" s="1"/>
  <c r="H28" i="5"/>
  <c r="B28" i="5"/>
  <c r="Y27" i="5"/>
  <c r="X27" i="5"/>
  <c r="M27" i="5"/>
  <c r="N27" i="5" s="1"/>
  <c r="H27" i="5"/>
  <c r="B27" i="5"/>
  <c r="Y26" i="5"/>
  <c r="X26" i="5"/>
  <c r="M26" i="5"/>
  <c r="N26" i="5" s="1"/>
  <c r="H26" i="5"/>
  <c r="B26" i="5"/>
  <c r="Y25" i="5"/>
  <c r="X25" i="5"/>
  <c r="M25" i="5"/>
  <c r="N25" i="5" s="1"/>
  <c r="H25" i="5"/>
  <c r="B25" i="5"/>
  <c r="Y24" i="5"/>
  <c r="X24" i="5"/>
  <c r="M24" i="5"/>
  <c r="N24" i="5" s="1"/>
  <c r="H24" i="5"/>
  <c r="B24" i="5"/>
  <c r="Y23" i="5"/>
  <c r="X23" i="5"/>
  <c r="M23" i="5"/>
  <c r="N23" i="5" s="1"/>
  <c r="H23" i="5"/>
  <c r="B23" i="5"/>
  <c r="Y22" i="5"/>
  <c r="X22" i="5"/>
  <c r="M22" i="5"/>
  <c r="N22" i="5" s="1"/>
  <c r="H22" i="5"/>
  <c r="B22" i="5"/>
  <c r="Y21" i="5"/>
  <c r="X21" i="5"/>
  <c r="M21" i="5"/>
  <c r="N21" i="5" s="1"/>
  <c r="H21" i="5"/>
  <c r="B21" i="5"/>
  <c r="Y20" i="5"/>
  <c r="X20" i="5"/>
  <c r="M20" i="5"/>
  <c r="N20" i="5" s="1"/>
  <c r="H20" i="5"/>
  <c r="B20" i="5"/>
  <c r="Y19" i="5"/>
  <c r="X19" i="5"/>
  <c r="M19" i="5"/>
  <c r="N19" i="5" s="1"/>
  <c r="H19" i="5"/>
  <c r="B19" i="5"/>
  <c r="Y18" i="5"/>
  <c r="X18" i="5"/>
  <c r="M18" i="5"/>
  <c r="N18" i="5" s="1"/>
  <c r="H18" i="5"/>
  <c r="B18" i="5"/>
  <c r="Y17" i="5"/>
  <c r="X17" i="5"/>
  <c r="M17" i="5"/>
  <c r="N17" i="5" s="1"/>
  <c r="H17" i="5"/>
  <c r="B17" i="5"/>
  <c r="Y16" i="5"/>
  <c r="X16" i="5"/>
  <c r="M16" i="5"/>
  <c r="N16" i="5" s="1"/>
  <c r="H16" i="5"/>
  <c r="B16" i="5"/>
  <c r="Y15" i="5"/>
  <c r="X15" i="5"/>
  <c r="M15" i="5"/>
  <c r="N15" i="5" s="1"/>
  <c r="H15" i="5"/>
  <c r="B15" i="5"/>
  <c r="Y14" i="5"/>
  <c r="X14" i="5"/>
  <c r="M14" i="5"/>
  <c r="N14" i="5" s="1"/>
  <c r="H14" i="5"/>
  <c r="B14" i="5"/>
  <c r="Y13" i="5"/>
  <c r="X13" i="5"/>
  <c r="M13" i="5"/>
  <c r="N13" i="5" s="1"/>
  <c r="H13" i="5"/>
  <c r="B13" i="5"/>
  <c r="Y12" i="5"/>
  <c r="X12" i="5"/>
  <c r="M12" i="5"/>
  <c r="N12" i="5" s="1"/>
  <c r="H12" i="5"/>
  <c r="B12" i="5"/>
  <c r="Y11" i="5"/>
  <c r="X11" i="5"/>
  <c r="M11" i="5"/>
  <c r="N11" i="5" s="1"/>
  <c r="H11" i="5"/>
  <c r="B11" i="5"/>
  <c r="Y10" i="5"/>
  <c r="X10" i="5"/>
  <c r="M10" i="5"/>
  <c r="N10" i="5" s="1"/>
  <c r="H10" i="5"/>
  <c r="B10" i="5"/>
  <c r="Y9" i="5"/>
  <c r="X9" i="5"/>
  <c r="M9" i="5"/>
  <c r="N9" i="5" s="1"/>
  <c r="H9" i="5"/>
  <c r="B9" i="5"/>
  <c r="Y8" i="5"/>
  <c r="X8" i="5"/>
  <c r="M8" i="5"/>
  <c r="N8" i="5" s="1"/>
  <c r="H8" i="5"/>
  <c r="B8" i="5"/>
  <c r="Y7" i="5"/>
  <c r="X7" i="5"/>
  <c r="M7" i="5"/>
  <c r="N7" i="5" s="1"/>
  <c r="H7" i="5"/>
  <c r="B7" i="5"/>
  <c r="Y6" i="5"/>
  <c r="X6" i="5"/>
  <c r="M6" i="5"/>
  <c r="N6" i="5" s="1"/>
  <c r="H6" i="5"/>
  <c r="B6" i="5"/>
  <c r="Y5" i="5"/>
  <c r="X5" i="5"/>
  <c r="M5" i="5"/>
  <c r="N5" i="5" s="1"/>
  <c r="H5" i="5"/>
  <c r="B5" i="5"/>
  <c r="Y4" i="5"/>
  <c r="X4" i="5"/>
  <c r="M4" i="5"/>
  <c r="N4" i="5" s="1"/>
  <c r="H4" i="5"/>
  <c r="B4" i="5"/>
  <c r="Y3" i="5"/>
  <c r="X3" i="5"/>
  <c r="M3" i="5"/>
  <c r="N3" i="5" s="1"/>
  <c r="H3" i="5"/>
  <c r="B3" i="5"/>
  <c r="Y2" i="5"/>
  <c r="X2" i="5"/>
  <c r="M2" i="5"/>
  <c r="N2" i="5" s="1"/>
  <c r="H2" i="5"/>
  <c r="B2" i="5"/>
  <c r="B17" i="1"/>
  <c r="N90" i="11"/>
  <c r="AO89" i="11"/>
  <c r="Z89" i="11"/>
  <c r="T89" i="11"/>
  <c r="K89" i="11"/>
  <c r="BH88" i="11"/>
  <c r="AT88" i="11"/>
  <c r="H88" i="11"/>
  <c r="AQ87" i="11"/>
  <c r="AL87" i="11"/>
  <c r="AA87" i="11"/>
  <c r="P87" i="11"/>
  <c r="D87" i="11"/>
  <c r="BE86" i="11"/>
  <c r="BC86" i="11"/>
  <c r="AU86" i="11"/>
  <c r="H86" i="11"/>
  <c r="AZ85" i="11"/>
  <c r="AL85" i="11"/>
  <c r="AC85" i="11"/>
  <c r="W85" i="11"/>
  <c r="S85" i="11"/>
  <c r="P85" i="11"/>
  <c r="BJ84" i="11"/>
  <c r="AV84" i="11"/>
  <c r="Y84" i="11"/>
  <c r="I84" i="11"/>
  <c r="AS83" i="11"/>
  <c r="P83" i="11"/>
  <c r="BJ82" i="11"/>
  <c r="AS82" i="11"/>
  <c r="E82" i="11"/>
  <c r="BH81" i="11"/>
  <c r="AT81" i="11"/>
  <c r="J81" i="11"/>
  <c r="AZ80" i="11"/>
  <c r="AL80" i="11"/>
  <c r="AF80" i="11"/>
  <c r="W80" i="11"/>
  <c r="O80" i="11"/>
  <c r="BI79" i="11"/>
  <c r="AS79" i="11"/>
  <c r="Q79" i="11"/>
  <c r="AT78" i="11"/>
  <c r="S78" i="11"/>
  <c r="N78" i="11"/>
  <c r="BH77" i="11"/>
  <c r="AK77" i="11"/>
  <c r="AH77" i="11"/>
  <c r="AA77" i="11"/>
  <c r="O77" i="11"/>
  <c r="BE76" i="11"/>
  <c r="BB76" i="11"/>
  <c r="AO76" i="11"/>
  <c r="AK76" i="11"/>
  <c r="AI76" i="11"/>
  <c r="AA76" i="11"/>
  <c r="S76" i="11"/>
  <c r="J76" i="11"/>
  <c r="BJ75" i="11"/>
  <c r="AT75" i="11"/>
  <c r="I75" i="11"/>
  <c r="AT74" i="11"/>
  <c r="U74" i="11"/>
  <c r="M74" i="11"/>
  <c r="H74" i="11"/>
  <c r="BI73" i="11"/>
  <c r="AT73" i="11"/>
  <c r="O73" i="11"/>
  <c r="B73" i="11"/>
  <c r="AN26" i="11"/>
  <c r="AF26" i="11"/>
  <c r="T26" i="11"/>
  <c r="J26" i="11"/>
  <c r="BC25" i="11"/>
  <c r="AI25" i="11"/>
  <c r="W25" i="11"/>
  <c r="J25" i="11"/>
  <c r="AQ24" i="11"/>
  <c r="AL24" i="11"/>
  <c r="AE24" i="11"/>
  <c r="Z24" i="11"/>
  <c r="G24" i="11"/>
  <c r="D24" i="11"/>
  <c r="BG23" i="11"/>
  <c r="AL23" i="11"/>
  <c r="AE23" i="11"/>
  <c r="Z23" i="11"/>
  <c r="O23" i="11"/>
  <c r="BJ22" i="11"/>
  <c r="AG22" i="11"/>
  <c r="Z22" i="11"/>
  <c r="T22" i="11"/>
  <c r="N22" i="11"/>
  <c r="AX21" i="11"/>
  <c r="AI21" i="11"/>
  <c r="V21" i="11"/>
  <c r="Q21" i="11"/>
  <c r="B21" i="11"/>
  <c r="AV20" i="11"/>
  <c r="O20" i="11"/>
  <c r="C20" i="11"/>
  <c r="AZ19" i="11"/>
  <c r="AI19" i="11"/>
  <c r="AB19" i="11"/>
  <c r="Y19" i="11"/>
  <c r="M19" i="11"/>
  <c r="G19" i="11"/>
  <c r="D19" i="11"/>
  <c r="BE18" i="11"/>
  <c r="BB18" i="11"/>
  <c r="AM18" i="11"/>
  <c r="AF18" i="11"/>
  <c r="Y18" i="11"/>
  <c r="T18" i="11"/>
  <c r="M18" i="11"/>
  <c r="I18" i="11"/>
  <c r="BI17" i="11"/>
  <c r="AO17" i="11"/>
  <c r="AH17" i="11"/>
  <c r="AB17" i="11"/>
  <c r="T17" i="11"/>
  <c r="G17" i="11"/>
  <c r="D17" i="11"/>
  <c r="AO16" i="11"/>
  <c r="AI16" i="11"/>
  <c r="AA16" i="11"/>
  <c r="S16" i="11"/>
  <c r="K16" i="11"/>
  <c r="BH15" i="11"/>
  <c r="AQ15" i="11"/>
  <c r="AM15" i="11"/>
  <c r="AE15" i="11"/>
  <c r="AA15" i="11"/>
  <c r="T15" i="11"/>
  <c r="E15" i="11"/>
  <c r="BI14" i="11"/>
  <c r="AS14" i="11"/>
  <c r="M14" i="11"/>
  <c r="G14" i="11"/>
  <c r="E14" i="11"/>
  <c r="BH13" i="11"/>
  <c r="AX13" i="11"/>
  <c r="AS13" i="11"/>
  <c r="W13" i="11"/>
  <c r="N13" i="11"/>
  <c r="BI12" i="11"/>
  <c r="BA12" i="11"/>
  <c r="AM12" i="11"/>
  <c r="AK12" i="11"/>
  <c r="AG12" i="11"/>
  <c r="Y12" i="11"/>
  <c r="V12" i="11"/>
  <c r="N12" i="11"/>
  <c r="AU11" i="11"/>
  <c r="M11" i="11"/>
  <c r="K11" i="11"/>
  <c r="B11" i="11"/>
  <c r="BB10" i="11"/>
  <c r="AV10" i="11"/>
  <c r="O10" i="11"/>
  <c r="AO9" i="11"/>
  <c r="AG9" i="11"/>
  <c r="AA9" i="11"/>
  <c r="I9" i="11"/>
  <c r="BG8" i="11"/>
  <c r="AT8" i="11"/>
  <c r="I8" i="11"/>
  <c r="AZ7" i="11"/>
  <c r="AO7" i="11"/>
  <c r="AG7" i="11"/>
  <c r="Z7" i="11"/>
  <c r="T7" i="11"/>
  <c r="H7" i="11"/>
  <c r="J7" i="17" s="1"/>
  <c r="BI6" i="11"/>
  <c r="AZ6" i="11"/>
  <c r="AL6" i="11"/>
  <c r="AB6" i="11"/>
  <c r="P6" i="11"/>
  <c r="D6" i="11"/>
  <c r="BE5" i="11"/>
  <c r="BA5" i="11"/>
  <c r="AQ5" i="11"/>
  <c r="AF5" i="11"/>
  <c r="Y5" i="11"/>
  <c r="T5" i="11"/>
  <c r="E5" i="11"/>
  <c r="BI4" i="11"/>
  <c r="BC4" i="11"/>
  <c r="AG4" i="11"/>
  <c r="U4" i="11"/>
  <c r="G4" i="11"/>
  <c r="C4" i="11"/>
  <c r="BI3" i="11"/>
  <c r="AM3" i="11"/>
  <c r="W3" i="11"/>
  <c r="H3" i="11"/>
  <c r="BI2" i="11"/>
  <c r="AS2" i="11"/>
  <c r="J2" i="11"/>
  <c r="M143" i="5"/>
  <c r="N143" i="5" s="1"/>
  <c r="H141" i="5"/>
  <c r="X138" i="5"/>
  <c r="M135" i="5"/>
  <c r="N135" i="5" s="1"/>
  <c r="Y128" i="5"/>
  <c r="Y121" i="5"/>
  <c r="B121" i="5"/>
  <c r="H120" i="5"/>
  <c r="Y119" i="5"/>
  <c r="Y117" i="5"/>
  <c r="B111" i="5"/>
  <c r="B108" i="5"/>
  <c r="H107" i="5"/>
  <c r="X106" i="5"/>
  <c r="B105" i="5"/>
  <c r="H104" i="5"/>
  <c r="X103" i="5"/>
  <c r="M98" i="5"/>
  <c r="N98" i="5" s="1"/>
  <c r="K236" i="17" l="1"/>
  <c r="M66" i="17"/>
  <c r="L66" i="17"/>
  <c r="K66" i="17"/>
  <c r="J66" i="17"/>
  <c r="L193" i="17"/>
  <c r="AU193" i="17"/>
  <c r="AL193" i="17"/>
  <c r="AC193" i="17"/>
  <c r="AJ206" i="17"/>
  <c r="AS98" i="17"/>
  <c r="J241" i="17"/>
  <c r="B487" i="18" s="1"/>
  <c r="M206" i="17"/>
  <c r="H452" i="18" s="1"/>
  <c r="M200" i="17"/>
  <c r="H446" i="18" s="1"/>
  <c r="M190" i="17"/>
  <c r="H436" i="18" s="1"/>
  <c r="M45" i="17"/>
  <c r="L45" i="17"/>
  <c r="K45" i="17"/>
  <c r="J45" i="17"/>
  <c r="K206" i="17"/>
  <c r="J165" i="17"/>
  <c r="B411" i="18" s="1"/>
  <c r="L163" i="17"/>
  <c r="F409" i="18" s="1"/>
  <c r="D353" i="18"/>
  <c r="F345" i="18"/>
  <c r="AJ98" i="17"/>
  <c r="L181" i="17"/>
  <c r="K167" i="17"/>
  <c r="J237" i="17"/>
  <c r="M188" i="17"/>
  <c r="L162" i="17"/>
  <c r="L109" i="17"/>
  <c r="J108" i="17"/>
  <c r="K180" i="17"/>
  <c r="L174" i="17"/>
  <c r="M168" i="17"/>
  <c r="K159" i="17"/>
  <c r="K156" i="17"/>
  <c r="J80" i="17"/>
  <c r="J77" i="17"/>
  <c r="J76" i="17"/>
  <c r="M75" i="17"/>
  <c r="K21" i="17"/>
  <c r="K229" i="17"/>
  <c r="J229" i="17"/>
  <c r="K109" i="17"/>
  <c r="K102" i="17"/>
  <c r="K95" i="17"/>
  <c r="K94" i="17"/>
  <c r="L74" i="17"/>
  <c r="M7" i="17"/>
  <c r="L6" i="17"/>
  <c r="H192" i="6"/>
  <c r="K87" i="17"/>
  <c r="D333" i="18" s="1"/>
  <c r="AU97" i="17"/>
  <c r="M159" i="17"/>
  <c r="H405" i="18" s="1"/>
  <c r="J202" i="17"/>
  <c r="AC105" i="17"/>
  <c r="AC97" i="17"/>
  <c r="K201" i="17"/>
  <c r="D447" i="18" s="1"/>
  <c r="L19" i="17"/>
  <c r="F265" i="18" s="1"/>
  <c r="L198" i="17"/>
  <c r="J238" i="17"/>
  <c r="J197" i="17"/>
  <c r="L186" i="17"/>
  <c r="L176" i="17"/>
  <c r="L156" i="17"/>
  <c r="L115" i="17"/>
  <c r="J90" i="17"/>
  <c r="L84" i="17"/>
  <c r="J79" i="17"/>
  <c r="AU90" i="17"/>
  <c r="AL90" i="17"/>
  <c r="AC90" i="17"/>
  <c r="AS77" i="17"/>
  <c r="AJ77" i="17"/>
  <c r="AA77" i="17"/>
  <c r="AS76" i="17"/>
  <c r="AJ76" i="17"/>
  <c r="AA76" i="17"/>
  <c r="K76" i="17"/>
  <c r="M158" i="17"/>
  <c r="J102" i="17"/>
  <c r="M6" i="17"/>
  <c r="M229" i="17"/>
  <c r="L182" i="17"/>
  <c r="J178" i="17"/>
  <c r="J163" i="17"/>
  <c r="M155" i="17"/>
  <c r="M110" i="17"/>
  <c r="J107" i="17"/>
  <c r="K96" i="17"/>
  <c r="M92" i="17"/>
  <c r="L3" i="17"/>
  <c r="L105" i="17"/>
  <c r="J85" i="17"/>
  <c r="J81" i="17"/>
  <c r="A723" i="17"/>
  <c r="A968" i="17"/>
  <c r="A722" i="17"/>
  <c r="A967" i="17"/>
  <c r="A721" i="17"/>
  <c r="A966" i="17"/>
  <c r="A720" i="17"/>
  <c r="A965" i="17"/>
  <c r="A315" i="17"/>
  <c r="A805" i="17"/>
  <c r="A1050" i="17"/>
  <c r="A1295" i="17"/>
  <c r="A318" i="18"/>
  <c r="C318" i="18"/>
  <c r="E318" i="18"/>
  <c r="G318" i="18"/>
  <c r="A314" i="17"/>
  <c r="A804" i="17"/>
  <c r="A1049" i="17"/>
  <c r="A1294" i="17"/>
  <c r="A317" i="18"/>
  <c r="C317" i="18"/>
  <c r="E317" i="18"/>
  <c r="G317" i="18"/>
  <c r="A313" i="17"/>
  <c r="A803" i="17"/>
  <c r="A1048" i="17"/>
  <c r="A1293" i="17"/>
  <c r="A316" i="18"/>
  <c r="C316" i="18"/>
  <c r="E316" i="18"/>
  <c r="G316" i="18"/>
  <c r="A312" i="17"/>
  <c r="A802" i="17"/>
  <c r="A1047" i="17"/>
  <c r="A1292" i="17"/>
  <c r="A315" i="18"/>
  <c r="C315" i="18"/>
  <c r="E315" i="18"/>
  <c r="G315" i="18"/>
  <c r="A311" i="17"/>
  <c r="A801" i="17"/>
  <c r="A1046" i="17"/>
  <c r="A1291" i="17"/>
  <c r="A314" i="18"/>
  <c r="C314" i="18"/>
  <c r="E314" i="18"/>
  <c r="G314" i="18"/>
  <c r="A310" i="17"/>
  <c r="A800" i="17"/>
  <c r="A1045" i="17"/>
  <c r="A1290" i="17"/>
  <c r="A313" i="18"/>
  <c r="C313" i="18"/>
  <c r="E313" i="18"/>
  <c r="G313" i="18"/>
  <c r="A309" i="17"/>
  <c r="A799" i="17"/>
  <c r="A1044" i="17"/>
  <c r="A312" i="18"/>
  <c r="C312" i="18"/>
  <c r="E312" i="18"/>
  <c r="G312" i="18"/>
  <c r="A308" i="17"/>
  <c r="A798" i="17"/>
  <c r="A1043" i="17"/>
  <c r="A311" i="18"/>
  <c r="C311" i="18"/>
  <c r="E311" i="18"/>
  <c r="G311" i="18"/>
  <c r="A928" i="18"/>
  <c r="C928" i="18"/>
  <c r="E928" i="18"/>
  <c r="G928" i="18"/>
  <c r="A927" i="18"/>
  <c r="C927" i="18"/>
  <c r="E927" i="18"/>
  <c r="G927" i="18"/>
  <c r="A191" i="7"/>
  <c r="I191" i="7" s="1"/>
  <c r="A191" i="9"/>
  <c r="A192" i="7"/>
  <c r="I192" i="7" s="1"/>
  <c r="A192" i="9"/>
  <c r="K24" i="17"/>
  <c r="D270" i="18" s="1"/>
  <c r="J18" i="17"/>
  <c r="B264" i="18" s="1"/>
  <c r="AH5" i="17"/>
  <c r="Y2" i="17"/>
  <c r="J10" i="17"/>
  <c r="M171" i="17"/>
  <c r="H417" i="18" s="1"/>
  <c r="L168" i="17"/>
  <c r="F414" i="18" s="1"/>
  <c r="M164" i="17"/>
  <c r="H410" i="18" s="1"/>
  <c r="M86" i="17"/>
  <c r="H332" i="18" s="1"/>
  <c r="L12" i="17"/>
  <c r="F258" i="18" s="1"/>
  <c r="M3" i="17"/>
  <c r="H249" i="18" s="1"/>
  <c r="M81" i="17"/>
  <c r="H327" i="18" s="1"/>
  <c r="M25" i="17"/>
  <c r="H271" i="18" s="1"/>
  <c r="M20" i="17"/>
  <c r="H266" i="18" s="1"/>
  <c r="L15" i="17"/>
  <c r="F261" i="18" s="1"/>
  <c r="M13" i="17"/>
  <c r="H259" i="18" s="1"/>
  <c r="K4" i="17"/>
  <c r="D488" i="18"/>
  <c r="D486" i="18"/>
  <c r="B485" i="18"/>
  <c r="D483" i="18"/>
  <c r="H455" i="18"/>
  <c r="H454" i="18"/>
  <c r="D452" i="18"/>
  <c r="B449" i="18"/>
  <c r="B448" i="18"/>
  <c r="B447" i="18"/>
  <c r="F439" i="18"/>
  <c r="D429" i="18"/>
  <c r="D427" i="18"/>
  <c r="B423" i="18"/>
  <c r="D422" i="18"/>
  <c r="B417" i="18"/>
  <c r="F404" i="18"/>
  <c r="D327" i="18"/>
  <c r="D325" i="18"/>
  <c r="AJ200" i="17"/>
  <c r="AA200" i="17"/>
  <c r="AQ5" i="17"/>
  <c r="Y5" i="17"/>
  <c r="J2" i="17"/>
  <c r="J208" i="17"/>
  <c r="B454" i="18" s="1"/>
  <c r="L206" i="17"/>
  <c r="M185" i="17"/>
  <c r="J160" i="17"/>
  <c r="M156" i="17"/>
  <c r="K99" i="17"/>
  <c r="L90" i="17"/>
  <c r="F336" i="18" s="1"/>
  <c r="M83" i="17"/>
  <c r="H329" i="18" s="1"/>
  <c r="AN113" i="17"/>
  <c r="AH2" i="17"/>
  <c r="J242" i="17"/>
  <c r="B488" i="18" s="1"/>
  <c r="M240" i="17"/>
  <c r="H486" i="18" s="1"/>
  <c r="K238" i="17"/>
  <c r="D484" i="18" s="1"/>
  <c r="B479" i="17"/>
  <c r="D446" i="17"/>
  <c r="C438" i="17"/>
  <c r="B434" i="17"/>
  <c r="E426" i="17"/>
  <c r="C426" i="17"/>
  <c r="C424" i="17"/>
  <c r="E423" i="17"/>
  <c r="B420" i="17"/>
  <c r="C419" i="17"/>
  <c r="B419" i="17"/>
  <c r="B414" i="17"/>
  <c r="D412" i="17"/>
  <c r="D401" i="17"/>
  <c r="D262" i="17"/>
  <c r="B254" i="17"/>
  <c r="M241" i="17"/>
  <c r="D241" i="17"/>
  <c r="A241" i="17"/>
  <c r="A732" i="18" s="1"/>
  <c r="D240" i="17"/>
  <c r="A240" i="17"/>
  <c r="A731" i="18" s="1"/>
  <c r="D239" i="17"/>
  <c r="A239" i="17"/>
  <c r="A730" i="18" s="1"/>
  <c r="D238" i="17"/>
  <c r="A238" i="17"/>
  <c r="A729" i="18" s="1"/>
  <c r="D237" i="17"/>
  <c r="A237" i="17"/>
  <c r="A728" i="18" s="1"/>
  <c r="D236" i="17"/>
  <c r="A236" i="17"/>
  <c r="A727" i="18" s="1"/>
  <c r="D235" i="17"/>
  <c r="A235" i="17"/>
  <c r="A726" i="18" s="1"/>
  <c r="D234" i="17"/>
  <c r="A234" i="17"/>
  <c r="A725" i="18" s="1"/>
  <c r="D233" i="17"/>
  <c r="A233" i="17"/>
  <c r="A724" i="18" s="1"/>
  <c r="D232" i="17"/>
  <c r="A232" i="17"/>
  <c r="A723" i="18" s="1"/>
  <c r="D231" i="17"/>
  <c r="A231" i="17"/>
  <c r="A722" i="18" s="1"/>
  <c r="D230" i="17"/>
  <c r="A230" i="17"/>
  <c r="A721" i="18" s="1"/>
  <c r="D229" i="17"/>
  <c r="A229" i="17"/>
  <c r="A720" i="18" s="1"/>
  <c r="D228" i="17"/>
  <c r="A228" i="17"/>
  <c r="A719" i="18" s="1"/>
  <c r="D227" i="17"/>
  <c r="A227" i="17"/>
  <c r="A718" i="18" s="1"/>
  <c r="D226" i="17"/>
  <c r="A226" i="17"/>
  <c r="A717" i="18" s="1"/>
  <c r="D225" i="17"/>
  <c r="A225" i="17"/>
  <c r="A716" i="18" s="1"/>
  <c r="D224" i="17"/>
  <c r="A224" i="17"/>
  <c r="A715" i="18" s="1"/>
  <c r="D223" i="17"/>
  <c r="A223" i="17"/>
  <c r="A714" i="18" s="1"/>
  <c r="D222" i="17"/>
  <c r="A222" i="17"/>
  <c r="A713" i="18" s="1"/>
  <c r="D221" i="17"/>
  <c r="A221" i="17"/>
  <c r="A712" i="18" s="1"/>
  <c r="D220" i="17"/>
  <c r="A220" i="17"/>
  <c r="A711" i="18" s="1"/>
  <c r="D218" i="17"/>
  <c r="A218" i="17"/>
  <c r="A709" i="18" s="1"/>
  <c r="AU208" i="17"/>
  <c r="AL208" i="17"/>
  <c r="AC208" i="17"/>
  <c r="AW207" i="17"/>
  <c r="AU207" i="17"/>
  <c r="AN207" i="17"/>
  <c r="AL207" i="17"/>
  <c r="AE207" i="17"/>
  <c r="AC207" i="17"/>
  <c r="AW201" i="17"/>
  <c r="AN201" i="17"/>
  <c r="AE201" i="17"/>
  <c r="AS200" i="17"/>
  <c r="AU114" i="17"/>
  <c r="AC114" i="17"/>
  <c r="AW113" i="17"/>
  <c r="AU105" i="17"/>
  <c r="AL105" i="17"/>
  <c r="AW102" i="17"/>
  <c r="AQ2" i="17"/>
  <c r="P2" i="17"/>
  <c r="L239" i="17"/>
  <c r="L208" i="17"/>
  <c r="L207" i="17"/>
  <c r="M197" i="17"/>
  <c r="L180" i="17"/>
  <c r="J173" i="17"/>
  <c r="L172" i="17"/>
  <c r="J169" i="17"/>
  <c r="M157" i="17"/>
  <c r="J115" i="17"/>
  <c r="K86" i="17"/>
  <c r="K16" i="17"/>
  <c r="K12" i="17"/>
  <c r="AA167" i="17"/>
  <c r="V167" i="17"/>
  <c r="T167" i="17"/>
  <c r="R167" i="17"/>
  <c r="AS161" i="17"/>
  <c r="AJ161" i="17"/>
  <c r="AA161" i="17"/>
  <c r="T161" i="17"/>
  <c r="R161" i="17"/>
  <c r="AS159" i="17"/>
  <c r="AJ159" i="17"/>
  <c r="AA159" i="17"/>
  <c r="R159" i="17"/>
  <c r="R158" i="17"/>
  <c r="T155" i="17"/>
  <c r="AL114" i="17"/>
  <c r="AE113" i="17"/>
  <c r="T112" i="17"/>
  <c r="AL107" i="17"/>
  <c r="T107" i="17"/>
  <c r="R104" i="17"/>
  <c r="T102" i="17"/>
  <c r="AW101" i="17"/>
  <c r="R101" i="17"/>
  <c r="AJ97" i="17"/>
  <c r="L242" i="17"/>
  <c r="J240" i="17"/>
  <c r="K239" i="17"/>
  <c r="L236" i="17"/>
  <c r="L205" i="17"/>
  <c r="M199" i="17"/>
  <c r="J198" i="17"/>
  <c r="M196" i="17"/>
  <c r="J194" i="17"/>
  <c r="K189" i="17"/>
  <c r="L179" i="17"/>
  <c r="J175" i="17"/>
  <c r="L165" i="17"/>
  <c r="L159" i="17"/>
  <c r="M113" i="17"/>
  <c r="M85" i="17"/>
  <c r="K77" i="17"/>
  <c r="L73" i="17"/>
  <c r="R26" i="17"/>
  <c r="P25" i="17"/>
  <c r="AS24" i="17"/>
  <c r="AJ24" i="17"/>
  <c r="AA24" i="17"/>
  <c r="R24" i="17"/>
  <c r="P24" i="17"/>
  <c r="P20" i="17"/>
  <c r="P18" i="17"/>
  <c r="P15" i="17"/>
  <c r="R13" i="17"/>
  <c r="P13" i="17"/>
  <c r="AQ10" i="17"/>
  <c r="AH10" i="17"/>
  <c r="Y10" i="17"/>
  <c r="R10" i="17"/>
  <c r="P10" i="17"/>
  <c r="T5" i="17"/>
  <c r="M238" i="17"/>
  <c r="L188" i="17"/>
  <c r="L184" i="17"/>
  <c r="J182" i="17"/>
  <c r="L175" i="17"/>
  <c r="M173" i="17"/>
  <c r="M163" i="17"/>
  <c r="L111" i="17"/>
  <c r="J83" i="17"/>
  <c r="J25" i="17"/>
  <c r="M24" i="17"/>
  <c r="J22" i="17"/>
  <c r="K17" i="17"/>
  <c r="M10" i="17"/>
  <c r="L204" i="17"/>
  <c r="J189" i="17"/>
  <c r="M181" i="17"/>
  <c r="M170" i="17"/>
  <c r="K169" i="17"/>
  <c r="M161" i="17"/>
  <c r="J103" i="17"/>
  <c r="K101" i="17"/>
  <c r="M100" i="17"/>
  <c r="L89" i="17"/>
  <c r="L86" i="17"/>
  <c r="M78" i="17"/>
  <c r="M77" i="17"/>
  <c r="L24" i="17"/>
  <c r="M21" i="17"/>
  <c r="K20" i="17"/>
  <c r="J19" i="17"/>
  <c r="K14" i="17"/>
  <c r="J12" i="17"/>
  <c r="L4" i="17"/>
  <c r="J146" i="17"/>
  <c r="L91" i="17"/>
  <c r="L75" i="17"/>
  <c r="M12" i="17"/>
  <c r="M67" i="17"/>
  <c r="L67" i="17"/>
  <c r="K67" i="17"/>
  <c r="I95" i="7"/>
  <c r="I92" i="7"/>
  <c r="I91" i="7"/>
  <c r="I89" i="7"/>
  <c r="I88" i="7"/>
  <c r="I85" i="7"/>
  <c r="I84" i="7"/>
  <c r="G96" i="9"/>
  <c r="C96" i="9"/>
  <c r="G95" i="9"/>
  <c r="C95" i="9"/>
  <c r="G94" i="9"/>
  <c r="C94" i="9"/>
  <c r="G93" i="9"/>
  <c r="C93" i="9"/>
  <c r="G92" i="9"/>
  <c r="C92" i="9"/>
  <c r="G91" i="9"/>
  <c r="C91" i="9"/>
  <c r="G90" i="9"/>
  <c r="C90" i="9"/>
  <c r="G89" i="9"/>
  <c r="C89" i="9"/>
  <c r="G88" i="9"/>
  <c r="C88" i="9"/>
  <c r="G87" i="9"/>
  <c r="C87" i="9"/>
  <c r="G86" i="9"/>
  <c r="C86" i="9"/>
  <c r="G85" i="9"/>
  <c r="C85" i="9"/>
  <c r="G84" i="9"/>
  <c r="C84" i="9"/>
  <c r="G83" i="9"/>
  <c r="C83" i="9"/>
  <c r="G82" i="9"/>
  <c r="C82" i="9"/>
  <c r="I96" i="7"/>
  <c r="I94" i="7"/>
  <c r="I93" i="7"/>
  <c r="I90" i="7"/>
  <c r="I87" i="7"/>
  <c r="I86" i="7"/>
  <c r="I83" i="7"/>
  <c r="I82" i="7"/>
  <c r="M16" i="17"/>
  <c r="M11" i="17"/>
  <c r="K9" i="17"/>
  <c r="E594" i="17"/>
  <c r="H1087" i="18"/>
  <c r="C593" i="17"/>
  <c r="D1086" i="18"/>
  <c r="E591" i="17"/>
  <c r="H1084" i="18"/>
  <c r="C590" i="17"/>
  <c r="D1083" i="18"/>
  <c r="A345" i="17"/>
  <c r="A590" i="17"/>
  <c r="A835" i="17"/>
  <c r="A1080" i="17"/>
  <c r="A1325" i="17"/>
  <c r="A348" i="18"/>
  <c r="C348" i="18"/>
  <c r="E348" i="18"/>
  <c r="G348" i="18"/>
  <c r="E587" i="17"/>
  <c r="H1080" i="18"/>
  <c r="D585" i="17"/>
  <c r="F1078" i="18"/>
  <c r="B492" i="17"/>
  <c r="B985" i="18"/>
  <c r="A245" i="17"/>
  <c r="A490" i="17"/>
  <c r="A735" i="17"/>
  <c r="A980" i="17"/>
  <c r="A1225" i="17"/>
  <c r="A248" i="18"/>
  <c r="C248" i="18"/>
  <c r="E248" i="18"/>
  <c r="G248" i="18"/>
  <c r="S242" i="17"/>
  <c r="E1223" i="18" s="1"/>
  <c r="AB242" i="17"/>
  <c r="E1468" i="18" s="1"/>
  <c r="AK242" i="17"/>
  <c r="E1713" i="18" s="1"/>
  <c r="AT242" i="17"/>
  <c r="E1958" i="18" s="1"/>
  <c r="V242" i="17"/>
  <c r="AE242" i="17"/>
  <c r="AN242" i="17"/>
  <c r="AW242" i="17"/>
  <c r="U241" i="17"/>
  <c r="G1222" i="18" s="1"/>
  <c r="AD241" i="17"/>
  <c r="G1467" i="18" s="1"/>
  <c r="AM241" i="17"/>
  <c r="G1712" i="18" s="1"/>
  <c r="AV241" i="17"/>
  <c r="G1957" i="18" s="1"/>
  <c r="P241" i="17"/>
  <c r="Y241" i="17"/>
  <c r="AH241" i="17"/>
  <c r="AQ241" i="17"/>
  <c r="O240" i="17"/>
  <c r="A1221" i="18" s="1"/>
  <c r="X240" i="17"/>
  <c r="A1466" i="18" s="1"/>
  <c r="AG240" i="17"/>
  <c r="A1711" i="18" s="1"/>
  <c r="AP240" i="17"/>
  <c r="A1956" i="18" s="1"/>
  <c r="P240" i="17"/>
  <c r="Y240" i="17"/>
  <c r="AH240" i="17"/>
  <c r="AQ240" i="17"/>
  <c r="S239" i="17"/>
  <c r="E1220" i="18" s="1"/>
  <c r="AB239" i="17"/>
  <c r="E1465" i="18" s="1"/>
  <c r="AK239" i="17"/>
  <c r="E1710" i="18" s="1"/>
  <c r="AT239" i="17"/>
  <c r="E1955" i="18" s="1"/>
  <c r="R239" i="17"/>
  <c r="AA239" i="17"/>
  <c r="AJ239" i="17"/>
  <c r="AS239" i="17"/>
  <c r="U238" i="17"/>
  <c r="G1219" i="18" s="1"/>
  <c r="AD238" i="17"/>
  <c r="G1464" i="18" s="1"/>
  <c r="AM238" i="17"/>
  <c r="G1709" i="18" s="1"/>
  <c r="AV238" i="17"/>
  <c r="G1954" i="18" s="1"/>
  <c r="P238" i="17"/>
  <c r="Y238" i="17"/>
  <c r="AH238" i="17"/>
  <c r="AQ238" i="17"/>
  <c r="Q237" i="17"/>
  <c r="C1218" i="18" s="1"/>
  <c r="Z237" i="17"/>
  <c r="C1463" i="18" s="1"/>
  <c r="AI237" i="17"/>
  <c r="C1708" i="18" s="1"/>
  <c r="AR237" i="17"/>
  <c r="C1953" i="18" s="1"/>
  <c r="T237" i="17"/>
  <c r="AC237" i="17"/>
  <c r="AL237" i="17"/>
  <c r="AU237" i="17"/>
  <c r="O236" i="17"/>
  <c r="A1217" i="18" s="1"/>
  <c r="X236" i="17"/>
  <c r="A1462" i="18" s="1"/>
  <c r="AG236" i="17"/>
  <c r="A1707" i="18" s="1"/>
  <c r="AP236" i="17"/>
  <c r="A1952" i="18" s="1"/>
  <c r="S209" i="17"/>
  <c r="E1190" i="18" s="1"/>
  <c r="AB209" i="17"/>
  <c r="E1435" i="18" s="1"/>
  <c r="AK209" i="17"/>
  <c r="E1680" i="18" s="1"/>
  <c r="AT209" i="17"/>
  <c r="E1925" i="18" s="1"/>
  <c r="R209" i="17"/>
  <c r="AA209" i="17"/>
  <c r="AJ209" i="17"/>
  <c r="AS209" i="17"/>
  <c r="S207" i="17"/>
  <c r="E1188" i="18" s="1"/>
  <c r="AB207" i="17"/>
  <c r="E1433" i="18" s="1"/>
  <c r="AK207" i="17"/>
  <c r="E1678" i="18" s="1"/>
  <c r="AT207" i="17"/>
  <c r="E1923" i="18" s="1"/>
  <c r="AN206" i="17"/>
  <c r="V206" i="17"/>
  <c r="AE206" i="17"/>
  <c r="AW206" i="17"/>
  <c r="R205" i="17"/>
  <c r="AA205" i="17"/>
  <c r="AS205" i="17"/>
  <c r="AJ205" i="17"/>
  <c r="P204" i="17"/>
  <c r="AH204" i="17"/>
  <c r="AQ204" i="17"/>
  <c r="Y204" i="17"/>
  <c r="AT203" i="17"/>
  <c r="E1919" i="18" s="1"/>
  <c r="S203" i="17"/>
  <c r="E1184" i="18" s="1"/>
  <c r="AB203" i="17"/>
  <c r="E1429" i="18" s="1"/>
  <c r="AK203" i="17"/>
  <c r="E1674" i="18" s="1"/>
  <c r="T203" i="17"/>
  <c r="AL203" i="17"/>
  <c r="AC203" i="17"/>
  <c r="AU203" i="17"/>
  <c r="AV202" i="17"/>
  <c r="G1918" i="18" s="1"/>
  <c r="U202" i="17"/>
  <c r="G1183" i="18" s="1"/>
  <c r="AD202" i="17"/>
  <c r="G1428" i="18" s="1"/>
  <c r="AM202" i="17"/>
  <c r="G1673" i="18" s="1"/>
  <c r="AC199" i="17"/>
  <c r="AU199" i="17"/>
  <c r="T199" i="17"/>
  <c r="AL199" i="17"/>
  <c r="O198" i="17"/>
  <c r="A1179" i="18" s="1"/>
  <c r="X198" i="17"/>
  <c r="A1424" i="18" s="1"/>
  <c r="AG198" i="17"/>
  <c r="A1669" i="18" s="1"/>
  <c r="AP198" i="17"/>
  <c r="A1914" i="18" s="1"/>
  <c r="U197" i="17"/>
  <c r="G1178" i="18" s="1"/>
  <c r="AV197" i="17"/>
  <c r="G1913" i="18" s="1"/>
  <c r="AD197" i="17"/>
  <c r="G1423" i="18" s="1"/>
  <c r="AM197" i="17"/>
  <c r="G1668" i="18" s="1"/>
  <c r="R197" i="17"/>
  <c r="AS197" i="17"/>
  <c r="AA197" i="17"/>
  <c r="AJ197" i="17"/>
  <c r="U196" i="17"/>
  <c r="G1177" i="18" s="1"/>
  <c r="AD196" i="17"/>
  <c r="G1422" i="18" s="1"/>
  <c r="AM196" i="17"/>
  <c r="G1667" i="18" s="1"/>
  <c r="AV196" i="17"/>
  <c r="G1912" i="18" s="1"/>
  <c r="AL196" i="17"/>
  <c r="AU196" i="17"/>
  <c r="T196" i="17"/>
  <c r="AC196" i="17"/>
  <c r="U195" i="17"/>
  <c r="G1176" i="18" s="1"/>
  <c r="AD195" i="17"/>
  <c r="G1421" i="18" s="1"/>
  <c r="AV195" i="17"/>
  <c r="G1911" i="18" s="1"/>
  <c r="AM195" i="17"/>
  <c r="G1666" i="18" s="1"/>
  <c r="P193" i="17"/>
  <c r="AQ193" i="17"/>
  <c r="Y193" i="17"/>
  <c r="AH193" i="17"/>
  <c r="O192" i="17"/>
  <c r="A1173" i="18" s="1"/>
  <c r="X192" i="17"/>
  <c r="A1418" i="18" s="1"/>
  <c r="AG192" i="17"/>
  <c r="A1663" i="18" s="1"/>
  <c r="AP192" i="17"/>
  <c r="A1908" i="18" s="1"/>
  <c r="P192" i="17"/>
  <c r="Y192" i="17"/>
  <c r="AH192" i="17"/>
  <c r="AQ192" i="17"/>
  <c r="O191" i="17"/>
  <c r="A1172" i="18" s="1"/>
  <c r="X191" i="17"/>
  <c r="A1417" i="18" s="1"/>
  <c r="AG191" i="17"/>
  <c r="A1662" i="18" s="1"/>
  <c r="AP191" i="17"/>
  <c r="A1907" i="18" s="1"/>
  <c r="O189" i="17"/>
  <c r="A1170" i="18" s="1"/>
  <c r="X189" i="17"/>
  <c r="A1415" i="18" s="1"/>
  <c r="AG189" i="17"/>
  <c r="A1660" i="18" s="1"/>
  <c r="AP189" i="17"/>
  <c r="A1905" i="18" s="1"/>
  <c r="V189" i="17"/>
  <c r="AE189" i="17"/>
  <c r="AN189" i="17"/>
  <c r="AW189" i="17"/>
  <c r="U188" i="17"/>
  <c r="G1169" i="18" s="1"/>
  <c r="AD188" i="17"/>
  <c r="G1414" i="18" s="1"/>
  <c r="AM188" i="17"/>
  <c r="G1659" i="18" s="1"/>
  <c r="AV188" i="17"/>
  <c r="G1904" i="18" s="1"/>
  <c r="R188" i="17"/>
  <c r="AA188" i="17"/>
  <c r="AJ188" i="17"/>
  <c r="AS188" i="17"/>
  <c r="O187" i="17"/>
  <c r="A1168" i="18" s="1"/>
  <c r="X187" i="17"/>
  <c r="A1413" i="18" s="1"/>
  <c r="AG187" i="17"/>
  <c r="A1658" i="18" s="1"/>
  <c r="AP187" i="17"/>
  <c r="A1903" i="18" s="1"/>
  <c r="U186" i="17"/>
  <c r="G1167" i="18" s="1"/>
  <c r="AD186" i="17"/>
  <c r="G1412" i="18" s="1"/>
  <c r="AM186" i="17"/>
  <c r="G1657" i="18" s="1"/>
  <c r="AV186" i="17"/>
  <c r="G1902" i="18" s="1"/>
  <c r="V186" i="17"/>
  <c r="AE186" i="17"/>
  <c r="AN186" i="17"/>
  <c r="AW186" i="17"/>
  <c r="T184" i="17"/>
  <c r="AC184" i="17"/>
  <c r="AL184" i="17"/>
  <c r="AU184" i="17"/>
  <c r="S182" i="17"/>
  <c r="E1163" i="18" s="1"/>
  <c r="AB182" i="17"/>
  <c r="E1408" i="18" s="1"/>
  <c r="AK182" i="17"/>
  <c r="E1653" i="18" s="1"/>
  <c r="AT182" i="17"/>
  <c r="E1898" i="18" s="1"/>
  <c r="P182" i="17"/>
  <c r="Y182" i="17"/>
  <c r="AH182" i="17"/>
  <c r="AQ182" i="17"/>
  <c r="S181" i="17"/>
  <c r="E1162" i="18" s="1"/>
  <c r="AB181" i="17"/>
  <c r="E1407" i="18" s="1"/>
  <c r="AK181" i="17"/>
  <c r="E1652" i="18" s="1"/>
  <c r="AT181" i="17"/>
  <c r="E1897" i="18" s="1"/>
  <c r="Q180" i="17"/>
  <c r="C1161" i="18" s="1"/>
  <c r="Z180" i="17"/>
  <c r="C1406" i="18" s="1"/>
  <c r="AI180" i="17"/>
  <c r="C1651" i="18" s="1"/>
  <c r="AR180" i="17"/>
  <c r="C1896" i="18" s="1"/>
  <c r="P180" i="17"/>
  <c r="Y180" i="17"/>
  <c r="AH180" i="17"/>
  <c r="AQ180" i="17"/>
  <c r="O178" i="17"/>
  <c r="A1159" i="18" s="1"/>
  <c r="X178" i="17"/>
  <c r="A1404" i="18" s="1"/>
  <c r="AG178" i="17"/>
  <c r="A1649" i="18" s="1"/>
  <c r="AP178" i="17"/>
  <c r="A1894" i="18" s="1"/>
  <c r="P178" i="17"/>
  <c r="Y178" i="17"/>
  <c r="AH178" i="17"/>
  <c r="AQ178" i="17"/>
  <c r="V176" i="17"/>
  <c r="AE176" i="17"/>
  <c r="AN176" i="17"/>
  <c r="AW176" i="17"/>
  <c r="Q175" i="17"/>
  <c r="C1156" i="18" s="1"/>
  <c r="Z175" i="17"/>
  <c r="C1401" i="18" s="1"/>
  <c r="AI175" i="17"/>
  <c r="C1646" i="18" s="1"/>
  <c r="AR175" i="17"/>
  <c r="C1891" i="18" s="1"/>
  <c r="P175" i="17"/>
  <c r="Y175" i="17"/>
  <c r="AH175" i="17"/>
  <c r="AQ175" i="17"/>
  <c r="S174" i="17"/>
  <c r="E1155" i="18" s="1"/>
  <c r="AB174" i="17"/>
  <c r="E1400" i="18" s="1"/>
  <c r="AK174" i="17"/>
  <c r="E1645" i="18" s="1"/>
  <c r="AT174" i="17"/>
  <c r="E1890" i="18" s="1"/>
  <c r="P173" i="17"/>
  <c r="Y173" i="17"/>
  <c r="AH173" i="17"/>
  <c r="AQ173" i="17"/>
  <c r="R172" i="17"/>
  <c r="AA172" i="17"/>
  <c r="AJ172" i="17"/>
  <c r="AS172" i="17"/>
  <c r="T171" i="17"/>
  <c r="AC171" i="17"/>
  <c r="AL171" i="17"/>
  <c r="AU171" i="17"/>
  <c r="S170" i="17"/>
  <c r="E1151" i="18" s="1"/>
  <c r="AB170" i="17"/>
  <c r="E1396" i="18" s="1"/>
  <c r="AK170" i="17"/>
  <c r="E1641" i="18" s="1"/>
  <c r="AT170" i="17"/>
  <c r="E1886" i="18" s="1"/>
  <c r="U169" i="17"/>
  <c r="G1150" i="18" s="1"/>
  <c r="AD169" i="17"/>
  <c r="G1395" i="18" s="1"/>
  <c r="AM169" i="17"/>
  <c r="G1640" i="18" s="1"/>
  <c r="AV169" i="17"/>
  <c r="G1885" i="18" s="1"/>
  <c r="U168" i="17"/>
  <c r="G1149" i="18" s="1"/>
  <c r="AD168" i="17"/>
  <c r="G1394" i="18" s="1"/>
  <c r="AM168" i="17"/>
  <c r="G1639" i="18" s="1"/>
  <c r="AV168" i="17"/>
  <c r="G1884" i="18" s="1"/>
  <c r="P168" i="17"/>
  <c r="Y168" i="17"/>
  <c r="AH168" i="17"/>
  <c r="AQ168" i="17"/>
  <c r="S167" i="17"/>
  <c r="E1148" i="18" s="1"/>
  <c r="AB167" i="17"/>
  <c r="E1393" i="18" s="1"/>
  <c r="AK167" i="17"/>
  <c r="E1638" i="18" s="1"/>
  <c r="AT167" i="17"/>
  <c r="E1883" i="18" s="1"/>
  <c r="V166" i="17"/>
  <c r="AE166" i="17"/>
  <c r="AN166" i="17"/>
  <c r="AW166" i="17"/>
  <c r="Q164" i="17"/>
  <c r="C1145" i="18" s="1"/>
  <c r="Z164" i="17"/>
  <c r="C1390" i="18" s="1"/>
  <c r="AI164" i="17"/>
  <c r="C1635" i="18" s="1"/>
  <c r="AR164" i="17"/>
  <c r="C1880" i="18" s="1"/>
  <c r="O163" i="17"/>
  <c r="A1144" i="18" s="1"/>
  <c r="X163" i="17"/>
  <c r="A1389" i="18" s="1"/>
  <c r="AG163" i="17"/>
  <c r="A1634" i="18" s="1"/>
  <c r="AP163" i="17"/>
  <c r="A1879" i="18" s="1"/>
  <c r="S162" i="17"/>
  <c r="E1143" i="18" s="1"/>
  <c r="AB162" i="17"/>
  <c r="E1388" i="18" s="1"/>
  <c r="AK162" i="17"/>
  <c r="E1633" i="18" s="1"/>
  <c r="AT162" i="17"/>
  <c r="E1878" i="18" s="1"/>
  <c r="Q161" i="17"/>
  <c r="C1142" i="18" s="1"/>
  <c r="Z161" i="17"/>
  <c r="C1387" i="18" s="1"/>
  <c r="AI161" i="17"/>
  <c r="C1632" i="18" s="1"/>
  <c r="AR161" i="17"/>
  <c r="C1877" i="18" s="1"/>
  <c r="Q160" i="17"/>
  <c r="C1141" i="18" s="1"/>
  <c r="Z160" i="17"/>
  <c r="C1386" i="18" s="1"/>
  <c r="AI160" i="17"/>
  <c r="C1631" i="18" s="1"/>
  <c r="AR160" i="17"/>
  <c r="C1876" i="18" s="1"/>
  <c r="T160" i="17"/>
  <c r="AC160" i="17"/>
  <c r="AL160" i="17"/>
  <c r="AU160" i="17"/>
  <c r="Q159" i="17"/>
  <c r="C1140" i="18" s="1"/>
  <c r="Z159" i="17"/>
  <c r="C1385" i="18" s="1"/>
  <c r="AI159" i="17"/>
  <c r="C1630" i="18" s="1"/>
  <c r="AR159" i="17"/>
  <c r="C1875" i="18" s="1"/>
  <c r="V159" i="17"/>
  <c r="AE159" i="17"/>
  <c r="AN159" i="17"/>
  <c r="AW159" i="17"/>
  <c r="O158" i="17"/>
  <c r="A1139" i="18" s="1"/>
  <c r="X158" i="17"/>
  <c r="A1384" i="18" s="1"/>
  <c r="AG158" i="17"/>
  <c r="A1629" i="18" s="1"/>
  <c r="AP158" i="17"/>
  <c r="A1874" i="18" s="1"/>
  <c r="V157" i="17"/>
  <c r="AE157" i="17"/>
  <c r="AN157" i="17"/>
  <c r="AW157" i="17"/>
  <c r="Q156" i="17"/>
  <c r="C1137" i="18" s="1"/>
  <c r="Z156" i="17"/>
  <c r="C1382" i="18" s="1"/>
  <c r="AI156" i="17"/>
  <c r="C1627" i="18" s="1"/>
  <c r="AR156" i="17"/>
  <c r="C1872" i="18" s="1"/>
  <c r="Z114" i="17"/>
  <c r="C1340" i="18" s="1"/>
  <c r="Q114" i="17"/>
  <c r="C1095" i="18" s="1"/>
  <c r="AI114" i="17"/>
  <c r="C1585" i="18" s="1"/>
  <c r="AR114" i="17"/>
  <c r="C1830" i="18" s="1"/>
  <c r="B357" i="17"/>
  <c r="B360" i="18"/>
  <c r="X110" i="17"/>
  <c r="A1336" i="18" s="1"/>
  <c r="O110" i="17"/>
  <c r="A1091" i="18" s="1"/>
  <c r="AP110" i="17"/>
  <c r="A1826" i="18" s="1"/>
  <c r="AG110" i="17"/>
  <c r="A1581" i="18" s="1"/>
  <c r="AK109" i="17"/>
  <c r="E1580" i="18" s="1"/>
  <c r="S109" i="17"/>
  <c r="E1090" i="18" s="1"/>
  <c r="AB109" i="17"/>
  <c r="E1335" i="18" s="1"/>
  <c r="AT109" i="17"/>
  <c r="E1825" i="18" s="1"/>
  <c r="AI109" i="17"/>
  <c r="C1580" i="18" s="1"/>
  <c r="Q109" i="17"/>
  <c r="C1090" i="18" s="1"/>
  <c r="Z109" i="17"/>
  <c r="C1335" i="18" s="1"/>
  <c r="AR109" i="17"/>
  <c r="C1825" i="18" s="1"/>
  <c r="AM108" i="17"/>
  <c r="G1579" i="18" s="1"/>
  <c r="U108" i="17"/>
  <c r="G1089" i="18" s="1"/>
  <c r="AD108" i="17"/>
  <c r="G1334" i="18" s="1"/>
  <c r="AV108" i="17"/>
  <c r="G1824" i="18" s="1"/>
  <c r="O108" i="17"/>
  <c r="A1089" i="18" s="1"/>
  <c r="AG108" i="17"/>
  <c r="A1579" i="18" s="1"/>
  <c r="X108" i="17"/>
  <c r="A1334" i="18" s="1"/>
  <c r="AP108" i="17"/>
  <c r="A1824" i="18" s="1"/>
  <c r="Q107" i="17"/>
  <c r="C1088" i="18" s="1"/>
  <c r="Z107" i="17"/>
  <c r="C1333" i="18" s="1"/>
  <c r="AI107" i="17"/>
  <c r="C1578" i="18" s="1"/>
  <c r="AR107" i="17"/>
  <c r="C1823" i="18" s="1"/>
  <c r="V104" i="17"/>
  <c r="AW104" i="17"/>
  <c r="AE104" i="17"/>
  <c r="AN104" i="17"/>
  <c r="AI102" i="17"/>
  <c r="C1573" i="18" s="1"/>
  <c r="AR102" i="17"/>
  <c r="C1818" i="18" s="1"/>
  <c r="Z102" i="17"/>
  <c r="C1328" i="18" s="1"/>
  <c r="Q102" i="17"/>
  <c r="C1083" i="18" s="1"/>
  <c r="P102" i="17"/>
  <c r="AH102" i="17"/>
  <c r="AQ102" i="17"/>
  <c r="Y102" i="17"/>
  <c r="S100" i="17"/>
  <c r="E1081" i="18" s="1"/>
  <c r="AK100" i="17"/>
  <c r="E1571" i="18" s="1"/>
  <c r="AT100" i="17"/>
  <c r="E1816" i="18" s="1"/>
  <c r="AB100" i="17"/>
  <c r="E1326" i="18" s="1"/>
  <c r="AV99" i="17"/>
  <c r="G1815" i="18" s="1"/>
  <c r="U99" i="17"/>
  <c r="G1080" i="18" s="1"/>
  <c r="AD99" i="17"/>
  <c r="G1325" i="18" s="1"/>
  <c r="AM99" i="17"/>
  <c r="G1570" i="18" s="1"/>
  <c r="Z98" i="17"/>
  <c r="C1324" i="18" s="1"/>
  <c r="AI98" i="17"/>
  <c r="C1569" i="18" s="1"/>
  <c r="Q98" i="17"/>
  <c r="C1079" i="18" s="1"/>
  <c r="AR98" i="17"/>
  <c r="C1814" i="18" s="1"/>
  <c r="AK96" i="17"/>
  <c r="E1567" i="18" s="1"/>
  <c r="AT96" i="17"/>
  <c r="E1812" i="18" s="1"/>
  <c r="S96" i="17"/>
  <c r="E1077" i="18" s="1"/>
  <c r="AB96" i="17"/>
  <c r="E1322" i="18" s="1"/>
  <c r="P96" i="17"/>
  <c r="Y96" i="17"/>
  <c r="AQ96" i="17"/>
  <c r="AH96" i="17"/>
  <c r="Z95" i="17"/>
  <c r="C1321" i="18" s="1"/>
  <c r="Q95" i="17"/>
  <c r="C1076" i="18" s="1"/>
  <c r="AR95" i="17"/>
  <c r="C1811" i="18" s="1"/>
  <c r="AI95" i="17"/>
  <c r="C1566" i="18" s="1"/>
  <c r="Z94" i="17"/>
  <c r="C1320" i="18" s="1"/>
  <c r="AR94" i="17"/>
  <c r="C1810" i="18" s="1"/>
  <c r="Q94" i="17"/>
  <c r="C1075" i="18" s="1"/>
  <c r="AI94" i="17"/>
  <c r="C1565" i="18" s="1"/>
  <c r="T91" i="17"/>
  <c r="AC91" i="17"/>
  <c r="AL91" i="17"/>
  <c r="AU91" i="17"/>
  <c r="R90" i="17"/>
  <c r="AA90" i="17"/>
  <c r="AJ90" i="17"/>
  <c r="AS90" i="17"/>
  <c r="P89" i="17"/>
  <c r="Y89" i="17"/>
  <c r="AH89" i="17"/>
  <c r="AQ89" i="17"/>
  <c r="V85" i="17"/>
  <c r="AE85" i="17"/>
  <c r="AN85" i="17"/>
  <c r="AW85" i="17"/>
  <c r="P83" i="17"/>
  <c r="Y83" i="17"/>
  <c r="AH83" i="17"/>
  <c r="AQ83" i="17"/>
  <c r="O82" i="17"/>
  <c r="A1063" i="18" s="1"/>
  <c r="X82" i="17"/>
  <c r="A1308" i="18" s="1"/>
  <c r="AG82" i="17"/>
  <c r="A1553" i="18" s="1"/>
  <c r="AP82" i="17"/>
  <c r="A1798" i="18" s="1"/>
  <c r="T82" i="17"/>
  <c r="AC82" i="17"/>
  <c r="AL82" i="17"/>
  <c r="AU82" i="17"/>
  <c r="Q81" i="17"/>
  <c r="C1062" i="18" s="1"/>
  <c r="Z81" i="17"/>
  <c r="C1307" i="18" s="1"/>
  <c r="AI81" i="17"/>
  <c r="C1552" i="18" s="1"/>
  <c r="AR81" i="17"/>
  <c r="C1797" i="18" s="1"/>
  <c r="O80" i="17"/>
  <c r="A1061" i="18" s="1"/>
  <c r="X80" i="17"/>
  <c r="A1306" i="18" s="1"/>
  <c r="AG80" i="17"/>
  <c r="A1551" i="18" s="1"/>
  <c r="AP80" i="17"/>
  <c r="A1796" i="18" s="1"/>
  <c r="S79" i="17"/>
  <c r="E1060" i="18" s="1"/>
  <c r="AB79" i="17"/>
  <c r="E1305" i="18" s="1"/>
  <c r="AK79" i="17"/>
  <c r="E1550" i="18" s="1"/>
  <c r="AT79" i="17"/>
  <c r="E1795" i="18" s="1"/>
  <c r="V78" i="17"/>
  <c r="AE78" i="17"/>
  <c r="AN78" i="17"/>
  <c r="AW78" i="17"/>
  <c r="O77" i="17"/>
  <c r="A1058" i="18" s="1"/>
  <c r="X77" i="17"/>
  <c r="A1303" i="18" s="1"/>
  <c r="AG77" i="17"/>
  <c r="A1548" i="18" s="1"/>
  <c r="AP77" i="17"/>
  <c r="A1793" i="18" s="1"/>
  <c r="O76" i="17"/>
  <c r="A1057" i="18" s="1"/>
  <c r="X76" i="17"/>
  <c r="A1302" i="18" s="1"/>
  <c r="AG76" i="17"/>
  <c r="A1547" i="18" s="1"/>
  <c r="AP76" i="17"/>
  <c r="A1792" i="18" s="1"/>
  <c r="U75" i="17"/>
  <c r="G1056" i="18" s="1"/>
  <c r="AD75" i="17"/>
  <c r="G1301" i="18" s="1"/>
  <c r="AM75" i="17"/>
  <c r="G1546" i="18" s="1"/>
  <c r="AV75" i="17"/>
  <c r="G1791" i="18" s="1"/>
  <c r="Q75" i="17"/>
  <c r="C1056" i="18" s="1"/>
  <c r="Z75" i="17"/>
  <c r="C1301" i="18" s="1"/>
  <c r="AI75" i="17"/>
  <c r="C1546" i="18" s="1"/>
  <c r="AR75" i="17"/>
  <c r="C1791" i="18" s="1"/>
  <c r="S74" i="17"/>
  <c r="E1055" i="18" s="1"/>
  <c r="AB74" i="17"/>
  <c r="E1300" i="18" s="1"/>
  <c r="AK74" i="17"/>
  <c r="E1545" i="18" s="1"/>
  <c r="AT74" i="17"/>
  <c r="E1790" i="18" s="1"/>
  <c r="T74" i="17"/>
  <c r="AC74" i="17"/>
  <c r="AL74" i="17"/>
  <c r="AU74" i="17"/>
  <c r="U73" i="17"/>
  <c r="G1054" i="18" s="1"/>
  <c r="AD73" i="17"/>
  <c r="G1299" i="18" s="1"/>
  <c r="AM73" i="17"/>
  <c r="G1544" i="18" s="1"/>
  <c r="AV73" i="17"/>
  <c r="G1789" i="18" s="1"/>
  <c r="R73" i="17"/>
  <c r="AA73" i="17"/>
  <c r="AJ73" i="17"/>
  <c r="AS73" i="17"/>
  <c r="V26" i="17"/>
  <c r="AE26" i="17"/>
  <c r="AN26" i="17"/>
  <c r="AW26" i="17"/>
  <c r="S25" i="17"/>
  <c r="E1006" i="18" s="1"/>
  <c r="AB25" i="17"/>
  <c r="E1251" i="18" s="1"/>
  <c r="AK25" i="17"/>
  <c r="E1496" i="18" s="1"/>
  <c r="AT25" i="17"/>
  <c r="E1741" i="18" s="1"/>
  <c r="R25" i="17"/>
  <c r="AA25" i="17"/>
  <c r="AJ25" i="17"/>
  <c r="AS25" i="17"/>
  <c r="O23" i="17"/>
  <c r="A1004" i="18" s="1"/>
  <c r="X23" i="17"/>
  <c r="A1249" i="18" s="1"/>
  <c r="AG23" i="17"/>
  <c r="A1494" i="18" s="1"/>
  <c r="AP23" i="17"/>
  <c r="A1739" i="18" s="1"/>
  <c r="P22" i="17"/>
  <c r="Y22" i="17"/>
  <c r="AH22" i="17"/>
  <c r="AQ22" i="17"/>
  <c r="Q21" i="17"/>
  <c r="C1002" i="18" s="1"/>
  <c r="Z21" i="17"/>
  <c r="C1247" i="18" s="1"/>
  <c r="AI21" i="17"/>
  <c r="C1492" i="18" s="1"/>
  <c r="AR21" i="17"/>
  <c r="C1737" i="18" s="1"/>
  <c r="Q19" i="17"/>
  <c r="C1000" i="18" s="1"/>
  <c r="Z19" i="17"/>
  <c r="C1245" i="18" s="1"/>
  <c r="AI19" i="17"/>
  <c r="C1490" i="18" s="1"/>
  <c r="AR19" i="17"/>
  <c r="C1735" i="18" s="1"/>
  <c r="R19" i="17"/>
  <c r="AA19" i="17"/>
  <c r="AJ19" i="17"/>
  <c r="AS19" i="17"/>
  <c r="Q18" i="17"/>
  <c r="C999" i="18" s="1"/>
  <c r="Z18" i="17"/>
  <c r="C1244" i="18" s="1"/>
  <c r="AI18" i="17"/>
  <c r="C1489" i="18" s="1"/>
  <c r="AR18" i="17"/>
  <c r="C1734" i="18" s="1"/>
  <c r="V17" i="17"/>
  <c r="AE17" i="17"/>
  <c r="AN17" i="17"/>
  <c r="AW17" i="17"/>
  <c r="T16" i="17"/>
  <c r="AC16" i="17"/>
  <c r="AL16" i="17"/>
  <c r="AU16" i="17"/>
  <c r="U15" i="17"/>
  <c r="G996" i="18" s="1"/>
  <c r="AD15" i="17"/>
  <c r="G1241" i="18" s="1"/>
  <c r="AM15" i="17"/>
  <c r="G1486" i="18" s="1"/>
  <c r="AV15" i="17"/>
  <c r="G1731" i="18" s="1"/>
  <c r="U9" i="17"/>
  <c r="G990" i="18" s="1"/>
  <c r="AD9" i="17"/>
  <c r="G1235" i="18" s="1"/>
  <c r="AM9" i="17"/>
  <c r="G1480" i="18" s="1"/>
  <c r="AV9" i="17"/>
  <c r="G1725" i="18" s="1"/>
  <c r="V8" i="17"/>
  <c r="AE8" i="17"/>
  <c r="AN8" i="17"/>
  <c r="AW8" i="17"/>
  <c r="S7" i="17"/>
  <c r="E988" i="18" s="1"/>
  <c r="AB7" i="17"/>
  <c r="E1233" i="18" s="1"/>
  <c r="AK7" i="17"/>
  <c r="E1478" i="18" s="1"/>
  <c r="AT7" i="17"/>
  <c r="E1723" i="18" s="1"/>
  <c r="V6" i="17"/>
  <c r="AE6" i="17"/>
  <c r="AN6" i="17"/>
  <c r="AW6" i="17"/>
  <c r="T4" i="17"/>
  <c r="AU4" i="17"/>
  <c r="AC4" i="17"/>
  <c r="AL4" i="17"/>
  <c r="S2" i="17"/>
  <c r="E983" i="18" s="1"/>
  <c r="AB2" i="17"/>
  <c r="E1228" i="18" s="1"/>
  <c r="AT2" i="17"/>
  <c r="E1718" i="18" s="1"/>
  <c r="AK2" i="17"/>
  <c r="E1473" i="18" s="1"/>
  <c r="D144" i="5"/>
  <c r="D144" i="6"/>
  <c r="W144" i="10"/>
  <c r="C144" i="5"/>
  <c r="K144" i="5" s="1"/>
  <c r="L144" i="5" s="1"/>
  <c r="Z144" i="5"/>
  <c r="AA144" i="5"/>
  <c r="C130" i="6"/>
  <c r="J130" i="10"/>
  <c r="G130" i="17" s="1"/>
  <c r="F131" i="18" s="1"/>
  <c r="M130" i="10"/>
  <c r="AE130" i="5"/>
  <c r="AF130" i="5" s="1"/>
  <c r="I130" i="5"/>
  <c r="J130" i="5" s="1"/>
  <c r="AE129" i="5"/>
  <c r="AF129" i="5" s="1"/>
  <c r="I129" i="5"/>
  <c r="J129" i="5" s="1"/>
  <c r="Z127" i="5"/>
  <c r="C127" i="5"/>
  <c r="D127" i="6"/>
  <c r="W127" i="10"/>
  <c r="D127" i="5"/>
  <c r="AA127" i="5"/>
  <c r="AK123" i="5"/>
  <c r="B123" i="6"/>
  <c r="H123" i="10"/>
  <c r="E123" i="17" s="1"/>
  <c r="B124" i="18" s="1"/>
  <c r="I123" i="10"/>
  <c r="F123" i="17" s="1"/>
  <c r="D124" i="18" s="1"/>
  <c r="L123" i="10"/>
  <c r="B120" i="6"/>
  <c r="H120" i="10"/>
  <c r="E120" i="17" s="1"/>
  <c r="B121" i="18" s="1"/>
  <c r="I120" i="10"/>
  <c r="F120" i="17" s="1"/>
  <c r="D121" i="18" s="1"/>
  <c r="L120" i="10"/>
  <c r="AK120" i="5"/>
  <c r="AA119" i="5"/>
  <c r="D119" i="6"/>
  <c r="W119" i="10"/>
  <c r="D119" i="5"/>
  <c r="Z119" i="5"/>
  <c r="C119" i="5"/>
  <c r="C116" i="6"/>
  <c r="J116" i="10"/>
  <c r="G116" i="17" s="1"/>
  <c r="F117" i="18" s="1"/>
  <c r="M116" i="10"/>
  <c r="AK113" i="5"/>
  <c r="B113" i="6"/>
  <c r="H113" i="10"/>
  <c r="E113" i="17" s="1"/>
  <c r="B114" i="18" s="1"/>
  <c r="I113" i="10"/>
  <c r="F113" i="17" s="1"/>
  <c r="D114" i="18" s="1"/>
  <c r="L113" i="10"/>
  <c r="I113" i="5"/>
  <c r="J113" i="5" s="1"/>
  <c r="AE113" i="5"/>
  <c r="AF113" i="5" s="1"/>
  <c r="C112" i="6"/>
  <c r="J112" i="10"/>
  <c r="G112" i="17" s="1"/>
  <c r="F113" i="18" s="1"/>
  <c r="M112" i="10"/>
  <c r="D112" i="6"/>
  <c r="Z112" i="5"/>
  <c r="W112" i="10"/>
  <c r="AA112" i="5"/>
  <c r="D112" i="5"/>
  <c r="C112" i="5"/>
  <c r="I100" i="5"/>
  <c r="J100" i="5" s="1"/>
  <c r="AE100" i="5"/>
  <c r="AF100" i="5" s="1"/>
  <c r="F1094" i="18"/>
  <c r="D601" i="17"/>
  <c r="A353" i="17"/>
  <c r="A598" i="17"/>
  <c r="A843" i="17"/>
  <c r="A1088" i="17"/>
  <c r="A1333" i="17"/>
  <c r="A356" i="18"/>
  <c r="C356" i="18"/>
  <c r="E356" i="18"/>
  <c r="G356" i="18"/>
  <c r="D1090" i="18"/>
  <c r="C597" i="17"/>
  <c r="D1578" i="18"/>
  <c r="C1085" i="17"/>
  <c r="D1333" i="18"/>
  <c r="C840" i="17"/>
  <c r="A347" i="17"/>
  <c r="A592" i="17"/>
  <c r="A837" i="17"/>
  <c r="A1082" i="17"/>
  <c r="A1327" i="17"/>
  <c r="A350" i="18"/>
  <c r="C350" i="18"/>
  <c r="E350" i="18"/>
  <c r="G350" i="18"/>
  <c r="D1818" i="18"/>
  <c r="C1325" i="17"/>
  <c r="H1572" i="18"/>
  <c r="E1079" i="17"/>
  <c r="D1081" i="18"/>
  <c r="C588" i="17"/>
  <c r="B1080" i="18"/>
  <c r="B587" i="17"/>
  <c r="F1813" i="18"/>
  <c r="D1320" i="17"/>
  <c r="D1811" i="18"/>
  <c r="C1318" i="17"/>
  <c r="D1076" i="18"/>
  <c r="C583" i="17"/>
  <c r="A337" i="17"/>
  <c r="A582" i="17"/>
  <c r="A827" i="17"/>
  <c r="A1072" i="17"/>
  <c r="A1317" i="17"/>
  <c r="A340" i="18"/>
  <c r="C340" i="18"/>
  <c r="E340" i="18"/>
  <c r="G340" i="18"/>
  <c r="A336" i="17"/>
  <c r="A581" i="17"/>
  <c r="A826" i="17"/>
  <c r="A1071" i="17"/>
  <c r="A1316" i="17"/>
  <c r="A339" i="18"/>
  <c r="C339" i="18"/>
  <c r="E339" i="18"/>
  <c r="G339" i="18"/>
  <c r="B1476" i="18"/>
  <c r="B983" i="17"/>
  <c r="B986" i="18"/>
  <c r="B493" i="17"/>
  <c r="A248" i="17"/>
  <c r="A493" i="17"/>
  <c r="A738" i="17"/>
  <c r="A983" i="17"/>
  <c r="A1228" i="17"/>
  <c r="A251" i="18"/>
  <c r="C251" i="18"/>
  <c r="E251" i="18"/>
  <c r="G251" i="18"/>
  <c r="O242" i="17"/>
  <c r="A1223" i="18" s="1"/>
  <c r="X242" i="17"/>
  <c r="A1468" i="18" s="1"/>
  <c r="AG242" i="17"/>
  <c r="A1713" i="18" s="1"/>
  <c r="AP242" i="17"/>
  <c r="A1958" i="18" s="1"/>
  <c r="S241" i="17"/>
  <c r="E1222" i="18" s="1"/>
  <c r="AB241" i="17"/>
  <c r="E1467" i="18" s="1"/>
  <c r="AK241" i="17"/>
  <c r="E1712" i="18" s="1"/>
  <c r="AT241" i="17"/>
  <c r="E1957" i="18" s="1"/>
  <c r="T241" i="17"/>
  <c r="AC241" i="17"/>
  <c r="AL241" i="17"/>
  <c r="AU241" i="17"/>
  <c r="U240" i="17"/>
  <c r="G1221" i="18" s="1"/>
  <c r="AD240" i="17"/>
  <c r="G1466" i="18" s="1"/>
  <c r="AM240" i="17"/>
  <c r="G1711" i="18" s="1"/>
  <c r="AV240" i="17"/>
  <c r="G1956" i="18" s="1"/>
  <c r="O239" i="17"/>
  <c r="A1220" i="18" s="1"/>
  <c r="X239" i="17"/>
  <c r="A1465" i="18" s="1"/>
  <c r="AG239" i="17"/>
  <c r="A1710" i="18" s="1"/>
  <c r="AP239" i="17"/>
  <c r="A1955" i="18" s="1"/>
  <c r="Q238" i="17"/>
  <c r="C1219" i="18" s="1"/>
  <c r="Z238" i="17"/>
  <c r="C1464" i="18" s="1"/>
  <c r="AI238" i="17"/>
  <c r="C1709" i="18" s="1"/>
  <c r="AR238" i="17"/>
  <c r="C1954" i="18" s="1"/>
  <c r="T238" i="17"/>
  <c r="AC238" i="17"/>
  <c r="AL238" i="17"/>
  <c r="AU238" i="17"/>
  <c r="U237" i="17"/>
  <c r="G1218" i="18" s="1"/>
  <c r="AD237" i="17"/>
  <c r="G1463" i="18" s="1"/>
  <c r="AM237" i="17"/>
  <c r="G1708" i="18" s="1"/>
  <c r="AV237" i="17"/>
  <c r="G1953" i="18" s="1"/>
  <c r="U236" i="17"/>
  <c r="G1217" i="18" s="1"/>
  <c r="AD236" i="17"/>
  <c r="G1462" i="18" s="1"/>
  <c r="AM236" i="17"/>
  <c r="G1707" i="18" s="1"/>
  <c r="AV236" i="17"/>
  <c r="G1952" i="18" s="1"/>
  <c r="V236" i="17"/>
  <c r="AE236" i="17"/>
  <c r="AN236" i="17"/>
  <c r="AW236" i="17"/>
  <c r="V210" i="17"/>
  <c r="AE210" i="17"/>
  <c r="AN210" i="17"/>
  <c r="AW210" i="17"/>
  <c r="R210" i="17"/>
  <c r="AA210" i="17"/>
  <c r="AJ210" i="17"/>
  <c r="AS210" i="17"/>
  <c r="U209" i="17"/>
  <c r="G1190" i="18" s="1"/>
  <c r="AD209" i="17"/>
  <c r="G1435" i="18" s="1"/>
  <c r="AM209" i="17"/>
  <c r="G1680" i="18" s="1"/>
  <c r="AV209" i="17"/>
  <c r="G1925" i="18" s="1"/>
  <c r="V209" i="17"/>
  <c r="AE209" i="17"/>
  <c r="AN209" i="17"/>
  <c r="AW209" i="17"/>
  <c r="O208" i="17"/>
  <c r="A1189" i="18" s="1"/>
  <c r="X208" i="17"/>
  <c r="A1434" i="18" s="1"/>
  <c r="AG208" i="17"/>
  <c r="A1679" i="18" s="1"/>
  <c r="AP208" i="17"/>
  <c r="A1924" i="18" s="1"/>
  <c r="P208" i="17"/>
  <c r="Y208" i="17"/>
  <c r="AH208" i="17"/>
  <c r="AQ208" i="17"/>
  <c r="P207" i="17"/>
  <c r="Y207" i="17"/>
  <c r="AH207" i="17"/>
  <c r="AQ207" i="17"/>
  <c r="AK206" i="17"/>
  <c r="E1677" i="18" s="1"/>
  <c r="S206" i="17"/>
  <c r="E1187" i="18" s="1"/>
  <c r="AB206" i="17"/>
  <c r="E1432" i="18" s="1"/>
  <c r="AT206" i="17"/>
  <c r="E1922" i="18" s="1"/>
  <c r="U205" i="17"/>
  <c r="G1186" i="18" s="1"/>
  <c r="AM205" i="17"/>
  <c r="G1676" i="18" s="1"/>
  <c r="AD205" i="17"/>
  <c r="G1431" i="18" s="1"/>
  <c r="AV205" i="17"/>
  <c r="G1921" i="18" s="1"/>
  <c r="AI204" i="17"/>
  <c r="C1675" i="18" s="1"/>
  <c r="Q204" i="17"/>
  <c r="C1185" i="18" s="1"/>
  <c r="Z204" i="17"/>
  <c r="C1430" i="18" s="1"/>
  <c r="AR204" i="17"/>
  <c r="C1920" i="18" s="1"/>
  <c r="R204" i="17"/>
  <c r="AA204" i="17"/>
  <c r="AS204" i="17"/>
  <c r="AJ204" i="17"/>
  <c r="O203" i="17"/>
  <c r="A1184" i="18" s="1"/>
  <c r="AG203" i="17"/>
  <c r="A1674" i="18" s="1"/>
  <c r="AP203" i="17"/>
  <c r="A1919" i="18" s="1"/>
  <c r="X203" i="17"/>
  <c r="A1429" i="18" s="1"/>
  <c r="Q202" i="17"/>
  <c r="C1183" i="18" s="1"/>
  <c r="Z202" i="17"/>
  <c r="C1428" i="18" s="1"/>
  <c r="AI202" i="17"/>
  <c r="C1673" i="18" s="1"/>
  <c r="AR202" i="17"/>
  <c r="C1918" i="18" s="1"/>
  <c r="Y202" i="17"/>
  <c r="P202" i="17"/>
  <c r="AH202" i="17"/>
  <c r="AQ202" i="17"/>
  <c r="X201" i="17"/>
  <c r="A1427" i="18" s="1"/>
  <c r="AP201" i="17"/>
  <c r="A1917" i="18" s="1"/>
  <c r="O201" i="17"/>
  <c r="A1182" i="18" s="1"/>
  <c r="AG201" i="17"/>
  <c r="A1672" i="18" s="1"/>
  <c r="U199" i="17"/>
  <c r="G1180" i="18" s="1"/>
  <c r="AD199" i="17"/>
  <c r="G1425" i="18" s="1"/>
  <c r="AM199" i="17"/>
  <c r="G1670" i="18" s="1"/>
  <c r="AV199" i="17"/>
  <c r="G1915" i="18" s="1"/>
  <c r="AQ198" i="17"/>
  <c r="P198" i="17"/>
  <c r="AH198" i="17"/>
  <c r="Y198" i="17"/>
  <c r="AE196" i="17"/>
  <c r="AN196" i="17"/>
  <c r="AW196" i="17"/>
  <c r="V196" i="17"/>
  <c r="AG194" i="17"/>
  <c r="A1665" i="18" s="1"/>
  <c r="O194" i="17"/>
  <c r="A1175" i="18" s="1"/>
  <c r="X194" i="17"/>
  <c r="A1420" i="18" s="1"/>
  <c r="AP194" i="17"/>
  <c r="A1910" i="18" s="1"/>
  <c r="AJ194" i="17"/>
  <c r="AS194" i="17"/>
  <c r="R194" i="17"/>
  <c r="AA194" i="17"/>
  <c r="U193" i="17"/>
  <c r="G1174" i="18" s="1"/>
  <c r="AD193" i="17"/>
  <c r="G1419" i="18" s="1"/>
  <c r="AM193" i="17"/>
  <c r="G1664" i="18" s="1"/>
  <c r="AV193" i="17"/>
  <c r="G1909" i="18" s="1"/>
  <c r="S191" i="17"/>
  <c r="E1172" i="18" s="1"/>
  <c r="AB191" i="17"/>
  <c r="E1417" i="18" s="1"/>
  <c r="AK191" i="17"/>
  <c r="E1662" i="18" s="1"/>
  <c r="AT191" i="17"/>
  <c r="E1907" i="18" s="1"/>
  <c r="R189" i="17"/>
  <c r="AA189" i="17"/>
  <c r="AJ189" i="17"/>
  <c r="AS189" i="17"/>
  <c r="P187" i="17"/>
  <c r="Y187" i="17"/>
  <c r="AH187" i="17"/>
  <c r="AQ187" i="17"/>
  <c r="T186" i="17"/>
  <c r="AC186" i="17"/>
  <c r="AL186" i="17"/>
  <c r="AU186" i="17"/>
  <c r="U185" i="17"/>
  <c r="G1166" i="18" s="1"/>
  <c r="AD185" i="17"/>
  <c r="G1411" i="18" s="1"/>
  <c r="AM185" i="17"/>
  <c r="G1656" i="18" s="1"/>
  <c r="AV185" i="17"/>
  <c r="G1901" i="18" s="1"/>
  <c r="R185" i="17"/>
  <c r="AA185" i="17"/>
  <c r="AJ185" i="17"/>
  <c r="AS185" i="17"/>
  <c r="P184" i="17"/>
  <c r="Y184" i="17"/>
  <c r="AH184" i="17"/>
  <c r="AQ184" i="17"/>
  <c r="Q183" i="17"/>
  <c r="C1164" i="18" s="1"/>
  <c r="Z183" i="17"/>
  <c r="C1409" i="18" s="1"/>
  <c r="AI183" i="17"/>
  <c r="C1654" i="18" s="1"/>
  <c r="AR183" i="17"/>
  <c r="C1899" i="18" s="1"/>
  <c r="R182" i="17"/>
  <c r="AA182" i="17"/>
  <c r="AJ182" i="17"/>
  <c r="AS182" i="17"/>
  <c r="Q181" i="17"/>
  <c r="C1162" i="18" s="1"/>
  <c r="Z181" i="17"/>
  <c r="C1407" i="18" s="1"/>
  <c r="AI181" i="17"/>
  <c r="C1652" i="18" s="1"/>
  <c r="AR181" i="17"/>
  <c r="C1897" i="18" s="1"/>
  <c r="O177" i="17"/>
  <c r="A1158" i="18" s="1"/>
  <c r="X177" i="17"/>
  <c r="A1403" i="18" s="1"/>
  <c r="AG177" i="17"/>
  <c r="A1648" i="18" s="1"/>
  <c r="AP177" i="17"/>
  <c r="A1893" i="18" s="1"/>
  <c r="Q176" i="17"/>
  <c r="C1157" i="18" s="1"/>
  <c r="Z176" i="17"/>
  <c r="C1402" i="18" s="1"/>
  <c r="AI176" i="17"/>
  <c r="C1647" i="18" s="1"/>
  <c r="AR176" i="17"/>
  <c r="C1892" i="18" s="1"/>
  <c r="S175" i="17"/>
  <c r="E1156" i="18" s="1"/>
  <c r="AB175" i="17"/>
  <c r="E1401" i="18" s="1"/>
  <c r="AK175" i="17"/>
  <c r="E1646" i="18" s="1"/>
  <c r="AT175" i="17"/>
  <c r="E1891" i="18" s="1"/>
  <c r="O173" i="17"/>
  <c r="A1154" i="18" s="1"/>
  <c r="X173" i="17"/>
  <c r="A1399" i="18" s="1"/>
  <c r="AG173" i="17"/>
  <c r="A1644" i="18" s="1"/>
  <c r="AP173" i="17"/>
  <c r="A1889" i="18" s="1"/>
  <c r="U171" i="17"/>
  <c r="G1152" i="18" s="1"/>
  <c r="AD171" i="17"/>
  <c r="G1397" i="18" s="1"/>
  <c r="AM171" i="17"/>
  <c r="G1642" i="18" s="1"/>
  <c r="AV171" i="17"/>
  <c r="G1887" i="18" s="1"/>
  <c r="O171" i="17"/>
  <c r="A1152" i="18" s="1"/>
  <c r="X171" i="17"/>
  <c r="A1397" i="18" s="1"/>
  <c r="AG171" i="17"/>
  <c r="A1642" i="18" s="1"/>
  <c r="AP171" i="17"/>
  <c r="A1887" i="18" s="1"/>
  <c r="R170" i="17"/>
  <c r="AA170" i="17"/>
  <c r="AJ170" i="17"/>
  <c r="AS170" i="17"/>
  <c r="Q169" i="17"/>
  <c r="C1150" i="18" s="1"/>
  <c r="Z169" i="17"/>
  <c r="C1395" i="18" s="1"/>
  <c r="AI169" i="17"/>
  <c r="C1640" i="18" s="1"/>
  <c r="AR169" i="17"/>
  <c r="C1885" i="18" s="1"/>
  <c r="R169" i="17"/>
  <c r="AA169" i="17"/>
  <c r="AJ169" i="17"/>
  <c r="AS169" i="17"/>
  <c r="R168" i="17"/>
  <c r="AA168" i="17"/>
  <c r="AJ168" i="17"/>
  <c r="AS168" i="17"/>
  <c r="Q166" i="17"/>
  <c r="C1147" i="18" s="1"/>
  <c r="Z166" i="17"/>
  <c r="C1392" i="18" s="1"/>
  <c r="AI166" i="17"/>
  <c r="C1637" i="18" s="1"/>
  <c r="AR166" i="17"/>
  <c r="C1882" i="18" s="1"/>
  <c r="U164" i="17"/>
  <c r="G1145" i="18" s="1"/>
  <c r="AD164" i="17"/>
  <c r="G1390" i="18" s="1"/>
  <c r="AM164" i="17"/>
  <c r="G1635" i="18" s="1"/>
  <c r="AV164" i="17"/>
  <c r="G1880" i="18" s="1"/>
  <c r="U163" i="17"/>
  <c r="G1144" i="18" s="1"/>
  <c r="AD163" i="17"/>
  <c r="G1389" i="18" s="1"/>
  <c r="AM163" i="17"/>
  <c r="G1634" i="18" s="1"/>
  <c r="AV163" i="17"/>
  <c r="G1879" i="18" s="1"/>
  <c r="T162" i="17"/>
  <c r="AC162" i="17"/>
  <c r="AL162" i="17"/>
  <c r="AU162" i="17"/>
  <c r="U161" i="17"/>
  <c r="G1142" i="18" s="1"/>
  <c r="AD161" i="17"/>
  <c r="G1387" i="18" s="1"/>
  <c r="AM161" i="17"/>
  <c r="G1632" i="18" s="1"/>
  <c r="AV161" i="17"/>
  <c r="G1877" i="18" s="1"/>
  <c r="O160" i="17"/>
  <c r="A1141" i="18" s="1"/>
  <c r="X160" i="17"/>
  <c r="A1386" i="18" s="1"/>
  <c r="AG160" i="17"/>
  <c r="A1631" i="18" s="1"/>
  <c r="AP160" i="17"/>
  <c r="A1876" i="18" s="1"/>
  <c r="P159" i="17"/>
  <c r="Y159" i="17"/>
  <c r="AH159" i="17"/>
  <c r="AQ159" i="17"/>
  <c r="S158" i="17"/>
  <c r="E1139" i="18" s="1"/>
  <c r="AB158" i="17"/>
  <c r="E1384" i="18" s="1"/>
  <c r="AK158" i="17"/>
  <c r="E1629" i="18" s="1"/>
  <c r="AT158" i="17"/>
  <c r="E1874" i="18" s="1"/>
  <c r="U156" i="17"/>
  <c r="G1137" i="18" s="1"/>
  <c r="AD156" i="17"/>
  <c r="G1382" i="18" s="1"/>
  <c r="AM156" i="17"/>
  <c r="G1627" i="18" s="1"/>
  <c r="AV156" i="17"/>
  <c r="G1872" i="18" s="1"/>
  <c r="R155" i="17"/>
  <c r="AA155" i="17"/>
  <c r="AJ155" i="17"/>
  <c r="AS155" i="17"/>
  <c r="P154" i="17"/>
  <c r="Y154" i="17"/>
  <c r="AH154" i="17"/>
  <c r="AQ154" i="17"/>
  <c r="O115" i="17"/>
  <c r="A1096" i="18" s="1"/>
  <c r="X115" i="17"/>
  <c r="A1341" i="18" s="1"/>
  <c r="AG115" i="17"/>
  <c r="A1586" i="18" s="1"/>
  <c r="AP115" i="17"/>
  <c r="A1831" i="18" s="1"/>
  <c r="O114" i="17"/>
  <c r="A1095" i="18" s="1"/>
  <c r="AP114" i="17"/>
  <c r="A1830" i="18" s="1"/>
  <c r="X114" i="17"/>
  <c r="A1340" i="18" s="1"/>
  <c r="AG114" i="17"/>
  <c r="A1585" i="18" s="1"/>
  <c r="P114" i="17"/>
  <c r="Y114" i="17"/>
  <c r="AH114" i="17"/>
  <c r="AQ114" i="17"/>
  <c r="P110" i="17"/>
  <c r="AQ110" i="17"/>
  <c r="Y110" i="17"/>
  <c r="AH110" i="17"/>
  <c r="V109" i="17"/>
  <c r="AE109" i="17"/>
  <c r="AN109" i="17"/>
  <c r="AW109" i="17"/>
  <c r="U107" i="17"/>
  <c r="G1088" i="18" s="1"/>
  <c r="AV107" i="17"/>
  <c r="G1823" i="18" s="1"/>
  <c r="AD107" i="17"/>
  <c r="G1333" i="18" s="1"/>
  <c r="AM107" i="17"/>
  <c r="G1578" i="18" s="1"/>
  <c r="AT107" i="17"/>
  <c r="E1823" i="18" s="1"/>
  <c r="S107" i="17"/>
  <c r="E1088" i="18" s="1"/>
  <c r="AB107" i="17"/>
  <c r="E1333" i="18" s="1"/>
  <c r="AK107" i="17"/>
  <c r="E1578" i="18" s="1"/>
  <c r="AP106" i="17"/>
  <c r="A1822" i="18" s="1"/>
  <c r="O106" i="17"/>
  <c r="A1087" i="18" s="1"/>
  <c r="X106" i="17"/>
  <c r="A1332" i="18" s="1"/>
  <c r="AG106" i="17"/>
  <c r="A1577" i="18" s="1"/>
  <c r="AD104" i="17"/>
  <c r="G1330" i="18" s="1"/>
  <c r="AV104" i="17"/>
  <c r="G1820" i="18" s="1"/>
  <c r="AM104" i="17"/>
  <c r="G1575" i="18" s="1"/>
  <c r="U104" i="17"/>
  <c r="G1085" i="18" s="1"/>
  <c r="R103" i="17"/>
  <c r="AJ103" i="17"/>
  <c r="AS103" i="17"/>
  <c r="AA103" i="17"/>
  <c r="U102" i="17"/>
  <c r="G1083" i="18" s="1"/>
  <c r="AM102" i="17"/>
  <c r="G1573" i="18" s="1"/>
  <c r="AV102" i="17"/>
  <c r="G1818" i="18" s="1"/>
  <c r="AD102" i="17"/>
  <c r="G1328" i="18" s="1"/>
  <c r="U101" i="17"/>
  <c r="G1082" i="18" s="1"/>
  <c r="AM101" i="17"/>
  <c r="G1572" i="18" s="1"/>
  <c r="AV101" i="17"/>
  <c r="G1817" i="18" s="1"/>
  <c r="AD101" i="17"/>
  <c r="G1327" i="18" s="1"/>
  <c r="AB99" i="17"/>
  <c r="E1325" i="18" s="1"/>
  <c r="AK99" i="17"/>
  <c r="E1570" i="18" s="1"/>
  <c r="S99" i="17"/>
  <c r="E1080" i="18" s="1"/>
  <c r="AT99" i="17"/>
  <c r="E1815" i="18" s="1"/>
  <c r="AS99" i="17"/>
  <c r="R99" i="17"/>
  <c r="AA99" i="17"/>
  <c r="AJ99" i="17"/>
  <c r="AD98" i="17"/>
  <c r="G1324" i="18" s="1"/>
  <c r="U98" i="17"/>
  <c r="G1079" i="18" s="1"/>
  <c r="AM98" i="17"/>
  <c r="G1569" i="18" s="1"/>
  <c r="AV98" i="17"/>
  <c r="G1814" i="18" s="1"/>
  <c r="AQ98" i="17"/>
  <c r="AH98" i="17"/>
  <c r="P98" i="17"/>
  <c r="Y98" i="17"/>
  <c r="AI97" i="17"/>
  <c r="C1568" i="18" s="1"/>
  <c r="Q97" i="17"/>
  <c r="C1078" i="18" s="1"/>
  <c r="AR97" i="17"/>
  <c r="C1813" i="18" s="1"/>
  <c r="Z97" i="17"/>
  <c r="C1323" i="18" s="1"/>
  <c r="U94" i="17"/>
  <c r="G1075" i="18" s="1"/>
  <c r="AM94" i="17"/>
  <c r="G1565" i="18" s="1"/>
  <c r="AD94" i="17"/>
  <c r="G1320" i="18" s="1"/>
  <c r="AV94" i="17"/>
  <c r="G1810" i="18" s="1"/>
  <c r="E337" i="17"/>
  <c r="H340" i="18"/>
  <c r="U90" i="17"/>
  <c r="G1071" i="18" s="1"/>
  <c r="AD90" i="17"/>
  <c r="G1316" i="18" s="1"/>
  <c r="AM90" i="17"/>
  <c r="G1561" i="18" s="1"/>
  <c r="AV90" i="17"/>
  <c r="G1806" i="18" s="1"/>
  <c r="V88" i="17"/>
  <c r="AE88" i="17"/>
  <c r="AN88" i="17"/>
  <c r="AW88" i="17"/>
  <c r="S87" i="17"/>
  <c r="E1068" i="18" s="1"/>
  <c r="AB87" i="17"/>
  <c r="E1313" i="18" s="1"/>
  <c r="AK87" i="17"/>
  <c r="E1558" i="18" s="1"/>
  <c r="AT87" i="17"/>
  <c r="E1803" i="18" s="1"/>
  <c r="T85" i="17"/>
  <c r="AC85" i="17"/>
  <c r="AL85" i="17"/>
  <c r="AU85" i="17"/>
  <c r="U84" i="17"/>
  <c r="G1065" i="18" s="1"/>
  <c r="AD84" i="17"/>
  <c r="G1310" i="18" s="1"/>
  <c r="AM84" i="17"/>
  <c r="G1555" i="18" s="1"/>
  <c r="AV84" i="17"/>
  <c r="G1800" i="18" s="1"/>
  <c r="V84" i="17"/>
  <c r="AE84" i="17"/>
  <c r="AN84" i="17"/>
  <c r="AW84" i="17"/>
  <c r="R83" i="17"/>
  <c r="AA83" i="17"/>
  <c r="AJ83" i="17"/>
  <c r="AS83" i="17"/>
  <c r="U82" i="17"/>
  <c r="G1063" i="18" s="1"/>
  <c r="AD82" i="17"/>
  <c r="G1308" i="18" s="1"/>
  <c r="AM82" i="17"/>
  <c r="G1553" i="18" s="1"/>
  <c r="AV82" i="17"/>
  <c r="G1798" i="18" s="1"/>
  <c r="Q80" i="17"/>
  <c r="C1061" i="18" s="1"/>
  <c r="Z80" i="17"/>
  <c r="C1306" i="18" s="1"/>
  <c r="AI80" i="17"/>
  <c r="C1551" i="18" s="1"/>
  <c r="AR80" i="17"/>
  <c r="C1796" i="18" s="1"/>
  <c r="Q79" i="17"/>
  <c r="C1060" i="18" s="1"/>
  <c r="Z79" i="17"/>
  <c r="C1305" i="18" s="1"/>
  <c r="AI79" i="17"/>
  <c r="C1550" i="18" s="1"/>
  <c r="AR79" i="17"/>
  <c r="C1795" i="18" s="1"/>
  <c r="T79" i="17"/>
  <c r="AC79" i="17"/>
  <c r="AL79" i="17"/>
  <c r="AU79" i="17"/>
  <c r="O78" i="17"/>
  <c r="A1059" i="18" s="1"/>
  <c r="X78" i="17"/>
  <c r="A1304" i="18" s="1"/>
  <c r="AG78" i="17"/>
  <c r="A1549" i="18" s="1"/>
  <c r="AP78" i="17"/>
  <c r="A1794" i="18" s="1"/>
  <c r="P27" i="17"/>
  <c r="Y27" i="17"/>
  <c r="AH27" i="17"/>
  <c r="AQ27" i="17"/>
  <c r="Q26" i="17"/>
  <c r="C1007" i="18" s="1"/>
  <c r="Z26" i="17"/>
  <c r="C1252" i="18" s="1"/>
  <c r="AI26" i="17"/>
  <c r="C1497" i="18" s="1"/>
  <c r="AR26" i="17"/>
  <c r="C1742" i="18" s="1"/>
  <c r="V24" i="17"/>
  <c r="AE24" i="17"/>
  <c r="AN24" i="17"/>
  <c r="AW24" i="17"/>
  <c r="V22" i="17"/>
  <c r="AE22" i="17"/>
  <c r="AN22" i="17"/>
  <c r="AW22" i="17"/>
  <c r="S20" i="17"/>
  <c r="E1001" i="18" s="1"/>
  <c r="AB20" i="17"/>
  <c r="E1246" i="18" s="1"/>
  <c r="AK20" i="17"/>
  <c r="E1491" i="18" s="1"/>
  <c r="AT20" i="17"/>
  <c r="E1736" i="18" s="1"/>
  <c r="V19" i="17"/>
  <c r="AE19" i="17"/>
  <c r="AN19" i="17"/>
  <c r="AW19" i="17"/>
  <c r="U18" i="17"/>
  <c r="G999" i="18" s="1"/>
  <c r="AD18" i="17"/>
  <c r="G1244" i="18" s="1"/>
  <c r="AM18" i="17"/>
  <c r="G1489" i="18" s="1"/>
  <c r="AV18" i="17"/>
  <c r="G1734" i="18" s="1"/>
  <c r="V18" i="17"/>
  <c r="AE18" i="17"/>
  <c r="AN18" i="17"/>
  <c r="AW18" i="17"/>
  <c r="P17" i="17"/>
  <c r="Y17" i="17"/>
  <c r="AH17" i="17"/>
  <c r="AQ17" i="17"/>
  <c r="O16" i="17"/>
  <c r="A997" i="18" s="1"/>
  <c r="X16" i="17"/>
  <c r="A1242" i="18" s="1"/>
  <c r="AG16" i="17"/>
  <c r="A1487" i="18" s="1"/>
  <c r="AP16" i="17"/>
  <c r="A1732" i="18" s="1"/>
  <c r="S14" i="17"/>
  <c r="E995" i="18" s="1"/>
  <c r="AB14" i="17"/>
  <c r="E1240" i="18" s="1"/>
  <c r="AK14" i="17"/>
  <c r="E1485" i="18" s="1"/>
  <c r="AT14" i="17"/>
  <c r="E1730" i="18" s="1"/>
  <c r="P14" i="17"/>
  <c r="Y14" i="17"/>
  <c r="AH14" i="17"/>
  <c r="AQ14" i="17"/>
  <c r="O13" i="17"/>
  <c r="A994" i="18" s="1"/>
  <c r="X13" i="17"/>
  <c r="A1239" i="18" s="1"/>
  <c r="AG13" i="17"/>
  <c r="A1484" i="18" s="1"/>
  <c r="AP13" i="17"/>
  <c r="A1729" i="18" s="1"/>
  <c r="V12" i="17"/>
  <c r="AE12" i="17"/>
  <c r="AN12" i="17"/>
  <c r="AW12" i="17"/>
  <c r="V11" i="17"/>
  <c r="AE11" i="17"/>
  <c r="AN11" i="17"/>
  <c r="AW11" i="17"/>
  <c r="Q10" i="17"/>
  <c r="C991" i="18" s="1"/>
  <c r="Z10" i="17"/>
  <c r="C1236" i="18" s="1"/>
  <c r="AI10" i="17"/>
  <c r="C1481" i="18" s="1"/>
  <c r="AR10" i="17"/>
  <c r="C1726" i="18" s="1"/>
  <c r="S9" i="17"/>
  <c r="E990" i="18" s="1"/>
  <c r="AB9" i="17"/>
  <c r="E1235" i="18" s="1"/>
  <c r="AK9" i="17"/>
  <c r="E1480" i="18" s="1"/>
  <c r="AT9" i="17"/>
  <c r="E1725" i="18" s="1"/>
  <c r="Q8" i="17"/>
  <c r="C989" i="18" s="1"/>
  <c r="Z8" i="17"/>
  <c r="C1234" i="18" s="1"/>
  <c r="AI8" i="17"/>
  <c r="C1479" i="18" s="1"/>
  <c r="AR8" i="17"/>
  <c r="C1724" i="18" s="1"/>
  <c r="T7" i="17"/>
  <c r="AC7" i="17"/>
  <c r="AL7" i="17"/>
  <c r="AU7" i="17"/>
  <c r="O6" i="17"/>
  <c r="A987" i="18" s="1"/>
  <c r="X6" i="17"/>
  <c r="A1232" i="18" s="1"/>
  <c r="AG6" i="17"/>
  <c r="A1477" i="18" s="1"/>
  <c r="AP6" i="17"/>
  <c r="A1722" i="18" s="1"/>
  <c r="S5" i="17"/>
  <c r="E986" i="18" s="1"/>
  <c r="AK5" i="17"/>
  <c r="E1476" i="18" s="1"/>
  <c r="AT5" i="17"/>
  <c r="E1721" i="18" s="1"/>
  <c r="AB5" i="17"/>
  <c r="E1231" i="18" s="1"/>
  <c r="Z3" i="17"/>
  <c r="C1229" i="18" s="1"/>
  <c r="AI3" i="17"/>
  <c r="C1474" i="18" s="1"/>
  <c r="Q3" i="17"/>
  <c r="C984" i="18" s="1"/>
  <c r="AR3" i="17"/>
  <c r="C1719" i="18" s="1"/>
  <c r="T3" i="17"/>
  <c r="AL3" i="17"/>
  <c r="AU3" i="17"/>
  <c r="AC3" i="17"/>
  <c r="AK144" i="5"/>
  <c r="B144" i="6"/>
  <c r="H144" i="10"/>
  <c r="E144" i="17" s="1"/>
  <c r="B145" i="18" s="1"/>
  <c r="I144" i="10"/>
  <c r="F144" i="17" s="1"/>
  <c r="D145" i="18" s="1"/>
  <c r="L144" i="10"/>
  <c r="AE143" i="5"/>
  <c r="AF143" i="5" s="1"/>
  <c r="I143" i="5"/>
  <c r="J143" i="5" s="1"/>
  <c r="AK142" i="5"/>
  <c r="B142" i="6"/>
  <c r="H142" i="10"/>
  <c r="E142" i="17" s="1"/>
  <c r="B143" i="18" s="1"/>
  <c r="I142" i="10"/>
  <c r="F142" i="17" s="1"/>
  <c r="D143" i="18" s="1"/>
  <c r="L142" i="10"/>
  <c r="D138" i="6"/>
  <c r="D138" i="5"/>
  <c r="W138" i="10"/>
  <c r="Z138" i="5"/>
  <c r="C138" i="5"/>
  <c r="K138" i="5" s="1"/>
  <c r="L138" i="5" s="1"/>
  <c r="AA138" i="5"/>
  <c r="C136" i="6"/>
  <c r="J136" i="10"/>
  <c r="G136" i="17" s="1"/>
  <c r="F137" i="18" s="1"/>
  <c r="M136" i="10"/>
  <c r="C136" i="5"/>
  <c r="D136" i="5"/>
  <c r="Z136" i="5"/>
  <c r="D136" i="6"/>
  <c r="AA136" i="5"/>
  <c r="W136" i="10"/>
  <c r="B135" i="6"/>
  <c r="AK135" i="5"/>
  <c r="H135" i="10"/>
  <c r="E135" i="17" s="1"/>
  <c r="B136" i="18" s="1"/>
  <c r="I135" i="10"/>
  <c r="F135" i="17" s="1"/>
  <c r="D136" i="18" s="1"/>
  <c r="L135" i="10"/>
  <c r="I135" i="5"/>
  <c r="J135" i="5" s="1"/>
  <c r="AE135" i="5"/>
  <c r="AF135" i="5" s="1"/>
  <c r="D135" i="6"/>
  <c r="D135" i="5"/>
  <c r="W135" i="10"/>
  <c r="Z135" i="5"/>
  <c r="AA135" i="5"/>
  <c r="C135" i="5"/>
  <c r="K135" i="5" s="1"/>
  <c r="L135" i="5" s="1"/>
  <c r="AE132" i="5"/>
  <c r="AF132" i="5" s="1"/>
  <c r="I132" i="5"/>
  <c r="J132" i="5" s="1"/>
  <c r="AE131" i="5"/>
  <c r="AF131" i="5" s="1"/>
  <c r="I131" i="5"/>
  <c r="J131" i="5" s="1"/>
  <c r="AA130" i="5"/>
  <c r="D130" i="6"/>
  <c r="W130" i="10"/>
  <c r="D130" i="5"/>
  <c r="C130" i="5"/>
  <c r="Z130" i="5"/>
  <c r="AG130" i="5" s="1"/>
  <c r="AH130" i="5" s="1"/>
  <c r="B129" i="6"/>
  <c r="H129" i="10"/>
  <c r="E129" i="17" s="1"/>
  <c r="B130" i="18" s="1"/>
  <c r="I129" i="10"/>
  <c r="F129" i="17" s="1"/>
  <c r="D130" i="18" s="1"/>
  <c r="L129" i="10"/>
  <c r="AK129" i="5"/>
  <c r="C110" i="5"/>
  <c r="D110" i="6"/>
  <c r="W110" i="10"/>
  <c r="Z110" i="5"/>
  <c r="AA110" i="5"/>
  <c r="D110" i="5"/>
  <c r="I109" i="5"/>
  <c r="J109" i="5" s="1"/>
  <c r="AE109" i="5"/>
  <c r="AF109" i="5" s="1"/>
  <c r="C104" i="6"/>
  <c r="J104" i="10"/>
  <c r="G104" i="17" s="1"/>
  <c r="F105" i="18" s="1"/>
  <c r="M104" i="10"/>
  <c r="I103" i="5"/>
  <c r="J103" i="5" s="1"/>
  <c r="AE103" i="5"/>
  <c r="AF103" i="5" s="1"/>
  <c r="I101" i="5"/>
  <c r="J101" i="5" s="1"/>
  <c r="AE101" i="5"/>
  <c r="AF101" i="5" s="1"/>
  <c r="C100" i="6"/>
  <c r="J100" i="10"/>
  <c r="G100" i="17" s="1"/>
  <c r="F101" i="18" s="1"/>
  <c r="M100" i="10"/>
  <c r="I99" i="5"/>
  <c r="J99" i="5" s="1"/>
  <c r="AE99" i="5"/>
  <c r="AF99" i="5" s="1"/>
  <c r="F1916" i="18"/>
  <c r="D1423" i="17"/>
  <c r="D1671" i="18"/>
  <c r="C1178" i="17"/>
  <c r="D1426" i="18"/>
  <c r="C933" i="17"/>
  <c r="A444" i="18"/>
  <c r="C444" i="18"/>
  <c r="E444" i="18"/>
  <c r="G444" i="18"/>
  <c r="A441" i="17"/>
  <c r="A686" i="17"/>
  <c r="A931" i="17"/>
  <c r="A1176" i="17"/>
  <c r="A1421" i="17"/>
  <c r="A441" i="18"/>
  <c r="C441" i="18"/>
  <c r="E441" i="18"/>
  <c r="G441" i="18"/>
  <c r="A438" i="17"/>
  <c r="A683" i="17"/>
  <c r="A928" i="17"/>
  <c r="A1173" i="17"/>
  <c r="A1418" i="17"/>
  <c r="A440" i="18"/>
  <c r="C440" i="18"/>
  <c r="E440" i="18"/>
  <c r="G440" i="18"/>
  <c r="A437" i="17"/>
  <c r="A682" i="17"/>
  <c r="A927" i="17"/>
  <c r="A1172" i="17"/>
  <c r="A1417" i="17"/>
  <c r="F1909" i="18"/>
  <c r="D1416" i="17"/>
  <c r="F1664" i="18"/>
  <c r="D1171" i="17"/>
  <c r="F1419" i="18"/>
  <c r="D926" i="17"/>
  <c r="A367" i="18"/>
  <c r="C367" i="18"/>
  <c r="E367" i="18"/>
  <c r="G367" i="18"/>
  <c r="A364" i="17"/>
  <c r="A609" i="17"/>
  <c r="A854" i="17"/>
  <c r="A1099" i="17"/>
  <c r="A1344" i="17"/>
  <c r="A366" i="18"/>
  <c r="C366" i="18"/>
  <c r="E366" i="18"/>
  <c r="G366" i="18"/>
  <c r="A363" i="17"/>
  <c r="A608" i="17"/>
  <c r="A853" i="17"/>
  <c r="A1098" i="17"/>
  <c r="A1343" i="17"/>
  <c r="A363" i="18"/>
  <c r="C363" i="18"/>
  <c r="E363" i="18"/>
  <c r="G363" i="18"/>
  <c r="A360" i="17"/>
  <c r="A605" i="17"/>
  <c r="A850" i="17"/>
  <c r="A1095" i="17"/>
  <c r="A1340" i="17"/>
  <c r="A361" i="18"/>
  <c r="C361" i="18"/>
  <c r="E361" i="18"/>
  <c r="G361" i="18"/>
  <c r="A358" i="17"/>
  <c r="A603" i="17"/>
  <c r="A848" i="17"/>
  <c r="A1093" i="17"/>
  <c r="A1338" i="17"/>
  <c r="F1095" i="18"/>
  <c r="D602" i="17"/>
  <c r="H1094" i="18"/>
  <c r="E601" i="17"/>
  <c r="D1093" i="18"/>
  <c r="C600" i="17"/>
  <c r="D1337" i="18"/>
  <c r="C844" i="17"/>
  <c r="D1581" i="18"/>
  <c r="C1088" i="17"/>
  <c r="A354" i="18"/>
  <c r="C354" i="18"/>
  <c r="E354" i="18"/>
  <c r="G354" i="18"/>
  <c r="A351" i="17"/>
  <c r="A596" i="17"/>
  <c r="A841" i="17"/>
  <c r="A1086" i="17"/>
  <c r="A1331" i="17"/>
  <c r="F1823" i="18"/>
  <c r="D1330" i="17"/>
  <c r="F1087" i="18"/>
  <c r="D594" i="17"/>
  <c r="F1331" i="18"/>
  <c r="D838" i="17"/>
  <c r="H1573" i="18"/>
  <c r="E1080" i="17"/>
  <c r="H1082" i="18"/>
  <c r="E589" i="17"/>
  <c r="A347" i="18"/>
  <c r="C347" i="18"/>
  <c r="E347" i="18"/>
  <c r="G347" i="18"/>
  <c r="A344" i="17"/>
  <c r="A589" i="17"/>
  <c r="A834" i="17"/>
  <c r="A1079" i="17"/>
  <c r="A1324" i="17"/>
  <c r="D1569" i="18"/>
  <c r="C1076" i="17"/>
  <c r="A344" i="18"/>
  <c r="C344" i="18"/>
  <c r="E344" i="18"/>
  <c r="G344" i="18"/>
  <c r="A341" i="17"/>
  <c r="A586" i="17"/>
  <c r="A831" i="17"/>
  <c r="A1076" i="17"/>
  <c r="A1321" i="17"/>
  <c r="D1813" i="18"/>
  <c r="C1320" i="17"/>
  <c r="F1323" i="18"/>
  <c r="D830" i="17"/>
  <c r="H1076" i="18"/>
  <c r="E583" i="17"/>
  <c r="B1075" i="18"/>
  <c r="B582" i="17"/>
  <c r="B1721" i="18"/>
  <c r="B1228" i="17"/>
  <c r="B1231" i="18"/>
  <c r="B738" i="17"/>
  <c r="D986" i="18"/>
  <c r="C493" i="17"/>
  <c r="B248" i="18"/>
  <c r="B245" i="17"/>
  <c r="O207" i="17"/>
  <c r="A1188" i="18" s="1"/>
  <c r="X207" i="17"/>
  <c r="A1433" i="18" s="1"/>
  <c r="AG207" i="17"/>
  <c r="A1678" i="18" s="1"/>
  <c r="AP207" i="17"/>
  <c r="A1923" i="18" s="1"/>
  <c r="F452" i="18"/>
  <c r="D449" i="17"/>
  <c r="AK205" i="17"/>
  <c r="E1676" i="18" s="1"/>
  <c r="S205" i="17"/>
  <c r="E1186" i="18" s="1"/>
  <c r="AB205" i="17"/>
  <c r="E1431" i="18" s="1"/>
  <c r="AT205" i="17"/>
  <c r="E1921" i="18" s="1"/>
  <c r="AT204" i="17"/>
  <c r="E1920" i="18" s="1"/>
  <c r="S204" i="17"/>
  <c r="E1185" i="18" s="1"/>
  <c r="AB204" i="17"/>
  <c r="E1430" i="18" s="1"/>
  <c r="AK204" i="17"/>
  <c r="E1675" i="18" s="1"/>
  <c r="R202" i="17"/>
  <c r="AA202" i="17"/>
  <c r="AJ202" i="17"/>
  <c r="AS202" i="17"/>
  <c r="U201" i="17"/>
  <c r="G1182" i="18" s="1"/>
  <c r="AD201" i="17"/>
  <c r="G1427" i="18" s="1"/>
  <c r="AM201" i="17"/>
  <c r="G1672" i="18" s="1"/>
  <c r="AV201" i="17"/>
  <c r="G1917" i="18" s="1"/>
  <c r="H447" i="18"/>
  <c r="E444" i="17"/>
  <c r="Q200" i="17"/>
  <c r="C1181" i="18" s="1"/>
  <c r="Z200" i="17"/>
  <c r="C1426" i="18" s="1"/>
  <c r="AI200" i="17"/>
  <c r="C1671" i="18" s="1"/>
  <c r="AR200" i="17"/>
  <c r="C1916" i="18" s="1"/>
  <c r="D446" i="18"/>
  <c r="C443" i="17"/>
  <c r="AQ199" i="17"/>
  <c r="P199" i="17"/>
  <c r="Y199" i="17"/>
  <c r="AH199" i="17"/>
  <c r="AS198" i="17"/>
  <c r="AJ198" i="17"/>
  <c r="R198" i="17"/>
  <c r="AA198" i="17"/>
  <c r="AR195" i="17"/>
  <c r="C1911" i="18" s="1"/>
  <c r="Z195" i="17"/>
  <c r="C1421" i="18" s="1"/>
  <c r="Q195" i="17"/>
  <c r="C1176" i="18" s="1"/>
  <c r="AI195" i="17"/>
  <c r="C1666" i="18" s="1"/>
  <c r="S188" i="17"/>
  <c r="E1169" i="18" s="1"/>
  <c r="AB188" i="17"/>
  <c r="E1414" i="18" s="1"/>
  <c r="AK188" i="17"/>
  <c r="E1659" i="18" s="1"/>
  <c r="AT188" i="17"/>
  <c r="E1904" i="18" s="1"/>
  <c r="S184" i="17"/>
  <c r="E1165" i="18" s="1"/>
  <c r="AB184" i="17"/>
  <c r="E1410" i="18" s="1"/>
  <c r="AK184" i="17"/>
  <c r="E1655" i="18" s="1"/>
  <c r="AT184" i="17"/>
  <c r="E1900" i="18" s="1"/>
  <c r="U183" i="17"/>
  <c r="G1164" i="18" s="1"/>
  <c r="AD183" i="17"/>
  <c r="G1409" i="18" s="1"/>
  <c r="AM183" i="17"/>
  <c r="G1654" i="18" s="1"/>
  <c r="AV183" i="17"/>
  <c r="G1899" i="18" s="1"/>
  <c r="O182" i="17"/>
  <c r="A1163" i="18" s="1"/>
  <c r="X182" i="17"/>
  <c r="A1408" i="18" s="1"/>
  <c r="AG182" i="17"/>
  <c r="A1653" i="18" s="1"/>
  <c r="AP182" i="17"/>
  <c r="A1898" i="18" s="1"/>
  <c r="T182" i="17"/>
  <c r="AC182" i="17"/>
  <c r="AL182" i="17"/>
  <c r="AU182" i="17"/>
  <c r="U181" i="17"/>
  <c r="G1162" i="18" s="1"/>
  <c r="AD181" i="17"/>
  <c r="G1407" i="18" s="1"/>
  <c r="AM181" i="17"/>
  <c r="G1652" i="18" s="1"/>
  <c r="AV181" i="17"/>
  <c r="G1897" i="18" s="1"/>
  <c r="V181" i="17"/>
  <c r="AE181" i="17"/>
  <c r="AN181" i="17"/>
  <c r="AW181" i="17"/>
  <c r="U180" i="17"/>
  <c r="G1161" i="18" s="1"/>
  <c r="AD180" i="17"/>
  <c r="G1406" i="18" s="1"/>
  <c r="AM180" i="17"/>
  <c r="G1651" i="18" s="1"/>
  <c r="AV180" i="17"/>
  <c r="G1896" i="18" s="1"/>
  <c r="T180" i="17"/>
  <c r="AC180" i="17"/>
  <c r="AL180" i="17"/>
  <c r="AU180" i="17"/>
  <c r="O179" i="17"/>
  <c r="A1160" i="18" s="1"/>
  <c r="X179" i="17"/>
  <c r="A1405" i="18" s="1"/>
  <c r="AG179" i="17"/>
  <c r="A1650" i="18" s="1"/>
  <c r="AP179" i="17"/>
  <c r="A1895" i="18" s="1"/>
  <c r="P179" i="17"/>
  <c r="Y179" i="17"/>
  <c r="AH179" i="17"/>
  <c r="AQ179" i="17"/>
  <c r="O176" i="17"/>
  <c r="A1157" i="18" s="1"/>
  <c r="X176" i="17"/>
  <c r="A1402" i="18" s="1"/>
  <c r="AG176" i="17"/>
  <c r="A1647" i="18" s="1"/>
  <c r="AP176" i="17"/>
  <c r="A1892" i="18" s="1"/>
  <c r="O175" i="17"/>
  <c r="A1156" i="18" s="1"/>
  <c r="X175" i="17"/>
  <c r="A1401" i="18" s="1"/>
  <c r="AG175" i="17"/>
  <c r="A1646" i="18" s="1"/>
  <c r="AP175" i="17"/>
  <c r="A1891" i="18" s="1"/>
  <c r="U173" i="17"/>
  <c r="G1154" i="18" s="1"/>
  <c r="AD173" i="17"/>
  <c r="G1399" i="18" s="1"/>
  <c r="AM173" i="17"/>
  <c r="G1644" i="18" s="1"/>
  <c r="AV173" i="17"/>
  <c r="G1889" i="18" s="1"/>
  <c r="R173" i="17"/>
  <c r="AA173" i="17"/>
  <c r="AJ173" i="17"/>
  <c r="AS173" i="17"/>
  <c r="T172" i="17"/>
  <c r="AC172" i="17"/>
  <c r="AL172" i="17"/>
  <c r="AU172" i="17"/>
  <c r="R171" i="17"/>
  <c r="AA171" i="17"/>
  <c r="AJ171" i="17"/>
  <c r="AS171" i="17"/>
  <c r="U170" i="17"/>
  <c r="G1151" i="18" s="1"/>
  <c r="AD170" i="17"/>
  <c r="G1396" i="18" s="1"/>
  <c r="AM170" i="17"/>
  <c r="G1641" i="18" s="1"/>
  <c r="AV170" i="17"/>
  <c r="G1886" i="18" s="1"/>
  <c r="V170" i="17"/>
  <c r="AE170" i="17"/>
  <c r="AN170" i="17"/>
  <c r="AW170" i="17"/>
  <c r="S169" i="17"/>
  <c r="E1150" i="18" s="1"/>
  <c r="AB169" i="17"/>
  <c r="E1395" i="18" s="1"/>
  <c r="AK169" i="17"/>
  <c r="E1640" i="18" s="1"/>
  <c r="AT169" i="17"/>
  <c r="E1885" i="18" s="1"/>
  <c r="S168" i="17"/>
  <c r="E1149" i="18" s="1"/>
  <c r="AB168" i="17"/>
  <c r="E1394" i="18" s="1"/>
  <c r="AK168" i="17"/>
  <c r="E1639" i="18" s="1"/>
  <c r="AT168" i="17"/>
  <c r="E1884" i="18" s="1"/>
  <c r="Q167" i="17"/>
  <c r="C1148" i="18" s="1"/>
  <c r="Z167" i="17"/>
  <c r="C1393" i="18" s="1"/>
  <c r="AI167" i="17"/>
  <c r="C1638" i="18" s="1"/>
  <c r="AR167" i="17"/>
  <c r="C1883" i="18" s="1"/>
  <c r="P167" i="17"/>
  <c r="Y167" i="17"/>
  <c r="AH167" i="17"/>
  <c r="AQ167" i="17"/>
  <c r="R166" i="17"/>
  <c r="AA166" i="17"/>
  <c r="AJ166" i="17"/>
  <c r="AS166" i="17"/>
  <c r="O165" i="17"/>
  <c r="A1146" i="18" s="1"/>
  <c r="X165" i="17"/>
  <c r="A1391" i="18" s="1"/>
  <c r="AG165" i="17"/>
  <c r="A1636" i="18" s="1"/>
  <c r="AP165" i="17"/>
  <c r="A1881" i="18" s="1"/>
  <c r="P165" i="17"/>
  <c r="Y165" i="17"/>
  <c r="AH165" i="17"/>
  <c r="AQ165" i="17"/>
  <c r="T164" i="17"/>
  <c r="AC164" i="17"/>
  <c r="AL164" i="17"/>
  <c r="AU164" i="17"/>
  <c r="S163" i="17"/>
  <c r="E1144" i="18" s="1"/>
  <c r="AB163" i="17"/>
  <c r="E1389" i="18" s="1"/>
  <c r="AK163" i="17"/>
  <c r="E1634" i="18" s="1"/>
  <c r="AT163" i="17"/>
  <c r="E1879" i="18" s="1"/>
  <c r="P163" i="17"/>
  <c r="Y163" i="17"/>
  <c r="AH163" i="17"/>
  <c r="AQ163" i="17"/>
  <c r="V162" i="17"/>
  <c r="AE162" i="17"/>
  <c r="AN162" i="17"/>
  <c r="AW162" i="17"/>
  <c r="U159" i="17"/>
  <c r="G1140" i="18" s="1"/>
  <c r="AD159" i="17"/>
  <c r="G1385" i="18" s="1"/>
  <c r="AM159" i="17"/>
  <c r="G1630" i="18" s="1"/>
  <c r="AV159" i="17"/>
  <c r="G1875" i="18" s="1"/>
  <c r="U158" i="17"/>
  <c r="G1139" i="18" s="1"/>
  <c r="AD158" i="17"/>
  <c r="G1384" i="18" s="1"/>
  <c r="AM158" i="17"/>
  <c r="G1629" i="18" s="1"/>
  <c r="AV158" i="17"/>
  <c r="G1874" i="18" s="1"/>
  <c r="T158" i="17"/>
  <c r="AC158" i="17"/>
  <c r="AL158" i="17"/>
  <c r="AU158" i="17"/>
  <c r="P157" i="17"/>
  <c r="Y157" i="17"/>
  <c r="AH157" i="17"/>
  <c r="AQ157" i="17"/>
  <c r="U155" i="17"/>
  <c r="G1136" i="18" s="1"/>
  <c r="AD155" i="17"/>
  <c r="G1381" i="18" s="1"/>
  <c r="AM155" i="17"/>
  <c r="G1626" i="18" s="1"/>
  <c r="AV155" i="17"/>
  <c r="G1871" i="18" s="1"/>
  <c r="P155" i="17"/>
  <c r="Y155" i="17"/>
  <c r="AH155" i="17"/>
  <c r="AQ155" i="17"/>
  <c r="AT114" i="17"/>
  <c r="E1830" i="18" s="1"/>
  <c r="S114" i="17"/>
  <c r="E1095" i="18" s="1"/>
  <c r="AK114" i="17"/>
  <c r="E1585" i="18" s="1"/>
  <c r="AB114" i="17"/>
  <c r="E1340" i="18" s="1"/>
  <c r="AE114" i="17"/>
  <c r="AN114" i="17"/>
  <c r="AW114" i="17"/>
  <c r="V114" i="17"/>
  <c r="Q113" i="17"/>
  <c r="C1094" i="18" s="1"/>
  <c r="Z113" i="17"/>
  <c r="C1339" i="18" s="1"/>
  <c r="AI113" i="17"/>
  <c r="C1584" i="18" s="1"/>
  <c r="AR113" i="17"/>
  <c r="C1829" i="18" s="1"/>
  <c r="AE111" i="17"/>
  <c r="V111" i="17"/>
  <c r="AN111" i="17"/>
  <c r="AW111" i="17"/>
  <c r="U110" i="17"/>
  <c r="G1091" i="18" s="1"/>
  <c r="AD110" i="17"/>
  <c r="G1336" i="18" s="1"/>
  <c r="AV110" i="17"/>
  <c r="G1826" i="18" s="1"/>
  <c r="AM110" i="17"/>
  <c r="G1581" i="18" s="1"/>
  <c r="AW110" i="17"/>
  <c r="V110" i="17"/>
  <c r="AN110" i="17"/>
  <c r="AE110" i="17"/>
  <c r="AM109" i="17"/>
  <c r="G1580" i="18" s="1"/>
  <c r="AV109" i="17"/>
  <c r="G1825" i="18" s="1"/>
  <c r="AD109" i="17"/>
  <c r="G1335" i="18" s="1"/>
  <c r="U109" i="17"/>
  <c r="G1090" i="18" s="1"/>
  <c r="X109" i="17"/>
  <c r="A1335" i="18" s="1"/>
  <c r="AG109" i="17"/>
  <c r="A1580" i="18" s="1"/>
  <c r="O109" i="17"/>
  <c r="A1090" i="18" s="1"/>
  <c r="AP109" i="17"/>
  <c r="A1825" i="18" s="1"/>
  <c r="B352" i="17"/>
  <c r="B355" i="18"/>
  <c r="AH108" i="17"/>
  <c r="P108" i="17"/>
  <c r="Y108" i="17"/>
  <c r="AQ108" i="17"/>
  <c r="AP107" i="17"/>
  <c r="A1823" i="18" s="1"/>
  <c r="X107" i="17"/>
  <c r="A1333" i="18" s="1"/>
  <c r="O107" i="17"/>
  <c r="A1088" i="18" s="1"/>
  <c r="AG107" i="17"/>
  <c r="A1578" i="18" s="1"/>
  <c r="AK105" i="17"/>
  <c r="E1576" i="18" s="1"/>
  <c r="S105" i="17"/>
  <c r="E1086" i="18" s="1"/>
  <c r="AB105" i="17"/>
  <c r="E1331" i="18" s="1"/>
  <c r="AT105" i="17"/>
  <c r="E1821" i="18" s="1"/>
  <c r="AK104" i="17"/>
  <c r="E1575" i="18" s="1"/>
  <c r="S104" i="17"/>
  <c r="E1085" i="18" s="1"/>
  <c r="AB104" i="17"/>
  <c r="E1330" i="18" s="1"/>
  <c r="AT104" i="17"/>
  <c r="E1820" i="18" s="1"/>
  <c r="AK103" i="17"/>
  <c r="E1574" i="18" s="1"/>
  <c r="AT103" i="17"/>
  <c r="E1819" i="18" s="1"/>
  <c r="AB103" i="17"/>
  <c r="E1329" i="18" s="1"/>
  <c r="S103" i="17"/>
  <c r="E1084" i="18" s="1"/>
  <c r="X102" i="17"/>
  <c r="A1328" i="18" s="1"/>
  <c r="AP102" i="17"/>
  <c r="A1818" i="18" s="1"/>
  <c r="O102" i="17"/>
  <c r="A1083" i="18" s="1"/>
  <c r="AG102" i="17"/>
  <c r="A1573" i="18" s="1"/>
  <c r="H347" i="18"/>
  <c r="E344" i="17"/>
  <c r="AP100" i="17"/>
  <c r="A1816" i="18" s="1"/>
  <c r="X100" i="17"/>
  <c r="A1326" i="18" s="1"/>
  <c r="O100" i="17"/>
  <c r="A1081" i="18" s="1"/>
  <c r="AG100" i="17"/>
  <c r="A1571" i="18" s="1"/>
  <c r="B343" i="17"/>
  <c r="B346" i="18"/>
  <c r="C342" i="17"/>
  <c r="D345" i="18"/>
  <c r="AK97" i="17"/>
  <c r="E1568" i="18" s="1"/>
  <c r="S97" i="17"/>
  <c r="E1078" i="18" s="1"/>
  <c r="AT97" i="17"/>
  <c r="E1813" i="18" s="1"/>
  <c r="AB97" i="17"/>
  <c r="E1323" i="18" s="1"/>
  <c r="AI96" i="17"/>
  <c r="C1567" i="18" s="1"/>
  <c r="Z96" i="17"/>
  <c r="C1322" i="18" s="1"/>
  <c r="AR96" i="17"/>
  <c r="C1812" i="18" s="1"/>
  <c r="Q96" i="17"/>
  <c r="C1077" i="18" s="1"/>
  <c r="AP93" i="17"/>
  <c r="A1809" i="18" s="1"/>
  <c r="AG93" i="17"/>
  <c r="A1564" i="18" s="1"/>
  <c r="O93" i="17"/>
  <c r="A1074" i="18" s="1"/>
  <c r="X93" i="17"/>
  <c r="A1319" i="18" s="1"/>
  <c r="AS93" i="17"/>
  <c r="AJ93" i="17"/>
  <c r="R93" i="17"/>
  <c r="AA93" i="17"/>
  <c r="AV92" i="17"/>
  <c r="G1808" i="18" s="1"/>
  <c r="U92" i="17"/>
  <c r="G1073" i="18" s="1"/>
  <c r="AD92" i="17"/>
  <c r="G1318" i="18" s="1"/>
  <c r="AM92" i="17"/>
  <c r="G1563" i="18" s="1"/>
  <c r="O90" i="17"/>
  <c r="A1071" i="18" s="1"/>
  <c r="X90" i="17"/>
  <c r="A1316" i="18" s="1"/>
  <c r="AG90" i="17"/>
  <c r="A1561" i="18" s="1"/>
  <c r="AP90" i="17"/>
  <c r="A1806" i="18" s="1"/>
  <c r="Q87" i="17"/>
  <c r="C1068" i="18" s="1"/>
  <c r="Z87" i="17"/>
  <c r="C1313" i="18" s="1"/>
  <c r="AI87" i="17"/>
  <c r="C1558" i="18" s="1"/>
  <c r="AR87" i="17"/>
  <c r="C1803" i="18" s="1"/>
  <c r="R87" i="17"/>
  <c r="AA87" i="17"/>
  <c r="AJ87" i="17"/>
  <c r="AS87" i="17"/>
  <c r="O85" i="17"/>
  <c r="A1066" i="18" s="1"/>
  <c r="X85" i="17"/>
  <c r="A1311" i="18" s="1"/>
  <c r="AG85" i="17"/>
  <c r="A1556" i="18" s="1"/>
  <c r="AP85" i="17"/>
  <c r="A1801" i="18" s="1"/>
  <c r="S84" i="17"/>
  <c r="E1065" i="18" s="1"/>
  <c r="AB84" i="17"/>
  <c r="E1310" i="18" s="1"/>
  <c r="AK84" i="17"/>
  <c r="E1555" i="18" s="1"/>
  <c r="AT84" i="17"/>
  <c r="E1800" i="18" s="1"/>
  <c r="Q82" i="17"/>
  <c r="C1063" i="18" s="1"/>
  <c r="Z82" i="17"/>
  <c r="C1308" i="18" s="1"/>
  <c r="AI82" i="17"/>
  <c r="C1553" i="18" s="1"/>
  <c r="AR82" i="17"/>
  <c r="C1798" i="18" s="1"/>
  <c r="O81" i="17"/>
  <c r="A1062" i="18" s="1"/>
  <c r="X81" i="17"/>
  <c r="A1307" i="18" s="1"/>
  <c r="AG81" i="17"/>
  <c r="A1552" i="18" s="1"/>
  <c r="AP81" i="17"/>
  <c r="A1797" i="18" s="1"/>
  <c r="T81" i="17"/>
  <c r="AC81" i="17"/>
  <c r="AL81" i="17"/>
  <c r="AU81" i="17"/>
  <c r="T9" i="17"/>
  <c r="AC9" i="17"/>
  <c r="AL9" i="17"/>
  <c r="AU9" i="17"/>
  <c r="U6" i="17"/>
  <c r="G987" i="18" s="1"/>
  <c r="AD6" i="17"/>
  <c r="G1232" i="18" s="1"/>
  <c r="AM6" i="17"/>
  <c r="G1477" i="18" s="1"/>
  <c r="AV6" i="17"/>
  <c r="G1722" i="18" s="1"/>
  <c r="AI5" i="17"/>
  <c r="C1476" i="18" s="1"/>
  <c r="AR5" i="17"/>
  <c r="C1721" i="18" s="1"/>
  <c r="Q5" i="17"/>
  <c r="C986" i="18" s="1"/>
  <c r="Z5" i="17"/>
  <c r="C1231" i="18" s="1"/>
  <c r="AT3" i="17"/>
  <c r="E1719" i="18" s="1"/>
  <c r="AB3" i="17"/>
  <c r="E1229" i="18" s="1"/>
  <c r="S3" i="17"/>
  <c r="E984" i="18" s="1"/>
  <c r="AK3" i="17"/>
  <c r="E1474" i="18" s="1"/>
  <c r="U2" i="17"/>
  <c r="G983" i="18" s="1"/>
  <c r="AM2" i="17"/>
  <c r="G1473" i="18" s="1"/>
  <c r="AD2" i="17"/>
  <c r="G1228" i="18" s="1"/>
  <c r="AV2" i="17"/>
  <c r="G1718" i="18" s="1"/>
  <c r="C143" i="6"/>
  <c r="J143" i="10"/>
  <c r="G143" i="17" s="1"/>
  <c r="F144" i="18" s="1"/>
  <c r="M143" i="10"/>
  <c r="C141" i="5"/>
  <c r="Z141" i="5"/>
  <c r="D141" i="6"/>
  <c r="AA141" i="5"/>
  <c r="D141" i="5"/>
  <c r="W141" i="10"/>
  <c r="B139" i="6"/>
  <c r="H139" i="10"/>
  <c r="E139" i="17" s="1"/>
  <c r="B140" i="18" s="1"/>
  <c r="I139" i="10"/>
  <c r="F139" i="17" s="1"/>
  <c r="D140" i="18" s="1"/>
  <c r="L139" i="10"/>
  <c r="AK139" i="5"/>
  <c r="I119" i="5"/>
  <c r="J119" i="5" s="1"/>
  <c r="AE119" i="5"/>
  <c r="AF119" i="5" s="1"/>
  <c r="AK118" i="5"/>
  <c r="B118" i="6"/>
  <c r="H118" i="10"/>
  <c r="E118" i="17" s="1"/>
  <c r="B119" i="18" s="1"/>
  <c r="I118" i="10"/>
  <c r="F118" i="17" s="1"/>
  <c r="D119" i="18" s="1"/>
  <c r="L118" i="10"/>
  <c r="C114" i="5"/>
  <c r="D114" i="5"/>
  <c r="Z114" i="5"/>
  <c r="D114" i="6"/>
  <c r="W114" i="10"/>
  <c r="AA114" i="5"/>
  <c r="AA106" i="5"/>
  <c r="D106" i="5"/>
  <c r="D106" i="6"/>
  <c r="Z106" i="5"/>
  <c r="W106" i="10"/>
  <c r="C106" i="5"/>
  <c r="AE105" i="5"/>
  <c r="AF105" i="5" s="1"/>
  <c r="I105" i="5"/>
  <c r="J105" i="5" s="1"/>
  <c r="I97" i="5"/>
  <c r="J97" i="5" s="1"/>
  <c r="AE97" i="5"/>
  <c r="AF97" i="5" s="1"/>
  <c r="D694" i="17"/>
  <c r="F1187" i="18"/>
  <c r="C694" i="17"/>
  <c r="D1187" i="18"/>
  <c r="E693" i="17"/>
  <c r="H1186" i="18"/>
  <c r="A691" i="17"/>
  <c r="A936" i="17"/>
  <c r="A1181" i="17"/>
  <c r="A1426" i="17"/>
  <c r="A449" i="18"/>
  <c r="C449" i="18"/>
  <c r="E449" i="18"/>
  <c r="G449" i="18"/>
  <c r="A446" i="17"/>
  <c r="A690" i="17"/>
  <c r="A935" i="17"/>
  <c r="A1180" i="17"/>
  <c r="A1425" i="17"/>
  <c r="A448" i="18"/>
  <c r="C448" i="18"/>
  <c r="E448" i="18"/>
  <c r="G448" i="18"/>
  <c r="A445" i="17"/>
  <c r="E689" i="17"/>
  <c r="H1182" i="18"/>
  <c r="A934" i="17"/>
  <c r="A1179" i="17"/>
  <c r="A1424" i="17"/>
  <c r="A447" i="18"/>
  <c r="C447" i="18"/>
  <c r="E447" i="18"/>
  <c r="G447" i="18"/>
  <c r="A444" i="17"/>
  <c r="A689" i="17"/>
  <c r="A933" i="17"/>
  <c r="A1178" i="17"/>
  <c r="A1423" i="17"/>
  <c r="A446" i="18"/>
  <c r="C446" i="18"/>
  <c r="E446" i="18"/>
  <c r="G446" i="18"/>
  <c r="A443" i="17"/>
  <c r="A688" i="17"/>
  <c r="A929" i="17"/>
  <c r="A1174" i="17"/>
  <c r="A1419" i="17"/>
  <c r="A442" i="18"/>
  <c r="C442" i="18"/>
  <c r="E442" i="18"/>
  <c r="G442" i="18"/>
  <c r="A439" i="17"/>
  <c r="A684" i="17"/>
  <c r="A858" i="17"/>
  <c r="A1103" i="17"/>
  <c r="A1348" i="17"/>
  <c r="A371" i="18"/>
  <c r="C371" i="18"/>
  <c r="E371" i="18"/>
  <c r="G371" i="18"/>
  <c r="A368" i="17"/>
  <c r="A613" i="17"/>
  <c r="A857" i="17"/>
  <c r="A1102" i="17"/>
  <c r="A1347" i="17"/>
  <c r="A370" i="18"/>
  <c r="C370" i="18"/>
  <c r="E370" i="18"/>
  <c r="G370" i="18"/>
  <c r="A367" i="17"/>
  <c r="A612" i="17"/>
  <c r="A856" i="17"/>
  <c r="A1101" i="17"/>
  <c r="A1346" i="17"/>
  <c r="A369" i="18"/>
  <c r="C369" i="18"/>
  <c r="E369" i="18"/>
  <c r="G369" i="18"/>
  <c r="A366" i="17"/>
  <c r="A611" i="17"/>
  <c r="A855" i="17"/>
  <c r="A1100" i="17"/>
  <c r="A1345" i="17"/>
  <c r="A368" i="18"/>
  <c r="C368" i="18"/>
  <c r="E368" i="18"/>
  <c r="G368" i="18"/>
  <c r="A365" i="17"/>
  <c r="A610" i="17"/>
  <c r="A845" i="17"/>
  <c r="A1090" i="17"/>
  <c r="A1335" i="17"/>
  <c r="A358" i="18"/>
  <c r="C358" i="18"/>
  <c r="E358" i="18"/>
  <c r="G358" i="18"/>
  <c r="A355" i="17"/>
  <c r="A600" i="17"/>
  <c r="D1092" i="18"/>
  <c r="C599" i="17"/>
  <c r="F1091" i="18"/>
  <c r="D598" i="17"/>
  <c r="A842" i="17"/>
  <c r="A1087" i="17"/>
  <c r="A1332" i="17"/>
  <c r="A355" i="18"/>
  <c r="C355" i="18"/>
  <c r="E355" i="18"/>
  <c r="G355" i="18"/>
  <c r="A352" i="17"/>
  <c r="A597" i="17"/>
  <c r="D1088" i="18"/>
  <c r="C595" i="17"/>
  <c r="A840" i="17"/>
  <c r="A1085" i="17"/>
  <c r="A1330" i="17"/>
  <c r="A353" i="18"/>
  <c r="C353" i="18"/>
  <c r="E353" i="18"/>
  <c r="G353" i="18"/>
  <c r="A350" i="17"/>
  <c r="A595" i="17"/>
  <c r="D1087" i="18"/>
  <c r="C594" i="17"/>
  <c r="A838" i="17"/>
  <c r="A1083" i="17"/>
  <c r="A1328" i="17"/>
  <c r="A351" i="18"/>
  <c r="C351" i="18"/>
  <c r="E351" i="18"/>
  <c r="G351" i="18"/>
  <c r="A348" i="17"/>
  <c r="A593" i="17"/>
  <c r="A833" i="17"/>
  <c r="A1078" i="17"/>
  <c r="A1323" i="17"/>
  <c r="A346" i="18"/>
  <c r="C346" i="18"/>
  <c r="E346" i="18"/>
  <c r="G346" i="18"/>
  <c r="A343" i="17"/>
  <c r="A588" i="17"/>
  <c r="A832" i="17"/>
  <c r="A1077" i="17"/>
  <c r="A1322" i="17"/>
  <c r="A345" i="18"/>
  <c r="C345" i="18"/>
  <c r="E345" i="18"/>
  <c r="G345" i="18"/>
  <c r="A342" i="17"/>
  <c r="A587" i="17"/>
  <c r="C1321" i="17"/>
  <c r="D1814" i="18"/>
  <c r="D1075" i="17"/>
  <c r="F1568" i="18"/>
  <c r="D1078" i="18"/>
  <c r="C585" i="17"/>
  <c r="A830" i="17"/>
  <c r="A1075" i="17"/>
  <c r="A1320" i="17"/>
  <c r="A343" i="18"/>
  <c r="C343" i="18"/>
  <c r="E343" i="18"/>
  <c r="G343" i="18"/>
  <c r="A340" i="17"/>
  <c r="A585" i="17"/>
  <c r="F1076" i="18"/>
  <c r="D583" i="17"/>
  <c r="B1076" i="18"/>
  <c r="B583" i="17"/>
  <c r="A828" i="17"/>
  <c r="A1073" i="17"/>
  <c r="A1318" i="17"/>
  <c r="A341" i="18"/>
  <c r="C341" i="18"/>
  <c r="E341" i="18"/>
  <c r="G341" i="18"/>
  <c r="A338" i="17"/>
  <c r="A583" i="17"/>
  <c r="D983" i="18"/>
  <c r="C490" i="17"/>
  <c r="S240" i="17"/>
  <c r="E1221" i="18" s="1"/>
  <c r="AB240" i="17"/>
  <c r="E1466" i="18" s="1"/>
  <c r="AK240" i="17"/>
  <c r="E1711" i="18" s="1"/>
  <c r="AT240" i="17"/>
  <c r="E1956" i="18" s="1"/>
  <c r="T240" i="17"/>
  <c r="AC240" i="17"/>
  <c r="AL240" i="17"/>
  <c r="AU240" i="17"/>
  <c r="U239" i="17"/>
  <c r="G1220" i="18" s="1"/>
  <c r="AD239" i="17"/>
  <c r="G1465" i="18" s="1"/>
  <c r="AM239" i="17"/>
  <c r="G1710" i="18" s="1"/>
  <c r="AV239" i="17"/>
  <c r="G1955" i="18" s="1"/>
  <c r="T239" i="17"/>
  <c r="AC239" i="17"/>
  <c r="AL239" i="17"/>
  <c r="AU239" i="17"/>
  <c r="S237" i="17"/>
  <c r="E1218" i="18" s="1"/>
  <c r="AB237" i="17"/>
  <c r="E1463" i="18" s="1"/>
  <c r="AK237" i="17"/>
  <c r="E1708" i="18" s="1"/>
  <c r="AT237" i="17"/>
  <c r="E1953" i="18" s="1"/>
  <c r="V237" i="17"/>
  <c r="AE237" i="17"/>
  <c r="AN237" i="17"/>
  <c r="AW237" i="17"/>
  <c r="P210" i="17"/>
  <c r="Y210" i="17"/>
  <c r="AH210" i="17"/>
  <c r="AQ210" i="17"/>
  <c r="O209" i="17"/>
  <c r="A1190" i="18" s="1"/>
  <c r="X209" i="17"/>
  <c r="A1435" i="18" s="1"/>
  <c r="AG209" i="17"/>
  <c r="A1680" i="18" s="1"/>
  <c r="AP209" i="17"/>
  <c r="A1925" i="18" s="1"/>
  <c r="T209" i="17"/>
  <c r="AC209" i="17"/>
  <c r="AL209" i="17"/>
  <c r="AU209" i="17"/>
  <c r="Q208" i="17"/>
  <c r="C1189" i="18" s="1"/>
  <c r="Z208" i="17"/>
  <c r="C1434" i="18" s="1"/>
  <c r="AI208" i="17"/>
  <c r="C1679" i="18" s="1"/>
  <c r="AR208" i="17"/>
  <c r="C1924" i="18" s="1"/>
  <c r="Q207" i="17"/>
  <c r="C1188" i="18" s="1"/>
  <c r="Z207" i="17"/>
  <c r="C1433" i="18" s="1"/>
  <c r="AI207" i="17"/>
  <c r="C1678" i="18" s="1"/>
  <c r="AR207" i="17"/>
  <c r="C1923" i="18" s="1"/>
  <c r="O204" i="17"/>
  <c r="A1185" i="18" s="1"/>
  <c r="AG204" i="17"/>
  <c r="A1675" i="18" s="1"/>
  <c r="AP204" i="17"/>
  <c r="A1920" i="18" s="1"/>
  <c r="X204" i="17"/>
  <c r="A1430" i="18" s="1"/>
  <c r="B450" i="18"/>
  <c r="B447" i="17"/>
  <c r="AN203" i="17"/>
  <c r="AW203" i="17"/>
  <c r="V203" i="17"/>
  <c r="AE203" i="17"/>
  <c r="S202" i="17"/>
  <c r="E1183" i="18" s="1"/>
  <c r="AT202" i="17"/>
  <c r="E1918" i="18" s="1"/>
  <c r="AB202" i="17"/>
  <c r="E1428" i="18" s="1"/>
  <c r="AK202" i="17"/>
  <c r="E1673" i="18" s="1"/>
  <c r="H448" i="18"/>
  <c r="E445" i="17"/>
  <c r="R199" i="17"/>
  <c r="AA199" i="17"/>
  <c r="AJ199" i="17"/>
  <c r="AS199" i="17"/>
  <c r="AE198" i="17"/>
  <c r="AW198" i="17"/>
  <c r="V198" i="17"/>
  <c r="AN198" i="17"/>
  <c r="Z197" i="17"/>
  <c r="C1423" i="18" s="1"/>
  <c r="AI197" i="17"/>
  <c r="C1668" i="18" s="1"/>
  <c r="Q197" i="17"/>
  <c r="C1178" i="18" s="1"/>
  <c r="AR197" i="17"/>
  <c r="C1913" i="18" s="1"/>
  <c r="F443" i="18"/>
  <c r="D440" i="17"/>
  <c r="P197" i="17"/>
  <c r="AH197" i="17"/>
  <c r="Y197" i="17"/>
  <c r="AQ197" i="17"/>
  <c r="S196" i="17"/>
  <c r="E1177" i="18" s="1"/>
  <c r="AB196" i="17"/>
  <c r="E1422" i="18" s="1"/>
  <c r="AK196" i="17"/>
  <c r="E1667" i="18" s="1"/>
  <c r="AT196" i="17"/>
  <c r="E1912" i="18" s="1"/>
  <c r="F442" i="18"/>
  <c r="D439" i="17"/>
  <c r="AG195" i="17"/>
  <c r="A1666" i="18" s="1"/>
  <c r="O195" i="17"/>
  <c r="A1176" i="18" s="1"/>
  <c r="X195" i="17"/>
  <c r="A1421" i="18" s="1"/>
  <c r="AP195" i="17"/>
  <c r="A1911" i="18" s="1"/>
  <c r="B441" i="18"/>
  <c r="B438" i="17"/>
  <c r="AE194" i="17"/>
  <c r="V194" i="17"/>
  <c r="AW194" i="17"/>
  <c r="AN194" i="17"/>
  <c r="AP193" i="17"/>
  <c r="A1909" i="18" s="1"/>
  <c r="O193" i="17"/>
  <c r="A1174" i="18" s="1"/>
  <c r="X193" i="17"/>
  <c r="A1419" i="18" s="1"/>
  <c r="AG193" i="17"/>
  <c r="A1664" i="18" s="1"/>
  <c r="V192" i="17"/>
  <c r="AE192" i="17"/>
  <c r="AN192" i="17"/>
  <c r="AW192" i="17"/>
  <c r="Q191" i="17"/>
  <c r="C1172" i="18" s="1"/>
  <c r="Z191" i="17"/>
  <c r="C1417" i="18" s="1"/>
  <c r="AI191" i="17"/>
  <c r="C1662" i="18" s="1"/>
  <c r="AR191" i="17"/>
  <c r="C1907" i="18" s="1"/>
  <c r="P191" i="17"/>
  <c r="Y191" i="17"/>
  <c r="AH191" i="17"/>
  <c r="AQ191" i="17"/>
  <c r="Q189" i="17"/>
  <c r="C1170" i="18" s="1"/>
  <c r="Z189" i="17"/>
  <c r="C1415" i="18" s="1"/>
  <c r="AI189" i="17"/>
  <c r="C1660" i="18" s="1"/>
  <c r="AR189" i="17"/>
  <c r="C1905" i="18" s="1"/>
  <c r="P189" i="17"/>
  <c r="Y189" i="17"/>
  <c r="AH189" i="17"/>
  <c r="AQ189" i="17"/>
  <c r="Q188" i="17"/>
  <c r="C1169" i="18" s="1"/>
  <c r="Z188" i="17"/>
  <c r="C1414" i="18" s="1"/>
  <c r="AI188" i="17"/>
  <c r="C1659" i="18" s="1"/>
  <c r="AR188" i="17"/>
  <c r="C1904" i="18" s="1"/>
  <c r="V188" i="17"/>
  <c r="AE188" i="17"/>
  <c r="AN188" i="17"/>
  <c r="AW188" i="17"/>
  <c r="Q187" i="17"/>
  <c r="C1168" i="18" s="1"/>
  <c r="Z187" i="17"/>
  <c r="C1413" i="18" s="1"/>
  <c r="AI187" i="17"/>
  <c r="C1658" i="18" s="1"/>
  <c r="AR187" i="17"/>
  <c r="C1903" i="18" s="1"/>
  <c r="O186" i="17"/>
  <c r="A1167" i="18" s="1"/>
  <c r="X186" i="17"/>
  <c r="A1412" i="18" s="1"/>
  <c r="AG186" i="17"/>
  <c r="A1657" i="18" s="1"/>
  <c r="AP186" i="17"/>
  <c r="A1902" i="18" s="1"/>
  <c r="V185" i="17"/>
  <c r="AE185" i="17"/>
  <c r="AN185" i="17"/>
  <c r="AW185" i="17"/>
  <c r="U184" i="17"/>
  <c r="G1165" i="18" s="1"/>
  <c r="AD184" i="17"/>
  <c r="G1410" i="18" s="1"/>
  <c r="AM184" i="17"/>
  <c r="G1655" i="18" s="1"/>
  <c r="AV184" i="17"/>
  <c r="G1900" i="18" s="1"/>
  <c r="S183" i="17"/>
  <c r="E1164" i="18" s="1"/>
  <c r="AB183" i="17"/>
  <c r="E1409" i="18" s="1"/>
  <c r="AK183" i="17"/>
  <c r="E1654" i="18" s="1"/>
  <c r="AT183" i="17"/>
  <c r="E1899" i="18" s="1"/>
  <c r="Q182" i="17"/>
  <c r="C1163" i="18" s="1"/>
  <c r="Z182" i="17"/>
  <c r="C1408" i="18" s="1"/>
  <c r="AI182" i="17"/>
  <c r="C1653" i="18" s="1"/>
  <c r="AR182" i="17"/>
  <c r="C1898" i="18" s="1"/>
  <c r="S180" i="17"/>
  <c r="E1161" i="18" s="1"/>
  <c r="AB180" i="17"/>
  <c r="E1406" i="18" s="1"/>
  <c r="AK180" i="17"/>
  <c r="E1651" i="18" s="1"/>
  <c r="AT180" i="17"/>
  <c r="E1896" i="18" s="1"/>
  <c r="S179" i="17"/>
  <c r="E1160" i="18" s="1"/>
  <c r="AB179" i="17"/>
  <c r="E1405" i="18" s="1"/>
  <c r="AK179" i="17"/>
  <c r="E1650" i="18" s="1"/>
  <c r="AT179" i="17"/>
  <c r="E1895" i="18" s="1"/>
  <c r="T179" i="17"/>
  <c r="AC179" i="17"/>
  <c r="AL179" i="17"/>
  <c r="AU179" i="17"/>
  <c r="S178" i="17"/>
  <c r="E1159" i="18" s="1"/>
  <c r="AB178" i="17"/>
  <c r="E1404" i="18" s="1"/>
  <c r="AK178" i="17"/>
  <c r="E1649" i="18" s="1"/>
  <c r="AT178" i="17"/>
  <c r="E1894" i="18" s="1"/>
  <c r="R176" i="17"/>
  <c r="AA176" i="17"/>
  <c r="AJ176" i="17"/>
  <c r="AS176" i="17"/>
  <c r="O174" i="17"/>
  <c r="A1155" i="18" s="1"/>
  <c r="X174" i="17"/>
  <c r="A1400" i="18" s="1"/>
  <c r="AG174" i="17"/>
  <c r="A1645" i="18" s="1"/>
  <c r="AP174" i="17"/>
  <c r="A1890" i="18" s="1"/>
  <c r="R174" i="17"/>
  <c r="AA174" i="17"/>
  <c r="AJ174" i="17"/>
  <c r="AS174" i="17"/>
  <c r="T173" i="17"/>
  <c r="AC173" i="17"/>
  <c r="AL173" i="17"/>
  <c r="AU173" i="17"/>
  <c r="S172" i="17"/>
  <c r="E1153" i="18" s="1"/>
  <c r="AB172" i="17"/>
  <c r="E1398" i="18" s="1"/>
  <c r="AK172" i="17"/>
  <c r="E1643" i="18" s="1"/>
  <c r="AT172" i="17"/>
  <c r="E1888" i="18" s="1"/>
  <c r="P172" i="17"/>
  <c r="Y172" i="17"/>
  <c r="AH172" i="17"/>
  <c r="AQ172" i="17"/>
  <c r="S171" i="17"/>
  <c r="E1152" i="18" s="1"/>
  <c r="AB171" i="17"/>
  <c r="E1397" i="18" s="1"/>
  <c r="AK171" i="17"/>
  <c r="E1642" i="18" s="1"/>
  <c r="AT171" i="17"/>
  <c r="E1887" i="18" s="1"/>
  <c r="Q170" i="17"/>
  <c r="C1151" i="18" s="1"/>
  <c r="Z170" i="17"/>
  <c r="C1396" i="18" s="1"/>
  <c r="AI170" i="17"/>
  <c r="C1641" i="18" s="1"/>
  <c r="AR170" i="17"/>
  <c r="C1886" i="18" s="1"/>
  <c r="P170" i="17"/>
  <c r="Y170" i="17"/>
  <c r="AH170" i="17"/>
  <c r="AQ170" i="17"/>
  <c r="O169" i="17"/>
  <c r="A1150" i="18" s="1"/>
  <c r="X169" i="17"/>
  <c r="A1395" i="18" s="1"/>
  <c r="AG169" i="17"/>
  <c r="A1640" i="18" s="1"/>
  <c r="AP169" i="17"/>
  <c r="A1885" i="18" s="1"/>
  <c r="O168" i="17"/>
  <c r="A1149" i="18" s="1"/>
  <c r="X168" i="17"/>
  <c r="A1394" i="18" s="1"/>
  <c r="AG168" i="17"/>
  <c r="A1639" i="18" s="1"/>
  <c r="AP168" i="17"/>
  <c r="A1884" i="18" s="1"/>
  <c r="U167" i="17"/>
  <c r="G1148" i="18" s="1"/>
  <c r="AD167" i="17"/>
  <c r="G1393" i="18" s="1"/>
  <c r="AM167" i="17"/>
  <c r="G1638" i="18" s="1"/>
  <c r="AV167" i="17"/>
  <c r="G1883" i="18" s="1"/>
  <c r="S166" i="17"/>
  <c r="E1147" i="18" s="1"/>
  <c r="AB166" i="17"/>
  <c r="E1392" i="18" s="1"/>
  <c r="AK166" i="17"/>
  <c r="E1637" i="18" s="1"/>
  <c r="AT166" i="17"/>
  <c r="E1882" i="18" s="1"/>
  <c r="S165" i="17"/>
  <c r="E1146" i="18" s="1"/>
  <c r="AB165" i="17"/>
  <c r="E1391" i="18" s="1"/>
  <c r="AK165" i="17"/>
  <c r="E1636" i="18" s="1"/>
  <c r="AT165" i="17"/>
  <c r="E1881" i="18" s="1"/>
  <c r="R165" i="17"/>
  <c r="AA165" i="17"/>
  <c r="AJ165" i="17"/>
  <c r="AS165" i="17"/>
  <c r="V164" i="17"/>
  <c r="AE164" i="17"/>
  <c r="AN164" i="17"/>
  <c r="AW164" i="17"/>
  <c r="R163" i="17"/>
  <c r="AA163" i="17"/>
  <c r="AJ163" i="17"/>
  <c r="AS163" i="17"/>
  <c r="U162" i="17"/>
  <c r="G1143" i="18" s="1"/>
  <c r="AD162" i="17"/>
  <c r="G1388" i="18" s="1"/>
  <c r="AM162" i="17"/>
  <c r="G1633" i="18" s="1"/>
  <c r="AV162" i="17"/>
  <c r="G1878" i="18" s="1"/>
  <c r="P162" i="17"/>
  <c r="Y162" i="17"/>
  <c r="AH162" i="17"/>
  <c r="AQ162" i="17"/>
  <c r="O159" i="17"/>
  <c r="A1140" i="18" s="1"/>
  <c r="X159" i="17"/>
  <c r="A1385" i="18" s="1"/>
  <c r="AG159" i="17"/>
  <c r="A1630" i="18" s="1"/>
  <c r="AP159" i="17"/>
  <c r="A1875" i="18" s="1"/>
  <c r="T159" i="17"/>
  <c r="AC159" i="17"/>
  <c r="AL159" i="17"/>
  <c r="AU159" i="17"/>
  <c r="Q158" i="17"/>
  <c r="C1139" i="18" s="1"/>
  <c r="Z158" i="17"/>
  <c r="C1384" i="18" s="1"/>
  <c r="AI158" i="17"/>
  <c r="C1629" i="18" s="1"/>
  <c r="AR158" i="17"/>
  <c r="C1874" i="18" s="1"/>
  <c r="Q157" i="17"/>
  <c r="C1138" i="18" s="1"/>
  <c r="Z157" i="17"/>
  <c r="C1383" i="18" s="1"/>
  <c r="AI157" i="17"/>
  <c r="C1628" i="18" s="1"/>
  <c r="AR157" i="17"/>
  <c r="C1873" i="18" s="1"/>
  <c r="T157" i="17"/>
  <c r="AC157" i="17"/>
  <c r="AL157" i="17"/>
  <c r="AU157" i="17"/>
  <c r="V156" i="17"/>
  <c r="AE156" i="17"/>
  <c r="AN156" i="17"/>
  <c r="AW156" i="17"/>
  <c r="AS115" i="17"/>
  <c r="R115" i="17"/>
  <c r="AA115" i="17"/>
  <c r="AJ115" i="17"/>
  <c r="U113" i="17"/>
  <c r="G1094" i="18" s="1"/>
  <c r="AM113" i="17"/>
  <c r="G1584" i="18" s="1"/>
  <c r="AV113" i="17"/>
  <c r="G1829" i="18" s="1"/>
  <c r="AD113" i="17"/>
  <c r="G1339" i="18" s="1"/>
  <c r="AS113" i="17"/>
  <c r="AJ113" i="17"/>
  <c r="R113" i="17"/>
  <c r="AA113" i="17"/>
  <c r="S111" i="17"/>
  <c r="E1092" i="18" s="1"/>
  <c r="AT111" i="17"/>
  <c r="E1827" i="18" s="1"/>
  <c r="AB111" i="17"/>
  <c r="E1337" i="18" s="1"/>
  <c r="AK111" i="17"/>
  <c r="E1582" i="18" s="1"/>
  <c r="AH111" i="17"/>
  <c r="P111" i="17"/>
  <c r="Y111" i="17"/>
  <c r="AQ111" i="17"/>
  <c r="U86" i="17"/>
  <c r="G1067" i="18" s="1"/>
  <c r="AD86" i="17"/>
  <c r="G1312" i="18" s="1"/>
  <c r="AM86" i="17"/>
  <c r="G1557" i="18" s="1"/>
  <c r="AV86" i="17"/>
  <c r="G1802" i="18" s="1"/>
  <c r="Q86" i="17"/>
  <c r="C1067" i="18" s="1"/>
  <c r="Z86" i="17"/>
  <c r="C1312" i="18" s="1"/>
  <c r="AI86" i="17"/>
  <c r="C1557" i="18" s="1"/>
  <c r="AR86" i="17"/>
  <c r="C1802" i="18" s="1"/>
  <c r="V86" i="17"/>
  <c r="AE86" i="17"/>
  <c r="AN86" i="17"/>
  <c r="AW86" i="17"/>
  <c r="R84" i="17"/>
  <c r="AA84" i="17"/>
  <c r="AJ84" i="17"/>
  <c r="AS84" i="17"/>
  <c r="U83" i="17"/>
  <c r="G1064" i="18" s="1"/>
  <c r="AD83" i="17"/>
  <c r="G1309" i="18" s="1"/>
  <c r="AM83" i="17"/>
  <c r="G1554" i="18" s="1"/>
  <c r="AV83" i="17"/>
  <c r="G1799" i="18" s="1"/>
  <c r="T83" i="17"/>
  <c r="AC83" i="17"/>
  <c r="AL83" i="17"/>
  <c r="AU83" i="17"/>
  <c r="T78" i="17"/>
  <c r="AC78" i="17"/>
  <c r="AL78" i="17"/>
  <c r="AU78" i="17"/>
  <c r="Q77" i="17"/>
  <c r="C1058" i="18" s="1"/>
  <c r="Z77" i="17"/>
  <c r="C1303" i="18" s="1"/>
  <c r="AI77" i="17"/>
  <c r="C1548" i="18" s="1"/>
  <c r="AR77" i="17"/>
  <c r="C1793" i="18" s="1"/>
  <c r="Q76" i="17"/>
  <c r="C1057" i="18" s="1"/>
  <c r="Z76" i="17"/>
  <c r="C1302" i="18" s="1"/>
  <c r="AI76" i="17"/>
  <c r="C1547" i="18" s="1"/>
  <c r="AR76" i="17"/>
  <c r="C1792" i="18" s="1"/>
  <c r="V75" i="17"/>
  <c r="AE75" i="17"/>
  <c r="AN75" i="17"/>
  <c r="AW75" i="17"/>
  <c r="P74" i="17"/>
  <c r="Y74" i="17"/>
  <c r="AH74" i="17"/>
  <c r="AQ74" i="17"/>
  <c r="S73" i="17"/>
  <c r="E1054" i="18" s="1"/>
  <c r="AB73" i="17"/>
  <c r="E1299" i="18" s="1"/>
  <c r="AK73" i="17"/>
  <c r="E1544" i="18" s="1"/>
  <c r="AT73" i="17"/>
  <c r="E1789" i="18" s="1"/>
  <c r="V27" i="17"/>
  <c r="AE27" i="17"/>
  <c r="AN27" i="17"/>
  <c r="AW27" i="17"/>
  <c r="S24" i="17"/>
  <c r="E1005" i="18" s="1"/>
  <c r="AB24" i="17"/>
  <c r="E1250" i="18" s="1"/>
  <c r="AK24" i="17"/>
  <c r="E1495" i="18" s="1"/>
  <c r="AT24" i="17"/>
  <c r="E1740" i="18" s="1"/>
  <c r="R23" i="17"/>
  <c r="AA23" i="17"/>
  <c r="AJ23" i="17"/>
  <c r="AS23" i="17"/>
  <c r="Q20" i="17"/>
  <c r="C1001" i="18" s="1"/>
  <c r="Z20" i="17"/>
  <c r="C1246" i="18" s="1"/>
  <c r="AI20" i="17"/>
  <c r="C1491" i="18" s="1"/>
  <c r="AR20" i="17"/>
  <c r="C1736" i="18" s="1"/>
  <c r="V20" i="17"/>
  <c r="AE20" i="17"/>
  <c r="AN20" i="17"/>
  <c r="AW20" i="17"/>
  <c r="O19" i="17"/>
  <c r="A1000" i="18" s="1"/>
  <c r="X19" i="17"/>
  <c r="A1245" i="18" s="1"/>
  <c r="AG19" i="17"/>
  <c r="A1490" i="18" s="1"/>
  <c r="AP19" i="17"/>
  <c r="A1735" i="18" s="1"/>
  <c r="Q17" i="17"/>
  <c r="C998" i="18" s="1"/>
  <c r="Z17" i="17"/>
  <c r="C1243" i="18" s="1"/>
  <c r="AI17" i="17"/>
  <c r="C1488" i="18" s="1"/>
  <c r="AR17" i="17"/>
  <c r="C1733" i="18" s="1"/>
  <c r="V13" i="17"/>
  <c r="AE13" i="17"/>
  <c r="AN13" i="17"/>
  <c r="AW13" i="17"/>
  <c r="Q12" i="17"/>
  <c r="C993" i="18" s="1"/>
  <c r="Z12" i="17"/>
  <c r="C1238" i="18" s="1"/>
  <c r="AI12" i="17"/>
  <c r="C1483" i="18" s="1"/>
  <c r="AR12" i="17"/>
  <c r="C1728" i="18" s="1"/>
  <c r="P12" i="17"/>
  <c r="Y12" i="17"/>
  <c r="AH12" i="17"/>
  <c r="AQ12" i="17"/>
  <c r="O11" i="17"/>
  <c r="A992" i="18" s="1"/>
  <c r="X11" i="17"/>
  <c r="A1237" i="18" s="1"/>
  <c r="AG11" i="17"/>
  <c r="A1482" i="18" s="1"/>
  <c r="AP11" i="17"/>
  <c r="A1727" i="18" s="1"/>
  <c r="Q9" i="17"/>
  <c r="C990" i="18" s="1"/>
  <c r="Z9" i="17"/>
  <c r="C1235" i="18" s="1"/>
  <c r="AI9" i="17"/>
  <c r="C1480" i="18" s="1"/>
  <c r="AR9" i="17"/>
  <c r="C1725" i="18" s="1"/>
  <c r="P7" i="17"/>
  <c r="Y7" i="17"/>
  <c r="AH7" i="17"/>
  <c r="AQ7" i="17"/>
  <c r="AA6" i="17"/>
  <c r="AJ6" i="17"/>
  <c r="AS6" i="17"/>
  <c r="R6" i="17"/>
  <c r="AS3" i="17"/>
  <c r="R3" i="17"/>
  <c r="AA3" i="17"/>
  <c r="AJ3" i="17"/>
  <c r="C144" i="6"/>
  <c r="J144" i="10"/>
  <c r="G144" i="17" s="1"/>
  <c r="F145" i="18" s="1"/>
  <c r="M144" i="10"/>
  <c r="C142" i="6"/>
  <c r="J142" i="10"/>
  <c r="G142" i="17" s="1"/>
  <c r="F143" i="18" s="1"/>
  <c r="M142" i="10"/>
  <c r="C141" i="6"/>
  <c r="J141" i="10"/>
  <c r="G141" i="17" s="1"/>
  <c r="F142" i="18" s="1"/>
  <c r="M141" i="10"/>
  <c r="C137" i="6"/>
  <c r="J137" i="10"/>
  <c r="G137" i="17" s="1"/>
  <c r="F138" i="18" s="1"/>
  <c r="M137" i="10"/>
  <c r="AA125" i="5"/>
  <c r="Z125" i="5"/>
  <c r="D125" i="6"/>
  <c r="W125" i="10"/>
  <c r="C125" i="5"/>
  <c r="D125" i="5"/>
  <c r="Z117" i="5"/>
  <c r="D117" i="6"/>
  <c r="D117" i="5"/>
  <c r="W117" i="10"/>
  <c r="C117" i="5"/>
  <c r="AA117" i="5"/>
  <c r="AK116" i="5"/>
  <c r="B116" i="6"/>
  <c r="H116" i="10"/>
  <c r="E116" i="17" s="1"/>
  <c r="B117" i="18" s="1"/>
  <c r="I116" i="10"/>
  <c r="F116" i="17" s="1"/>
  <c r="D117" i="18" s="1"/>
  <c r="L116" i="10"/>
  <c r="C114" i="6"/>
  <c r="J114" i="10"/>
  <c r="G114" i="17" s="1"/>
  <c r="F115" i="18" s="1"/>
  <c r="M114" i="10"/>
  <c r="I111" i="5"/>
  <c r="J111" i="5" s="1"/>
  <c r="AE111" i="5"/>
  <c r="AF111" i="5" s="1"/>
  <c r="C107" i="6"/>
  <c r="J107" i="10"/>
  <c r="G107" i="17" s="1"/>
  <c r="F108" i="18" s="1"/>
  <c r="M107" i="10"/>
  <c r="I106" i="5"/>
  <c r="J106" i="5" s="1"/>
  <c r="AE106" i="5"/>
  <c r="AF106" i="5" s="1"/>
  <c r="C105" i="6"/>
  <c r="J105" i="10"/>
  <c r="G105" i="17" s="1"/>
  <c r="F106" i="18" s="1"/>
  <c r="M105" i="10"/>
  <c r="I102" i="5"/>
  <c r="J102" i="5" s="1"/>
  <c r="AE102" i="5"/>
  <c r="AF102" i="5" s="1"/>
  <c r="C101" i="6"/>
  <c r="J101" i="10"/>
  <c r="G101" i="17" s="1"/>
  <c r="F102" i="18" s="1"/>
  <c r="M101" i="10"/>
  <c r="C98" i="6"/>
  <c r="J98" i="10"/>
  <c r="G98" i="17" s="1"/>
  <c r="F99" i="18" s="1"/>
  <c r="M98" i="10"/>
  <c r="AE98" i="5"/>
  <c r="AF98" i="5" s="1"/>
  <c r="I98" i="5"/>
  <c r="J98" i="5" s="1"/>
  <c r="A485" i="17"/>
  <c r="A730" i="17"/>
  <c r="A975" i="17"/>
  <c r="A1220" i="17"/>
  <c r="A1465" i="17"/>
  <c r="A488" i="18"/>
  <c r="C488" i="18"/>
  <c r="E488" i="18"/>
  <c r="G488" i="18"/>
  <c r="A243" i="18"/>
  <c r="C243" i="18"/>
  <c r="E243" i="18"/>
  <c r="E484" i="17"/>
  <c r="H487" i="18"/>
  <c r="A484" i="17"/>
  <c r="A729" i="17"/>
  <c r="A974" i="17"/>
  <c r="A1219" i="17"/>
  <c r="A1464" i="17"/>
  <c r="A487" i="18"/>
  <c r="C487" i="18"/>
  <c r="E487" i="18"/>
  <c r="G487" i="18"/>
  <c r="A242" i="18"/>
  <c r="C242" i="18"/>
  <c r="E242" i="18"/>
  <c r="A483" i="17"/>
  <c r="A728" i="17"/>
  <c r="A973" i="17"/>
  <c r="A1218" i="17"/>
  <c r="A1463" i="17"/>
  <c r="A486" i="18"/>
  <c r="C486" i="18"/>
  <c r="E486" i="18"/>
  <c r="G486" i="18"/>
  <c r="A241" i="18"/>
  <c r="C241" i="18"/>
  <c r="E241" i="18"/>
  <c r="A482" i="17"/>
  <c r="A727" i="17"/>
  <c r="A972" i="17"/>
  <c r="A1217" i="17"/>
  <c r="A1462" i="17"/>
  <c r="A485" i="18"/>
  <c r="C485" i="18"/>
  <c r="E485" i="18"/>
  <c r="G485" i="18"/>
  <c r="A240" i="18"/>
  <c r="C240" i="18"/>
  <c r="E240" i="18"/>
  <c r="C726" i="17"/>
  <c r="D1219" i="18"/>
  <c r="A481" i="17"/>
  <c r="A726" i="17"/>
  <c r="A971" i="17"/>
  <c r="A1216" i="17"/>
  <c r="A1461" i="17"/>
  <c r="A484" i="18"/>
  <c r="C484" i="18"/>
  <c r="E484" i="18"/>
  <c r="G484" i="18"/>
  <c r="A239" i="18"/>
  <c r="C239" i="18"/>
  <c r="E239" i="18"/>
  <c r="A480" i="17"/>
  <c r="A725" i="17"/>
  <c r="A970" i="17"/>
  <c r="A1215" i="17"/>
  <c r="A1460" i="17"/>
  <c r="A483" i="18"/>
  <c r="C483" i="18"/>
  <c r="E483" i="18"/>
  <c r="G483" i="18"/>
  <c r="A238" i="18"/>
  <c r="C238" i="18"/>
  <c r="E238" i="18"/>
  <c r="A479" i="17"/>
  <c r="A724" i="17"/>
  <c r="A969" i="17"/>
  <c r="A1214" i="17"/>
  <c r="A1459" i="17"/>
  <c r="A482" i="18"/>
  <c r="C482" i="18"/>
  <c r="E482" i="18"/>
  <c r="G482" i="18"/>
  <c r="A237" i="18"/>
  <c r="C237" i="18"/>
  <c r="E237" i="18"/>
  <c r="A236" i="18"/>
  <c r="C236" i="18"/>
  <c r="E236" i="18"/>
  <c r="A235" i="18"/>
  <c r="C235" i="18"/>
  <c r="E235" i="18"/>
  <c r="A234" i="18"/>
  <c r="C234" i="18"/>
  <c r="E234" i="18"/>
  <c r="A233" i="18"/>
  <c r="C233" i="18"/>
  <c r="E233" i="18"/>
  <c r="A232" i="18"/>
  <c r="C232" i="18"/>
  <c r="E232" i="18"/>
  <c r="A231" i="18"/>
  <c r="C231" i="18"/>
  <c r="E231" i="18"/>
  <c r="A230" i="18"/>
  <c r="C230" i="18"/>
  <c r="E230" i="18"/>
  <c r="A229" i="18"/>
  <c r="C229" i="18"/>
  <c r="E229" i="18"/>
  <c r="A228" i="18"/>
  <c r="C228" i="18"/>
  <c r="E228" i="18"/>
  <c r="A227" i="18"/>
  <c r="C227" i="18"/>
  <c r="E227" i="18"/>
  <c r="A226" i="18"/>
  <c r="C226" i="18"/>
  <c r="E226" i="18"/>
  <c r="A467" i="17"/>
  <c r="A712" i="17"/>
  <c r="A957" i="17"/>
  <c r="A1202" i="17"/>
  <c r="A1447" i="17"/>
  <c r="A470" i="18"/>
  <c r="C470" i="18"/>
  <c r="E470" i="18"/>
  <c r="G470" i="18"/>
  <c r="A225" i="18"/>
  <c r="C225" i="18"/>
  <c r="E225" i="18"/>
  <c r="A466" i="17"/>
  <c r="A711" i="17"/>
  <c r="A956" i="17"/>
  <c r="A1201" i="17"/>
  <c r="A1446" i="17"/>
  <c r="A469" i="18"/>
  <c r="C469" i="18"/>
  <c r="E469" i="18"/>
  <c r="G469" i="18"/>
  <c r="A224" i="18"/>
  <c r="C224" i="18"/>
  <c r="E224" i="18"/>
  <c r="A465" i="17"/>
  <c r="A710" i="17"/>
  <c r="A955" i="17"/>
  <c r="A1200" i="17"/>
  <c r="A1445" i="17"/>
  <c r="A468" i="18"/>
  <c r="C468" i="18"/>
  <c r="E468" i="18"/>
  <c r="G468" i="18"/>
  <c r="A223" i="18"/>
  <c r="C223" i="18"/>
  <c r="E223" i="18"/>
  <c r="A464" i="17"/>
  <c r="A709" i="17"/>
  <c r="A954" i="17"/>
  <c r="A1199" i="17"/>
  <c r="A1444" i="17"/>
  <c r="A467" i="18"/>
  <c r="C467" i="18"/>
  <c r="E467" i="18"/>
  <c r="G467" i="18"/>
  <c r="A222" i="18"/>
  <c r="C222" i="18"/>
  <c r="E222" i="18"/>
  <c r="A463" i="17"/>
  <c r="A708" i="17"/>
  <c r="A953" i="17"/>
  <c r="A1198" i="17"/>
  <c r="A1443" i="17"/>
  <c r="A466" i="18"/>
  <c r="C466" i="18"/>
  <c r="E466" i="18"/>
  <c r="G466" i="18"/>
  <c r="A221" i="18"/>
  <c r="C221" i="18"/>
  <c r="E221" i="18"/>
  <c r="A462" i="17"/>
  <c r="A707" i="17"/>
  <c r="A952" i="17"/>
  <c r="A1197" i="17"/>
  <c r="A1442" i="17"/>
  <c r="A465" i="18"/>
  <c r="C465" i="18"/>
  <c r="E465" i="18"/>
  <c r="G465" i="18"/>
  <c r="A220" i="18"/>
  <c r="C220" i="18"/>
  <c r="E220" i="18"/>
  <c r="A461" i="17"/>
  <c r="A706" i="17"/>
  <c r="A951" i="17"/>
  <c r="A1196" i="17"/>
  <c r="A1441" i="17"/>
  <c r="A464" i="18"/>
  <c r="C464" i="18"/>
  <c r="E464" i="18"/>
  <c r="G464" i="18"/>
  <c r="A219" i="18"/>
  <c r="C219" i="18"/>
  <c r="E219" i="18"/>
  <c r="A460" i="17"/>
  <c r="A705" i="17"/>
  <c r="A950" i="17"/>
  <c r="A1195" i="17"/>
  <c r="A1440" i="17"/>
  <c r="A463" i="18"/>
  <c r="C463" i="18"/>
  <c r="E463" i="18"/>
  <c r="G463" i="18"/>
  <c r="A459" i="17"/>
  <c r="A704" i="17"/>
  <c r="A949" i="17"/>
  <c r="A1194" i="17"/>
  <c r="A1439" i="17"/>
  <c r="A462" i="18"/>
  <c r="C462" i="18"/>
  <c r="E462" i="18"/>
  <c r="G462" i="18"/>
  <c r="A458" i="17"/>
  <c r="A703" i="17"/>
  <c r="A948" i="17"/>
  <c r="A1193" i="17"/>
  <c r="A1438" i="17"/>
  <c r="A461" i="18"/>
  <c r="C461" i="18"/>
  <c r="E461" i="18"/>
  <c r="G461" i="18"/>
  <c r="A457" i="17"/>
  <c r="A702" i="17"/>
  <c r="A947" i="17"/>
  <c r="A1192" i="17"/>
  <c r="A1437" i="17"/>
  <c r="A460" i="18"/>
  <c r="C460" i="18"/>
  <c r="E460" i="18"/>
  <c r="G460" i="18"/>
  <c r="A456" i="17"/>
  <c r="A701" i="17"/>
  <c r="A946" i="17"/>
  <c r="A1191" i="17"/>
  <c r="A1436" i="17"/>
  <c r="A459" i="18"/>
  <c r="C459" i="18"/>
  <c r="E459" i="18"/>
  <c r="G459" i="18"/>
  <c r="A455" i="17"/>
  <c r="A700" i="17"/>
  <c r="A945" i="17"/>
  <c r="A1190" i="17"/>
  <c r="A1435" i="17"/>
  <c r="A458" i="18"/>
  <c r="C458" i="18"/>
  <c r="E458" i="18"/>
  <c r="G458" i="18"/>
  <c r="A454" i="17"/>
  <c r="A699" i="17"/>
  <c r="A944" i="17"/>
  <c r="A1189" i="17"/>
  <c r="A1434" i="17"/>
  <c r="A457" i="18"/>
  <c r="C457" i="18"/>
  <c r="E457" i="18"/>
  <c r="G457" i="18"/>
  <c r="A453" i="17"/>
  <c r="A698" i="17"/>
  <c r="A943" i="17"/>
  <c r="A1188" i="17"/>
  <c r="A1433" i="17"/>
  <c r="A456" i="18"/>
  <c r="C456" i="18"/>
  <c r="E456" i="18"/>
  <c r="G456" i="18"/>
  <c r="A452" i="17"/>
  <c r="A697" i="17"/>
  <c r="A942" i="17"/>
  <c r="A1187" i="17"/>
  <c r="A1432" i="17"/>
  <c r="A455" i="18"/>
  <c r="C455" i="18"/>
  <c r="E455" i="18"/>
  <c r="G455" i="18"/>
  <c r="D1431" i="17"/>
  <c r="F1924" i="18"/>
  <c r="D1186" i="17"/>
  <c r="F1679" i="18"/>
  <c r="D941" i="17"/>
  <c r="F1434" i="18"/>
  <c r="E696" i="17"/>
  <c r="H1189" i="18"/>
  <c r="D696" i="17"/>
  <c r="F1189" i="18"/>
  <c r="A451" i="17"/>
  <c r="A696" i="17"/>
  <c r="A941" i="17"/>
  <c r="A1186" i="17"/>
  <c r="A1431" i="17"/>
  <c r="A454" i="18"/>
  <c r="C454" i="18"/>
  <c r="E454" i="18"/>
  <c r="G454" i="18"/>
  <c r="E1430" i="17"/>
  <c r="H1923" i="18"/>
  <c r="D1430" i="17"/>
  <c r="F1923" i="18"/>
  <c r="E1185" i="17"/>
  <c r="H1678" i="18"/>
  <c r="D1185" i="17"/>
  <c r="F1678" i="18"/>
  <c r="E940" i="17"/>
  <c r="H1433" i="18"/>
  <c r="D940" i="17"/>
  <c r="F1433" i="18"/>
  <c r="E695" i="17"/>
  <c r="H1188" i="18"/>
  <c r="D695" i="17"/>
  <c r="F1188" i="18"/>
  <c r="C695" i="17"/>
  <c r="D1188" i="18"/>
  <c r="A450" i="17"/>
  <c r="A695" i="17"/>
  <c r="A940" i="17"/>
  <c r="A1185" i="17"/>
  <c r="A1430" i="17"/>
  <c r="A453" i="18"/>
  <c r="C453" i="18"/>
  <c r="E453" i="18"/>
  <c r="G453" i="18"/>
  <c r="A449" i="17"/>
  <c r="A694" i="17"/>
  <c r="A939" i="17"/>
  <c r="A1184" i="17"/>
  <c r="A1429" i="17"/>
  <c r="A452" i="18"/>
  <c r="C452" i="18"/>
  <c r="E452" i="18"/>
  <c r="G452" i="18"/>
  <c r="A448" i="17"/>
  <c r="A693" i="17"/>
  <c r="A938" i="17"/>
  <c r="A1183" i="17"/>
  <c r="A1428" i="17"/>
  <c r="A451" i="18"/>
  <c r="C451" i="18"/>
  <c r="E451" i="18"/>
  <c r="G451" i="18"/>
  <c r="A447" i="17"/>
  <c r="A692" i="17"/>
  <c r="A937" i="17"/>
  <c r="A1182" i="17"/>
  <c r="A1427" i="17"/>
  <c r="A450" i="18"/>
  <c r="C450" i="18"/>
  <c r="E450" i="18"/>
  <c r="G450" i="18"/>
  <c r="E1424" i="17"/>
  <c r="H1917" i="18"/>
  <c r="E1179" i="17"/>
  <c r="H1672" i="18"/>
  <c r="E934" i="17"/>
  <c r="H1427" i="18"/>
  <c r="C1423" i="17"/>
  <c r="D1916" i="18"/>
  <c r="D688" i="17"/>
  <c r="F1181" i="18"/>
  <c r="C688" i="17"/>
  <c r="D1181" i="18"/>
  <c r="A442" i="17"/>
  <c r="A687" i="17"/>
  <c r="A932" i="17"/>
  <c r="A1177" i="17"/>
  <c r="A1422" i="17"/>
  <c r="A445" i="18"/>
  <c r="C445" i="18"/>
  <c r="E445" i="18"/>
  <c r="G445" i="18"/>
  <c r="A440" i="17"/>
  <c r="A685" i="17"/>
  <c r="A930" i="17"/>
  <c r="A1175" i="17"/>
  <c r="A1420" i="17"/>
  <c r="A443" i="18"/>
  <c r="C443" i="18"/>
  <c r="E443" i="18"/>
  <c r="G443" i="18"/>
  <c r="A372" i="17"/>
  <c r="A617" i="17"/>
  <c r="A862" i="17"/>
  <c r="A1107" i="17"/>
  <c r="A1352" i="17"/>
  <c r="A375" i="18"/>
  <c r="C375" i="18"/>
  <c r="E375" i="18"/>
  <c r="G375" i="18"/>
  <c r="A369" i="17"/>
  <c r="A614" i="17"/>
  <c r="A859" i="17"/>
  <c r="A1104" i="17"/>
  <c r="A1349" i="17"/>
  <c r="A372" i="18"/>
  <c r="C372" i="18"/>
  <c r="E372" i="18"/>
  <c r="G372" i="18"/>
  <c r="A362" i="17"/>
  <c r="A607" i="17"/>
  <c r="A852" i="17"/>
  <c r="A1097" i="17"/>
  <c r="A1342" i="17"/>
  <c r="A365" i="18"/>
  <c r="C365" i="18"/>
  <c r="E365" i="18"/>
  <c r="G365" i="18"/>
  <c r="A361" i="17"/>
  <c r="A606" i="17"/>
  <c r="A851" i="17"/>
  <c r="A1096" i="17"/>
  <c r="A1341" i="17"/>
  <c r="A364" i="18"/>
  <c r="C364" i="18"/>
  <c r="E364" i="18"/>
  <c r="G364" i="18"/>
  <c r="D1337" i="17"/>
  <c r="F1830" i="18"/>
  <c r="D847" i="17"/>
  <c r="F1340" i="18"/>
  <c r="A357" i="17"/>
  <c r="A602" i="17"/>
  <c r="A847" i="17"/>
  <c r="A1092" i="17"/>
  <c r="A1337" i="17"/>
  <c r="A360" i="18"/>
  <c r="C360" i="18"/>
  <c r="E360" i="18"/>
  <c r="G360" i="18"/>
  <c r="E1336" i="17"/>
  <c r="H1829" i="18"/>
  <c r="A356" i="17"/>
  <c r="A601" i="17"/>
  <c r="A846" i="17"/>
  <c r="A1091" i="17"/>
  <c r="A1336" i="17"/>
  <c r="A359" i="18"/>
  <c r="C359" i="18"/>
  <c r="E359" i="18"/>
  <c r="G359" i="18"/>
  <c r="A354" i="17"/>
  <c r="A599" i="17"/>
  <c r="A844" i="17"/>
  <c r="A1089" i="17"/>
  <c r="A1334" i="17"/>
  <c r="A357" i="18"/>
  <c r="C357" i="18"/>
  <c r="E357" i="18"/>
  <c r="G357" i="18"/>
  <c r="C598" i="17"/>
  <c r="D1091" i="18"/>
  <c r="D1328" i="17"/>
  <c r="F1821" i="18"/>
  <c r="D1083" i="17"/>
  <c r="F1576" i="18"/>
  <c r="D593" i="17"/>
  <c r="F1086" i="18"/>
  <c r="E1325" i="17"/>
  <c r="H1818" i="18"/>
  <c r="E590" i="17"/>
  <c r="H1083" i="18"/>
  <c r="B589" i="17"/>
  <c r="B1082" i="18"/>
  <c r="C586" i="17"/>
  <c r="D1079" i="18"/>
  <c r="B585" i="17"/>
  <c r="B1078" i="18"/>
  <c r="C582" i="17"/>
  <c r="D1075" i="18"/>
  <c r="A249" i="17"/>
  <c r="A494" i="17"/>
  <c r="A739" i="17"/>
  <c r="A984" i="17"/>
  <c r="A1229" i="17"/>
  <c r="A252" i="18"/>
  <c r="C252" i="18"/>
  <c r="E252" i="18"/>
  <c r="G252" i="18"/>
  <c r="B1225" i="17"/>
  <c r="B1718" i="18"/>
  <c r="B490" i="17"/>
  <c r="B983" i="18"/>
  <c r="U242" i="17"/>
  <c r="G1223" i="18" s="1"/>
  <c r="AD242" i="17"/>
  <c r="G1468" i="18" s="1"/>
  <c r="AM242" i="17"/>
  <c r="G1713" i="18" s="1"/>
  <c r="AV242" i="17"/>
  <c r="G1958" i="18" s="1"/>
  <c r="P242" i="17"/>
  <c r="Y242" i="17"/>
  <c r="AH242" i="17"/>
  <c r="AQ242" i="17"/>
  <c r="Q241" i="17"/>
  <c r="C1222" i="18" s="1"/>
  <c r="Z241" i="17"/>
  <c r="C1467" i="18" s="1"/>
  <c r="AI241" i="17"/>
  <c r="C1712" i="18" s="1"/>
  <c r="AR241" i="17"/>
  <c r="C1957" i="18" s="1"/>
  <c r="V241" i="17"/>
  <c r="AE241" i="17"/>
  <c r="AN241" i="17"/>
  <c r="AW241" i="17"/>
  <c r="V240" i="17"/>
  <c r="AE240" i="17"/>
  <c r="AN240" i="17"/>
  <c r="AW240" i="17"/>
  <c r="Q239" i="17"/>
  <c r="C1220" i="18" s="1"/>
  <c r="Z239" i="17"/>
  <c r="C1465" i="18" s="1"/>
  <c r="AI239" i="17"/>
  <c r="C1710" i="18" s="1"/>
  <c r="AR239" i="17"/>
  <c r="C1955" i="18" s="1"/>
  <c r="D482" i="17"/>
  <c r="F485" i="18"/>
  <c r="P239" i="17"/>
  <c r="Y239" i="17"/>
  <c r="AH239" i="17"/>
  <c r="AQ239" i="17"/>
  <c r="V238" i="17"/>
  <c r="AE238" i="17"/>
  <c r="AN238" i="17"/>
  <c r="AW238" i="17"/>
  <c r="P237" i="17"/>
  <c r="Y237" i="17"/>
  <c r="AH237" i="17"/>
  <c r="AQ237" i="17"/>
  <c r="S236" i="17"/>
  <c r="E1217" i="18" s="1"/>
  <c r="AB236" i="17"/>
  <c r="E1462" i="18" s="1"/>
  <c r="AK236" i="17"/>
  <c r="E1707" i="18" s="1"/>
  <c r="AT236" i="17"/>
  <c r="E1952" i="18" s="1"/>
  <c r="C479" i="17"/>
  <c r="D482" i="18"/>
  <c r="P236" i="17"/>
  <c r="Y236" i="17"/>
  <c r="AH236" i="17"/>
  <c r="AQ236" i="17"/>
  <c r="D451" i="17"/>
  <c r="F454" i="18"/>
  <c r="D450" i="17"/>
  <c r="F453" i="18"/>
  <c r="U206" i="17"/>
  <c r="G1187" i="18" s="1"/>
  <c r="AD206" i="17"/>
  <c r="G1432" i="18" s="1"/>
  <c r="AM206" i="17"/>
  <c r="G1677" i="18" s="1"/>
  <c r="AV206" i="17"/>
  <c r="G1922" i="18" s="1"/>
  <c r="Q206" i="17"/>
  <c r="C1187" i="18" s="1"/>
  <c r="AI206" i="17"/>
  <c r="C1677" i="18" s="1"/>
  <c r="Z206" i="17"/>
  <c r="C1432" i="18" s="1"/>
  <c r="AR206" i="17"/>
  <c r="C1922" i="18" s="1"/>
  <c r="Z205" i="17"/>
  <c r="C1431" i="18" s="1"/>
  <c r="AI205" i="17"/>
  <c r="C1676" i="18" s="1"/>
  <c r="Q205" i="17"/>
  <c r="C1186" i="18" s="1"/>
  <c r="AR205" i="17"/>
  <c r="C1921" i="18" s="1"/>
  <c r="C448" i="17"/>
  <c r="D451" i="18"/>
  <c r="U204" i="17"/>
  <c r="G1185" i="18" s="1"/>
  <c r="AM204" i="17"/>
  <c r="G1675" i="18" s="1"/>
  <c r="AD204" i="17"/>
  <c r="G1430" i="18" s="1"/>
  <c r="AV204" i="17"/>
  <c r="G1920" i="18" s="1"/>
  <c r="AE204" i="17"/>
  <c r="AW204" i="17"/>
  <c r="V204" i="17"/>
  <c r="AN204" i="17"/>
  <c r="Q203" i="17"/>
  <c r="C1184" i="18" s="1"/>
  <c r="Z203" i="17"/>
  <c r="C1429" i="18" s="1"/>
  <c r="AI203" i="17"/>
  <c r="C1674" i="18" s="1"/>
  <c r="AR203" i="17"/>
  <c r="C1919" i="18" s="1"/>
  <c r="H449" i="18"/>
  <c r="E446" i="17"/>
  <c r="R203" i="17"/>
  <c r="AA203" i="17"/>
  <c r="AJ203" i="17"/>
  <c r="AS203" i="17"/>
  <c r="AB201" i="17"/>
  <c r="E1427" i="18" s="1"/>
  <c r="S201" i="17"/>
  <c r="E1182" i="18" s="1"/>
  <c r="AK201" i="17"/>
  <c r="E1672" i="18" s="1"/>
  <c r="AT201" i="17"/>
  <c r="E1917" i="18" s="1"/>
  <c r="P201" i="17"/>
  <c r="AH201" i="17"/>
  <c r="Y201" i="17"/>
  <c r="AQ201" i="17"/>
  <c r="AD200" i="17"/>
  <c r="G1426" i="18" s="1"/>
  <c r="AM200" i="17"/>
  <c r="G1671" i="18" s="1"/>
  <c r="U200" i="17"/>
  <c r="G1181" i="18" s="1"/>
  <c r="AV200" i="17"/>
  <c r="G1916" i="18" s="1"/>
  <c r="AW200" i="17"/>
  <c r="AN200" i="17"/>
  <c r="V200" i="17"/>
  <c r="AE200" i="17"/>
  <c r="AP199" i="17"/>
  <c r="A1915" i="18" s="1"/>
  <c r="O199" i="17"/>
  <c r="A1180" i="18" s="1"/>
  <c r="X199" i="17"/>
  <c r="A1425" i="18" s="1"/>
  <c r="AG199" i="17"/>
  <c r="A1670" i="18" s="1"/>
  <c r="B445" i="18"/>
  <c r="B442" i="17"/>
  <c r="AG197" i="17"/>
  <c r="A1668" i="18" s="1"/>
  <c r="O197" i="17"/>
  <c r="A1178" i="18" s="1"/>
  <c r="X197" i="17"/>
  <c r="A1423" i="18" s="1"/>
  <c r="AP197" i="17"/>
  <c r="A1913" i="18" s="1"/>
  <c r="Y196" i="17"/>
  <c r="AQ196" i="17"/>
  <c r="P196" i="17"/>
  <c r="AH196" i="17"/>
  <c r="F441" i="18"/>
  <c r="D438" i="17"/>
  <c r="AS195" i="17"/>
  <c r="R195" i="17"/>
  <c r="AA195" i="17"/>
  <c r="AJ195" i="17"/>
  <c r="U194" i="17"/>
  <c r="G1175" i="18" s="1"/>
  <c r="AM194" i="17"/>
  <c r="G1665" i="18" s="1"/>
  <c r="AV194" i="17"/>
  <c r="G1910" i="18" s="1"/>
  <c r="AD194" i="17"/>
  <c r="G1420" i="18" s="1"/>
  <c r="T194" i="17"/>
  <c r="AC194" i="17"/>
  <c r="AU194" i="17"/>
  <c r="AL194" i="17"/>
  <c r="AB193" i="17"/>
  <c r="E1419" i="18" s="1"/>
  <c r="AK193" i="17"/>
  <c r="E1664" i="18" s="1"/>
  <c r="AT193" i="17"/>
  <c r="E1909" i="18" s="1"/>
  <c r="S193" i="17"/>
  <c r="E1174" i="18" s="1"/>
  <c r="AN193" i="17"/>
  <c r="AW193" i="17"/>
  <c r="AE193" i="17"/>
  <c r="V193" i="17"/>
  <c r="U192" i="17"/>
  <c r="G1173" i="18" s="1"/>
  <c r="AD192" i="17"/>
  <c r="G1418" i="18" s="1"/>
  <c r="AM192" i="17"/>
  <c r="G1663" i="18" s="1"/>
  <c r="AV192" i="17"/>
  <c r="G1908" i="18" s="1"/>
  <c r="R192" i="17"/>
  <c r="AA192" i="17"/>
  <c r="AJ192" i="17"/>
  <c r="AS192" i="17"/>
  <c r="V191" i="17"/>
  <c r="AE191" i="17"/>
  <c r="AN191" i="17"/>
  <c r="AW191" i="17"/>
  <c r="U190" i="17"/>
  <c r="G1171" i="18" s="1"/>
  <c r="AD190" i="17"/>
  <c r="G1416" i="18" s="1"/>
  <c r="AM190" i="17"/>
  <c r="G1661" i="18" s="1"/>
  <c r="AV190" i="17"/>
  <c r="G1906" i="18" s="1"/>
  <c r="O190" i="17"/>
  <c r="A1171" i="18" s="1"/>
  <c r="X190" i="17"/>
  <c r="A1416" i="18" s="1"/>
  <c r="AG190" i="17"/>
  <c r="A1661" i="18" s="1"/>
  <c r="AP190" i="17"/>
  <c r="A1906" i="18" s="1"/>
  <c r="D433" i="17"/>
  <c r="F436" i="18"/>
  <c r="P190" i="17"/>
  <c r="Y190" i="17"/>
  <c r="AH190" i="17"/>
  <c r="AQ190" i="17"/>
  <c r="U189" i="17"/>
  <c r="G1170" i="18" s="1"/>
  <c r="AD189" i="17"/>
  <c r="G1415" i="18" s="1"/>
  <c r="AM189" i="17"/>
  <c r="G1660" i="18" s="1"/>
  <c r="AV189" i="17"/>
  <c r="G1905" i="18" s="1"/>
  <c r="E432" i="17"/>
  <c r="H435" i="18"/>
  <c r="T188" i="17"/>
  <c r="AC188" i="17"/>
  <c r="AL188" i="17"/>
  <c r="AU188" i="17"/>
  <c r="U187" i="17"/>
  <c r="G1168" i="18" s="1"/>
  <c r="AD187" i="17"/>
  <c r="G1413" i="18" s="1"/>
  <c r="AM187" i="17"/>
  <c r="G1658" i="18" s="1"/>
  <c r="AV187" i="17"/>
  <c r="G1903" i="18" s="1"/>
  <c r="S186" i="17"/>
  <c r="E1167" i="18" s="1"/>
  <c r="AB186" i="17"/>
  <c r="E1412" i="18" s="1"/>
  <c r="AK186" i="17"/>
  <c r="E1657" i="18" s="1"/>
  <c r="AT186" i="17"/>
  <c r="E1902" i="18" s="1"/>
  <c r="O185" i="17"/>
  <c r="A1166" i="18" s="1"/>
  <c r="X185" i="17"/>
  <c r="A1411" i="18" s="1"/>
  <c r="AG185" i="17"/>
  <c r="A1656" i="18" s="1"/>
  <c r="AP185" i="17"/>
  <c r="A1901" i="18" s="1"/>
  <c r="B428" i="17"/>
  <c r="B431" i="18"/>
  <c r="O184" i="17"/>
  <c r="A1165" i="18" s="1"/>
  <c r="X184" i="17"/>
  <c r="A1410" i="18" s="1"/>
  <c r="AG184" i="17"/>
  <c r="A1655" i="18" s="1"/>
  <c r="AP184" i="17"/>
  <c r="A1900" i="18" s="1"/>
  <c r="R183" i="17"/>
  <c r="AA183" i="17"/>
  <c r="AJ183" i="17"/>
  <c r="AS183" i="17"/>
  <c r="D424" i="17"/>
  <c r="F427" i="18"/>
  <c r="R181" i="17"/>
  <c r="AA181" i="17"/>
  <c r="AJ181" i="17"/>
  <c r="AS181" i="17"/>
  <c r="O180" i="17"/>
  <c r="A1161" i="18" s="1"/>
  <c r="X180" i="17"/>
  <c r="A1406" i="18" s="1"/>
  <c r="AG180" i="17"/>
  <c r="A1651" i="18" s="1"/>
  <c r="AP180" i="17"/>
  <c r="A1896" i="18" s="1"/>
  <c r="U179" i="17"/>
  <c r="G1160" i="18" s="1"/>
  <c r="AD179" i="17"/>
  <c r="G1405" i="18" s="1"/>
  <c r="AM179" i="17"/>
  <c r="G1650" i="18" s="1"/>
  <c r="AV179" i="17"/>
  <c r="G1895" i="18" s="1"/>
  <c r="R179" i="17"/>
  <c r="AA179" i="17"/>
  <c r="AJ179" i="17"/>
  <c r="AS179" i="17"/>
  <c r="Q177" i="17"/>
  <c r="C1158" i="18" s="1"/>
  <c r="Z177" i="17"/>
  <c r="C1403" i="18" s="1"/>
  <c r="AI177" i="17"/>
  <c r="C1648" i="18" s="1"/>
  <c r="AR177" i="17"/>
  <c r="C1893" i="18" s="1"/>
  <c r="V177" i="17"/>
  <c r="AE177" i="17"/>
  <c r="AN177" i="17"/>
  <c r="AW177" i="17"/>
  <c r="S176" i="17"/>
  <c r="E1157" i="18" s="1"/>
  <c r="AB176" i="17"/>
  <c r="E1402" i="18" s="1"/>
  <c r="AK176" i="17"/>
  <c r="E1647" i="18" s="1"/>
  <c r="AT176" i="17"/>
  <c r="E1892" i="18" s="1"/>
  <c r="E419" i="17"/>
  <c r="H422" i="18"/>
  <c r="P176" i="17"/>
  <c r="Y176" i="17"/>
  <c r="AH176" i="17"/>
  <c r="AQ176" i="17"/>
  <c r="S173" i="17"/>
  <c r="E1154" i="18" s="1"/>
  <c r="AB173" i="17"/>
  <c r="E1399" i="18" s="1"/>
  <c r="AK173" i="17"/>
  <c r="E1644" i="18" s="1"/>
  <c r="AT173" i="17"/>
  <c r="E1889" i="18" s="1"/>
  <c r="O172" i="17"/>
  <c r="A1153" i="18" s="1"/>
  <c r="X172" i="17"/>
  <c r="A1398" i="18" s="1"/>
  <c r="AG172" i="17"/>
  <c r="A1643" i="18" s="1"/>
  <c r="AP172" i="17"/>
  <c r="A1888" i="18" s="1"/>
  <c r="P171" i="17"/>
  <c r="Y171" i="17"/>
  <c r="AH171" i="17"/>
  <c r="AQ171" i="17"/>
  <c r="V168" i="17"/>
  <c r="AE168" i="17"/>
  <c r="AN168" i="17"/>
  <c r="AW168" i="17"/>
  <c r="C410" i="17"/>
  <c r="D413" i="18"/>
  <c r="U166" i="17"/>
  <c r="G1147" i="18" s="1"/>
  <c r="AD166" i="17"/>
  <c r="G1392" i="18" s="1"/>
  <c r="AM166" i="17"/>
  <c r="G1637" i="18" s="1"/>
  <c r="AV166" i="17"/>
  <c r="G1882" i="18" s="1"/>
  <c r="T166" i="17"/>
  <c r="AC166" i="17"/>
  <c r="AL166" i="17"/>
  <c r="AU166" i="17"/>
  <c r="U165" i="17"/>
  <c r="G1146" i="18" s="1"/>
  <c r="AD165" i="17"/>
  <c r="G1391" i="18" s="1"/>
  <c r="AM165" i="17"/>
  <c r="G1636" i="18" s="1"/>
  <c r="AV165" i="17"/>
  <c r="G1881" i="18" s="1"/>
  <c r="T165" i="17"/>
  <c r="AC165" i="17"/>
  <c r="AL165" i="17"/>
  <c r="AU165" i="17"/>
  <c r="S164" i="17"/>
  <c r="E1145" i="18" s="1"/>
  <c r="AB164" i="17"/>
  <c r="E1390" i="18" s="1"/>
  <c r="AK164" i="17"/>
  <c r="E1635" i="18" s="1"/>
  <c r="AT164" i="17"/>
  <c r="E1880" i="18" s="1"/>
  <c r="D407" i="17"/>
  <c r="F410" i="18"/>
  <c r="T163" i="17"/>
  <c r="AC163" i="17"/>
  <c r="AL163" i="17"/>
  <c r="AU163" i="17"/>
  <c r="R162" i="17"/>
  <c r="AA162" i="17"/>
  <c r="AJ162" i="17"/>
  <c r="AS162" i="17"/>
  <c r="P160" i="17"/>
  <c r="Y160" i="17"/>
  <c r="AH160" i="17"/>
  <c r="AQ160" i="17"/>
  <c r="S156" i="17"/>
  <c r="E1137" i="18" s="1"/>
  <c r="AB156" i="17"/>
  <c r="E1382" i="18" s="1"/>
  <c r="AK156" i="17"/>
  <c r="E1627" i="18" s="1"/>
  <c r="AT156" i="17"/>
  <c r="E1872" i="18" s="1"/>
  <c r="T156" i="17"/>
  <c r="AC156" i="17"/>
  <c r="AL156" i="17"/>
  <c r="AU156" i="17"/>
  <c r="V155" i="17"/>
  <c r="AE155" i="17"/>
  <c r="AN155" i="17"/>
  <c r="AW155" i="17"/>
  <c r="O154" i="17"/>
  <c r="A1135" i="18" s="1"/>
  <c r="X154" i="17"/>
  <c r="A1380" i="18" s="1"/>
  <c r="AG154" i="17"/>
  <c r="A1625" i="18" s="1"/>
  <c r="AP154" i="17"/>
  <c r="A1870" i="18" s="1"/>
  <c r="R154" i="17"/>
  <c r="AA154" i="17"/>
  <c r="AJ154" i="17"/>
  <c r="AS154" i="17"/>
  <c r="AR115" i="17"/>
  <c r="C1831" i="18" s="1"/>
  <c r="AI115" i="17"/>
  <c r="C1586" i="18" s="1"/>
  <c r="Q115" i="17"/>
  <c r="C1096" i="18" s="1"/>
  <c r="Z115" i="17"/>
  <c r="C1341" i="18" s="1"/>
  <c r="B361" i="18"/>
  <c r="B358" i="17"/>
  <c r="AM114" i="17"/>
  <c r="G1585" i="18" s="1"/>
  <c r="AV114" i="17"/>
  <c r="G1830" i="18" s="1"/>
  <c r="AD114" i="17"/>
  <c r="G1340" i="18" s="1"/>
  <c r="U114" i="17"/>
  <c r="G1095" i="18" s="1"/>
  <c r="AJ114" i="17"/>
  <c r="AS114" i="17"/>
  <c r="R114" i="17"/>
  <c r="AA114" i="17"/>
  <c r="F359" i="18"/>
  <c r="D356" i="17"/>
  <c r="Q112" i="17"/>
  <c r="C1093" i="18" s="1"/>
  <c r="AI112" i="17"/>
  <c r="C1583" i="18" s="1"/>
  <c r="AR112" i="17"/>
  <c r="C1828" i="18" s="1"/>
  <c r="Z112" i="17"/>
  <c r="C1338" i="18" s="1"/>
  <c r="D355" i="17"/>
  <c r="F358" i="18"/>
  <c r="B356" i="18"/>
  <c r="B353" i="17"/>
  <c r="AL108" i="17"/>
  <c r="T108" i="17"/>
  <c r="AC108" i="17"/>
  <c r="AU108" i="17"/>
  <c r="D350" i="17"/>
  <c r="F353" i="18"/>
  <c r="V105" i="17"/>
  <c r="AE105" i="17"/>
  <c r="AW105" i="17"/>
  <c r="AN105" i="17"/>
  <c r="AM100" i="17"/>
  <c r="G1571" i="18" s="1"/>
  <c r="AV100" i="17"/>
  <c r="G1816" i="18" s="1"/>
  <c r="AD100" i="17"/>
  <c r="G1326" i="18" s="1"/>
  <c r="U100" i="17"/>
  <c r="G1081" i="18" s="1"/>
  <c r="Z99" i="17"/>
  <c r="C1325" i="18" s="1"/>
  <c r="AR99" i="17"/>
  <c r="C1815" i="18" s="1"/>
  <c r="AI99" i="17"/>
  <c r="C1570" i="18" s="1"/>
  <c r="Q99" i="17"/>
  <c r="C1080" i="18" s="1"/>
  <c r="AL98" i="17"/>
  <c r="AU98" i="17"/>
  <c r="T98" i="17"/>
  <c r="AC98" i="17"/>
  <c r="AW96" i="17"/>
  <c r="AN96" i="17"/>
  <c r="V96" i="17"/>
  <c r="AE96" i="17"/>
  <c r="AJ92" i="17"/>
  <c r="AS92" i="17"/>
  <c r="R92" i="17"/>
  <c r="AA92" i="17"/>
  <c r="S90" i="17"/>
  <c r="E1071" i="18" s="1"/>
  <c r="AB90" i="17"/>
  <c r="E1316" i="18" s="1"/>
  <c r="AK90" i="17"/>
  <c r="E1561" i="18" s="1"/>
  <c r="AT90" i="17"/>
  <c r="E1806" i="18" s="1"/>
  <c r="V90" i="17"/>
  <c r="AE90" i="17"/>
  <c r="AN90" i="17"/>
  <c r="AW90" i="17"/>
  <c r="R89" i="17"/>
  <c r="AA89" i="17"/>
  <c r="AJ89" i="17"/>
  <c r="AS89" i="17"/>
  <c r="P88" i="17"/>
  <c r="Y88" i="17"/>
  <c r="AH88" i="17"/>
  <c r="AQ88" i="17"/>
  <c r="S86" i="17"/>
  <c r="E1067" i="18" s="1"/>
  <c r="AB86" i="17"/>
  <c r="E1312" i="18" s="1"/>
  <c r="AK86" i="17"/>
  <c r="E1557" i="18" s="1"/>
  <c r="AT86" i="17"/>
  <c r="E1802" i="18" s="1"/>
  <c r="C329" i="17"/>
  <c r="D332" i="18"/>
  <c r="O83" i="17"/>
  <c r="A1064" i="18" s="1"/>
  <c r="X83" i="17"/>
  <c r="A1309" i="18" s="1"/>
  <c r="AG83" i="17"/>
  <c r="A1554" i="18" s="1"/>
  <c r="AP83" i="17"/>
  <c r="A1799" i="18" s="1"/>
  <c r="U81" i="17"/>
  <c r="G1062" i="18" s="1"/>
  <c r="AD81" i="17"/>
  <c r="G1307" i="18" s="1"/>
  <c r="AM81" i="17"/>
  <c r="G1552" i="18" s="1"/>
  <c r="AV81" i="17"/>
  <c r="G1797" i="18" s="1"/>
  <c r="P81" i="17"/>
  <c r="Y81" i="17"/>
  <c r="AH81" i="17"/>
  <c r="AQ81" i="17"/>
  <c r="O79" i="17"/>
  <c r="A1060" i="18" s="1"/>
  <c r="X79" i="17"/>
  <c r="A1305" i="18" s="1"/>
  <c r="AG79" i="17"/>
  <c r="A1550" i="18" s="1"/>
  <c r="AP79" i="17"/>
  <c r="A1795" i="18" s="1"/>
  <c r="Q78" i="17"/>
  <c r="C1059" i="18" s="1"/>
  <c r="Z78" i="17"/>
  <c r="C1304" i="18" s="1"/>
  <c r="AI78" i="17"/>
  <c r="C1549" i="18" s="1"/>
  <c r="AR78" i="17"/>
  <c r="C1794" i="18" s="1"/>
  <c r="C321" i="17"/>
  <c r="D324" i="18"/>
  <c r="U77" i="17"/>
  <c r="G1058" i="18" s="1"/>
  <c r="AD77" i="17"/>
  <c r="G1303" i="18" s="1"/>
  <c r="AM77" i="17"/>
  <c r="G1548" i="18" s="1"/>
  <c r="AV77" i="17"/>
  <c r="G1793" i="18" s="1"/>
  <c r="V77" i="17"/>
  <c r="AE77" i="17"/>
  <c r="AN77" i="17"/>
  <c r="AW77" i="17"/>
  <c r="U74" i="17"/>
  <c r="G1055" i="18" s="1"/>
  <c r="AD74" i="17"/>
  <c r="G1300" i="18" s="1"/>
  <c r="AM74" i="17"/>
  <c r="G1545" i="18" s="1"/>
  <c r="AV74" i="17"/>
  <c r="G1790" i="18" s="1"/>
  <c r="Q73" i="17"/>
  <c r="C1054" i="18" s="1"/>
  <c r="Z73" i="17"/>
  <c r="C1299" i="18" s="1"/>
  <c r="AI73" i="17"/>
  <c r="C1544" i="18" s="1"/>
  <c r="AR73" i="17"/>
  <c r="C1789" i="18" s="1"/>
  <c r="T25" i="17"/>
  <c r="AC25" i="17"/>
  <c r="AL25" i="17"/>
  <c r="AU25" i="17"/>
  <c r="U24" i="17"/>
  <c r="G1005" i="18" s="1"/>
  <c r="AD24" i="17"/>
  <c r="G1250" i="18" s="1"/>
  <c r="AM24" i="17"/>
  <c r="G1495" i="18" s="1"/>
  <c r="AV24" i="17"/>
  <c r="G1740" i="18" s="1"/>
  <c r="Q24" i="17"/>
  <c r="C1005" i="18" s="1"/>
  <c r="Z24" i="17"/>
  <c r="C1250" i="18" s="1"/>
  <c r="AI24" i="17"/>
  <c r="C1495" i="18" s="1"/>
  <c r="AR24" i="17"/>
  <c r="C1740" i="18" s="1"/>
  <c r="V23" i="17"/>
  <c r="AE23" i="17"/>
  <c r="AN23" i="17"/>
  <c r="AW23" i="17"/>
  <c r="T21" i="17"/>
  <c r="AC21" i="17"/>
  <c r="AL21" i="17"/>
  <c r="AU21" i="17"/>
  <c r="P19" i="17"/>
  <c r="Y19" i="17"/>
  <c r="AH19" i="17"/>
  <c r="AQ19" i="17"/>
  <c r="U16" i="17"/>
  <c r="G997" i="18" s="1"/>
  <c r="AD16" i="17"/>
  <c r="G1242" i="18" s="1"/>
  <c r="AM16" i="17"/>
  <c r="G1487" i="18" s="1"/>
  <c r="AV16" i="17"/>
  <c r="G1732" i="18" s="1"/>
  <c r="C259" i="17"/>
  <c r="D262" i="18"/>
  <c r="S15" i="17"/>
  <c r="E996" i="18" s="1"/>
  <c r="AB15" i="17"/>
  <c r="E1241" i="18" s="1"/>
  <c r="AK15" i="17"/>
  <c r="E1486" i="18" s="1"/>
  <c r="AT15" i="17"/>
  <c r="E1731" i="18" s="1"/>
  <c r="T14" i="17"/>
  <c r="AC14" i="17"/>
  <c r="AL14" i="17"/>
  <c r="AU14" i="17"/>
  <c r="S13" i="17"/>
  <c r="E994" i="18" s="1"/>
  <c r="AB13" i="17"/>
  <c r="E1239" i="18" s="1"/>
  <c r="AK13" i="17"/>
  <c r="E1484" i="18" s="1"/>
  <c r="AT13" i="17"/>
  <c r="E1729" i="18" s="1"/>
  <c r="C255" i="17"/>
  <c r="D258" i="18"/>
  <c r="U11" i="17"/>
  <c r="G992" i="18" s="1"/>
  <c r="AD11" i="17"/>
  <c r="G1237" i="18" s="1"/>
  <c r="AM11" i="17"/>
  <c r="G1482" i="18" s="1"/>
  <c r="AV11" i="17"/>
  <c r="G1727" i="18" s="1"/>
  <c r="V10" i="17"/>
  <c r="AE10" i="17"/>
  <c r="AN10" i="17"/>
  <c r="AW10" i="17"/>
  <c r="O9" i="17"/>
  <c r="A990" i="18" s="1"/>
  <c r="X9" i="17"/>
  <c r="A1235" i="18" s="1"/>
  <c r="AG9" i="17"/>
  <c r="A1480" i="18" s="1"/>
  <c r="AP9" i="17"/>
  <c r="A1725" i="18" s="1"/>
  <c r="V9" i="17"/>
  <c r="AE9" i="17"/>
  <c r="AN9" i="17"/>
  <c r="AW9" i="17"/>
  <c r="V7" i="17"/>
  <c r="AE7" i="17"/>
  <c r="AN7" i="17"/>
  <c r="AW7" i="17"/>
  <c r="P6" i="17"/>
  <c r="Y6" i="17"/>
  <c r="AH6" i="17"/>
  <c r="AQ6" i="17"/>
  <c r="AG2" i="17"/>
  <c r="A1473" i="18" s="1"/>
  <c r="O2" i="17"/>
  <c r="A983" i="18" s="1"/>
  <c r="X2" i="17"/>
  <c r="A1228" i="18" s="1"/>
  <c r="AP2" i="17"/>
  <c r="A1718" i="18" s="1"/>
  <c r="AC2" i="17"/>
  <c r="T2" i="17"/>
  <c r="AU2" i="17"/>
  <c r="AL2" i="17"/>
  <c r="C140" i="6"/>
  <c r="J140" i="10"/>
  <c r="G140" i="17" s="1"/>
  <c r="F141" i="18" s="1"/>
  <c r="M140" i="10"/>
  <c r="B136" i="6"/>
  <c r="AK136" i="5"/>
  <c r="H136" i="10"/>
  <c r="E136" i="17" s="1"/>
  <c r="B137" i="18" s="1"/>
  <c r="I136" i="10"/>
  <c r="F136" i="17" s="1"/>
  <c r="D137" i="18" s="1"/>
  <c r="L136" i="10"/>
  <c r="D134" i="6"/>
  <c r="D134" i="5"/>
  <c r="Z134" i="5"/>
  <c r="W134" i="10"/>
  <c r="AA134" i="5"/>
  <c r="C134" i="5"/>
  <c r="B131" i="6"/>
  <c r="AK131" i="5"/>
  <c r="H131" i="10"/>
  <c r="E131" i="17" s="1"/>
  <c r="B132" i="18" s="1"/>
  <c r="I131" i="10"/>
  <c r="F131" i="17" s="1"/>
  <c r="D132" i="18" s="1"/>
  <c r="L131" i="10"/>
  <c r="B130" i="6"/>
  <c r="H130" i="10"/>
  <c r="E130" i="17" s="1"/>
  <c r="B131" i="18" s="1"/>
  <c r="I130" i="10"/>
  <c r="F130" i="17" s="1"/>
  <c r="D131" i="18" s="1"/>
  <c r="L130" i="10"/>
  <c r="AK130" i="5"/>
  <c r="I128" i="5"/>
  <c r="J128" i="5" s="1"/>
  <c r="AE128" i="5"/>
  <c r="AF128" i="5" s="1"/>
  <c r="AE121" i="5"/>
  <c r="AF121" i="5" s="1"/>
  <c r="I121" i="5"/>
  <c r="J121" i="5" s="1"/>
  <c r="B112" i="6"/>
  <c r="H112" i="10"/>
  <c r="E112" i="17" s="1"/>
  <c r="B113" i="18" s="1"/>
  <c r="I112" i="10"/>
  <c r="F112" i="17" s="1"/>
  <c r="D113" i="18" s="1"/>
  <c r="L112" i="10"/>
  <c r="AK112" i="5"/>
  <c r="AK107" i="5"/>
  <c r="B107" i="6"/>
  <c r="H107" i="10"/>
  <c r="E107" i="17" s="1"/>
  <c r="B108" i="18" s="1"/>
  <c r="I107" i="10"/>
  <c r="F107" i="17" s="1"/>
  <c r="D108" i="18" s="1"/>
  <c r="L107" i="10"/>
  <c r="AK104" i="5"/>
  <c r="B104" i="6"/>
  <c r="H104" i="10"/>
  <c r="E104" i="17" s="1"/>
  <c r="B105" i="18" s="1"/>
  <c r="I104" i="10"/>
  <c r="F104" i="17" s="1"/>
  <c r="D105" i="18" s="1"/>
  <c r="L104" i="10"/>
  <c r="AK103" i="5"/>
  <c r="B103" i="6"/>
  <c r="H103" i="10"/>
  <c r="E103" i="17" s="1"/>
  <c r="B104" i="18" s="1"/>
  <c r="I103" i="10"/>
  <c r="F103" i="17" s="1"/>
  <c r="D104" i="18" s="1"/>
  <c r="L103" i="10"/>
  <c r="AA99" i="5"/>
  <c r="D99" i="6"/>
  <c r="C99" i="5"/>
  <c r="W99" i="10"/>
  <c r="D99" i="5"/>
  <c r="Z99" i="5"/>
  <c r="AG99" i="5" s="1"/>
  <c r="AH99" i="5" s="1"/>
  <c r="B98" i="6"/>
  <c r="AK98" i="5"/>
  <c r="H98" i="10"/>
  <c r="E98" i="17" s="1"/>
  <c r="B99" i="18" s="1"/>
  <c r="I98" i="10"/>
  <c r="F98" i="17" s="1"/>
  <c r="D99" i="18" s="1"/>
  <c r="L98" i="10"/>
  <c r="Z98" i="5"/>
  <c r="C98" i="5"/>
  <c r="D98" i="6"/>
  <c r="AA98" i="5"/>
  <c r="W98" i="10"/>
  <c r="D98" i="5"/>
  <c r="C97" i="6"/>
  <c r="J97" i="10"/>
  <c r="G97" i="17" s="1"/>
  <c r="F98" i="18" s="1"/>
  <c r="M97" i="10"/>
  <c r="C97" i="5"/>
  <c r="D97" i="5"/>
  <c r="D97" i="6"/>
  <c r="Z97" i="5"/>
  <c r="W97" i="10"/>
  <c r="AA97" i="5"/>
  <c r="D681" i="17"/>
  <c r="F1174" i="18"/>
  <c r="C681" i="17"/>
  <c r="D1174" i="18"/>
  <c r="A436" i="17"/>
  <c r="A681" i="17"/>
  <c r="A926" i="17"/>
  <c r="A1171" i="17"/>
  <c r="A1416" i="17"/>
  <c r="A439" i="18"/>
  <c r="C439" i="18"/>
  <c r="E439" i="18"/>
  <c r="G439" i="18"/>
  <c r="D680" i="17"/>
  <c r="F1173" i="18"/>
  <c r="A435" i="17"/>
  <c r="A680" i="17"/>
  <c r="A925" i="17"/>
  <c r="A1170" i="17"/>
  <c r="A1415" i="17"/>
  <c r="A438" i="18"/>
  <c r="C438" i="18"/>
  <c r="E438" i="18"/>
  <c r="G438" i="18"/>
  <c r="A193" i="18"/>
  <c r="C193" i="18"/>
  <c r="E193" i="18"/>
  <c r="D679" i="17"/>
  <c r="F1172" i="18"/>
  <c r="C679" i="17"/>
  <c r="D1172" i="18"/>
  <c r="A434" i="17"/>
  <c r="A679" i="17"/>
  <c r="A924" i="17"/>
  <c r="A1169" i="17"/>
  <c r="A1414" i="17"/>
  <c r="A437" i="18"/>
  <c r="C437" i="18"/>
  <c r="E437" i="18"/>
  <c r="G437" i="18"/>
  <c r="A192" i="18"/>
  <c r="C192" i="18"/>
  <c r="E192" i="18"/>
  <c r="E678" i="17"/>
  <c r="H1171" i="18"/>
  <c r="C678" i="17"/>
  <c r="D1171" i="18"/>
  <c r="A433" i="17"/>
  <c r="A678" i="17"/>
  <c r="A923" i="17"/>
  <c r="A1168" i="17"/>
  <c r="A1413" i="17"/>
  <c r="A436" i="18"/>
  <c r="C436" i="18"/>
  <c r="E436" i="18"/>
  <c r="G436" i="18"/>
  <c r="A432" i="17"/>
  <c r="A677" i="17"/>
  <c r="A922" i="17"/>
  <c r="A1167" i="17"/>
  <c r="A1412" i="17"/>
  <c r="A435" i="18"/>
  <c r="C435" i="18"/>
  <c r="E435" i="18"/>
  <c r="G435" i="18"/>
  <c r="A431" i="17"/>
  <c r="A676" i="17"/>
  <c r="A921" i="17"/>
  <c r="A1166" i="17"/>
  <c r="A1411" i="17"/>
  <c r="A434" i="18"/>
  <c r="C434" i="18"/>
  <c r="E434" i="18"/>
  <c r="G434" i="18"/>
  <c r="A430" i="17"/>
  <c r="A675" i="17"/>
  <c r="A920" i="17"/>
  <c r="A1165" i="17"/>
  <c r="A1410" i="17"/>
  <c r="A433" i="18"/>
  <c r="C433" i="18"/>
  <c r="E433" i="18"/>
  <c r="G433" i="18"/>
  <c r="C674" i="17"/>
  <c r="D1167" i="18"/>
  <c r="A429" i="17"/>
  <c r="A674" i="17"/>
  <c r="A919" i="17"/>
  <c r="A1164" i="17"/>
  <c r="A1409" i="17"/>
  <c r="A432" i="18"/>
  <c r="C432" i="18"/>
  <c r="E432" i="18"/>
  <c r="G432" i="18"/>
  <c r="A428" i="17"/>
  <c r="A673" i="17"/>
  <c r="A918" i="17"/>
  <c r="A1163" i="17"/>
  <c r="A1408" i="17"/>
  <c r="A431" i="18"/>
  <c r="C431" i="18"/>
  <c r="E431" i="18"/>
  <c r="G431" i="18"/>
  <c r="C672" i="17"/>
  <c r="D1165" i="18"/>
  <c r="A427" i="17"/>
  <c r="A672" i="17"/>
  <c r="A917" i="17"/>
  <c r="A1162" i="17"/>
  <c r="A1407" i="17"/>
  <c r="A430" i="18"/>
  <c r="C430" i="18"/>
  <c r="E430" i="18"/>
  <c r="G430" i="18"/>
  <c r="E1406" i="17"/>
  <c r="H1899" i="18"/>
  <c r="E1161" i="17"/>
  <c r="H1654" i="18"/>
  <c r="E916" i="17"/>
  <c r="H1409" i="18"/>
  <c r="E671" i="17"/>
  <c r="H1164" i="18"/>
  <c r="A426" i="17"/>
  <c r="A671" i="17"/>
  <c r="A916" i="17"/>
  <c r="A1161" i="17"/>
  <c r="A1406" i="17"/>
  <c r="A429" i="18"/>
  <c r="C429" i="18"/>
  <c r="E429" i="18"/>
  <c r="G429" i="18"/>
  <c r="A425" i="17"/>
  <c r="A670" i="17"/>
  <c r="A915" i="17"/>
  <c r="A1160" i="17"/>
  <c r="A1405" i="17"/>
  <c r="A428" i="18"/>
  <c r="C428" i="18"/>
  <c r="E428" i="18"/>
  <c r="G428" i="18"/>
  <c r="A424" i="17"/>
  <c r="A669" i="17"/>
  <c r="A914" i="17"/>
  <c r="A1159" i="17"/>
  <c r="A1404" i="17"/>
  <c r="A427" i="18"/>
  <c r="C427" i="18"/>
  <c r="E427" i="18"/>
  <c r="G427" i="18"/>
  <c r="A423" i="17"/>
  <c r="A668" i="17"/>
  <c r="A913" i="17"/>
  <c r="A1158" i="17"/>
  <c r="A1403" i="17"/>
  <c r="A426" i="18"/>
  <c r="C426" i="18"/>
  <c r="E426" i="18"/>
  <c r="G426" i="18"/>
  <c r="A422" i="17"/>
  <c r="A667" i="17"/>
  <c r="A912" i="17"/>
  <c r="A1157" i="17"/>
  <c r="A1402" i="17"/>
  <c r="A425" i="18"/>
  <c r="C425" i="18"/>
  <c r="E425" i="18"/>
  <c r="G425" i="18"/>
  <c r="D666" i="17"/>
  <c r="F1159" i="18"/>
  <c r="C666" i="17"/>
  <c r="D1159" i="18"/>
  <c r="A421" i="17"/>
  <c r="A666" i="17"/>
  <c r="A911" i="17"/>
  <c r="A1156" i="17"/>
  <c r="A1401" i="17"/>
  <c r="A424" i="18"/>
  <c r="C424" i="18"/>
  <c r="E424" i="18"/>
  <c r="G424" i="18"/>
  <c r="D665" i="17"/>
  <c r="F1158" i="18"/>
  <c r="A420" i="17"/>
  <c r="A665" i="17"/>
  <c r="A910" i="17"/>
  <c r="A1155" i="17"/>
  <c r="A1400" i="17"/>
  <c r="A423" i="18"/>
  <c r="C423" i="18"/>
  <c r="E423" i="18"/>
  <c r="G423" i="18"/>
  <c r="A419" i="17"/>
  <c r="A664" i="17"/>
  <c r="A909" i="17"/>
  <c r="A1154" i="17"/>
  <c r="A1399" i="17"/>
  <c r="A422" i="18"/>
  <c r="C422" i="18"/>
  <c r="E422" i="18"/>
  <c r="G422" i="18"/>
  <c r="D1398" i="17"/>
  <c r="F1891" i="18"/>
  <c r="C1398" i="17"/>
  <c r="D1891" i="18"/>
  <c r="D1153" i="17"/>
  <c r="F1646" i="18"/>
  <c r="C1153" i="17"/>
  <c r="D1646" i="18"/>
  <c r="D908" i="17"/>
  <c r="F1401" i="18"/>
  <c r="C908" i="17"/>
  <c r="D1401" i="18"/>
  <c r="E663" i="17"/>
  <c r="H1156" i="18"/>
  <c r="D663" i="17"/>
  <c r="F1156" i="18"/>
  <c r="C663" i="17"/>
  <c r="D1156" i="18"/>
  <c r="A418" i="17"/>
  <c r="A663" i="17"/>
  <c r="A908" i="17"/>
  <c r="A1153" i="17"/>
  <c r="A1398" i="17"/>
  <c r="A421" i="18"/>
  <c r="C421" i="18"/>
  <c r="E421" i="18"/>
  <c r="G421" i="18"/>
  <c r="D1397" i="17"/>
  <c r="F1890" i="18"/>
  <c r="D1152" i="17"/>
  <c r="F1645" i="18"/>
  <c r="D907" i="17"/>
  <c r="F1400" i="18"/>
  <c r="D662" i="17"/>
  <c r="F1155" i="18"/>
  <c r="A417" i="17"/>
  <c r="A662" i="17"/>
  <c r="A907" i="17"/>
  <c r="A1152" i="17"/>
  <c r="A1397" i="17"/>
  <c r="A420" i="18"/>
  <c r="C420" i="18"/>
  <c r="E420" i="18"/>
  <c r="G420" i="18"/>
  <c r="A416" i="17"/>
  <c r="A661" i="17"/>
  <c r="A906" i="17"/>
  <c r="A1151" i="17"/>
  <c r="A1396" i="17"/>
  <c r="A419" i="18"/>
  <c r="C419" i="18"/>
  <c r="E419" i="18"/>
  <c r="G419" i="18"/>
  <c r="A415" i="17"/>
  <c r="A660" i="17"/>
  <c r="A905" i="17"/>
  <c r="A1150" i="17"/>
  <c r="A1395" i="17"/>
  <c r="A418" i="18"/>
  <c r="C418" i="18"/>
  <c r="E418" i="18"/>
  <c r="G418" i="18"/>
  <c r="A414" i="17"/>
  <c r="A659" i="17"/>
  <c r="A904" i="17"/>
  <c r="A1149" i="17"/>
  <c r="A1394" i="17"/>
  <c r="A417" i="18"/>
  <c r="C417" i="18"/>
  <c r="E417" i="18"/>
  <c r="G417" i="18"/>
  <c r="D1393" i="17"/>
  <c r="F1886" i="18"/>
  <c r="D1148" i="17"/>
  <c r="F1641" i="18"/>
  <c r="D903" i="17"/>
  <c r="F1396" i="18"/>
  <c r="D658" i="17"/>
  <c r="F1151" i="18"/>
  <c r="A413" i="17"/>
  <c r="A658" i="17"/>
  <c r="A903" i="17"/>
  <c r="A1148" i="17"/>
  <c r="A1393" i="17"/>
  <c r="A416" i="18"/>
  <c r="C416" i="18"/>
  <c r="E416" i="18"/>
  <c r="G416" i="18"/>
  <c r="E1392" i="17"/>
  <c r="H1885" i="18"/>
  <c r="D1392" i="17"/>
  <c r="F1885" i="18"/>
  <c r="E1147" i="17"/>
  <c r="H1640" i="18"/>
  <c r="D1147" i="17"/>
  <c r="F1640" i="18"/>
  <c r="E902" i="17"/>
  <c r="H1395" i="18"/>
  <c r="D902" i="17"/>
  <c r="F1395" i="18"/>
  <c r="E657" i="17"/>
  <c r="H1150" i="18"/>
  <c r="D657" i="17"/>
  <c r="F1150" i="18"/>
  <c r="A412" i="17"/>
  <c r="A657" i="17"/>
  <c r="A902" i="17"/>
  <c r="A1147" i="17"/>
  <c r="A1392" i="17"/>
  <c r="A415" i="18"/>
  <c r="C415" i="18"/>
  <c r="E415" i="18"/>
  <c r="G415" i="18"/>
  <c r="A411" i="17"/>
  <c r="A656" i="17"/>
  <c r="A901" i="17"/>
  <c r="A1146" i="17"/>
  <c r="A1391" i="17"/>
  <c r="A414" i="18"/>
  <c r="C414" i="18"/>
  <c r="E414" i="18"/>
  <c r="G414" i="18"/>
  <c r="D1390" i="17"/>
  <c r="F1883" i="18"/>
  <c r="C1390" i="17"/>
  <c r="D1883" i="18"/>
  <c r="D1145" i="17"/>
  <c r="F1638" i="18"/>
  <c r="C1145" i="17"/>
  <c r="D1638" i="18"/>
  <c r="D900" i="17"/>
  <c r="F1393" i="18"/>
  <c r="C900" i="17"/>
  <c r="D1393" i="18"/>
  <c r="E655" i="17"/>
  <c r="H1148" i="18"/>
  <c r="D655" i="17"/>
  <c r="F1148" i="18"/>
  <c r="C655" i="17"/>
  <c r="D1148" i="18"/>
  <c r="A410" i="17"/>
  <c r="A655" i="17"/>
  <c r="A900" i="17"/>
  <c r="A1145" i="17"/>
  <c r="A1390" i="17"/>
  <c r="A413" i="18"/>
  <c r="C413" i="18"/>
  <c r="E413" i="18"/>
  <c r="G413" i="18"/>
  <c r="A409" i="17"/>
  <c r="A654" i="17"/>
  <c r="A899" i="17"/>
  <c r="A1144" i="17"/>
  <c r="A1389" i="17"/>
  <c r="A412" i="18"/>
  <c r="C412" i="18"/>
  <c r="E412" i="18"/>
  <c r="G412" i="18"/>
  <c r="A408" i="17"/>
  <c r="A653" i="17"/>
  <c r="A898" i="17"/>
  <c r="A1143" i="17"/>
  <c r="A1388" i="17"/>
  <c r="A411" i="18"/>
  <c r="C411" i="18"/>
  <c r="E411" i="18"/>
  <c r="G411" i="18"/>
  <c r="A407" i="17"/>
  <c r="A652" i="17"/>
  <c r="A897" i="17"/>
  <c r="A1142" i="17"/>
  <c r="A1387" i="17"/>
  <c r="A410" i="18"/>
  <c r="C410" i="18"/>
  <c r="E410" i="18"/>
  <c r="G410" i="18"/>
  <c r="A406" i="17"/>
  <c r="A651" i="17"/>
  <c r="A896" i="17"/>
  <c r="A1141" i="17"/>
  <c r="A1386" i="17"/>
  <c r="A409" i="18"/>
  <c r="C409" i="18"/>
  <c r="E409" i="18"/>
  <c r="G409" i="18"/>
  <c r="A405" i="17"/>
  <c r="A650" i="17"/>
  <c r="A895" i="17"/>
  <c r="A1140" i="17"/>
  <c r="A1385" i="17"/>
  <c r="A408" i="18"/>
  <c r="C408" i="18"/>
  <c r="E408" i="18"/>
  <c r="G408" i="18"/>
  <c r="C1384" i="17"/>
  <c r="D1877" i="18"/>
  <c r="C1139" i="17"/>
  <c r="D1632" i="18"/>
  <c r="C894" i="17"/>
  <c r="D1387" i="18"/>
  <c r="D649" i="17"/>
  <c r="F1142" i="18"/>
  <c r="C649" i="17"/>
  <c r="D1142" i="18"/>
  <c r="A404" i="17"/>
  <c r="A649" i="17"/>
  <c r="A894" i="17"/>
  <c r="A1139" i="17"/>
  <c r="A1384" i="17"/>
  <c r="A407" i="18"/>
  <c r="C407" i="18"/>
  <c r="E407" i="18"/>
  <c r="G407" i="18"/>
  <c r="A403" i="17"/>
  <c r="A648" i="17"/>
  <c r="A893" i="17"/>
  <c r="A1138" i="17"/>
  <c r="A1383" i="17"/>
  <c r="A406" i="18"/>
  <c r="C406" i="18"/>
  <c r="E406" i="18"/>
  <c r="G406" i="18"/>
  <c r="C1382" i="17"/>
  <c r="D1875" i="18"/>
  <c r="C1137" i="17"/>
  <c r="D1630" i="18"/>
  <c r="C892" i="17"/>
  <c r="D1385" i="18"/>
  <c r="C647" i="17"/>
  <c r="D1140" i="18"/>
  <c r="A402" i="17"/>
  <c r="A647" i="17"/>
  <c r="A892" i="17"/>
  <c r="A1137" i="17"/>
  <c r="A1382" i="17"/>
  <c r="A405" i="18"/>
  <c r="C405" i="18"/>
  <c r="E405" i="18"/>
  <c r="G405" i="18"/>
  <c r="C646" i="17"/>
  <c r="D1139" i="18"/>
  <c r="A401" i="17"/>
  <c r="A646" i="17"/>
  <c r="A891" i="17"/>
  <c r="A1136" i="17"/>
  <c r="A1381" i="17"/>
  <c r="A404" i="18"/>
  <c r="C404" i="18"/>
  <c r="E404" i="18"/>
  <c r="G404" i="18"/>
  <c r="A400" i="17"/>
  <c r="A645" i="17"/>
  <c r="A890" i="17"/>
  <c r="A1135" i="17"/>
  <c r="A1380" i="17"/>
  <c r="A403" i="18"/>
  <c r="C403" i="18"/>
  <c r="E403" i="18"/>
  <c r="G403" i="18"/>
  <c r="A399" i="17"/>
  <c r="A644" i="17"/>
  <c r="A889" i="17"/>
  <c r="A1134" i="17"/>
  <c r="A1379" i="17"/>
  <c r="A402" i="18"/>
  <c r="C402" i="18"/>
  <c r="E402" i="18"/>
  <c r="G402" i="18"/>
  <c r="D643" i="17"/>
  <c r="F1136" i="18"/>
  <c r="A398" i="17"/>
  <c r="A643" i="17"/>
  <c r="A888" i="17"/>
  <c r="A1133" i="17"/>
  <c r="A1378" i="17"/>
  <c r="A401" i="18"/>
  <c r="C401" i="18"/>
  <c r="E401" i="18"/>
  <c r="G401" i="18"/>
  <c r="A397" i="17"/>
  <c r="A642" i="17"/>
  <c r="A887" i="17"/>
  <c r="A1132" i="17"/>
  <c r="A1377" i="17"/>
  <c r="A400" i="18"/>
  <c r="C400" i="18"/>
  <c r="E400" i="18"/>
  <c r="G400" i="18"/>
  <c r="A371" i="17"/>
  <c r="A616" i="17"/>
  <c r="A861" i="17"/>
  <c r="A1106" i="17"/>
  <c r="A1351" i="17"/>
  <c r="A374" i="18"/>
  <c r="C374" i="18"/>
  <c r="E374" i="18"/>
  <c r="G374" i="18"/>
  <c r="A370" i="17"/>
  <c r="A615" i="17"/>
  <c r="A860" i="17"/>
  <c r="A1105" i="17"/>
  <c r="A1350" i="17"/>
  <c r="A373" i="18"/>
  <c r="C373" i="18"/>
  <c r="E373" i="18"/>
  <c r="G373" i="18"/>
  <c r="A359" i="17"/>
  <c r="A604" i="17"/>
  <c r="A849" i="17"/>
  <c r="A1094" i="17"/>
  <c r="A1339" i="17"/>
  <c r="A362" i="18"/>
  <c r="C362" i="18"/>
  <c r="E362" i="18"/>
  <c r="G362" i="18"/>
  <c r="D1092" i="17"/>
  <c r="F1585" i="18"/>
  <c r="E846" i="17"/>
  <c r="H1339" i="18"/>
  <c r="D600" i="17"/>
  <c r="F1093" i="18"/>
  <c r="D1085" i="17"/>
  <c r="F1578" i="18"/>
  <c r="D595" i="17"/>
  <c r="F1088" i="18"/>
  <c r="A349" i="17"/>
  <c r="A594" i="17"/>
  <c r="A839" i="17"/>
  <c r="A1084" i="17"/>
  <c r="A1329" i="17"/>
  <c r="A352" i="18"/>
  <c r="C352" i="18"/>
  <c r="E352" i="18"/>
  <c r="G352" i="18"/>
  <c r="C592" i="17"/>
  <c r="D1085" i="18"/>
  <c r="A346" i="17"/>
  <c r="A591" i="17"/>
  <c r="A836" i="17"/>
  <c r="A1081" i="17"/>
  <c r="A1326" i="17"/>
  <c r="A349" i="18"/>
  <c r="C349" i="18"/>
  <c r="E349" i="18"/>
  <c r="G349" i="18"/>
  <c r="D590" i="17"/>
  <c r="F1083" i="18"/>
  <c r="E1324" i="17"/>
  <c r="H1817" i="18"/>
  <c r="C589" i="17"/>
  <c r="D1082" i="18"/>
  <c r="C1075" i="17"/>
  <c r="D1568" i="18"/>
  <c r="A339" i="17"/>
  <c r="A584" i="17"/>
  <c r="A829" i="17"/>
  <c r="A1074" i="17"/>
  <c r="A1319" i="17"/>
  <c r="A342" i="18"/>
  <c r="C342" i="18"/>
  <c r="E342" i="18"/>
  <c r="G342" i="18"/>
  <c r="A247" i="17"/>
  <c r="A492" i="17"/>
  <c r="A737" i="17"/>
  <c r="A982" i="17"/>
  <c r="A1227" i="17"/>
  <c r="A250" i="18"/>
  <c r="C250" i="18"/>
  <c r="E250" i="18"/>
  <c r="G250" i="18"/>
  <c r="Q242" i="17"/>
  <c r="C1223" i="18" s="1"/>
  <c r="Z242" i="17"/>
  <c r="C1468" i="18" s="1"/>
  <c r="AI242" i="17"/>
  <c r="C1713" i="18" s="1"/>
  <c r="AR242" i="17"/>
  <c r="C1958" i="18" s="1"/>
  <c r="D485" i="17"/>
  <c r="F488" i="18"/>
  <c r="R242" i="17"/>
  <c r="AA242" i="17"/>
  <c r="AJ242" i="17"/>
  <c r="AS242" i="17"/>
  <c r="R241" i="17"/>
  <c r="AA241" i="17"/>
  <c r="AJ241" i="17"/>
  <c r="AS241" i="17"/>
  <c r="Q240" i="17"/>
  <c r="C1221" i="18" s="1"/>
  <c r="Z240" i="17"/>
  <c r="C1466" i="18" s="1"/>
  <c r="AI240" i="17"/>
  <c r="C1711" i="18" s="1"/>
  <c r="AR240" i="17"/>
  <c r="C1956" i="18" s="1"/>
  <c r="B483" i="17"/>
  <c r="B486" i="18"/>
  <c r="R240" i="17"/>
  <c r="AA240" i="17"/>
  <c r="AJ240" i="17"/>
  <c r="AS240" i="17"/>
  <c r="C482" i="17"/>
  <c r="D485" i="18"/>
  <c r="S238" i="17"/>
  <c r="E1219" i="18" s="1"/>
  <c r="AB238" i="17"/>
  <c r="E1464" i="18" s="1"/>
  <c r="AK238" i="17"/>
  <c r="E1709" i="18" s="1"/>
  <c r="AT238" i="17"/>
  <c r="E1954" i="18" s="1"/>
  <c r="B481" i="17"/>
  <c r="B484" i="18"/>
  <c r="B480" i="17"/>
  <c r="B483" i="18"/>
  <c r="D479" i="17"/>
  <c r="F482" i="18"/>
  <c r="R236" i="17"/>
  <c r="AA236" i="17"/>
  <c r="AJ236" i="17"/>
  <c r="AS236" i="17"/>
  <c r="U208" i="17"/>
  <c r="G1189" i="18" s="1"/>
  <c r="AD208" i="17"/>
  <c r="G1434" i="18" s="1"/>
  <c r="AM208" i="17"/>
  <c r="G1679" i="18" s="1"/>
  <c r="AV208" i="17"/>
  <c r="G1924" i="18" s="1"/>
  <c r="R208" i="17"/>
  <c r="AA208" i="17"/>
  <c r="AJ208" i="17"/>
  <c r="AS208" i="17"/>
  <c r="O206" i="17"/>
  <c r="A1187" i="18" s="1"/>
  <c r="X206" i="17"/>
  <c r="A1432" i="18" s="1"/>
  <c r="AG206" i="17"/>
  <c r="A1677" i="18" s="1"/>
  <c r="AP206" i="17"/>
  <c r="A1922" i="18" s="1"/>
  <c r="B452" i="18"/>
  <c r="B449" i="17"/>
  <c r="AH206" i="17"/>
  <c r="P206" i="17"/>
  <c r="Y206" i="17"/>
  <c r="AQ206" i="17"/>
  <c r="F451" i="18"/>
  <c r="D448" i="17"/>
  <c r="T204" i="17"/>
  <c r="AC204" i="17"/>
  <c r="AL204" i="17"/>
  <c r="AU204" i="17"/>
  <c r="AE202" i="17"/>
  <c r="AN202" i="17"/>
  <c r="AW202" i="17"/>
  <c r="V202" i="17"/>
  <c r="T201" i="17"/>
  <c r="AL201" i="17"/>
  <c r="AU201" i="17"/>
  <c r="AC201" i="17"/>
  <c r="AT200" i="17"/>
  <c r="E1916" i="18" s="1"/>
  <c r="S200" i="17"/>
  <c r="E1181" i="18" s="1"/>
  <c r="AB200" i="17"/>
  <c r="E1426" i="18" s="1"/>
  <c r="AK200" i="17"/>
  <c r="E1671" i="18" s="1"/>
  <c r="Q199" i="17"/>
  <c r="C1180" i="18" s="1"/>
  <c r="AR199" i="17"/>
  <c r="C1915" i="18" s="1"/>
  <c r="Z199" i="17"/>
  <c r="C1425" i="18" s="1"/>
  <c r="AI199" i="17"/>
  <c r="C1670" i="18" s="1"/>
  <c r="H445" i="18"/>
  <c r="E442" i="17"/>
  <c r="AD198" i="17"/>
  <c r="G1424" i="18" s="1"/>
  <c r="AV198" i="17"/>
  <c r="G1914" i="18" s="1"/>
  <c r="U198" i="17"/>
  <c r="G1179" i="18" s="1"/>
  <c r="AM198" i="17"/>
  <c r="G1669" i="18" s="1"/>
  <c r="B444" i="18"/>
  <c r="B441" i="17"/>
  <c r="AB197" i="17"/>
  <c r="E1423" i="18" s="1"/>
  <c r="AK197" i="17"/>
  <c r="E1668" i="18" s="1"/>
  <c r="AT197" i="17"/>
  <c r="E1913" i="18" s="1"/>
  <c r="S197" i="17"/>
  <c r="E1178" i="18" s="1"/>
  <c r="B443" i="18"/>
  <c r="B440" i="17"/>
  <c r="Z196" i="17"/>
  <c r="C1422" i="18" s="1"/>
  <c r="AR196" i="17"/>
  <c r="C1912" i="18" s="1"/>
  <c r="Q196" i="17"/>
  <c r="C1177" i="18" s="1"/>
  <c r="AI196" i="17"/>
  <c r="C1667" i="18" s="1"/>
  <c r="H442" i="18"/>
  <c r="E439" i="17"/>
  <c r="T195" i="17"/>
  <c r="AL195" i="17"/>
  <c r="AC195" i="17"/>
  <c r="AU195" i="17"/>
  <c r="AB194" i="17"/>
  <c r="E1420" i="18" s="1"/>
  <c r="AK194" i="17"/>
  <c r="E1665" i="18" s="1"/>
  <c r="AT194" i="17"/>
  <c r="E1910" i="18" s="1"/>
  <c r="S194" i="17"/>
  <c r="E1175" i="18" s="1"/>
  <c r="B440" i="18"/>
  <c r="B437" i="17"/>
  <c r="P194" i="17"/>
  <c r="Y194" i="17"/>
  <c r="AH194" i="17"/>
  <c r="AQ194" i="17"/>
  <c r="Q193" i="17"/>
  <c r="C1174" i="18" s="1"/>
  <c r="Z193" i="17"/>
  <c r="C1419" i="18" s="1"/>
  <c r="AI193" i="17"/>
  <c r="C1664" i="18" s="1"/>
  <c r="AR193" i="17"/>
  <c r="C1909" i="18" s="1"/>
  <c r="Q192" i="17"/>
  <c r="C1173" i="18" s="1"/>
  <c r="Z192" i="17"/>
  <c r="C1418" i="18" s="1"/>
  <c r="AI192" i="17"/>
  <c r="C1663" i="18" s="1"/>
  <c r="AR192" i="17"/>
  <c r="C1908" i="18" s="1"/>
  <c r="D435" i="17"/>
  <c r="F438" i="18"/>
  <c r="U191" i="17"/>
  <c r="G1172" i="18" s="1"/>
  <c r="AD191" i="17"/>
  <c r="G1417" i="18" s="1"/>
  <c r="AM191" i="17"/>
  <c r="G1662" i="18" s="1"/>
  <c r="AV191" i="17"/>
  <c r="G1907" i="18" s="1"/>
  <c r="T190" i="17"/>
  <c r="AC190" i="17"/>
  <c r="AL190" i="17"/>
  <c r="AU190" i="17"/>
  <c r="C432" i="17"/>
  <c r="D435" i="18"/>
  <c r="E431" i="17"/>
  <c r="H434" i="18"/>
  <c r="P188" i="17"/>
  <c r="Y188" i="17"/>
  <c r="AH188" i="17"/>
  <c r="AQ188" i="17"/>
  <c r="R187" i="17"/>
  <c r="AA187" i="17"/>
  <c r="AJ187" i="17"/>
  <c r="AS187" i="17"/>
  <c r="D429" i="17"/>
  <c r="F432" i="18"/>
  <c r="S185" i="17"/>
  <c r="E1166" i="18" s="1"/>
  <c r="AB185" i="17"/>
  <c r="E1411" i="18" s="1"/>
  <c r="AK185" i="17"/>
  <c r="E1656" i="18" s="1"/>
  <c r="AT185" i="17"/>
  <c r="E1901" i="18" s="1"/>
  <c r="D428" i="17"/>
  <c r="F431" i="18"/>
  <c r="V184" i="17"/>
  <c r="AE184" i="17"/>
  <c r="AN184" i="17"/>
  <c r="AW184" i="17"/>
  <c r="B426" i="17"/>
  <c r="B429" i="18"/>
  <c r="P183" i="17"/>
  <c r="Y183" i="17"/>
  <c r="AH183" i="17"/>
  <c r="AQ183" i="17"/>
  <c r="U182" i="17"/>
  <c r="G1163" i="18" s="1"/>
  <c r="AD182" i="17"/>
  <c r="G1408" i="18" s="1"/>
  <c r="AM182" i="17"/>
  <c r="G1653" i="18" s="1"/>
  <c r="AV182" i="17"/>
  <c r="G1898" i="18" s="1"/>
  <c r="V182" i="17"/>
  <c r="AE182" i="17"/>
  <c r="AN182" i="17"/>
  <c r="AW182" i="17"/>
  <c r="O181" i="17"/>
  <c r="A1162" i="18" s="1"/>
  <c r="X181" i="17"/>
  <c r="A1407" i="18" s="1"/>
  <c r="AG181" i="17"/>
  <c r="A1652" i="18" s="1"/>
  <c r="AP181" i="17"/>
  <c r="A1897" i="18" s="1"/>
  <c r="T181" i="17"/>
  <c r="AC181" i="17"/>
  <c r="AL181" i="17"/>
  <c r="AU181" i="17"/>
  <c r="V180" i="17"/>
  <c r="AE180" i="17"/>
  <c r="AN180" i="17"/>
  <c r="AW180" i="17"/>
  <c r="V178" i="17"/>
  <c r="AE178" i="17"/>
  <c r="AN178" i="17"/>
  <c r="AW178" i="17"/>
  <c r="S177" i="17"/>
  <c r="E1158" i="18" s="1"/>
  <c r="AB177" i="17"/>
  <c r="E1403" i="18" s="1"/>
  <c r="AK177" i="17"/>
  <c r="E1648" i="18" s="1"/>
  <c r="AT177" i="17"/>
  <c r="E1893" i="18" s="1"/>
  <c r="E420" i="17"/>
  <c r="H423" i="18"/>
  <c r="Q174" i="17"/>
  <c r="C1155" i="18" s="1"/>
  <c r="Z174" i="17"/>
  <c r="C1400" i="18" s="1"/>
  <c r="AI174" i="17"/>
  <c r="C1645" i="18" s="1"/>
  <c r="AR174" i="17"/>
  <c r="C1890" i="18" s="1"/>
  <c r="P174" i="17"/>
  <c r="Y174" i="17"/>
  <c r="AH174" i="17"/>
  <c r="AQ174" i="17"/>
  <c r="O166" i="17"/>
  <c r="A1147" i="18" s="1"/>
  <c r="X166" i="17"/>
  <c r="A1392" i="18" s="1"/>
  <c r="AG166" i="17"/>
  <c r="A1637" i="18" s="1"/>
  <c r="AP166" i="17"/>
  <c r="A1882" i="18" s="1"/>
  <c r="B409" i="17"/>
  <c r="B412" i="18"/>
  <c r="Q165" i="17"/>
  <c r="C1146" i="18" s="1"/>
  <c r="Z165" i="17"/>
  <c r="C1391" i="18" s="1"/>
  <c r="AI165" i="17"/>
  <c r="C1636" i="18" s="1"/>
  <c r="AR165" i="17"/>
  <c r="C1881" i="18" s="1"/>
  <c r="R164" i="17"/>
  <c r="AA164" i="17"/>
  <c r="AJ164" i="17"/>
  <c r="AS164" i="17"/>
  <c r="V163" i="17"/>
  <c r="AE163" i="17"/>
  <c r="AN163" i="17"/>
  <c r="AW163" i="17"/>
  <c r="D405" i="17"/>
  <c r="F408" i="18"/>
  <c r="V161" i="17"/>
  <c r="AE161" i="17"/>
  <c r="AN161" i="17"/>
  <c r="AW161" i="17"/>
  <c r="D403" i="17"/>
  <c r="F406" i="18"/>
  <c r="R160" i="17"/>
  <c r="AA160" i="17"/>
  <c r="AJ160" i="17"/>
  <c r="AS160" i="17"/>
  <c r="V158" i="17"/>
  <c r="AE158" i="17"/>
  <c r="AN158" i="17"/>
  <c r="AW158" i="17"/>
  <c r="S157" i="17"/>
  <c r="E1138" i="18" s="1"/>
  <c r="AB157" i="17"/>
  <c r="E1383" i="18" s="1"/>
  <c r="AK157" i="17"/>
  <c r="E1628" i="18" s="1"/>
  <c r="AT157" i="17"/>
  <c r="E1873" i="18" s="1"/>
  <c r="D400" i="17"/>
  <c r="F403" i="18"/>
  <c r="D399" i="17"/>
  <c r="F402" i="18"/>
  <c r="R156" i="17"/>
  <c r="AA156" i="17"/>
  <c r="AJ156" i="17"/>
  <c r="AS156" i="17"/>
  <c r="O155" i="17"/>
  <c r="A1136" i="18" s="1"/>
  <c r="X155" i="17"/>
  <c r="A1381" i="18" s="1"/>
  <c r="AG155" i="17"/>
  <c r="A1626" i="18" s="1"/>
  <c r="AP155" i="17"/>
  <c r="A1871" i="18" s="1"/>
  <c r="C398" i="17"/>
  <c r="D401" i="18"/>
  <c r="V154" i="17"/>
  <c r="AE154" i="17"/>
  <c r="AN154" i="17"/>
  <c r="AW154" i="17"/>
  <c r="D358" i="17"/>
  <c r="F361" i="18"/>
  <c r="AW115" i="17"/>
  <c r="AN115" i="17"/>
  <c r="V115" i="17"/>
  <c r="AE115" i="17"/>
  <c r="V112" i="17"/>
  <c r="AE112" i="17"/>
  <c r="AN112" i="17"/>
  <c r="AW112" i="17"/>
  <c r="X111" i="17"/>
  <c r="A1337" i="18" s="1"/>
  <c r="AG111" i="17"/>
  <c r="A1582" i="18" s="1"/>
  <c r="O111" i="17"/>
  <c r="A1092" i="18" s="1"/>
  <c r="AP111" i="17"/>
  <c r="A1827" i="18" s="1"/>
  <c r="C354" i="17"/>
  <c r="D357" i="18"/>
  <c r="D353" i="17"/>
  <c r="F356" i="18"/>
  <c r="D352" i="17"/>
  <c r="F355" i="18"/>
  <c r="AU109" i="17"/>
  <c r="AC109" i="17"/>
  <c r="T109" i="17"/>
  <c r="AL109" i="17"/>
  <c r="B354" i="18"/>
  <c r="B351" i="17"/>
  <c r="Q106" i="17"/>
  <c r="C1087" i="18" s="1"/>
  <c r="Z106" i="17"/>
  <c r="C1332" i="18" s="1"/>
  <c r="AI106" i="17"/>
  <c r="C1577" i="18" s="1"/>
  <c r="AR106" i="17"/>
  <c r="C1822" i="18" s="1"/>
  <c r="B349" i="17"/>
  <c r="B352" i="18"/>
  <c r="AQ106" i="17"/>
  <c r="P106" i="17"/>
  <c r="Y106" i="17"/>
  <c r="AH106" i="17"/>
  <c r="P105" i="17"/>
  <c r="AQ105" i="17"/>
  <c r="Y105" i="17"/>
  <c r="AH105" i="17"/>
  <c r="H350" i="18"/>
  <c r="E347" i="17"/>
  <c r="AU104" i="17"/>
  <c r="T104" i="17"/>
  <c r="AC104" i="17"/>
  <c r="AL104" i="17"/>
  <c r="AI103" i="17"/>
  <c r="C1574" i="18" s="1"/>
  <c r="AR103" i="17"/>
  <c r="C1819" i="18" s="1"/>
  <c r="Z103" i="17"/>
  <c r="C1329" i="18" s="1"/>
  <c r="Q103" i="17"/>
  <c r="C1084" i="18" s="1"/>
  <c r="F348" i="18"/>
  <c r="D345" i="17"/>
  <c r="AK101" i="17"/>
  <c r="E1572" i="18" s="1"/>
  <c r="S101" i="17"/>
  <c r="E1082" i="18" s="1"/>
  <c r="AB101" i="17"/>
  <c r="E1327" i="18" s="1"/>
  <c r="AT101" i="17"/>
  <c r="E1817" i="18" s="1"/>
  <c r="AI100" i="17"/>
  <c r="C1571" i="18" s="1"/>
  <c r="Q100" i="17"/>
  <c r="C1081" i="18" s="1"/>
  <c r="AR100" i="17"/>
  <c r="C1816" i="18" s="1"/>
  <c r="Z100" i="17"/>
  <c r="C1326" i="18" s="1"/>
  <c r="Y100" i="17"/>
  <c r="AH100" i="17"/>
  <c r="P100" i="17"/>
  <c r="AQ100" i="17"/>
  <c r="AL99" i="17"/>
  <c r="T99" i="17"/>
  <c r="AU99" i="17"/>
  <c r="AC99" i="17"/>
  <c r="AK98" i="17"/>
  <c r="E1569" i="18" s="1"/>
  <c r="AT98" i="17"/>
  <c r="E1814" i="18" s="1"/>
  <c r="S98" i="17"/>
  <c r="E1079" i="18" s="1"/>
  <c r="AB98" i="17"/>
  <c r="E1324" i="18" s="1"/>
  <c r="AV97" i="17"/>
  <c r="G1813" i="18" s="1"/>
  <c r="U97" i="17"/>
  <c r="G1078" i="18" s="1"/>
  <c r="AD97" i="17"/>
  <c r="G1323" i="18" s="1"/>
  <c r="AM97" i="17"/>
  <c r="G1568" i="18" s="1"/>
  <c r="R96" i="17"/>
  <c r="AA96" i="17"/>
  <c r="AJ96" i="17"/>
  <c r="AS96" i="17"/>
  <c r="B338" i="17"/>
  <c r="B341" i="18"/>
  <c r="AW94" i="17"/>
  <c r="AN94" i="17"/>
  <c r="V94" i="17"/>
  <c r="AE94" i="17"/>
  <c r="S93" i="17"/>
  <c r="E1074" i="18" s="1"/>
  <c r="AK93" i="17"/>
  <c r="E1564" i="18" s="1"/>
  <c r="AB93" i="17"/>
  <c r="E1319" i="18" s="1"/>
  <c r="AT93" i="17"/>
  <c r="E1809" i="18" s="1"/>
  <c r="AW93" i="17"/>
  <c r="AN93" i="17"/>
  <c r="V93" i="17"/>
  <c r="AE93" i="17"/>
  <c r="AR92" i="17"/>
  <c r="C1808" i="18" s="1"/>
  <c r="Q92" i="17"/>
  <c r="C1073" i="18" s="1"/>
  <c r="Z92" i="17"/>
  <c r="C1318" i="18" s="1"/>
  <c r="AI92" i="17"/>
  <c r="C1563" i="18" s="1"/>
  <c r="S91" i="17"/>
  <c r="E1072" i="18" s="1"/>
  <c r="AB91" i="17"/>
  <c r="E1317" i="18" s="1"/>
  <c r="AK91" i="17"/>
  <c r="E1562" i="18" s="1"/>
  <c r="AT91" i="17"/>
  <c r="E1807" i="18" s="1"/>
  <c r="Q91" i="17"/>
  <c r="C1072" i="18" s="1"/>
  <c r="Z91" i="17"/>
  <c r="C1317" i="18" s="1"/>
  <c r="AI91" i="17"/>
  <c r="C1562" i="18" s="1"/>
  <c r="AR91" i="17"/>
  <c r="C1807" i="18" s="1"/>
  <c r="O91" i="17"/>
  <c r="A1072" i="18" s="1"/>
  <c r="X91" i="17"/>
  <c r="A1317" i="18" s="1"/>
  <c r="AG91" i="17"/>
  <c r="A1562" i="18" s="1"/>
  <c r="AP91" i="17"/>
  <c r="A1807" i="18" s="1"/>
  <c r="Q90" i="17"/>
  <c r="C1071" i="18" s="1"/>
  <c r="Z90" i="17"/>
  <c r="C1316" i="18" s="1"/>
  <c r="AI90" i="17"/>
  <c r="C1561" i="18" s="1"/>
  <c r="AR90" i="17"/>
  <c r="C1806" i="18" s="1"/>
  <c r="B333" i="17"/>
  <c r="B336" i="18"/>
  <c r="T89" i="17"/>
  <c r="AC89" i="17"/>
  <c r="AL89" i="17"/>
  <c r="AU89" i="17"/>
  <c r="U88" i="17"/>
  <c r="G1069" i="18" s="1"/>
  <c r="AD88" i="17"/>
  <c r="G1314" i="18" s="1"/>
  <c r="AM88" i="17"/>
  <c r="G1559" i="18" s="1"/>
  <c r="AV88" i="17"/>
  <c r="G1804" i="18" s="1"/>
  <c r="E331" i="17"/>
  <c r="H334" i="18"/>
  <c r="D327" i="17"/>
  <c r="F330" i="18"/>
  <c r="Q83" i="17"/>
  <c r="C1064" i="18" s="1"/>
  <c r="Z83" i="17"/>
  <c r="C1309" i="18" s="1"/>
  <c r="AI83" i="17"/>
  <c r="C1554" i="18" s="1"/>
  <c r="AR83" i="17"/>
  <c r="C1799" i="18" s="1"/>
  <c r="R82" i="17"/>
  <c r="AA82" i="17"/>
  <c r="AJ82" i="17"/>
  <c r="AS82" i="17"/>
  <c r="S80" i="17"/>
  <c r="E1061" i="18" s="1"/>
  <c r="AB80" i="17"/>
  <c r="E1306" i="18" s="1"/>
  <c r="AK80" i="17"/>
  <c r="E1551" i="18" s="1"/>
  <c r="AT80" i="17"/>
  <c r="E1796" i="18" s="1"/>
  <c r="V80" i="17"/>
  <c r="AE80" i="17"/>
  <c r="AN80" i="17"/>
  <c r="AW80" i="17"/>
  <c r="B322" i="17"/>
  <c r="B325" i="18"/>
  <c r="C320" i="17"/>
  <c r="D323" i="18"/>
  <c r="S75" i="17"/>
  <c r="E1056" i="18" s="1"/>
  <c r="AB75" i="17"/>
  <c r="E1301" i="18" s="1"/>
  <c r="AK75" i="17"/>
  <c r="E1546" i="18" s="1"/>
  <c r="AT75" i="17"/>
  <c r="E1791" i="18" s="1"/>
  <c r="V74" i="17"/>
  <c r="AE74" i="17"/>
  <c r="AN74" i="17"/>
  <c r="AW74" i="17"/>
  <c r="D316" i="17"/>
  <c r="F319" i="18"/>
  <c r="R27" i="17"/>
  <c r="AA27" i="17"/>
  <c r="AJ27" i="17"/>
  <c r="AS27" i="17"/>
  <c r="T26" i="17"/>
  <c r="AC26" i="17"/>
  <c r="AL26" i="17"/>
  <c r="AU26" i="17"/>
  <c r="O25" i="17"/>
  <c r="A1006" i="18" s="1"/>
  <c r="X25" i="17"/>
  <c r="A1251" i="18" s="1"/>
  <c r="AG25" i="17"/>
  <c r="A1496" i="18" s="1"/>
  <c r="AP25" i="17"/>
  <c r="A1741" i="18" s="1"/>
  <c r="T22" i="17"/>
  <c r="AC22" i="17"/>
  <c r="AL22" i="17"/>
  <c r="AU22" i="17"/>
  <c r="R21" i="17"/>
  <c r="AA21" i="17"/>
  <c r="AJ21" i="17"/>
  <c r="AS21" i="17"/>
  <c r="U20" i="17"/>
  <c r="G1001" i="18" s="1"/>
  <c r="AD20" i="17"/>
  <c r="G1246" i="18" s="1"/>
  <c r="AM20" i="17"/>
  <c r="G1491" i="18" s="1"/>
  <c r="AV20" i="17"/>
  <c r="G1736" i="18" s="1"/>
  <c r="S19" i="17"/>
  <c r="E1000" i="18" s="1"/>
  <c r="AB19" i="17"/>
  <c r="E1245" i="18" s="1"/>
  <c r="AK19" i="17"/>
  <c r="E1490" i="18" s="1"/>
  <c r="AT19" i="17"/>
  <c r="E1735" i="18" s="1"/>
  <c r="Q16" i="17"/>
  <c r="C997" i="18" s="1"/>
  <c r="Z16" i="17"/>
  <c r="C1242" i="18" s="1"/>
  <c r="AI16" i="17"/>
  <c r="C1487" i="18" s="1"/>
  <c r="AR16" i="17"/>
  <c r="C1732" i="18" s="1"/>
  <c r="V16" i="17"/>
  <c r="AE16" i="17"/>
  <c r="AN16" i="17"/>
  <c r="AW16" i="17"/>
  <c r="R14" i="17"/>
  <c r="AA14" i="17"/>
  <c r="AJ14" i="17"/>
  <c r="AS14" i="17"/>
  <c r="U12" i="17"/>
  <c r="G993" i="18" s="1"/>
  <c r="AD12" i="17"/>
  <c r="G1238" i="18" s="1"/>
  <c r="AM12" i="17"/>
  <c r="G1483" i="18" s="1"/>
  <c r="AV12" i="17"/>
  <c r="G1728" i="18" s="1"/>
  <c r="T12" i="17"/>
  <c r="AC12" i="17"/>
  <c r="AL12" i="17"/>
  <c r="AU12" i="17"/>
  <c r="U10" i="17"/>
  <c r="G991" i="18" s="1"/>
  <c r="AD10" i="17"/>
  <c r="G1236" i="18" s="1"/>
  <c r="AM10" i="17"/>
  <c r="G1481" i="18" s="1"/>
  <c r="AV10" i="17"/>
  <c r="G1726" i="18" s="1"/>
  <c r="O10" i="17"/>
  <c r="A991" i="18" s="1"/>
  <c r="X10" i="17"/>
  <c r="A1236" i="18" s="1"/>
  <c r="AG10" i="17"/>
  <c r="A1481" i="18" s="1"/>
  <c r="AP10" i="17"/>
  <c r="A1726" i="18" s="1"/>
  <c r="T10" i="17"/>
  <c r="AC10" i="17"/>
  <c r="AL10" i="17"/>
  <c r="AU10" i="17"/>
  <c r="T8" i="17"/>
  <c r="AC8" i="17"/>
  <c r="AL8" i="17"/>
  <c r="AU8" i="17"/>
  <c r="V4" i="17"/>
  <c r="AN4" i="17"/>
  <c r="AW4" i="17"/>
  <c r="AE4" i="17"/>
  <c r="AK143" i="5"/>
  <c r="B143" i="6"/>
  <c r="H143" i="10"/>
  <c r="E143" i="17" s="1"/>
  <c r="B144" i="18" s="1"/>
  <c r="I143" i="10"/>
  <c r="F143" i="17" s="1"/>
  <c r="D144" i="18" s="1"/>
  <c r="L143" i="10"/>
  <c r="AE142" i="5"/>
  <c r="AF142" i="5" s="1"/>
  <c r="I142" i="5"/>
  <c r="J142" i="5" s="1"/>
  <c r="AE137" i="5"/>
  <c r="AF137" i="5" s="1"/>
  <c r="I137" i="5"/>
  <c r="J137" i="5" s="1"/>
  <c r="C134" i="6"/>
  <c r="J134" i="10"/>
  <c r="G134" i="17" s="1"/>
  <c r="F135" i="18" s="1"/>
  <c r="M134" i="10"/>
  <c r="B122" i="6"/>
  <c r="H122" i="10"/>
  <c r="E122" i="17" s="1"/>
  <c r="B123" i="18" s="1"/>
  <c r="I122" i="10"/>
  <c r="F122" i="17" s="1"/>
  <c r="D123" i="18" s="1"/>
  <c r="L122" i="10"/>
  <c r="B21" i="15" s="1"/>
  <c r="AK122" i="5"/>
  <c r="AK110" i="5"/>
  <c r="B110" i="6"/>
  <c r="H110" i="10"/>
  <c r="E110" i="17" s="1"/>
  <c r="B111" i="18" s="1"/>
  <c r="I110" i="10"/>
  <c r="F110" i="17" s="1"/>
  <c r="D111" i="18" s="1"/>
  <c r="L110" i="10"/>
  <c r="C109" i="6"/>
  <c r="J109" i="10"/>
  <c r="G109" i="17" s="1"/>
  <c r="F110" i="18" s="1"/>
  <c r="M109" i="10"/>
  <c r="D580" i="17"/>
  <c r="F1073" i="18"/>
  <c r="B580" i="17"/>
  <c r="B1073" i="18"/>
  <c r="A335" i="17"/>
  <c r="A580" i="17"/>
  <c r="A825" i="17"/>
  <c r="A1070" i="17"/>
  <c r="A1315" i="17"/>
  <c r="A338" i="18"/>
  <c r="C338" i="18"/>
  <c r="E338" i="18"/>
  <c r="G338" i="18"/>
  <c r="A93" i="18"/>
  <c r="C93" i="18"/>
  <c r="E93" i="18"/>
  <c r="C579" i="17"/>
  <c r="D1072" i="18"/>
  <c r="B579" i="17"/>
  <c r="B1072" i="18"/>
  <c r="A334" i="17"/>
  <c r="A579" i="17"/>
  <c r="A824" i="17"/>
  <c r="A1069" i="17"/>
  <c r="A1314" i="17"/>
  <c r="A337" i="18"/>
  <c r="C337" i="18"/>
  <c r="E337" i="18"/>
  <c r="G337" i="18"/>
  <c r="A92" i="18"/>
  <c r="C92" i="18"/>
  <c r="E92" i="18"/>
  <c r="D1313" i="17"/>
  <c r="F1806" i="18"/>
  <c r="D1068" i="17"/>
  <c r="F1561" i="18"/>
  <c r="D823" i="17"/>
  <c r="F1316" i="18"/>
  <c r="D578" i="17"/>
  <c r="F1071" i="18"/>
  <c r="A333" i="17"/>
  <c r="A578" i="17"/>
  <c r="A823" i="17"/>
  <c r="A1068" i="17"/>
  <c r="A1313" i="17"/>
  <c r="A336" i="18"/>
  <c r="C336" i="18"/>
  <c r="E336" i="18"/>
  <c r="G336" i="18"/>
  <c r="A91" i="18"/>
  <c r="C91" i="18"/>
  <c r="E91" i="18"/>
  <c r="A332" i="17"/>
  <c r="A577" i="17"/>
  <c r="A822" i="17"/>
  <c r="A1067" i="17"/>
  <c r="A1312" i="17"/>
  <c r="A335" i="18"/>
  <c r="C335" i="18"/>
  <c r="E335" i="18"/>
  <c r="G335" i="18"/>
  <c r="A90" i="18"/>
  <c r="C90" i="18"/>
  <c r="E90" i="18"/>
  <c r="A331" i="17"/>
  <c r="A576" i="17"/>
  <c r="A821" i="17"/>
  <c r="A1066" i="17"/>
  <c r="A1311" i="17"/>
  <c r="A334" i="18"/>
  <c r="C334" i="18"/>
  <c r="E334" i="18"/>
  <c r="G334" i="18"/>
  <c r="A89" i="18"/>
  <c r="C89" i="18"/>
  <c r="E89" i="18"/>
  <c r="A330" i="17"/>
  <c r="A575" i="17"/>
  <c r="A820" i="17"/>
  <c r="A1065" i="17"/>
  <c r="A1310" i="17"/>
  <c r="A333" i="18"/>
  <c r="C333" i="18"/>
  <c r="E333" i="18"/>
  <c r="G333" i="18"/>
  <c r="A88" i="18"/>
  <c r="C88" i="18"/>
  <c r="E88" i="18"/>
  <c r="B574" i="17"/>
  <c r="B1067" i="18"/>
  <c r="A329" i="17"/>
  <c r="A574" i="17"/>
  <c r="A819" i="17"/>
  <c r="A1064" i="17"/>
  <c r="A1309" i="17"/>
  <c r="A332" i="18"/>
  <c r="C332" i="18"/>
  <c r="E332" i="18"/>
  <c r="G332" i="18"/>
  <c r="A87" i="18"/>
  <c r="C87" i="18"/>
  <c r="E87" i="18"/>
  <c r="B573" i="17"/>
  <c r="B1066" i="18"/>
  <c r="A328" i="17"/>
  <c r="A573" i="17"/>
  <c r="A818" i="17"/>
  <c r="A1063" i="17"/>
  <c r="A1308" i="17"/>
  <c r="A331" i="18"/>
  <c r="C331" i="18"/>
  <c r="E331" i="18"/>
  <c r="G331" i="18"/>
  <c r="A86" i="18"/>
  <c r="C86" i="18"/>
  <c r="E86" i="18"/>
  <c r="D572" i="17"/>
  <c r="F1065" i="18"/>
  <c r="B572" i="17"/>
  <c r="B1065" i="18"/>
  <c r="A327" i="17"/>
  <c r="A572" i="17"/>
  <c r="A817" i="17"/>
  <c r="A1062" i="17"/>
  <c r="A1307" i="17"/>
  <c r="A330" i="18"/>
  <c r="C330" i="18"/>
  <c r="E330" i="18"/>
  <c r="G330" i="18"/>
  <c r="A85" i="18"/>
  <c r="C85" i="18"/>
  <c r="E85" i="18"/>
  <c r="A326" i="17"/>
  <c r="A571" i="17"/>
  <c r="A816" i="17"/>
  <c r="A1061" i="17"/>
  <c r="A1306" i="17"/>
  <c r="A329" i="18"/>
  <c r="C329" i="18"/>
  <c r="E329" i="18"/>
  <c r="G329" i="18"/>
  <c r="A84" i="18"/>
  <c r="C84" i="18"/>
  <c r="E84" i="18"/>
  <c r="B570" i="17"/>
  <c r="B1063" i="18"/>
  <c r="A325" i="17"/>
  <c r="A570" i="17"/>
  <c r="A815" i="17"/>
  <c r="A1060" i="17"/>
  <c r="A1305" i="17"/>
  <c r="A328" i="18"/>
  <c r="C328" i="18"/>
  <c r="E328" i="18"/>
  <c r="G328" i="18"/>
  <c r="A83" i="18"/>
  <c r="C83" i="18"/>
  <c r="E83" i="18"/>
  <c r="A324" i="17"/>
  <c r="A569" i="17"/>
  <c r="A814" i="17"/>
  <c r="A1059" i="17"/>
  <c r="A1304" i="17"/>
  <c r="A327" i="18"/>
  <c r="C327" i="18"/>
  <c r="E327" i="18"/>
  <c r="G327" i="18"/>
  <c r="A82" i="18"/>
  <c r="C82" i="18"/>
  <c r="E82" i="18"/>
  <c r="D568" i="17"/>
  <c r="F1061" i="18"/>
  <c r="C568" i="17"/>
  <c r="D1061" i="18"/>
  <c r="B568" i="17"/>
  <c r="B1061" i="18"/>
  <c r="A323" i="17"/>
  <c r="A568" i="17"/>
  <c r="A813" i="17"/>
  <c r="A1058" i="17"/>
  <c r="A1303" i="17"/>
  <c r="A326" i="18"/>
  <c r="C326" i="18"/>
  <c r="E326" i="18"/>
  <c r="G326" i="18"/>
  <c r="A81" i="18"/>
  <c r="C81" i="18"/>
  <c r="E81" i="18"/>
  <c r="C567" i="17"/>
  <c r="D1060" i="18"/>
  <c r="B567" i="17"/>
  <c r="B1060" i="18"/>
  <c r="A322" i="17"/>
  <c r="A567" i="17"/>
  <c r="A812" i="17"/>
  <c r="A1057" i="17"/>
  <c r="A1302" i="17"/>
  <c r="A325" i="18"/>
  <c r="C325" i="18"/>
  <c r="E325" i="18"/>
  <c r="G325" i="18"/>
  <c r="A80" i="18"/>
  <c r="C80" i="18"/>
  <c r="E80" i="18"/>
  <c r="C566" i="17"/>
  <c r="D1059" i="18"/>
  <c r="B566" i="17"/>
  <c r="B1059" i="18"/>
  <c r="A321" i="17"/>
  <c r="A566" i="17"/>
  <c r="A811" i="17"/>
  <c r="A1056" i="17"/>
  <c r="A1301" i="17"/>
  <c r="A324" i="18"/>
  <c r="C324" i="18"/>
  <c r="E324" i="18"/>
  <c r="G324" i="18"/>
  <c r="A79" i="18"/>
  <c r="C79" i="18"/>
  <c r="E79" i="18"/>
  <c r="C1300" i="17"/>
  <c r="D1793" i="18"/>
  <c r="C1055" i="17"/>
  <c r="D1548" i="18"/>
  <c r="C810" i="17"/>
  <c r="D1303" i="18"/>
  <c r="D565" i="17"/>
  <c r="F1058" i="18"/>
  <c r="C565" i="17"/>
  <c r="D1058" i="18"/>
  <c r="B565" i="17"/>
  <c r="B1058" i="18"/>
  <c r="A320" i="17"/>
  <c r="A565" i="17"/>
  <c r="A810" i="17"/>
  <c r="A1055" i="17"/>
  <c r="A1300" i="17"/>
  <c r="A323" i="18"/>
  <c r="C323" i="18"/>
  <c r="E323" i="18"/>
  <c r="G323" i="18"/>
  <c r="A78" i="18"/>
  <c r="C78" i="18"/>
  <c r="E78" i="18"/>
  <c r="C1299" i="17"/>
  <c r="D1792" i="18"/>
  <c r="C1054" i="17"/>
  <c r="D1547" i="18"/>
  <c r="C809" i="17"/>
  <c r="D1302" i="18"/>
  <c r="D564" i="17"/>
  <c r="F1057" i="18"/>
  <c r="C564" i="17"/>
  <c r="D1057" i="18"/>
  <c r="B564" i="17"/>
  <c r="B1057" i="18"/>
  <c r="C319" i="17"/>
  <c r="D322" i="18"/>
  <c r="A319" i="17"/>
  <c r="A564" i="17"/>
  <c r="A809" i="17"/>
  <c r="A1054" i="17"/>
  <c r="A1299" i="17"/>
  <c r="A322" i="18"/>
  <c r="C322" i="18"/>
  <c r="E322" i="18"/>
  <c r="G322" i="18"/>
  <c r="A77" i="18"/>
  <c r="C77" i="18"/>
  <c r="E77" i="18"/>
  <c r="D563" i="17"/>
  <c r="F1056" i="18"/>
  <c r="C563" i="17"/>
  <c r="D1056" i="18"/>
  <c r="B563" i="17"/>
  <c r="B1056" i="18"/>
  <c r="A318" i="17"/>
  <c r="A563" i="17"/>
  <c r="A808" i="17"/>
  <c r="A1053" i="17"/>
  <c r="A1298" i="17"/>
  <c r="A321" i="18"/>
  <c r="C321" i="18"/>
  <c r="E321" i="18"/>
  <c r="G321" i="18"/>
  <c r="A76" i="18"/>
  <c r="C76" i="18"/>
  <c r="E76" i="18"/>
  <c r="A317" i="17"/>
  <c r="A562" i="17"/>
  <c r="A807" i="17"/>
  <c r="A1052" i="17"/>
  <c r="A1297" i="17"/>
  <c r="A320" i="18"/>
  <c r="C320" i="18"/>
  <c r="E320" i="18"/>
  <c r="G320" i="18"/>
  <c r="A75" i="18"/>
  <c r="C75" i="18"/>
  <c r="E75" i="18"/>
  <c r="A316" i="17"/>
  <c r="A561" i="17"/>
  <c r="A806" i="17"/>
  <c r="A1051" i="17"/>
  <c r="A1296" i="17"/>
  <c r="A319" i="18"/>
  <c r="C319" i="18"/>
  <c r="E319" i="18"/>
  <c r="G319" i="18"/>
  <c r="A74" i="18"/>
  <c r="C74" i="18"/>
  <c r="E74" i="18"/>
  <c r="E315" i="17"/>
  <c r="H318" i="18"/>
  <c r="D315" i="17"/>
  <c r="F318" i="18"/>
  <c r="A73" i="18"/>
  <c r="C73" i="18"/>
  <c r="E73" i="18"/>
  <c r="A72" i="18"/>
  <c r="C72" i="18"/>
  <c r="E72" i="18"/>
  <c r="A71" i="18"/>
  <c r="C71" i="18"/>
  <c r="E71" i="18"/>
  <c r="A70" i="18"/>
  <c r="C70" i="18"/>
  <c r="E70" i="18"/>
  <c r="A69" i="18"/>
  <c r="C69" i="18"/>
  <c r="E69" i="18"/>
  <c r="A68" i="18"/>
  <c r="C68" i="18"/>
  <c r="E68" i="18"/>
  <c r="A67" i="18"/>
  <c r="C67" i="18"/>
  <c r="E67" i="18"/>
  <c r="A66" i="18"/>
  <c r="C66" i="18"/>
  <c r="E66" i="18"/>
  <c r="A307" i="17"/>
  <c r="A552" i="17"/>
  <c r="A797" i="17"/>
  <c r="A1042" i="17"/>
  <c r="A1287" i="17"/>
  <c r="A310" i="18"/>
  <c r="C310" i="18"/>
  <c r="E310" i="18"/>
  <c r="G310" i="18"/>
  <c r="A65" i="18"/>
  <c r="C65" i="18"/>
  <c r="E65" i="18"/>
  <c r="A306" i="17"/>
  <c r="A551" i="17"/>
  <c r="A796" i="17"/>
  <c r="A1041" i="17"/>
  <c r="A1286" i="17"/>
  <c r="A309" i="18"/>
  <c r="C309" i="18"/>
  <c r="E309" i="18"/>
  <c r="G309" i="18"/>
  <c r="A64" i="18"/>
  <c r="C64" i="18"/>
  <c r="E64" i="18"/>
  <c r="A305" i="17"/>
  <c r="A550" i="17"/>
  <c r="A795" i="17"/>
  <c r="A1040" i="17"/>
  <c r="A1285" i="17"/>
  <c r="A308" i="18"/>
  <c r="C308" i="18"/>
  <c r="E308" i="18"/>
  <c r="G308" i="18"/>
  <c r="A63" i="18"/>
  <c r="C63" i="18"/>
  <c r="E63" i="18"/>
  <c r="A304" i="17"/>
  <c r="A549" i="17"/>
  <c r="A794" i="17"/>
  <c r="A1039" i="17"/>
  <c r="A1284" i="17"/>
  <c r="A307" i="18"/>
  <c r="C307" i="18"/>
  <c r="E307" i="18"/>
  <c r="G307" i="18"/>
  <c r="A62" i="18"/>
  <c r="C62" i="18"/>
  <c r="E62" i="18"/>
  <c r="A303" i="17"/>
  <c r="A548" i="17"/>
  <c r="A793" i="17"/>
  <c r="A1038" i="17"/>
  <c r="A1283" i="17"/>
  <c r="A306" i="18"/>
  <c r="C306" i="18"/>
  <c r="E306" i="18"/>
  <c r="G306" i="18"/>
  <c r="A61" i="18"/>
  <c r="C61" i="18"/>
  <c r="E61" i="18"/>
  <c r="A302" i="17"/>
  <c r="A547" i="17"/>
  <c r="A792" i="17"/>
  <c r="A1037" i="17"/>
  <c r="A1282" i="17"/>
  <c r="A305" i="18"/>
  <c r="C305" i="18"/>
  <c r="E305" i="18"/>
  <c r="G305" i="18"/>
  <c r="A60" i="18"/>
  <c r="C60" i="18"/>
  <c r="E60" i="18"/>
  <c r="A301" i="17"/>
  <c r="A546" i="17"/>
  <c r="A791" i="17"/>
  <c r="A1036" i="17"/>
  <c r="A1281" i="17"/>
  <c r="A304" i="18"/>
  <c r="C304" i="18"/>
  <c r="E304" i="18"/>
  <c r="G304" i="18"/>
  <c r="A59" i="18"/>
  <c r="C59" i="18"/>
  <c r="E59" i="18"/>
  <c r="A300" i="17"/>
  <c r="A545" i="17"/>
  <c r="A790" i="17"/>
  <c r="A1035" i="17"/>
  <c r="A1280" i="17"/>
  <c r="A303" i="18"/>
  <c r="C303" i="18"/>
  <c r="E303" i="18"/>
  <c r="G303" i="18"/>
  <c r="A58" i="18"/>
  <c r="C58" i="18"/>
  <c r="E58" i="18"/>
  <c r="A299" i="17"/>
  <c r="A544" i="17"/>
  <c r="A789" i="17"/>
  <c r="A1034" i="17"/>
  <c r="A1279" i="17"/>
  <c r="A302" i="18"/>
  <c r="C302" i="18"/>
  <c r="E302" i="18"/>
  <c r="G302" i="18"/>
  <c r="A57" i="18"/>
  <c r="C57" i="18"/>
  <c r="E57" i="18"/>
  <c r="A298" i="17"/>
  <c r="A543" i="17"/>
  <c r="A788" i="17"/>
  <c r="A1033" i="17"/>
  <c r="A1278" i="17"/>
  <c r="A301" i="18"/>
  <c r="C301" i="18"/>
  <c r="E301" i="18"/>
  <c r="G301" i="18"/>
  <c r="A56" i="18"/>
  <c r="C56" i="18"/>
  <c r="E56" i="18"/>
  <c r="A297" i="17"/>
  <c r="A542" i="17"/>
  <c r="A787" i="17"/>
  <c r="A1032" i="17"/>
  <c r="A1277" i="17"/>
  <c r="A300" i="18"/>
  <c r="C300" i="18"/>
  <c r="E300" i="18"/>
  <c r="G300" i="18"/>
  <c r="A55" i="18"/>
  <c r="C55" i="18"/>
  <c r="E55" i="18"/>
  <c r="A296" i="17"/>
  <c r="A541" i="17"/>
  <c r="A786" i="17"/>
  <c r="A1031" i="17"/>
  <c r="A1276" i="17"/>
  <c r="A299" i="18"/>
  <c r="C299" i="18"/>
  <c r="E299" i="18"/>
  <c r="G299" i="18"/>
  <c r="A54" i="18"/>
  <c r="C54" i="18"/>
  <c r="E54" i="18"/>
  <c r="A295" i="17"/>
  <c r="A540" i="17"/>
  <c r="A785" i="17"/>
  <c r="A1030" i="17"/>
  <c r="A1275" i="17"/>
  <c r="A298" i="18"/>
  <c r="C298" i="18"/>
  <c r="E298" i="18"/>
  <c r="G298" i="18"/>
  <c r="A53" i="18"/>
  <c r="C53" i="18"/>
  <c r="E53" i="18"/>
  <c r="A294" i="17"/>
  <c r="A539" i="17"/>
  <c r="A784" i="17"/>
  <c r="A1029" i="17"/>
  <c r="A1274" i="17"/>
  <c r="A297" i="18"/>
  <c r="C297" i="18"/>
  <c r="E297" i="18"/>
  <c r="G297" i="18"/>
  <c r="A52" i="18"/>
  <c r="C52" i="18"/>
  <c r="E52" i="18"/>
  <c r="A293" i="17"/>
  <c r="A538" i="17"/>
  <c r="A783" i="17"/>
  <c r="A1028" i="17"/>
  <c r="A1273" i="17"/>
  <c r="A296" i="18"/>
  <c r="C296" i="18"/>
  <c r="E296" i="18"/>
  <c r="G296" i="18"/>
  <c r="A51" i="18"/>
  <c r="C51" i="18"/>
  <c r="E51" i="18"/>
  <c r="A292" i="17"/>
  <c r="A537" i="17"/>
  <c r="A782" i="17"/>
  <c r="A1027" i="17"/>
  <c r="A1272" i="17"/>
  <c r="A295" i="18"/>
  <c r="C295" i="18"/>
  <c r="E295" i="18"/>
  <c r="G295" i="18"/>
  <c r="A50" i="18"/>
  <c r="C50" i="18"/>
  <c r="E50" i="18"/>
  <c r="A291" i="17"/>
  <c r="A536" i="17"/>
  <c r="A781" i="17"/>
  <c r="A1026" i="17"/>
  <c r="A1271" i="17"/>
  <c r="A294" i="18"/>
  <c r="C294" i="18"/>
  <c r="E294" i="18"/>
  <c r="G294" i="18"/>
  <c r="A49" i="18"/>
  <c r="C49" i="18"/>
  <c r="E49" i="18"/>
  <c r="A290" i="17"/>
  <c r="A535" i="17"/>
  <c r="A780" i="17"/>
  <c r="A1025" i="17"/>
  <c r="A1270" i="17"/>
  <c r="A293" i="18"/>
  <c r="C293" i="18"/>
  <c r="E293" i="18"/>
  <c r="G293" i="18"/>
  <c r="A48" i="18"/>
  <c r="C48" i="18"/>
  <c r="E48" i="18"/>
  <c r="A289" i="17"/>
  <c r="A534" i="17"/>
  <c r="A779" i="17"/>
  <c r="A1024" i="17"/>
  <c r="A1269" i="17"/>
  <c r="A292" i="18"/>
  <c r="C292" i="18"/>
  <c r="E292" i="18"/>
  <c r="G292" i="18"/>
  <c r="A47" i="18"/>
  <c r="C47" i="18"/>
  <c r="E47" i="18"/>
  <c r="A288" i="17"/>
  <c r="A533" i="17"/>
  <c r="A778" i="17"/>
  <c r="A1023" i="17"/>
  <c r="A1268" i="17"/>
  <c r="A291" i="18"/>
  <c r="C291" i="18"/>
  <c r="E291" i="18"/>
  <c r="G291" i="18"/>
  <c r="A46" i="18"/>
  <c r="C46" i="18"/>
  <c r="E46" i="18"/>
  <c r="A287" i="17"/>
  <c r="A532" i="17"/>
  <c r="A777" i="17"/>
  <c r="A1022" i="17"/>
  <c r="A1267" i="17"/>
  <c r="A290" i="18"/>
  <c r="C290" i="18"/>
  <c r="E290" i="18"/>
  <c r="G290" i="18"/>
  <c r="A45" i="18"/>
  <c r="C45" i="18"/>
  <c r="E45" i="18"/>
  <c r="A286" i="17"/>
  <c r="A531" i="17"/>
  <c r="A776" i="17"/>
  <c r="A1021" i="17"/>
  <c r="A1266" i="17"/>
  <c r="A289" i="18"/>
  <c r="C289" i="18"/>
  <c r="E289" i="18"/>
  <c r="G289" i="18"/>
  <c r="A44" i="18"/>
  <c r="C44" i="18"/>
  <c r="E44" i="18"/>
  <c r="A285" i="17"/>
  <c r="A530" i="17"/>
  <c r="A775" i="17"/>
  <c r="A1020" i="17"/>
  <c r="A1265" i="17"/>
  <c r="A288" i="18"/>
  <c r="C288" i="18"/>
  <c r="E288" i="18"/>
  <c r="G288" i="18"/>
  <c r="A43" i="18"/>
  <c r="C43" i="18"/>
  <c r="E43" i="18"/>
  <c r="A284" i="17"/>
  <c r="A529" i="17"/>
  <c r="A774" i="17"/>
  <c r="A1019" i="17"/>
  <c r="A1264" i="17"/>
  <c r="A287" i="18"/>
  <c r="C287" i="18"/>
  <c r="E287" i="18"/>
  <c r="G287" i="18"/>
  <c r="A42" i="18"/>
  <c r="C42" i="18"/>
  <c r="E42" i="18"/>
  <c r="A283" i="17"/>
  <c r="A528" i="17"/>
  <c r="A773" i="17"/>
  <c r="A1018" i="17"/>
  <c r="A1263" i="17"/>
  <c r="A286" i="18"/>
  <c r="C286" i="18"/>
  <c r="E286" i="18"/>
  <c r="G286" i="18"/>
  <c r="A41" i="18"/>
  <c r="C41" i="18"/>
  <c r="E41" i="18"/>
  <c r="A282" i="17"/>
  <c r="A527" i="17"/>
  <c r="A772" i="17"/>
  <c r="A1017" i="17"/>
  <c r="A1262" i="17"/>
  <c r="A285" i="18"/>
  <c r="C285" i="18"/>
  <c r="E285" i="18"/>
  <c r="G285" i="18"/>
  <c r="A40" i="18"/>
  <c r="C40" i="18"/>
  <c r="E40" i="18"/>
  <c r="A281" i="17"/>
  <c r="A526" i="17"/>
  <c r="A771" i="17"/>
  <c r="A1016" i="17"/>
  <c r="A1261" i="17"/>
  <c r="A284" i="18"/>
  <c r="C284" i="18"/>
  <c r="E284" i="18"/>
  <c r="G284" i="18"/>
  <c r="A39" i="18"/>
  <c r="C39" i="18"/>
  <c r="E39" i="18"/>
  <c r="A280" i="17"/>
  <c r="A525" i="17"/>
  <c r="A770" i="17"/>
  <c r="A1015" i="17"/>
  <c r="A1260" i="17"/>
  <c r="A283" i="18"/>
  <c r="C283" i="18"/>
  <c r="E283" i="18"/>
  <c r="G283" i="18"/>
  <c r="A38" i="18"/>
  <c r="C38" i="18"/>
  <c r="E38" i="18"/>
  <c r="A279" i="17"/>
  <c r="A524" i="17"/>
  <c r="A769" i="17"/>
  <c r="A1014" i="17"/>
  <c r="A1259" i="17"/>
  <c r="A282" i="18"/>
  <c r="C282" i="18"/>
  <c r="E282" i="18"/>
  <c r="G282" i="18"/>
  <c r="A278" i="17"/>
  <c r="A523" i="17"/>
  <c r="A768" i="17"/>
  <c r="A1013" i="17"/>
  <c r="A1258" i="17"/>
  <c r="A281" i="18"/>
  <c r="C281" i="18"/>
  <c r="E281" i="18"/>
  <c r="G281" i="18"/>
  <c r="A277" i="17"/>
  <c r="A522" i="17"/>
  <c r="A767" i="17"/>
  <c r="A1012" i="17"/>
  <c r="A1257" i="17"/>
  <c r="A280" i="18"/>
  <c r="C280" i="18"/>
  <c r="E280" i="18"/>
  <c r="G280" i="18"/>
  <c r="A276" i="17"/>
  <c r="A521" i="17"/>
  <c r="A766" i="17"/>
  <c r="A1011" i="17"/>
  <c r="A1256" i="17"/>
  <c r="A279" i="18"/>
  <c r="C279" i="18"/>
  <c r="E279" i="18"/>
  <c r="G279" i="18"/>
  <c r="A275" i="17"/>
  <c r="A520" i="17"/>
  <c r="A765" i="17"/>
  <c r="A1010" i="17"/>
  <c r="A1255" i="17"/>
  <c r="A278" i="18"/>
  <c r="C278" i="18"/>
  <c r="E278" i="18"/>
  <c r="G278" i="18"/>
  <c r="A274" i="17"/>
  <c r="A519" i="17"/>
  <c r="A764" i="17"/>
  <c r="A1009" i="17"/>
  <c r="A1254" i="17"/>
  <c r="A277" i="18"/>
  <c r="C277" i="18"/>
  <c r="E277" i="18"/>
  <c r="G277" i="18"/>
  <c r="A273" i="17"/>
  <c r="A518" i="17"/>
  <c r="A763" i="17"/>
  <c r="A1008" i="17"/>
  <c r="A1253" i="17"/>
  <c r="A276" i="18"/>
  <c r="C276" i="18"/>
  <c r="E276" i="18"/>
  <c r="G276" i="18"/>
  <c r="A272" i="17"/>
  <c r="A517" i="17"/>
  <c r="A762" i="17"/>
  <c r="A1007" i="17"/>
  <c r="A1252" i="17"/>
  <c r="A275" i="18"/>
  <c r="C275" i="18"/>
  <c r="E275" i="18"/>
  <c r="G275" i="18"/>
  <c r="A271" i="17"/>
  <c r="A516" i="17"/>
  <c r="A761" i="17"/>
  <c r="A1006" i="17"/>
  <c r="A1251" i="17"/>
  <c r="A274" i="18"/>
  <c r="C274" i="18"/>
  <c r="E274" i="18"/>
  <c r="G274" i="18"/>
  <c r="A270" i="17"/>
  <c r="A515" i="17"/>
  <c r="A760" i="17"/>
  <c r="A1005" i="17"/>
  <c r="A1250" i="17"/>
  <c r="A273" i="18"/>
  <c r="C273" i="18"/>
  <c r="E273" i="18"/>
  <c r="G273" i="18"/>
  <c r="C514" i="17"/>
  <c r="D1007" i="18"/>
  <c r="A269" i="17"/>
  <c r="A514" i="17"/>
  <c r="A759" i="17"/>
  <c r="A1004" i="17"/>
  <c r="A1249" i="17"/>
  <c r="A272" i="18"/>
  <c r="C272" i="18"/>
  <c r="E272" i="18"/>
  <c r="G272" i="18"/>
  <c r="B513" i="17"/>
  <c r="B1006" i="18"/>
  <c r="A268" i="17"/>
  <c r="A513" i="17"/>
  <c r="A758" i="17"/>
  <c r="A1003" i="17"/>
  <c r="A1248" i="17"/>
  <c r="A271" i="18"/>
  <c r="C271" i="18"/>
  <c r="E271" i="18"/>
  <c r="G271" i="18"/>
  <c r="C1247" i="17"/>
  <c r="D1740" i="18"/>
  <c r="C1002" i="17"/>
  <c r="D1495" i="18"/>
  <c r="C757" i="17"/>
  <c r="D1250" i="18"/>
  <c r="C512" i="17"/>
  <c r="D1005" i="18"/>
  <c r="B512" i="17"/>
  <c r="B1005" i="18"/>
  <c r="A267" i="17"/>
  <c r="A512" i="17"/>
  <c r="A757" i="17"/>
  <c r="A1002" i="17"/>
  <c r="A1247" i="17"/>
  <c r="A270" i="18"/>
  <c r="C270" i="18"/>
  <c r="E270" i="18"/>
  <c r="G270" i="18"/>
  <c r="A266" i="17"/>
  <c r="A511" i="17"/>
  <c r="A756" i="17"/>
  <c r="A1001" i="17"/>
  <c r="A1246" i="17"/>
  <c r="A269" i="18"/>
  <c r="C269" i="18"/>
  <c r="E269" i="18"/>
  <c r="G269" i="18"/>
  <c r="A265" i="17"/>
  <c r="A510" i="17"/>
  <c r="A755" i="17"/>
  <c r="A1000" i="17"/>
  <c r="A1245" i="17"/>
  <c r="A268" i="18"/>
  <c r="C268" i="18"/>
  <c r="E268" i="18"/>
  <c r="G268" i="18"/>
  <c r="A264" i="17"/>
  <c r="A509" i="17"/>
  <c r="A754" i="17"/>
  <c r="A999" i="17"/>
  <c r="A1244" i="17"/>
  <c r="A267" i="18"/>
  <c r="C267" i="18"/>
  <c r="E267" i="18"/>
  <c r="G267" i="18"/>
  <c r="B508" i="17"/>
  <c r="B1001" i="18"/>
  <c r="A263" i="17"/>
  <c r="A508" i="17"/>
  <c r="A753" i="17"/>
  <c r="A998" i="17"/>
  <c r="A1243" i="17"/>
  <c r="A266" i="18"/>
  <c r="C266" i="18"/>
  <c r="E266" i="18"/>
  <c r="G266" i="18"/>
  <c r="A262" i="17"/>
  <c r="A507" i="17"/>
  <c r="A752" i="17"/>
  <c r="A997" i="17"/>
  <c r="A1242" i="17"/>
  <c r="A265" i="18"/>
  <c r="C265" i="18"/>
  <c r="E265" i="18"/>
  <c r="G265" i="18"/>
  <c r="B506" i="17"/>
  <c r="B999" i="18"/>
  <c r="A261" i="17"/>
  <c r="A506" i="17"/>
  <c r="A751" i="17"/>
  <c r="A996" i="17"/>
  <c r="A1241" i="17"/>
  <c r="A264" i="18"/>
  <c r="C264" i="18"/>
  <c r="E264" i="18"/>
  <c r="G264" i="18"/>
  <c r="A260" i="17"/>
  <c r="A505" i="17"/>
  <c r="A750" i="17"/>
  <c r="A995" i="17"/>
  <c r="A1240" i="17"/>
  <c r="A263" i="18"/>
  <c r="C263" i="18"/>
  <c r="E263" i="18"/>
  <c r="G263" i="18"/>
  <c r="A259" i="17"/>
  <c r="A504" i="17"/>
  <c r="A749" i="17"/>
  <c r="A994" i="17"/>
  <c r="A1239" i="17"/>
  <c r="A262" i="18"/>
  <c r="C262" i="18"/>
  <c r="E262" i="18"/>
  <c r="G262" i="18"/>
  <c r="B503" i="17"/>
  <c r="B996" i="18"/>
  <c r="A258" i="17"/>
  <c r="A503" i="17"/>
  <c r="A748" i="17"/>
  <c r="A993" i="17"/>
  <c r="A1238" i="17"/>
  <c r="A261" i="18"/>
  <c r="C261" i="18"/>
  <c r="E261" i="18"/>
  <c r="G261" i="18"/>
  <c r="A257" i="17"/>
  <c r="A502" i="17"/>
  <c r="A747" i="17"/>
  <c r="A992" i="17"/>
  <c r="A1237" i="17"/>
  <c r="A260" i="18"/>
  <c r="C260" i="18"/>
  <c r="E260" i="18"/>
  <c r="G260" i="18"/>
  <c r="C501" i="17"/>
  <c r="D994" i="18"/>
  <c r="B501" i="17"/>
  <c r="B994" i="18"/>
  <c r="A256" i="17"/>
  <c r="A501" i="17"/>
  <c r="A746" i="17"/>
  <c r="A991" i="17"/>
  <c r="A1236" i="17"/>
  <c r="A259" i="18"/>
  <c r="C259" i="18"/>
  <c r="E259" i="18"/>
  <c r="G259" i="18"/>
  <c r="A255" i="17"/>
  <c r="A500" i="17"/>
  <c r="A745" i="17"/>
  <c r="A990" i="17"/>
  <c r="A1235" i="17"/>
  <c r="A258" i="18"/>
  <c r="C258" i="18"/>
  <c r="E258" i="18"/>
  <c r="G258" i="18"/>
  <c r="A254" i="17"/>
  <c r="A499" i="17"/>
  <c r="A744" i="17"/>
  <c r="A989" i="17"/>
  <c r="A1234" i="17"/>
  <c r="A257" i="18"/>
  <c r="C257" i="18"/>
  <c r="E257" i="18"/>
  <c r="G257" i="18"/>
  <c r="B1233" i="17"/>
  <c r="B1726" i="18"/>
  <c r="B988" i="17"/>
  <c r="B1481" i="18"/>
  <c r="B743" i="17"/>
  <c r="B1236" i="18"/>
  <c r="C498" i="17"/>
  <c r="D991" i="18"/>
  <c r="B498" i="17"/>
  <c r="B991" i="18"/>
  <c r="A253" i="17"/>
  <c r="A498" i="17"/>
  <c r="A743" i="17"/>
  <c r="A988" i="17"/>
  <c r="A1233" i="17"/>
  <c r="A256" i="18"/>
  <c r="C256" i="18"/>
  <c r="E256" i="18"/>
  <c r="G256" i="18"/>
  <c r="A252" i="17"/>
  <c r="A497" i="17"/>
  <c r="A742" i="17"/>
  <c r="A987" i="17"/>
  <c r="A1232" i="17"/>
  <c r="A255" i="18"/>
  <c r="C255" i="18"/>
  <c r="E255" i="18"/>
  <c r="G255" i="18"/>
  <c r="A251" i="17"/>
  <c r="A496" i="17"/>
  <c r="A741" i="17"/>
  <c r="A986" i="17"/>
  <c r="A1231" i="17"/>
  <c r="A254" i="18"/>
  <c r="C254" i="18"/>
  <c r="E254" i="18"/>
  <c r="G254" i="18"/>
  <c r="A250" i="17"/>
  <c r="A495" i="17"/>
  <c r="A740" i="17"/>
  <c r="A985" i="17"/>
  <c r="A1230" i="17"/>
  <c r="A253" i="18"/>
  <c r="C253" i="18"/>
  <c r="E253" i="18"/>
  <c r="G253" i="18"/>
  <c r="D493" i="17"/>
  <c r="F986" i="18"/>
  <c r="A246" i="17"/>
  <c r="A491" i="17"/>
  <c r="A736" i="17"/>
  <c r="A981" i="17"/>
  <c r="A1226" i="17"/>
  <c r="A249" i="18"/>
  <c r="C249" i="18"/>
  <c r="E249" i="18"/>
  <c r="G249" i="18"/>
  <c r="T242" i="17"/>
  <c r="AC242" i="17"/>
  <c r="AL242" i="17"/>
  <c r="AU242" i="17"/>
  <c r="O241" i="17"/>
  <c r="A1222" i="18" s="1"/>
  <c r="X241" i="17"/>
  <c r="A1467" i="18" s="1"/>
  <c r="AG241" i="17"/>
  <c r="A1712" i="18" s="1"/>
  <c r="AP241" i="17"/>
  <c r="A1957" i="18" s="1"/>
  <c r="V239" i="17"/>
  <c r="AE239" i="17"/>
  <c r="AN239" i="17"/>
  <c r="AW239" i="17"/>
  <c r="O238" i="17"/>
  <c r="A1219" i="18" s="1"/>
  <c r="X238" i="17"/>
  <c r="A1464" i="18" s="1"/>
  <c r="AG238" i="17"/>
  <c r="A1709" i="18" s="1"/>
  <c r="AP238" i="17"/>
  <c r="A1954" i="18" s="1"/>
  <c r="O237" i="17"/>
  <c r="A1218" i="18" s="1"/>
  <c r="X237" i="17"/>
  <c r="A1463" i="18" s="1"/>
  <c r="AG237" i="17"/>
  <c r="A1708" i="18" s="1"/>
  <c r="AP237" i="17"/>
  <c r="A1953" i="18" s="1"/>
  <c r="R237" i="17"/>
  <c r="AA237" i="17"/>
  <c r="AJ237" i="17"/>
  <c r="AS237" i="17"/>
  <c r="Q236" i="17"/>
  <c r="C1217" i="18" s="1"/>
  <c r="Z236" i="17"/>
  <c r="C1462" i="18" s="1"/>
  <c r="AI236" i="17"/>
  <c r="C1707" i="18" s="1"/>
  <c r="AR236" i="17"/>
  <c r="C1952" i="18" s="1"/>
  <c r="T236" i="17"/>
  <c r="AC236" i="17"/>
  <c r="AL236" i="17"/>
  <c r="AU236" i="17"/>
  <c r="U207" i="17"/>
  <c r="G1188" i="18" s="1"/>
  <c r="AD207" i="17"/>
  <c r="G1433" i="18" s="1"/>
  <c r="AM207" i="17"/>
  <c r="G1678" i="18" s="1"/>
  <c r="AV207" i="17"/>
  <c r="G1923" i="18" s="1"/>
  <c r="X205" i="17"/>
  <c r="A1431" i="18" s="1"/>
  <c r="O205" i="17"/>
  <c r="A1186" i="18" s="1"/>
  <c r="AG205" i="17"/>
  <c r="A1676" i="18" s="1"/>
  <c r="AP205" i="17"/>
  <c r="A1921" i="18" s="1"/>
  <c r="P205" i="17"/>
  <c r="AH205" i="17"/>
  <c r="AQ205" i="17"/>
  <c r="Y205" i="17"/>
  <c r="AM203" i="17"/>
  <c r="G1674" i="18" s="1"/>
  <c r="AV203" i="17"/>
  <c r="G1919" i="18" s="1"/>
  <c r="U203" i="17"/>
  <c r="G1184" i="18" s="1"/>
  <c r="AD203" i="17"/>
  <c r="G1429" i="18" s="1"/>
  <c r="P200" i="17"/>
  <c r="Y200" i="17"/>
  <c r="AH200" i="17"/>
  <c r="AQ200" i="17"/>
  <c r="V199" i="17"/>
  <c r="AN199" i="17"/>
  <c r="AE199" i="17"/>
  <c r="AW199" i="17"/>
  <c r="Q198" i="17"/>
  <c r="C1179" i="18" s="1"/>
  <c r="Z198" i="17"/>
  <c r="C1424" i="18" s="1"/>
  <c r="AI198" i="17"/>
  <c r="C1669" i="18" s="1"/>
  <c r="AR198" i="17"/>
  <c r="C1914" i="18" s="1"/>
  <c r="C441" i="17"/>
  <c r="D444" i="18"/>
  <c r="AL197" i="17"/>
  <c r="T197" i="17"/>
  <c r="AC197" i="17"/>
  <c r="AU197" i="17"/>
  <c r="R196" i="17"/>
  <c r="AJ196" i="17"/>
  <c r="AA196" i="17"/>
  <c r="AS196" i="17"/>
  <c r="AB195" i="17"/>
  <c r="E1421" i="18" s="1"/>
  <c r="AT195" i="17"/>
  <c r="E1911" i="18" s="1"/>
  <c r="S195" i="17"/>
  <c r="E1176" i="18" s="1"/>
  <c r="AK195" i="17"/>
  <c r="E1666" i="18" s="1"/>
  <c r="P195" i="17"/>
  <c r="AH195" i="17"/>
  <c r="Y195" i="17"/>
  <c r="AQ195" i="17"/>
  <c r="S192" i="17"/>
  <c r="E1173" i="18" s="1"/>
  <c r="AB192" i="17"/>
  <c r="E1418" i="18" s="1"/>
  <c r="AK192" i="17"/>
  <c r="E1663" i="18" s="1"/>
  <c r="AT192" i="17"/>
  <c r="E1908" i="18" s="1"/>
  <c r="S190" i="17"/>
  <c r="E1171" i="18" s="1"/>
  <c r="AB190" i="17"/>
  <c r="E1416" i="18" s="1"/>
  <c r="AK190" i="17"/>
  <c r="E1661" i="18" s="1"/>
  <c r="AT190" i="17"/>
  <c r="E1906" i="18" s="1"/>
  <c r="T189" i="17"/>
  <c r="AC189" i="17"/>
  <c r="AL189" i="17"/>
  <c r="AU189" i="17"/>
  <c r="O188" i="17"/>
  <c r="A1169" i="18" s="1"/>
  <c r="X188" i="17"/>
  <c r="A1414" i="18" s="1"/>
  <c r="AG188" i="17"/>
  <c r="A1659" i="18" s="1"/>
  <c r="AP188" i="17"/>
  <c r="A1904" i="18" s="1"/>
  <c r="S187" i="17"/>
  <c r="E1168" i="18" s="1"/>
  <c r="AB187" i="17"/>
  <c r="E1413" i="18" s="1"/>
  <c r="AK187" i="17"/>
  <c r="E1658" i="18" s="1"/>
  <c r="AT187" i="17"/>
  <c r="E1903" i="18" s="1"/>
  <c r="T187" i="17"/>
  <c r="AC187" i="17"/>
  <c r="AL187" i="17"/>
  <c r="AU187" i="17"/>
  <c r="Q186" i="17"/>
  <c r="C1167" i="18" s="1"/>
  <c r="Z186" i="17"/>
  <c r="C1412" i="18" s="1"/>
  <c r="AI186" i="17"/>
  <c r="C1657" i="18" s="1"/>
  <c r="AR186" i="17"/>
  <c r="C1902" i="18" s="1"/>
  <c r="P186" i="17"/>
  <c r="Y186" i="17"/>
  <c r="AH186" i="17"/>
  <c r="AQ186" i="17"/>
  <c r="Q185" i="17"/>
  <c r="C1166" i="18" s="1"/>
  <c r="Z185" i="17"/>
  <c r="C1411" i="18" s="1"/>
  <c r="AI185" i="17"/>
  <c r="C1656" i="18" s="1"/>
  <c r="AR185" i="17"/>
  <c r="C1901" i="18" s="1"/>
  <c r="T185" i="17"/>
  <c r="AC185" i="17"/>
  <c r="AL185" i="17"/>
  <c r="AU185" i="17"/>
  <c r="T183" i="17"/>
  <c r="AC183" i="17"/>
  <c r="AL183" i="17"/>
  <c r="AU183" i="17"/>
  <c r="C423" i="17"/>
  <c r="D426" i="18"/>
  <c r="V179" i="17"/>
  <c r="AE179" i="17"/>
  <c r="AN179" i="17"/>
  <c r="AW179" i="17"/>
  <c r="U178" i="17"/>
  <c r="G1159" i="18" s="1"/>
  <c r="AD178" i="17"/>
  <c r="G1404" i="18" s="1"/>
  <c r="AM178" i="17"/>
  <c r="G1649" i="18" s="1"/>
  <c r="AV178" i="17"/>
  <c r="G1894" i="18" s="1"/>
  <c r="E421" i="17"/>
  <c r="H424" i="18"/>
  <c r="U177" i="17"/>
  <c r="G1158" i="18" s="1"/>
  <c r="AD177" i="17"/>
  <c r="G1403" i="18" s="1"/>
  <c r="AM177" i="17"/>
  <c r="G1648" i="18" s="1"/>
  <c r="AV177" i="17"/>
  <c r="G1893" i="18" s="1"/>
  <c r="R177" i="17"/>
  <c r="AA177" i="17"/>
  <c r="AJ177" i="17"/>
  <c r="AS177" i="17"/>
  <c r="T176" i="17"/>
  <c r="AC176" i="17"/>
  <c r="AL176" i="17"/>
  <c r="AU176" i="17"/>
  <c r="U174" i="17"/>
  <c r="G1155" i="18" s="1"/>
  <c r="AD174" i="17"/>
  <c r="G1400" i="18" s="1"/>
  <c r="AM174" i="17"/>
  <c r="G1645" i="18" s="1"/>
  <c r="AV174" i="17"/>
  <c r="G1890" i="18" s="1"/>
  <c r="D417" i="17"/>
  <c r="F420" i="18"/>
  <c r="Q173" i="17"/>
  <c r="C1154" i="18" s="1"/>
  <c r="Z173" i="17"/>
  <c r="C1399" i="18" s="1"/>
  <c r="AI173" i="17"/>
  <c r="C1644" i="18" s="1"/>
  <c r="AR173" i="17"/>
  <c r="C1889" i="18" s="1"/>
  <c r="Q172" i="17"/>
  <c r="C1153" i="18" s="1"/>
  <c r="Z172" i="17"/>
  <c r="C1398" i="18" s="1"/>
  <c r="AI172" i="17"/>
  <c r="C1643" i="18" s="1"/>
  <c r="AR172" i="17"/>
  <c r="C1888" i="18" s="1"/>
  <c r="E415" i="17"/>
  <c r="H418" i="18"/>
  <c r="Q171" i="17"/>
  <c r="C1152" i="18" s="1"/>
  <c r="Z171" i="17"/>
  <c r="C1397" i="18" s="1"/>
  <c r="AI171" i="17"/>
  <c r="C1642" i="18" s="1"/>
  <c r="AR171" i="17"/>
  <c r="C1887" i="18" s="1"/>
  <c r="P169" i="17"/>
  <c r="Y169" i="17"/>
  <c r="AH169" i="17"/>
  <c r="AQ169" i="17"/>
  <c r="Q168" i="17"/>
  <c r="C1149" i="18" s="1"/>
  <c r="Z168" i="17"/>
  <c r="C1394" i="18" s="1"/>
  <c r="AI168" i="17"/>
  <c r="C1639" i="18" s="1"/>
  <c r="AR168" i="17"/>
  <c r="C1884" i="18" s="1"/>
  <c r="E411" i="17"/>
  <c r="H414" i="18"/>
  <c r="O167" i="17"/>
  <c r="A1148" i="18" s="1"/>
  <c r="X167" i="17"/>
  <c r="A1393" i="18" s="1"/>
  <c r="AG167" i="17"/>
  <c r="A1638" i="18" s="1"/>
  <c r="AP167" i="17"/>
  <c r="A1883" i="18" s="1"/>
  <c r="B407" i="17"/>
  <c r="B410" i="18"/>
  <c r="Q163" i="17"/>
  <c r="C1144" i="18" s="1"/>
  <c r="Z163" i="17"/>
  <c r="C1389" i="18" s="1"/>
  <c r="AI163" i="17"/>
  <c r="C1634" i="18" s="1"/>
  <c r="AR163" i="17"/>
  <c r="C1879" i="18" s="1"/>
  <c r="Q162" i="17"/>
  <c r="C1143" i="18" s="1"/>
  <c r="Z162" i="17"/>
  <c r="C1388" i="18" s="1"/>
  <c r="AI162" i="17"/>
  <c r="C1633" i="18" s="1"/>
  <c r="AR162" i="17"/>
  <c r="C1878" i="18" s="1"/>
  <c r="C405" i="17"/>
  <c r="D408" i="18"/>
  <c r="S161" i="17"/>
  <c r="E1142" i="18" s="1"/>
  <c r="AB161" i="17"/>
  <c r="E1387" i="18" s="1"/>
  <c r="AK161" i="17"/>
  <c r="E1632" i="18" s="1"/>
  <c r="AT161" i="17"/>
  <c r="E1877" i="18" s="1"/>
  <c r="U160" i="17"/>
  <c r="G1141" i="18" s="1"/>
  <c r="AD160" i="17"/>
  <c r="G1386" i="18" s="1"/>
  <c r="AM160" i="17"/>
  <c r="G1631" i="18" s="1"/>
  <c r="AV160" i="17"/>
  <c r="G1876" i="18" s="1"/>
  <c r="E403" i="17"/>
  <c r="H406" i="18"/>
  <c r="S159" i="17"/>
  <c r="E1140" i="18" s="1"/>
  <c r="AB159" i="17"/>
  <c r="E1385" i="18" s="1"/>
  <c r="AK159" i="17"/>
  <c r="E1630" i="18" s="1"/>
  <c r="AT159" i="17"/>
  <c r="E1875" i="18" s="1"/>
  <c r="C402" i="17"/>
  <c r="D405" i="18"/>
  <c r="E401" i="17"/>
  <c r="H404" i="18"/>
  <c r="U157" i="17"/>
  <c r="G1138" i="18" s="1"/>
  <c r="AD157" i="17"/>
  <c r="G1383" i="18" s="1"/>
  <c r="AM157" i="17"/>
  <c r="G1628" i="18" s="1"/>
  <c r="AV157" i="17"/>
  <c r="G1873" i="18" s="1"/>
  <c r="O157" i="17"/>
  <c r="A1138" i="18" s="1"/>
  <c r="X157" i="17"/>
  <c r="A1383" i="18" s="1"/>
  <c r="AG157" i="17"/>
  <c r="A1628" i="18" s="1"/>
  <c r="AP157" i="17"/>
  <c r="A1873" i="18" s="1"/>
  <c r="R157" i="17"/>
  <c r="AA157" i="17"/>
  <c r="AJ157" i="17"/>
  <c r="AS157" i="17"/>
  <c r="O156" i="17"/>
  <c r="A1137" i="18" s="1"/>
  <c r="X156" i="17"/>
  <c r="A1382" i="18" s="1"/>
  <c r="AG156" i="17"/>
  <c r="A1627" i="18" s="1"/>
  <c r="AP156" i="17"/>
  <c r="A1872" i="18" s="1"/>
  <c r="C399" i="17"/>
  <c r="D402" i="18"/>
  <c r="S155" i="17"/>
  <c r="E1136" i="18" s="1"/>
  <c r="AB155" i="17"/>
  <c r="E1381" i="18" s="1"/>
  <c r="AK155" i="17"/>
  <c r="E1626" i="18" s="1"/>
  <c r="AT155" i="17"/>
  <c r="E1871" i="18" s="1"/>
  <c r="D398" i="17"/>
  <c r="F401" i="18"/>
  <c r="U154" i="17"/>
  <c r="G1135" i="18" s="1"/>
  <c r="AD154" i="17"/>
  <c r="G1380" i="18" s="1"/>
  <c r="AM154" i="17"/>
  <c r="G1625" i="18" s="1"/>
  <c r="AV154" i="17"/>
  <c r="G1870" i="18" s="1"/>
  <c r="Q154" i="17"/>
  <c r="C1135" i="18" s="1"/>
  <c r="Z154" i="17"/>
  <c r="C1380" i="18" s="1"/>
  <c r="AI154" i="17"/>
  <c r="C1625" i="18" s="1"/>
  <c r="AR154" i="17"/>
  <c r="C1870" i="18" s="1"/>
  <c r="D397" i="17"/>
  <c r="F400" i="18"/>
  <c r="AP113" i="17"/>
  <c r="A1829" i="18" s="1"/>
  <c r="O113" i="17"/>
  <c r="A1094" i="18" s="1"/>
  <c r="X113" i="17"/>
  <c r="A1339" i="18" s="1"/>
  <c r="AG113" i="17"/>
  <c r="A1584" i="18" s="1"/>
  <c r="AV112" i="17"/>
  <c r="G1828" i="18" s="1"/>
  <c r="U112" i="17"/>
  <c r="G1093" i="18" s="1"/>
  <c r="AM112" i="17"/>
  <c r="G1583" i="18" s="1"/>
  <c r="AD112" i="17"/>
  <c r="G1338" i="18" s="1"/>
  <c r="X112" i="17"/>
  <c r="A1338" i="18" s="1"/>
  <c r="O112" i="17"/>
  <c r="A1093" i="18" s="1"/>
  <c r="AG112" i="17"/>
  <c r="A1583" i="18" s="1"/>
  <c r="AP112" i="17"/>
  <c r="A1828" i="18" s="1"/>
  <c r="H358" i="18"/>
  <c r="E355" i="17"/>
  <c r="AD111" i="17"/>
  <c r="G1337" i="18" s="1"/>
  <c r="U111" i="17"/>
  <c r="G1092" i="18" s="1"/>
  <c r="AM111" i="17"/>
  <c r="G1582" i="18" s="1"/>
  <c r="AV111" i="17"/>
  <c r="G1827" i="18" s="1"/>
  <c r="S110" i="17"/>
  <c r="E1091" i="18" s="1"/>
  <c r="AK110" i="17"/>
  <c r="E1581" i="18" s="1"/>
  <c r="AB110" i="17"/>
  <c r="E1336" i="18" s="1"/>
  <c r="AT110" i="17"/>
  <c r="E1826" i="18" s="1"/>
  <c r="AE108" i="17"/>
  <c r="AW108" i="17"/>
  <c r="V108" i="17"/>
  <c r="AN108" i="17"/>
  <c r="E350" i="17"/>
  <c r="H353" i="18"/>
  <c r="AQ107" i="17"/>
  <c r="Y107" i="17"/>
  <c r="P107" i="17"/>
  <c r="AH107" i="17"/>
  <c r="Z105" i="17"/>
  <c r="C1331" i="18" s="1"/>
  <c r="AI105" i="17"/>
  <c r="C1576" i="18" s="1"/>
  <c r="Q105" i="17"/>
  <c r="C1086" i="18" s="1"/>
  <c r="AR105" i="17"/>
  <c r="C1821" i="18" s="1"/>
  <c r="H351" i="18"/>
  <c r="E348" i="17"/>
  <c r="AP104" i="17"/>
  <c r="A1820" i="18" s="1"/>
  <c r="AG104" i="17"/>
  <c r="A1575" i="18" s="1"/>
  <c r="O104" i="17"/>
  <c r="A1085" i="18" s="1"/>
  <c r="X104" i="17"/>
  <c r="A1330" i="18" s="1"/>
  <c r="C347" i="17"/>
  <c r="D350" i="18"/>
  <c r="P104" i="17"/>
  <c r="Y104" i="17"/>
  <c r="AQ104" i="17"/>
  <c r="AH104" i="17"/>
  <c r="AV103" i="17"/>
  <c r="G1819" i="18" s="1"/>
  <c r="U103" i="17"/>
  <c r="G1084" i="18" s="1"/>
  <c r="AM103" i="17"/>
  <c r="G1574" i="18" s="1"/>
  <c r="AD103" i="17"/>
  <c r="G1329" i="18" s="1"/>
  <c r="O103" i="17"/>
  <c r="A1084" i="18" s="1"/>
  <c r="X103" i="17"/>
  <c r="A1329" i="18" s="1"/>
  <c r="AG103" i="17"/>
  <c r="A1574" i="18" s="1"/>
  <c r="AP103" i="17"/>
  <c r="A1819" i="18" s="1"/>
  <c r="AQ103" i="17"/>
  <c r="P103" i="17"/>
  <c r="Y103" i="17"/>
  <c r="AH103" i="17"/>
  <c r="AB102" i="17"/>
  <c r="E1328" i="18" s="1"/>
  <c r="S102" i="17"/>
  <c r="E1083" i="18" s="1"/>
  <c r="AK102" i="17"/>
  <c r="E1573" i="18" s="1"/>
  <c r="AT102" i="17"/>
  <c r="E1818" i="18" s="1"/>
  <c r="B345" i="17"/>
  <c r="B348" i="18"/>
  <c r="AR101" i="17"/>
  <c r="C1817" i="18" s="1"/>
  <c r="Q101" i="17"/>
  <c r="C1082" i="18" s="1"/>
  <c r="Z101" i="17"/>
  <c r="C1327" i="18" s="1"/>
  <c r="AI101" i="17"/>
  <c r="C1572" i="18" s="1"/>
  <c r="AL101" i="17"/>
  <c r="T101" i="17"/>
  <c r="AU101" i="17"/>
  <c r="AC101" i="17"/>
  <c r="O96" i="17"/>
  <c r="A1077" i="18" s="1"/>
  <c r="AG96" i="17"/>
  <c r="A1567" i="18" s="1"/>
  <c r="X96" i="17"/>
  <c r="A1322" i="18" s="1"/>
  <c r="AP96" i="17"/>
  <c r="A1812" i="18" s="1"/>
  <c r="AC96" i="17"/>
  <c r="AU96" i="17"/>
  <c r="T96" i="17"/>
  <c r="AL96" i="17"/>
  <c r="X95" i="17"/>
  <c r="A1321" i="18" s="1"/>
  <c r="AP95" i="17"/>
  <c r="A1811" i="18" s="1"/>
  <c r="O95" i="17"/>
  <c r="A1076" i="18" s="1"/>
  <c r="AG95" i="17"/>
  <c r="A1566" i="18" s="1"/>
  <c r="AR93" i="17"/>
  <c r="C1809" i="18" s="1"/>
  <c r="AI93" i="17"/>
  <c r="C1564" i="18" s="1"/>
  <c r="Q93" i="17"/>
  <c r="C1074" i="18" s="1"/>
  <c r="Z93" i="17"/>
  <c r="C1319" i="18" s="1"/>
  <c r="V91" i="17"/>
  <c r="AE91" i="17"/>
  <c r="AN91" i="17"/>
  <c r="AW91" i="17"/>
  <c r="S89" i="17"/>
  <c r="E1070" i="18" s="1"/>
  <c r="AB89" i="17"/>
  <c r="E1315" i="18" s="1"/>
  <c r="AK89" i="17"/>
  <c r="E1560" i="18" s="1"/>
  <c r="AT89" i="17"/>
  <c r="E1805" i="18" s="1"/>
  <c r="O88" i="17"/>
  <c r="A1069" i="18" s="1"/>
  <c r="X88" i="17"/>
  <c r="A1314" i="18" s="1"/>
  <c r="AG88" i="17"/>
  <c r="A1559" i="18" s="1"/>
  <c r="AP88" i="17"/>
  <c r="A1804" i="18" s="1"/>
  <c r="P87" i="17"/>
  <c r="Y87" i="17"/>
  <c r="AH87" i="17"/>
  <c r="AQ87" i="17"/>
  <c r="O86" i="17"/>
  <c r="A1067" i="18" s="1"/>
  <c r="X86" i="17"/>
  <c r="A1312" i="18" s="1"/>
  <c r="AG86" i="17"/>
  <c r="A1557" i="18" s="1"/>
  <c r="AP86" i="17"/>
  <c r="A1802" i="18" s="1"/>
  <c r="T86" i="17"/>
  <c r="AC86" i="17"/>
  <c r="AL86" i="17"/>
  <c r="AU86" i="17"/>
  <c r="R85" i="17"/>
  <c r="AA85" i="17"/>
  <c r="AJ85" i="17"/>
  <c r="AS85" i="17"/>
  <c r="Q84" i="17"/>
  <c r="C1065" i="18" s="1"/>
  <c r="Z84" i="17"/>
  <c r="C1310" i="18" s="1"/>
  <c r="AI84" i="17"/>
  <c r="C1555" i="18" s="1"/>
  <c r="AR84" i="17"/>
  <c r="C1800" i="18" s="1"/>
  <c r="B326" i="17"/>
  <c r="B329" i="18"/>
  <c r="S82" i="17"/>
  <c r="E1063" i="18" s="1"/>
  <c r="AB82" i="17"/>
  <c r="E1308" i="18" s="1"/>
  <c r="AK82" i="17"/>
  <c r="E1553" i="18" s="1"/>
  <c r="AT82" i="17"/>
  <c r="E1798" i="18" s="1"/>
  <c r="R81" i="17"/>
  <c r="AA81" i="17"/>
  <c r="AJ81" i="17"/>
  <c r="AS81" i="17"/>
  <c r="B323" i="17"/>
  <c r="B326" i="18"/>
  <c r="U78" i="17"/>
  <c r="G1059" i="18" s="1"/>
  <c r="AD78" i="17"/>
  <c r="G1304" i="18" s="1"/>
  <c r="AM78" i="17"/>
  <c r="G1549" i="18" s="1"/>
  <c r="AV78" i="17"/>
  <c r="G1794" i="18" s="1"/>
  <c r="B320" i="17"/>
  <c r="B323" i="18"/>
  <c r="B319" i="17"/>
  <c r="B322" i="18"/>
  <c r="O75" i="17"/>
  <c r="A1056" i="18" s="1"/>
  <c r="X75" i="17"/>
  <c r="A1301" i="18" s="1"/>
  <c r="AG75" i="17"/>
  <c r="A1546" i="18" s="1"/>
  <c r="AP75" i="17"/>
  <c r="A1791" i="18" s="1"/>
  <c r="E318" i="17"/>
  <c r="H321" i="18"/>
  <c r="S26" i="17"/>
  <c r="E1007" i="18" s="1"/>
  <c r="AB26" i="17"/>
  <c r="E1252" i="18" s="1"/>
  <c r="AK26" i="17"/>
  <c r="E1497" i="18" s="1"/>
  <c r="AT26" i="17"/>
  <c r="E1742" i="18" s="1"/>
  <c r="C269" i="17"/>
  <c r="D272" i="18"/>
  <c r="B268" i="17"/>
  <c r="B271" i="18"/>
  <c r="O24" i="17"/>
  <c r="A1005" i="18" s="1"/>
  <c r="X24" i="17"/>
  <c r="A1250" i="18" s="1"/>
  <c r="AG24" i="17"/>
  <c r="A1495" i="18" s="1"/>
  <c r="AP24" i="17"/>
  <c r="A1740" i="18" s="1"/>
  <c r="E267" i="17"/>
  <c r="H270" i="18"/>
  <c r="U23" i="17"/>
  <c r="G1004" i="18" s="1"/>
  <c r="AD23" i="17"/>
  <c r="G1249" i="18" s="1"/>
  <c r="AM23" i="17"/>
  <c r="G1494" i="18" s="1"/>
  <c r="AV23" i="17"/>
  <c r="G1739" i="18" s="1"/>
  <c r="B265" i="17"/>
  <c r="B268" i="18"/>
  <c r="U21" i="17"/>
  <c r="G1002" i="18" s="1"/>
  <c r="AD21" i="17"/>
  <c r="G1247" i="18" s="1"/>
  <c r="AM21" i="17"/>
  <c r="G1492" i="18" s="1"/>
  <c r="AV21" i="17"/>
  <c r="G1737" i="18" s="1"/>
  <c r="C264" i="17"/>
  <c r="D267" i="18"/>
  <c r="T20" i="17"/>
  <c r="AC20" i="17"/>
  <c r="AL20" i="17"/>
  <c r="AU20" i="17"/>
  <c r="T18" i="17"/>
  <c r="AC18" i="17"/>
  <c r="AL18" i="17"/>
  <c r="AU18" i="17"/>
  <c r="C260" i="17"/>
  <c r="D263" i="18"/>
  <c r="Q14" i="17"/>
  <c r="C995" i="18" s="1"/>
  <c r="Z14" i="17"/>
  <c r="C1240" i="18" s="1"/>
  <c r="AI14" i="17"/>
  <c r="C1485" i="18" s="1"/>
  <c r="AR14" i="17"/>
  <c r="C1730" i="18" s="1"/>
  <c r="D257" i="17"/>
  <c r="F260" i="18"/>
  <c r="O12" i="17"/>
  <c r="A993" i="18" s="1"/>
  <c r="X12" i="17"/>
  <c r="A1238" i="18" s="1"/>
  <c r="AG12" i="17"/>
  <c r="A1483" i="18" s="1"/>
  <c r="AP12" i="17"/>
  <c r="A1728" i="18" s="1"/>
  <c r="E253" i="17"/>
  <c r="H256" i="18"/>
  <c r="R9" i="17"/>
  <c r="AA9" i="17"/>
  <c r="AJ9" i="17"/>
  <c r="AS9" i="17"/>
  <c r="S8" i="17"/>
  <c r="E989" i="18" s="1"/>
  <c r="AB8" i="17"/>
  <c r="E1234" i="18" s="1"/>
  <c r="AK8" i="17"/>
  <c r="E1479" i="18" s="1"/>
  <c r="AT8" i="17"/>
  <c r="E1724" i="18" s="1"/>
  <c r="U7" i="17"/>
  <c r="G988" i="18" s="1"/>
  <c r="AD7" i="17"/>
  <c r="G1233" i="18" s="1"/>
  <c r="AM7" i="17"/>
  <c r="G1478" i="18" s="1"/>
  <c r="AV7" i="17"/>
  <c r="G1723" i="18" s="1"/>
  <c r="AB6" i="17"/>
  <c r="E1232" i="18" s="1"/>
  <c r="AK6" i="17"/>
  <c r="E1477" i="18" s="1"/>
  <c r="AT6" i="17"/>
  <c r="E1722" i="18" s="1"/>
  <c r="S6" i="17"/>
  <c r="E987" i="18" s="1"/>
  <c r="H252" i="18"/>
  <c r="E249" i="17"/>
  <c r="U5" i="17"/>
  <c r="G986" i="18" s="1"/>
  <c r="AD5" i="17"/>
  <c r="G1231" i="18" s="1"/>
  <c r="AV5" i="17"/>
  <c r="G1721" i="18" s="1"/>
  <c r="AM5" i="17"/>
  <c r="G1476" i="18" s="1"/>
  <c r="AK4" i="17"/>
  <c r="E1475" i="18" s="1"/>
  <c r="AT4" i="17"/>
  <c r="E1720" i="18" s="1"/>
  <c r="S4" i="17"/>
  <c r="E985" i="18" s="1"/>
  <c r="AB4" i="17"/>
  <c r="E1230" i="18" s="1"/>
  <c r="V3" i="17"/>
  <c r="AE3" i="17"/>
  <c r="AN3" i="17"/>
  <c r="AW3" i="17"/>
  <c r="C139" i="6"/>
  <c r="J139" i="10"/>
  <c r="G139" i="17" s="1"/>
  <c r="F140" i="18" s="1"/>
  <c r="M139" i="10"/>
  <c r="Z139" i="5"/>
  <c r="D139" i="6"/>
  <c r="C139" i="5"/>
  <c r="AA139" i="5"/>
  <c r="W139" i="10"/>
  <c r="D139" i="5"/>
  <c r="AE138" i="5"/>
  <c r="AF138" i="5" s="1"/>
  <c r="I138" i="5"/>
  <c r="J138" i="5" s="1"/>
  <c r="C132" i="5"/>
  <c r="AA132" i="5"/>
  <c r="D132" i="5"/>
  <c r="D132" i="6"/>
  <c r="Z132" i="5"/>
  <c r="AG132" i="5" s="1"/>
  <c r="AH132" i="5" s="1"/>
  <c r="W132" i="10"/>
  <c r="C129" i="6"/>
  <c r="J129" i="10"/>
  <c r="G129" i="17" s="1"/>
  <c r="F130" i="18" s="1"/>
  <c r="M129" i="10"/>
  <c r="AK126" i="5"/>
  <c r="B126" i="6"/>
  <c r="H126" i="10"/>
  <c r="E126" i="17" s="1"/>
  <c r="B127" i="18" s="1"/>
  <c r="I126" i="10"/>
  <c r="F126" i="17" s="1"/>
  <c r="D127" i="18" s="1"/>
  <c r="L126" i="10"/>
  <c r="AE124" i="5"/>
  <c r="AF124" i="5" s="1"/>
  <c r="I124" i="5"/>
  <c r="J124" i="5" s="1"/>
  <c r="C124" i="5"/>
  <c r="AA124" i="5"/>
  <c r="D124" i="6"/>
  <c r="W124" i="10"/>
  <c r="Z124" i="5"/>
  <c r="D124" i="5"/>
  <c r="AE123" i="5"/>
  <c r="AF123" i="5" s="1"/>
  <c r="I123" i="5"/>
  <c r="J123" i="5" s="1"/>
  <c r="AA123" i="5"/>
  <c r="D123" i="5"/>
  <c r="D123" i="6"/>
  <c r="C123" i="5"/>
  <c r="K123" i="5" s="1"/>
  <c r="L123" i="5" s="1"/>
  <c r="W123" i="10"/>
  <c r="Z123" i="5"/>
  <c r="AG123" i="5" s="1"/>
  <c r="AH123" i="5" s="1"/>
  <c r="C120" i="6"/>
  <c r="J120" i="10"/>
  <c r="G120" i="17" s="1"/>
  <c r="F121" i="18" s="1"/>
  <c r="M120" i="10"/>
  <c r="I117" i="5"/>
  <c r="J117" i="5" s="1"/>
  <c r="AE117" i="5"/>
  <c r="AF117" i="5" s="1"/>
  <c r="I115" i="5"/>
  <c r="J115" i="5" s="1"/>
  <c r="AE115" i="5"/>
  <c r="AF115" i="5" s="1"/>
  <c r="C113" i="5"/>
  <c r="AA113" i="5"/>
  <c r="D113" i="6"/>
  <c r="D113" i="5"/>
  <c r="W113" i="10"/>
  <c r="Z113" i="5"/>
  <c r="AG113" i="5" s="1"/>
  <c r="AH113" i="5" s="1"/>
  <c r="AE112" i="5"/>
  <c r="AF112" i="5" s="1"/>
  <c r="I112" i="5"/>
  <c r="J112" i="5" s="1"/>
  <c r="AE108" i="5"/>
  <c r="AF108" i="5" s="1"/>
  <c r="I108" i="5"/>
  <c r="J108" i="5" s="1"/>
  <c r="AK106" i="5"/>
  <c r="B106" i="6"/>
  <c r="H106" i="10"/>
  <c r="E106" i="17" s="1"/>
  <c r="B107" i="18" s="1"/>
  <c r="I106" i="10"/>
  <c r="F106" i="17" s="1"/>
  <c r="D107" i="18" s="1"/>
  <c r="L106" i="10"/>
  <c r="B102" i="6"/>
  <c r="H102" i="10"/>
  <c r="E102" i="17" s="1"/>
  <c r="B103" i="18" s="1"/>
  <c r="I102" i="10"/>
  <c r="F102" i="17" s="1"/>
  <c r="D103" i="18" s="1"/>
  <c r="L102" i="10"/>
  <c r="AK102" i="5"/>
  <c r="B99" i="6"/>
  <c r="AK99" i="5"/>
  <c r="H99" i="10"/>
  <c r="E99" i="17" s="1"/>
  <c r="B100" i="18" s="1"/>
  <c r="I99" i="10"/>
  <c r="F99" i="17" s="1"/>
  <c r="D100" i="18" s="1"/>
  <c r="L99" i="10"/>
  <c r="U235" i="17"/>
  <c r="G1216" i="18" s="1"/>
  <c r="AD235" i="17"/>
  <c r="G1461" i="18" s="1"/>
  <c r="AM235" i="17"/>
  <c r="G1706" i="18" s="1"/>
  <c r="AV235" i="17"/>
  <c r="G1951" i="18" s="1"/>
  <c r="S235" i="17"/>
  <c r="E1216" i="18" s="1"/>
  <c r="AB235" i="17"/>
  <c r="E1461" i="18" s="1"/>
  <c r="AK235" i="17"/>
  <c r="E1706" i="18" s="1"/>
  <c r="AT235" i="17"/>
  <c r="E1951" i="18" s="1"/>
  <c r="Q235" i="17"/>
  <c r="C1216" i="18" s="1"/>
  <c r="Z235" i="17"/>
  <c r="C1461" i="18" s="1"/>
  <c r="AI235" i="17"/>
  <c r="C1706" i="18" s="1"/>
  <c r="AR235" i="17"/>
  <c r="C1951" i="18" s="1"/>
  <c r="O235" i="17"/>
  <c r="A1216" i="18" s="1"/>
  <c r="X235" i="17"/>
  <c r="A1461" i="18" s="1"/>
  <c r="AG235" i="17"/>
  <c r="A1706" i="18" s="1"/>
  <c r="AP235" i="17"/>
  <c r="A1951" i="18" s="1"/>
  <c r="E478" i="17"/>
  <c r="H481" i="18"/>
  <c r="D478" i="17"/>
  <c r="F481" i="18"/>
  <c r="C478" i="17"/>
  <c r="D481" i="18"/>
  <c r="B478" i="17"/>
  <c r="B481" i="18"/>
  <c r="V235" i="17"/>
  <c r="AE235" i="17"/>
  <c r="AN235" i="17"/>
  <c r="AW235" i="17"/>
  <c r="T235" i="17"/>
  <c r="AC235" i="17"/>
  <c r="AL235" i="17"/>
  <c r="AU235" i="17"/>
  <c r="R235" i="17"/>
  <c r="AA235" i="17"/>
  <c r="AJ235" i="17"/>
  <c r="AS235" i="17"/>
  <c r="P235" i="17"/>
  <c r="Y235" i="17"/>
  <c r="AH235" i="17"/>
  <c r="AQ235" i="17"/>
  <c r="U234" i="17"/>
  <c r="G1215" i="18" s="1"/>
  <c r="AD234" i="17"/>
  <c r="G1460" i="18" s="1"/>
  <c r="AM234" i="17"/>
  <c r="G1705" i="18" s="1"/>
  <c r="AV234" i="17"/>
  <c r="G1950" i="18" s="1"/>
  <c r="S234" i="17"/>
  <c r="E1215" i="18" s="1"/>
  <c r="AB234" i="17"/>
  <c r="E1460" i="18" s="1"/>
  <c r="AK234" i="17"/>
  <c r="E1705" i="18" s="1"/>
  <c r="AT234" i="17"/>
  <c r="E1950" i="18" s="1"/>
  <c r="Q234" i="17"/>
  <c r="C1215" i="18" s="1"/>
  <c r="Z234" i="17"/>
  <c r="C1460" i="18" s="1"/>
  <c r="AI234" i="17"/>
  <c r="C1705" i="18" s="1"/>
  <c r="AR234" i="17"/>
  <c r="C1950" i="18" s="1"/>
  <c r="O234" i="17"/>
  <c r="A1215" i="18" s="1"/>
  <c r="X234" i="17"/>
  <c r="A1460" i="18" s="1"/>
  <c r="AG234" i="17"/>
  <c r="A1705" i="18" s="1"/>
  <c r="AP234" i="17"/>
  <c r="A1950" i="18" s="1"/>
  <c r="E477" i="17"/>
  <c r="H480" i="18"/>
  <c r="D477" i="17"/>
  <c r="F480" i="18"/>
  <c r="C477" i="17"/>
  <c r="D480" i="18"/>
  <c r="B477" i="17"/>
  <c r="B480" i="18"/>
  <c r="V234" i="17"/>
  <c r="AE234" i="17"/>
  <c r="AN234" i="17"/>
  <c r="AW234" i="17"/>
  <c r="T234" i="17"/>
  <c r="AC234" i="17"/>
  <c r="AL234" i="17"/>
  <c r="AU234" i="17"/>
  <c r="R234" i="17"/>
  <c r="AA234" i="17"/>
  <c r="AJ234" i="17"/>
  <c r="AS234" i="17"/>
  <c r="P234" i="17"/>
  <c r="Y234" i="17"/>
  <c r="AH234" i="17"/>
  <c r="AQ234" i="17"/>
  <c r="U233" i="17"/>
  <c r="G1214" i="18" s="1"/>
  <c r="AD233" i="17"/>
  <c r="G1459" i="18" s="1"/>
  <c r="AM233" i="17"/>
  <c r="G1704" i="18" s="1"/>
  <c r="AV233" i="17"/>
  <c r="G1949" i="18" s="1"/>
  <c r="S233" i="17"/>
  <c r="E1214" i="18" s="1"/>
  <c r="AB233" i="17"/>
  <c r="E1459" i="18" s="1"/>
  <c r="AK233" i="17"/>
  <c r="E1704" i="18" s="1"/>
  <c r="AT233" i="17"/>
  <c r="E1949" i="18" s="1"/>
  <c r="Q233" i="17"/>
  <c r="C1214" i="18" s="1"/>
  <c r="Z233" i="17"/>
  <c r="C1459" i="18" s="1"/>
  <c r="AI233" i="17"/>
  <c r="C1704" i="18" s="1"/>
  <c r="AR233" i="17"/>
  <c r="C1949" i="18" s="1"/>
  <c r="O233" i="17"/>
  <c r="A1214" i="18" s="1"/>
  <c r="X233" i="17"/>
  <c r="A1459" i="18" s="1"/>
  <c r="AG233" i="17"/>
  <c r="A1704" i="18" s="1"/>
  <c r="AP233" i="17"/>
  <c r="A1949" i="18" s="1"/>
  <c r="E476" i="17"/>
  <c r="H479" i="18"/>
  <c r="D476" i="17"/>
  <c r="F479" i="18"/>
  <c r="C476" i="17"/>
  <c r="D479" i="18"/>
  <c r="B476" i="17"/>
  <c r="B479" i="18"/>
  <c r="V233" i="17"/>
  <c r="AE233" i="17"/>
  <c r="AN233" i="17"/>
  <c r="AW233" i="17"/>
  <c r="T233" i="17"/>
  <c r="AC233" i="17"/>
  <c r="AL233" i="17"/>
  <c r="AU233" i="17"/>
  <c r="R233" i="17"/>
  <c r="AA233" i="17"/>
  <c r="AJ233" i="17"/>
  <c r="AS233" i="17"/>
  <c r="P233" i="17"/>
  <c r="Y233" i="17"/>
  <c r="AH233" i="17"/>
  <c r="AQ233" i="17"/>
  <c r="U232" i="17"/>
  <c r="G1213" i="18" s="1"/>
  <c r="AD232" i="17"/>
  <c r="G1458" i="18" s="1"/>
  <c r="AM232" i="17"/>
  <c r="G1703" i="18" s="1"/>
  <c r="AV232" i="17"/>
  <c r="G1948" i="18" s="1"/>
  <c r="S232" i="17"/>
  <c r="E1213" i="18" s="1"/>
  <c r="AB232" i="17"/>
  <c r="E1458" i="18" s="1"/>
  <c r="AK232" i="17"/>
  <c r="E1703" i="18" s="1"/>
  <c r="AT232" i="17"/>
  <c r="E1948" i="18" s="1"/>
  <c r="Q232" i="17"/>
  <c r="C1213" i="18" s="1"/>
  <c r="Z232" i="17"/>
  <c r="C1458" i="18" s="1"/>
  <c r="AI232" i="17"/>
  <c r="C1703" i="18" s="1"/>
  <c r="AR232" i="17"/>
  <c r="C1948" i="18" s="1"/>
  <c r="O232" i="17"/>
  <c r="A1213" i="18" s="1"/>
  <c r="X232" i="17"/>
  <c r="A1458" i="18" s="1"/>
  <c r="AG232" i="17"/>
  <c r="A1703" i="18" s="1"/>
  <c r="AP232" i="17"/>
  <c r="A1948" i="18" s="1"/>
  <c r="E475" i="17"/>
  <c r="H478" i="18"/>
  <c r="D475" i="17"/>
  <c r="F478" i="18"/>
  <c r="C475" i="17"/>
  <c r="D478" i="18"/>
  <c r="B475" i="17"/>
  <c r="B478" i="18"/>
  <c r="V232" i="17"/>
  <c r="AE232" i="17"/>
  <c r="AN232" i="17"/>
  <c r="AW232" i="17"/>
  <c r="T232" i="17"/>
  <c r="AC232" i="17"/>
  <c r="AL232" i="17"/>
  <c r="AU232" i="17"/>
  <c r="R232" i="17"/>
  <c r="AA232" i="17"/>
  <c r="AJ232" i="17"/>
  <c r="AS232" i="17"/>
  <c r="P232" i="17"/>
  <c r="Y232" i="17"/>
  <c r="AH232" i="17"/>
  <c r="AQ232" i="17"/>
  <c r="U231" i="17"/>
  <c r="G1212" i="18" s="1"/>
  <c r="AD231" i="17"/>
  <c r="G1457" i="18" s="1"/>
  <c r="AM231" i="17"/>
  <c r="G1702" i="18" s="1"/>
  <c r="AV231" i="17"/>
  <c r="G1947" i="18" s="1"/>
  <c r="S231" i="17"/>
  <c r="E1212" i="18" s="1"/>
  <c r="AB231" i="17"/>
  <c r="E1457" i="18" s="1"/>
  <c r="AK231" i="17"/>
  <c r="E1702" i="18" s="1"/>
  <c r="AT231" i="17"/>
  <c r="E1947" i="18" s="1"/>
  <c r="Q231" i="17"/>
  <c r="C1212" i="18" s="1"/>
  <c r="Z231" i="17"/>
  <c r="C1457" i="18" s="1"/>
  <c r="AI231" i="17"/>
  <c r="C1702" i="18" s="1"/>
  <c r="AR231" i="17"/>
  <c r="C1947" i="18" s="1"/>
  <c r="O231" i="17"/>
  <c r="A1212" i="18" s="1"/>
  <c r="X231" i="17"/>
  <c r="A1457" i="18" s="1"/>
  <c r="AG231" i="17"/>
  <c r="A1702" i="18" s="1"/>
  <c r="AP231" i="17"/>
  <c r="A1947" i="18" s="1"/>
  <c r="E474" i="17"/>
  <c r="H477" i="18"/>
  <c r="D474" i="17"/>
  <c r="F477" i="18"/>
  <c r="C474" i="17"/>
  <c r="D477" i="18"/>
  <c r="B474" i="17"/>
  <c r="B477" i="18"/>
  <c r="V231" i="17"/>
  <c r="AE231" i="17"/>
  <c r="AN231" i="17"/>
  <c r="AW231" i="17"/>
  <c r="T231" i="17"/>
  <c r="AC231" i="17"/>
  <c r="AL231" i="17"/>
  <c r="AU231" i="17"/>
  <c r="R231" i="17"/>
  <c r="AA231" i="17"/>
  <c r="AJ231" i="17"/>
  <c r="AS231" i="17"/>
  <c r="P231" i="17"/>
  <c r="Y231" i="17"/>
  <c r="AH231" i="17"/>
  <c r="AQ231" i="17"/>
  <c r="U230" i="17"/>
  <c r="G1211" i="18" s="1"/>
  <c r="AD230" i="17"/>
  <c r="G1456" i="18" s="1"/>
  <c r="AM230" i="17"/>
  <c r="G1701" i="18" s="1"/>
  <c r="AV230" i="17"/>
  <c r="G1946" i="18" s="1"/>
  <c r="S230" i="17"/>
  <c r="E1211" i="18" s="1"/>
  <c r="AB230" i="17"/>
  <c r="E1456" i="18" s="1"/>
  <c r="AK230" i="17"/>
  <c r="E1701" i="18" s="1"/>
  <c r="AT230" i="17"/>
  <c r="E1946" i="18" s="1"/>
  <c r="Q230" i="17"/>
  <c r="C1211" i="18" s="1"/>
  <c r="Z230" i="17"/>
  <c r="C1456" i="18" s="1"/>
  <c r="AI230" i="17"/>
  <c r="C1701" i="18" s="1"/>
  <c r="AR230" i="17"/>
  <c r="C1946" i="18" s="1"/>
  <c r="O230" i="17"/>
  <c r="A1211" i="18" s="1"/>
  <c r="X230" i="17"/>
  <c r="A1456" i="18" s="1"/>
  <c r="AG230" i="17"/>
  <c r="A1701" i="18" s="1"/>
  <c r="AP230" i="17"/>
  <c r="A1946" i="18" s="1"/>
  <c r="E473" i="17"/>
  <c r="H476" i="18"/>
  <c r="D473" i="17"/>
  <c r="F476" i="18"/>
  <c r="C473" i="17"/>
  <c r="D476" i="18"/>
  <c r="B473" i="17"/>
  <c r="B476" i="18"/>
  <c r="V230" i="17"/>
  <c r="AE230" i="17"/>
  <c r="AN230" i="17"/>
  <c r="AW230" i="17"/>
  <c r="T230" i="17"/>
  <c r="AC230" i="17"/>
  <c r="AL230" i="17"/>
  <c r="AU230" i="17"/>
  <c r="R230" i="17"/>
  <c r="AA230" i="17"/>
  <c r="AJ230" i="17"/>
  <c r="AS230" i="17"/>
  <c r="P230" i="17"/>
  <c r="Y230" i="17"/>
  <c r="AH230" i="17"/>
  <c r="AQ230" i="17"/>
  <c r="U229" i="17"/>
  <c r="G1210" i="18" s="1"/>
  <c r="AD229" i="17"/>
  <c r="G1455" i="18" s="1"/>
  <c r="AM229" i="17"/>
  <c r="G1700" i="18" s="1"/>
  <c r="AV229" i="17"/>
  <c r="G1945" i="18" s="1"/>
  <c r="S229" i="17"/>
  <c r="E1210" i="18" s="1"/>
  <c r="AB229" i="17"/>
  <c r="E1455" i="18" s="1"/>
  <c r="AK229" i="17"/>
  <c r="E1700" i="18" s="1"/>
  <c r="AT229" i="17"/>
  <c r="E1945" i="18" s="1"/>
  <c r="Q229" i="17"/>
  <c r="C1210" i="18" s="1"/>
  <c r="Z229" i="17"/>
  <c r="C1455" i="18" s="1"/>
  <c r="AI229" i="17"/>
  <c r="C1700" i="18" s="1"/>
  <c r="AR229" i="17"/>
  <c r="C1945" i="18" s="1"/>
  <c r="O229" i="17"/>
  <c r="A1210" i="18" s="1"/>
  <c r="X229" i="17"/>
  <c r="A1455" i="18" s="1"/>
  <c r="AG229" i="17"/>
  <c r="A1700" i="18" s="1"/>
  <c r="AP229" i="17"/>
  <c r="A1945" i="18" s="1"/>
  <c r="E472" i="17"/>
  <c r="H475" i="18"/>
  <c r="D472" i="17"/>
  <c r="F475" i="18"/>
  <c r="C472" i="17"/>
  <c r="D475" i="18"/>
  <c r="B472" i="17"/>
  <c r="B475" i="18"/>
  <c r="V229" i="17"/>
  <c r="AE229" i="17"/>
  <c r="AN229" i="17"/>
  <c r="AW229" i="17"/>
  <c r="T229" i="17"/>
  <c r="AC229" i="17"/>
  <c r="AL229" i="17"/>
  <c r="AU229" i="17"/>
  <c r="R229" i="17"/>
  <c r="AA229" i="17"/>
  <c r="AJ229" i="17"/>
  <c r="AS229" i="17"/>
  <c r="P229" i="17"/>
  <c r="Y229" i="17"/>
  <c r="AH229" i="17"/>
  <c r="AQ229" i="17"/>
  <c r="U228" i="17"/>
  <c r="G1209" i="18" s="1"/>
  <c r="AD228" i="17"/>
  <c r="G1454" i="18" s="1"/>
  <c r="AM228" i="17"/>
  <c r="G1699" i="18" s="1"/>
  <c r="AV228" i="17"/>
  <c r="G1944" i="18" s="1"/>
  <c r="S228" i="17"/>
  <c r="E1209" i="18" s="1"/>
  <c r="AB228" i="17"/>
  <c r="E1454" i="18" s="1"/>
  <c r="AK228" i="17"/>
  <c r="E1699" i="18" s="1"/>
  <c r="AT228" i="17"/>
  <c r="E1944" i="18" s="1"/>
  <c r="Q228" i="17"/>
  <c r="C1209" i="18" s="1"/>
  <c r="Z228" i="17"/>
  <c r="C1454" i="18" s="1"/>
  <c r="AI228" i="17"/>
  <c r="C1699" i="18" s="1"/>
  <c r="AR228" i="17"/>
  <c r="C1944" i="18" s="1"/>
  <c r="O228" i="17"/>
  <c r="A1209" i="18" s="1"/>
  <c r="X228" i="17"/>
  <c r="A1454" i="18" s="1"/>
  <c r="AG228" i="17"/>
  <c r="A1699" i="18" s="1"/>
  <c r="AP228" i="17"/>
  <c r="A1944" i="18" s="1"/>
  <c r="E471" i="17"/>
  <c r="H474" i="18"/>
  <c r="D471" i="17"/>
  <c r="F474" i="18"/>
  <c r="C471" i="17"/>
  <c r="D474" i="18"/>
  <c r="B471" i="17"/>
  <c r="B474" i="18"/>
  <c r="V228" i="17"/>
  <c r="AE228" i="17"/>
  <c r="AN228" i="17"/>
  <c r="AW228" i="17"/>
  <c r="T228" i="17"/>
  <c r="AC228" i="17"/>
  <c r="AL228" i="17"/>
  <c r="AU228" i="17"/>
  <c r="R228" i="17"/>
  <c r="AA228" i="17"/>
  <c r="AJ228" i="17"/>
  <c r="AS228" i="17"/>
  <c r="P228" i="17"/>
  <c r="Y228" i="17"/>
  <c r="AH228" i="17"/>
  <c r="AQ228" i="17"/>
  <c r="U227" i="17"/>
  <c r="G1208" i="18" s="1"/>
  <c r="AD227" i="17"/>
  <c r="G1453" i="18" s="1"/>
  <c r="AM227" i="17"/>
  <c r="G1698" i="18" s="1"/>
  <c r="AV227" i="17"/>
  <c r="G1943" i="18" s="1"/>
  <c r="S227" i="17"/>
  <c r="E1208" i="18" s="1"/>
  <c r="AB227" i="17"/>
  <c r="E1453" i="18" s="1"/>
  <c r="AK227" i="17"/>
  <c r="E1698" i="18" s="1"/>
  <c r="AT227" i="17"/>
  <c r="E1943" i="18" s="1"/>
  <c r="Q227" i="17"/>
  <c r="C1208" i="18" s="1"/>
  <c r="Z227" i="17"/>
  <c r="C1453" i="18" s="1"/>
  <c r="AI227" i="17"/>
  <c r="C1698" i="18" s="1"/>
  <c r="AR227" i="17"/>
  <c r="C1943" i="18" s="1"/>
  <c r="O227" i="17"/>
  <c r="A1208" i="18" s="1"/>
  <c r="X227" i="17"/>
  <c r="A1453" i="18" s="1"/>
  <c r="AG227" i="17"/>
  <c r="A1698" i="18" s="1"/>
  <c r="AP227" i="17"/>
  <c r="A1943" i="18" s="1"/>
  <c r="E470" i="17"/>
  <c r="H473" i="18"/>
  <c r="D470" i="17"/>
  <c r="F473" i="18"/>
  <c r="C470" i="17"/>
  <c r="D473" i="18"/>
  <c r="B470" i="17"/>
  <c r="B473" i="18"/>
  <c r="V227" i="17"/>
  <c r="AE227" i="17"/>
  <c r="AN227" i="17"/>
  <c r="AW227" i="17"/>
  <c r="T227" i="17"/>
  <c r="AC227" i="17"/>
  <c r="AL227" i="17"/>
  <c r="AU227" i="17"/>
  <c r="R227" i="17"/>
  <c r="AA227" i="17"/>
  <c r="AJ227" i="17"/>
  <c r="AS227" i="17"/>
  <c r="P227" i="17"/>
  <c r="Y227" i="17"/>
  <c r="AH227" i="17"/>
  <c r="AQ227" i="17"/>
  <c r="U226" i="17"/>
  <c r="G1207" i="18" s="1"/>
  <c r="AD226" i="17"/>
  <c r="G1452" i="18" s="1"/>
  <c r="AM226" i="17"/>
  <c r="G1697" i="18" s="1"/>
  <c r="AV226" i="17"/>
  <c r="G1942" i="18" s="1"/>
  <c r="S226" i="17"/>
  <c r="E1207" i="18" s="1"/>
  <c r="AB226" i="17"/>
  <c r="E1452" i="18" s="1"/>
  <c r="AK226" i="17"/>
  <c r="E1697" i="18" s="1"/>
  <c r="AT226" i="17"/>
  <c r="E1942" i="18" s="1"/>
  <c r="Q226" i="17"/>
  <c r="C1207" i="18" s="1"/>
  <c r="Z226" i="17"/>
  <c r="C1452" i="18" s="1"/>
  <c r="AI226" i="17"/>
  <c r="C1697" i="18" s="1"/>
  <c r="AR226" i="17"/>
  <c r="C1942" i="18" s="1"/>
  <c r="O226" i="17"/>
  <c r="A1207" i="18" s="1"/>
  <c r="X226" i="17"/>
  <c r="A1452" i="18" s="1"/>
  <c r="AG226" i="17"/>
  <c r="A1697" i="18" s="1"/>
  <c r="AP226" i="17"/>
  <c r="A1942" i="18" s="1"/>
  <c r="E469" i="17"/>
  <c r="H472" i="18"/>
  <c r="D469" i="17"/>
  <c r="F472" i="18"/>
  <c r="C469" i="17"/>
  <c r="D472" i="18"/>
  <c r="B469" i="17"/>
  <c r="B472" i="18"/>
  <c r="V226" i="17"/>
  <c r="AE226" i="17"/>
  <c r="AN226" i="17"/>
  <c r="AW226" i="17"/>
  <c r="T226" i="17"/>
  <c r="AC226" i="17"/>
  <c r="AL226" i="17"/>
  <c r="AU226" i="17"/>
  <c r="R226" i="17"/>
  <c r="AA226" i="17"/>
  <c r="AJ226" i="17"/>
  <c r="AS226" i="17"/>
  <c r="P226" i="17"/>
  <c r="Y226" i="17"/>
  <c r="AH226" i="17"/>
  <c r="AQ226" i="17"/>
  <c r="U225" i="17"/>
  <c r="G1206" i="18" s="1"/>
  <c r="AD225" i="17"/>
  <c r="G1451" i="18" s="1"/>
  <c r="AM225" i="17"/>
  <c r="G1696" i="18" s="1"/>
  <c r="AV225" i="17"/>
  <c r="G1941" i="18" s="1"/>
  <c r="S225" i="17"/>
  <c r="E1206" i="18" s="1"/>
  <c r="AB225" i="17"/>
  <c r="E1451" i="18" s="1"/>
  <c r="AK225" i="17"/>
  <c r="E1696" i="18" s="1"/>
  <c r="AT225" i="17"/>
  <c r="E1941" i="18" s="1"/>
  <c r="Q225" i="17"/>
  <c r="C1206" i="18" s="1"/>
  <c r="Z225" i="17"/>
  <c r="C1451" i="18" s="1"/>
  <c r="AI225" i="17"/>
  <c r="C1696" i="18" s="1"/>
  <c r="AR225" i="17"/>
  <c r="C1941" i="18" s="1"/>
  <c r="O225" i="17"/>
  <c r="A1206" i="18" s="1"/>
  <c r="X225" i="17"/>
  <c r="A1451" i="18" s="1"/>
  <c r="AG225" i="17"/>
  <c r="A1696" i="18" s="1"/>
  <c r="AP225" i="17"/>
  <c r="A1941" i="18" s="1"/>
  <c r="E468" i="17"/>
  <c r="H471" i="18"/>
  <c r="D468" i="17"/>
  <c r="F471" i="18"/>
  <c r="C468" i="17"/>
  <c r="D471" i="18"/>
  <c r="B468" i="17"/>
  <c r="B471" i="18"/>
  <c r="V225" i="17"/>
  <c r="AE225" i="17"/>
  <c r="AN225" i="17"/>
  <c r="AW225" i="17"/>
  <c r="T225" i="17"/>
  <c r="AC225" i="17"/>
  <c r="AL225" i="17"/>
  <c r="AU225" i="17"/>
  <c r="R225" i="17"/>
  <c r="AA225" i="17"/>
  <c r="AJ225" i="17"/>
  <c r="AS225" i="17"/>
  <c r="P225" i="17"/>
  <c r="Y225" i="17"/>
  <c r="AH225" i="17"/>
  <c r="AQ225" i="17"/>
  <c r="U224" i="17"/>
  <c r="G1205" i="18" s="1"/>
  <c r="AD224" i="17"/>
  <c r="G1450" i="18" s="1"/>
  <c r="AM224" i="17"/>
  <c r="G1695" i="18" s="1"/>
  <c r="AV224" i="17"/>
  <c r="G1940" i="18" s="1"/>
  <c r="S224" i="17"/>
  <c r="E1205" i="18" s="1"/>
  <c r="AB224" i="17"/>
  <c r="E1450" i="18" s="1"/>
  <c r="AK224" i="17"/>
  <c r="E1695" i="18" s="1"/>
  <c r="AT224" i="17"/>
  <c r="E1940" i="18" s="1"/>
  <c r="Q224" i="17"/>
  <c r="C1205" i="18" s="1"/>
  <c r="Z224" i="17"/>
  <c r="C1450" i="18" s="1"/>
  <c r="AI224" i="17"/>
  <c r="C1695" i="18" s="1"/>
  <c r="AR224" i="17"/>
  <c r="C1940" i="18" s="1"/>
  <c r="O224" i="17"/>
  <c r="A1205" i="18" s="1"/>
  <c r="X224" i="17"/>
  <c r="A1450" i="18" s="1"/>
  <c r="AG224" i="17"/>
  <c r="A1695" i="18" s="1"/>
  <c r="AP224" i="17"/>
  <c r="A1940" i="18" s="1"/>
  <c r="E467" i="17"/>
  <c r="H470" i="18"/>
  <c r="D467" i="17"/>
  <c r="F470" i="18"/>
  <c r="C467" i="17"/>
  <c r="D470" i="18"/>
  <c r="B467" i="17"/>
  <c r="B470" i="18"/>
  <c r="V224" i="17"/>
  <c r="AE224" i="17"/>
  <c r="AN224" i="17"/>
  <c r="AW224" i="17"/>
  <c r="T224" i="17"/>
  <c r="AC224" i="17"/>
  <c r="AL224" i="17"/>
  <c r="AU224" i="17"/>
  <c r="R224" i="17"/>
  <c r="AA224" i="17"/>
  <c r="AJ224" i="17"/>
  <c r="AS224" i="17"/>
  <c r="P224" i="17"/>
  <c r="Y224" i="17"/>
  <c r="AH224" i="17"/>
  <c r="AQ224" i="17"/>
  <c r="U223" i="17"/>
  <c r="G1204" i="18" s="1"/>
  <c r="AD223" i="17"/>
  <c r="G1449" i="18" s="1"/>
  <c r="AM223" i="17"/>
  <c r="G1694" i="18" s="1"/>
  <c r="AV223" i="17"/>
  <c r="G1939" i="18" s="1"/>
  <c r="S223" i="17"/>
  <c r="E1204" i="18" s="1"/>
  <c r="AB223" i="17"/>
  <c r="E1449" i="18" s="1"/>
  <c r="AK223" i="17"/>
  <c r="E1694" i="18" s="1"/>
  <c r="AT223" i="17"/>
  <c r="E1939" i="18" s="1"/>
  <c r="Q223" i="17"/>
  <c r="C1204" i="18" s="1"/>
  <c r="Z223" i="17"/>
  <c r="C1449" i="18" s="1"/>
  <c r="AI223" i="17"/>
  <c r="C1694" i="18" s="1"/>
  <c r="AR223" i="17"/>
  <c r="C1939" i="18" s="1"/>
  <c r="O223" i="17"/>
  <c r="A1204" i="18" s="1"/>
  <c r="X223" i="17"/>
  <c r="A1449" i="18" s="1"/>
  <c r="AG223" i="17"/>
  <c r="A1694" i="18" s="1"/>
  <c r="AP223" i="17"/>
  <c r="A1939" i="18" s="1"/>
  <c r="E466" i="17"/>
  <c r="H469" i="18"/>
  <c r="D466" i="17"/>
  <c r="F469" i="18"/>
  <c r="C466" i="17"/>
  <c r="D469" i="18"/>
  <c r="B466" i="17"/>
  <c r="B469" i="18"/>
  <c r="V223" i="17"/>
  <c r="AE223" i="17"/>
  <c r="AN223" i="17"/>
  <c r="AW223" i="17"/>
  <c r="T223" i="17"/>
  <c r="AC223" i="17"/>
  <c r="AL223" i="17"/>
  <c r="AU223" i="17"/>
  <c r="R223" i="17"/>
  <c r="AA223" i="17"/>
  <c r="AJ223" i="17"/>
  <c r="AS223" i="17"/>
  <c r="P223" i="17"/>
  <c r="Y223" i="17"/>
  <c r="AH223" i="17"/>
  <c r="AQ223" i="17"/>
  <c r="U222" i="17"/>
  <c r="G1203" i="18" s="1"/>
  <c r="AD222" i="17"/>
  <c r="G1448" i="18" s="1"/>
  <c r="AM222" i="17"/>
  <c r="G1693" i="18" s="1"/>
  <c r="AV222" i="17"/>
  <c r="G1938" i="18" s="1"/>
  <c r="S222" i="17"/>
  <c r="E1203" i="18" s="1"/>
  <c r="AB222" i="17"/>
  <c r="E1448" i="18" s="1"/>
  <c r="AK222" i="17"/>
  <c r="E1693" i="18" s="1"/>
  <c r="AT222" i="17"/>
  <c r="E1938" i="18" s="1"/>
  <c r="Q222" i="17"/>
  <c r="C1203" i="18" s="1"/>
  <c r="Z222" i="17"/>
  <c r="C1448" i="18" s="1"/>
  <c r="AI222" i="17"/>
  <c r="C1693" i="18" s="1"/>
  <c r="AR222" i="17"/>
  <c r="C1938" i="18" s="1"/>
  <c r="O222" i="17"/>
  <c r="A1203" i="18" s="1"/>
  <c r="X222" i="17"/>
  <c r="A1448" i="18" s="1"/>
  <c r="AG222" i="17"/>
  <c r="A1693" i="18" s="1"/>
  <c r="AP222" i="17"/>
  <c r="A1938" i="18" s="1"/>
  <c r="E465" i="17"/>
  <c r="H468" i="18"/>
  <c r="D465" i="17"/>
  <c r="F468" i="18"/>
  <c r="C465" i="17"/>
  <c r="D468" i="18"/>
  <c r="B465" i="17"/>
  <c r="B468" i="18"/>
  <c r="V222" i="17"/>
  <c r="AE222" i="17"/>
  <c r="AN222" i="17"/>
  <c r="AW222" i="17"/>
  <c r="T222" i="17"/>
  <c r="AC222" i="17"/>
  <c r="AL222" i="17"/>
  <c r="AU222" i="17"/>
  <c r="R222" i="17"/>
  <c r="AA222" i="17"/>
  <c r="AJ222" i="17"/>
  <c r="AS222" i="17"/>
  <c r="P222" i="17"/>
  <c r="Y222" i="17"/>
  <c r="AH222" i="17"/>
  <c r="AQ222" i="17"/>
  <c r="U221" i="17"/>
  <c r="G1202" i="18" s="1"/>
  <c r="AD221" i="17"/>
  <c r="G1447" i="18" s="1"/>
  <c r="AM221" i="17"/>
  <c r="G1692" i="18" s="1"/>
  <c r="AV221" i="17"/>
  <c r="G1937" i="18" s="1"/>
  <c r="S221" i="17"/>
  <c r="E1202" i="18" s="1"/>
  <c r="AB221" i="17"/>
  <c r="E1447" i="18" s="1"/>
  <c r="AK221" i="17"/>
  <c r="E1692" i="18" s="1"/>
  <c r="AT221" i="17"/>
  <c r="E1937" i="18" s="1"/>
  <c r="Q221" i="17"/>
  <c r="C1202" i="18" s="1"/>
  <c r="Z221" i="17"/>
  <c r="C1447" i="18" s="1"/>
  <c r="AI221" i="17"/>
  <c r="C1692" i="18" s="1"/>
  <c r="AR221" i="17"/>
  <c r="C1937" i="18" s="1"/>
  <c r="O221" i="17"/>
  <c r="A1202" i="18" s="1"/>
  <c r="X221" i="17"/>
  <c r="A1447" i="18" s="1"/>
  <c r="AG221" i="17"/>
  <c r="A1692" i="18" s="1"/>
  <c r="AP221" i="17"/>
  <c r="A1937" i="18" s="1"/>
  <c r="E464" i="17"/>
  <c r="H467" i="18"/>
  <c r="D464" i="17"/>
  <c r="F467" i="18"/>
  <c r="C464" i="17"/>
  <c r="D467" i="18"/>
  <c r="B464" i="17"/>
  <c r="B467" i="18"/>
  <c r="V221" i="17"/>
  <c r="AE221" i="17"/>
  <c r="AN221" i="17"/>
  <c r="AW221" i="17"/>
  <c r="T221" i="17"/>
  <c r="AC221" i="17"/>
  <c r="AL221" i="17"/>
  <c r="AU221" i="17"/>
  <c r="R221" i="17"/>
  <c r="AA221" i="17"/>
  <c r="AJ221" i="17"/>
  <c r="AS221" i="17"/>
  <c r="P221" i="17"/>
  <c r="Y221" i="17"/>
  <c r="AH221" i="17"/>
  <c r="AQ221" i="17"/>
  <c r="U220" i="17"/>
  <c r="G1201" i="18" s="1"/>
  <c r="AD220" i="17"/>
  <c r="G1446" i="18" s="1"/>
  <c r="AM220" i="17"/>
  <c r="G1691" i="18" s="1"/>
  <c r="AV220" i="17"/>
  <c r="G1936" i="18" s="1"/>
  <c r="S220" i="17"/>
  <c r="E1201" i="18" s="1"/>
  <c r="AB220" i="17"/>
  <c r="E1446" i="18" s="1"/>
  <c r="AK220" i="17"/>
  <c r="E1691" i="18" s="1"/>
  <c r="AT220" i="17"/>
  <c r="E1936" i="18" s="1"/>
  <c r="Q220" i="17"/>
  <c r="C1201" i="18" s="1"/>
  <c r="Z220" i="17"/>
  <c r="C1446" i="18" s="1"/>
  <c r="AI220" i="17"/>
  <c r="C1691" i="18" s="1"/>
  <c r="AR220" i="17"/>
  <c r="C1936" i="18" s="1"/>
  <c r="O220" i="17"/>
  <c r="A1201" i="18" s="1"/>
  <c r="X220" i="17"/>
  <c r="A1446" i="18" s="1"/>
  <c r="AG220" i="17"/>
  <c r="A1691" i="18" s="1"/>
  <c r="AP220" i="17"/>
  <c r="A1936" i="18" s="1"/>
  <c r="E463" i="17"/>
  <c r="H466" i="18"/>
  <c r="D463" i="17"/>
  <c r="F466" i="18"/>
  <c r="C463" i="17"/>
  <c r="D466" i="18"/>
  <c r="B463" i="17"/>
  <c r="B466" i="18"/>
  <c r="V220" i="17"/>
  <c r="AE220" i="17"/>
  <c r="AN220" i="17"/>
  <c r="AW220" i="17"/>
  <c r="T220" i="17"/>
  <c r="AC220" i="17"/>
  <c r="AL220" i="17"/>
  <c r="AU220" i="17"/>
  <c r="R220" i="17"/>
  <c r="AA220" i="17"/>
  <c r="AJ220" i="17"/>
  <c r="AS220" i="17"/>
  <c r="P220" i="17"/>
  <c r="Y220" i="17"/>
  <c r="AH220" i="17"/>
  <c r="AQ220" i="17"/>
  <c r="U219" i="17"/>
  <c r="G1200" i="18" s="1"/>
  <c r="AD219" i="17"/>
  <c r="G1445" i="18" s="1"/>
  <c r="AM219" i="17"/>
  <c r="G1690" i="18" s="1"/>
  <c r="AV219" i="17"/>
  <c r="G1935" i="18" s="1"/>
  <c r="S219" i="17"/>
  <c r="E1200" i="18" s="1"/>
  <c r="AB219" i="17"/>
  <c r="E1445" i="18" s="1"/>
  <c r="AK219" i="17"/>
  <c r="E1690" i="18" s="1"/>
  <c r="AT219" i="17"/>
  <c r="E1935" i="18" s="1"/>
  <c r="Q219" i="17"/>
  <c r="C1200" i="18" s="1"/>
  <c r="Z219" i="17"/>
  <c r="C1445" i="18" s="1"/>
  <c r="AI219" i="17"/>
  <c r="C1690" i="18" s="1"/>
  <c r="AR219" i="17"/>
  <c r="C1935" i="18" s="1"/>
  <c r="O219" i="17"/>
  <c r="A1200" i="18" s="1"/>
  <c r="X219" i="17"/>
  <c r="A1445" i="18" s="1"/>
  <c r="AG219" i="17"/>
  <c r="A1690" i="18" s="1"/>
  <c r="AP219" i="17"/>
  <c r="A1935" i="18" s="1"/>
  <c r="E462" i="17"/>
  <c r="H465" i="18"/>
  <c r="D462" i="17"/>
  <c r="F465" i="18"/>
  <c r="C462" i="17"/>
  <c r="D465" i="18"/>
  <c r="B462" i="17"/>
  <c r="B465" i="18"/>
  <c r="V219" i="17"/>
  <c r="AE219" i="17"/>
  <c r="AN219" i="17"/>
  <c r="AW219" i="17"/>
  <c r="T219" i="17"/>
  <c r="AC219" i="17"/>
  <c r="AL219" i="17"/>
  <c r="AU219" i="17"/>
  <c r="R219" i="17"/>
  <c r="AA219" i="17"/>
  <c r="AJ219" i="17"/>
  <c r="AS219" i="17"/>
  <c r="P219" i="17"/>
  <c r="Y219" i="17"/>
  <c r="AH219" i="17"/>
  <c r="AQ219" i="17"/>
  <c r="U218" i="17"/>
  <c r="G1199" i="18" s="1"/>
  <c r="AD218" i="17"/>
  <c r="G1444" i="18" s="1"/>
  <c r="AM218" i="17"/>
  <c r="G1689" i="18" s="1"/>
  <c r="AV218" i="17"/>
  <c r="G1934" i="18" s="1"/>
  <c r="S218" i="17"/>
  <c r="E1199" i="18" s="1"/>
  <c r="AB218" i="17"/>
  <c r="E1444" i="18" s="1"/>
  <c r="AK218" i="17"/>
  <c r="E1689" i="18" s="1"/>
  <c r="AT218" i="17"/>
  <c r="E1934" i="18" s="1"/>
  <c r="Q218" i="17"/>
  <c r="C1199" i="18" s="1"/>
  <c r="Z218" i="17"/>
  <c r="C1444" i="18" s="1"/>
  <c r="AI218" i="17"/>
  <c r="C1689" i="18" s="1"/>
  <c r="AR218" i="17"/>
  <c r="C1934" i="18" s="1"/>
  <c r="O218" i="17"/>
  <c r="A1199" i="18" s="1"/>
  <c r="X218" i="17"/>
  <c r="A1444" i="18" s="1"/>
  <c r="AG218" i="17"/>
  <c r="A1689" i="18" s="1"/>
  <c r="AP218" i="17"/>
  <c r="A1934" i="18" s="1"/>
  <c r="E461" i="17"/>
  <c r="H464" i="18"/>
  <c r="D461" i="17"/>
  <c r="F464" i="18"/>
  <c r="C461" i="17"/>
  <c r="D464" i="18"/>
  <c r="B461" i="17"/>
  <c r="B464" i="18"/>
  <c r="V218" i="17"/>
  <c r="AE218" i="17"/>
  <c r="AN218" i="17"/>
  <c r="AW218" i="17"/>
  <c r="T218" i="17"/>
  <c r="AC218" i="17"/>
  <c r="AL218" i="17"/>
  <c r="AU218" i="17"/>
  <c r="R218" i="17"/>
  <c r="AA218" i="17"/>
  <c r="AJ218" i="17"/>
  <c r="AS218" i="17"/>
  <c r="P218" i="17"/>
  <c r="Y218" i="17"/>
  <c r="AH218" i="17"/>
  <c r="AQ218" i="17"/>
  <c r="U217" i="17"/>
  <c r="G1198" i="18" s="1"/>
  <c r="AD217" i="17"/>
  <c r="G1443" i="18" s="1"/>
  <c r="AM217" i="17"/>
  <c r="G1688" i="18" s="1"/>
  <c r="AV217" i="17"/>
  <c r="G1933" i="18" s="1"/>
  <c r="S217" i="17"/>
  <c r="E1198" i="18" s="1"/>
  <c r="AB217" i="17"/>
  <c r="E1443" i="18" s="1"/>
  <c r="AK217" i="17"/>
  <c r="E1688" i="18" s="1"/>
  <c r="AT217" i="17"/>
  <c r="E1933" i="18" s="1"/>
  <c r="Q217" i="17"/>
  <c r="C1198" i="18" s="1"/>
  <c r="Z217" i="17"/>
  <c r="C1443" i="18" s="1"/>
  <c r="AI217" i="17"/>
  <c r="C1688" i="18" s="1"/>
  <c r="AR217" i="17"/>
  <c r="C1933" i="18" s="1"/>
  <c r="O217" i="17"/>
  <c r="A1198" i="18" s="1"/>
  <c r="X217" i="17"/>
  <c r="A1443" i="18" s="1"/>
  <c r="AG217" i="17"/>
  <c r="A1688" i="18" s="1"/>
  <c r="AP217" i="17"/>
  <c r="A1933" i="18" s="1"/>
  <c r="E460" i="17"/>
  <c r="H463" i="18"/>
  <c r="D460" i="17"/>
  <c r="F463" i="18"/>
  <c r="C460" i="17"/>
  <c r="D463" i="18"/>
  <c r="B460" i="17"/>
  <c r="B463" i="18"/>
  <c r="V217" i="17"/>
  <c r="AE217" i="17"/>
  <c r="AN217" i="17"/>
  <c r="AW217" i="17"/>
  <c r="T217" i="17"/>
  <c r="AC217" i="17"/>
  <c r="AL217" i="17"/>
  <c r="AU217" i="17"/>
  <c r="R217" i="17"/>
  <c r="AA217" i="17"/>
  <c r="AJ217" i="17"/>
  <c r="AS217" i="17"/>
  <c r="P217" i="17"/>
  <c r="Y217" i="17"/>
  <c r="AH217" i="17"/>
  <c r="AQ217" i="17"/>
  <c r="U216" i="17"/>
  <c r="G1197" i="18" s="1"/>
  <c r="AD216" i="17"/>
  <c r="G1442" i="18" s="1"/>
  <c r="AM216" i="17"/>
  <c r="G1687" i="18" s="1"/>
  <c r="AV216" i="17"/>
  <c r="G1932" i="18" s="1"/>
  <c r="S216" i="17"/>
  <c r="E1197" i="18" s="1"/>
  <c r="AB216" i="17"/>
  <c r="E1442" i="18" s="1"/>
  <c r="AK216" i="17"/>
  <c r="E1687" i="18" s="1"/>
  <c r="AT216" i="17"/>
  <c r="E1932" i="18" s="1"/>
  <c r="Q216" i="17"/>
  <c r="C1197" i="18" s="1"/>
  <c r="Z216" i="17"/>
  <c r="C1442" i="18" s="1"/>
  <c r="AI216" i="17"/>
  <c r="C1687" i="18" s="1"/>
  <c r="AR216" i="17"/>
  <c r="C1932" i="18" s="1"/>
  <c r="O216" i="17"/>
  <c r="A1197" i="18" s="1"/>
  <c r="X216" i="17"/>
  <c r="A1442" i="18" s="1"/>
  <c r="AG216" i="17"/>
  <c r="A1687" i="18" s="1"/>
  <c r="AP216" i="17"/>
  <c r="A1932" i="18" s="1"/>
  <c r="E459" i="17"/>
  <c r="H462" i="18"/>
  <c r="D459" i="17"/>
  <c r="F462" i="18"/>
  <c r="C459" i="17"/>
  <c r="D462" i="18"/>
  <c r="B459" i="17"/>
  <c r="B462" i="18"/>
  <c r="V216" i="17"/>
  <c r="AE216" i="17"/>
  <c r="AN216" i="17"/>
  <c r="AW216" i="17"/>
  <c r="T216" i="17"/>
  <c r="AC216" i="17"/>
  <c r="AL216" i="17"/>
  <c r="AU216" i="17"/>
  <c r="R216" i="17"/>
  <c r="AA216" i="17"/>
  <c r="AJ216" i="17"/>
  <c r="AS216" i="17"/>
  <c r="P216" i="17"/>
  <c r="Y216" i="17"/>
  <c r="AH216" i="17"/>
  <c r="AQ216" i="17"/>
  <c r="U215" i="17"/>
  <c r="G1196" i="18" s="1"/>
  <c r="AD215" i="17"/>
  <c r="G1441" i="18" s="1"/>
  <c r="AM215" i="17"/>
  <c r="G1686" i="18" s="1"/>
  <c r="AV215" i="17"/>
  <c r="G1931" i="18" s="1"/>
  <c r="S215" i="17"/>
  <c r="E1196" i="18" s="1"/>
  <c r="AB215" i="17"/>
  <c r="E1441" i="18" s="1"/>
  <c r="AK215" i="17"/>
  <c r="E1686" i="18" s="1"/>
  <c r="AT215" i="17"/>
  <c r="E1931" i="18" s="1"/>
  <c r="Q215" i="17"/>
  <c r="C1196" i="18" s="1"/>
  <c r="Z215" i="17"/>
  <c r="C1441" i="18" s="1"/>
  <c r="AI215" i="17"/>
  <c r="C1686" i="18" s="1"/>
  <c r="AR215" i="17"/>
  <c r="C1931" i="18" s="1"/>
  <c r="O215" i="17"/>
  <c r="A1196" i="18" s="1"/>
  <c r="X215" i="17"/>
  <c r="A1441" i="18" s="1"/>
  <c r="AG215" i="17"/>
  <c r="A1686" i="18" s="1"/>
  <c r="AP215" i="17"/>
  <c r="A1931" i="18" s="1"/>
  <c r="E458" i="17"/>
  <c r="H461" i="18"/>
  <c r="D458" i="17"/>
  <c r="F461" i="18"/>
  <c r="C458" i="17"/>
  <c r="D461" i="18"/>
  <c r="B458" i="17"/>
  <c r="B461" i="18"/>
  <c r="V215" i="17"/>
  <c r="AE215" i="17"/>
  <c r="AN215" i="17"/>
  <c r="AW215" i="17"/>
  <c r="T215" i="17"/>
  <c r="AC215" i="17"/>
  <c r="AL215" i="17"/>
  <c r="AU215" i="17"/>
  <c r="R215" i="17"/>
  <c r="AA215" i="17"/>
  <c r="AJ215" i="17"/>
  <c r="AS215" i="17"/>
  <c r="P215" i="17"/>
  <c r="Y215" i="17"/>
  <c r="AH215" i="17"/>
  <c r="AQ215" i="17"/>
  <c r="U214" i="17"/>
  <c r="G1195" i="18" s="1"/>
  <c r="AD214" i="17"/>
  <c r="G1440" i="18" s="1"/>
  <c r="AM214" i="17"/>
  <c r="G1685" i="18" s="1"/>
  <c r="AV214" i="17"/>
  <c r="G1930" i="18" s="1"/>
  <c r="S214" i="17"/>
  <c r="E1195" i="18" s="1"/>
  <c r="AB214" i="17"/>
  <c r="E1440" i="18" s="1"/>
  <c r="AK214" i="17"/>
  <c r="E1685" i="18" s="1"/>
  <c r="AT214" i="17"/>
  <c r="E1930" i="18" s="1"/>
  <c r="Q214" i="17"/>
  <c r="C1195" i="18" s="1"/>
  <c r="Z214" i="17"/>
  <c r="C1440" i="18" s="1"/>
  <c r="AI214" i="17"/>
  <c r="C1685" i="18" s="1"/>
  <c r="AR214" i="17"/>
  <c r="C1930" i="18" s="1"/>
  <c r="O214" i="17"/>
  <c r="A1195" i="18" s="1"/>
  <c r="X214" i="17"/>
  <c r="A1440" i="18" s="1"/>
  <c r="AG214" i="17"/>
  <c r="A1685" i="18" s="1"/>
  <c r="AP214" i="17"/>
  <c r="A1930" i="18" s="1"/>
  <c r="E457" i="17"/>
  <c r="H460" i="18"/>
  <c r="D457" i="17"/>
  <c r="F460" i="18"/>
  <c r="C457" i="17"/>
  <c r="D460" i="18"/>
  <c r="B457" i="17"/>
  <c r="B460" i="18"/>
  <c r="V214" i="17"/>
  <c r="AE214" i="17"/>
  <c r="AN214" i="17"/>
  <c r="AW214" i="17"/>
  <c r="T214" i="17"/>
  <c r="AC214" i="17"/>
  <c r="AL214" i="17"/>
  <c r="AU214" i="17"/>
  <c r="R214" i="17"/>
  <c r="AA214" i="17"/>
  <c r="AJ214" i="17"/>
  <c r="AS214" i="17"/>
  <c r="P214" i="17"/>
  <c r="Y214" i="17"/>
  <c r="AH214" i="17"/>
  <c r="AQ214" i="17"/>
  <c r="U213" i="17"/>
  <c r="G1194" i="18" s="1"/>
  <c r="AD213" i="17"/>
  <c r="G1439" i="18" s="1"/>
  <c r="AM213" i="17"/>
  <c r="G1684" i="18" s="1"/>
  <c r="AV213" i="17"/>
  <c r="G1929" i="18" s="1"/>
  <c r="S213" i="17"/>
  <c r="E1194" i="18" s="1"/>
  <c r="AB213" i="17"/>
  <c r="E1439" i="18" s="1"/>
  <c r="AK213" i="17"/>
  <c r="E1684" i="18" s="1"/>
  <c r="AT213" i="17"/>
  <c r="E1929" i="18" s="1"/>
  <c r="Q213" i="17"/>
  <c r="C1194" i="18" s="1"/>
  <c r="Z213" i="17"/>
  <c r="C1439" i="18" s="1"/>
  <c r="AI213" i="17"/>
  <c r="C1684" i="18" s="1"/>
  <c r="AR213" i="17"/>
  <c r="C1929" i="18" s="1"/>
  <c r="O213" i="17"/>
  <c r="A1194" i="18" s="1"/>
  <c r="X213" i="17"/>
  <c r="A1439" i="18" s="1"/>
  <c r="AG213" i="17"/>
  <c r="A1684" i="18" s="1"/>
  <c r="AP213" i="17"/>
  <c r="A1929" i="18" s="1"/>
  <c r="E456" i="17"/>
  <c r="H459" i="18"/>
  <c r="D456" i="17"/>
  <c r="F459" i="18"/>
  <c r="C456" i="17"/>
  <c r="D459" i="18"/>
  <c r="B456" i="17"/>
  <c r="B459" i="18"/>
  <c r="V213" i="17"/>
  <c r="AE213" i="17"/>
  <c r="AN213" i="17"/>
  <c r="AW213" i="17"/>
  <c r="T213" i="17"/>
  <c r="AC213" i="17"/>
  <c r="AL213" i="17"/>
  <c r="AU213" i="17"/>
  <c r="R213" i="17"/>
  <c r="AA213" i="17"/>
  <c r="AJ213" i="17"/>
  <c r="AS213" i="17"/>
  <c r="P213" i="17"/>
  <c r="Y213" i="17"/>
  <c r="AH213" i="17"/>
  <c r="AQ213" i="17"/>
  <c r="U212" i="17"/>
  <c r="G1193" i="18" s="1"/>
  <c r="AD212" i="17"/>
  <c r="G1438" i="18" s="1"/>
  <c r="AM212" i="17"/>
  <c r="G1683" i="18" s="1"/>
  <c r="AV212" i="17"/>
  <c r="G1928" i="18" s="1"/>
  <c r="S212" i="17"/>
  <c r="E1193" i="18" s="1"/>
  <c r="AB212" i="17"/>
  <c r="E1438" i="18" s="1"/>
  <c r="AK212" i="17"/>
  <c r="E1683" i="18" s="1"/>
  <c r="AT212" i="17"/>
  <c r="E1928" i="18" s="1"/>
  <c r="Q212" i="17"/>
  <c r="C1193" i="18" s="1"/>
  <c r="Z212" i="17"/>
  <c r="C1438" i="18" s="1"/>
  <c r="AI212" i="17"/>
  <c r="C1683" i="18" s="1"/>
  <c r="AR212" i="17"/>
  <c r="C1928" i="18" s="1"/>
  <c r="O212" i="17"/>
  <c r="A1193" i="18" s="1"/>
  <c r="X212" i="17"/>
  <c r="A1438" i="18" s="1"/>
  <c r="AG212" i="17"/>
  <c r="A1683" i="18" s="1"/>
  <c r="AP212" i="17"/>
  <c r="A1928" i="18" s="1"/>
  <c r="E455" i="17"/>
  <c r="H458" i="18"/>
  <c r="D455" i="17"/>
  <c r="F458" i="18"/>
  <c r="C455" i="17"/>
  <c r="D458" i="18"/>
  <c r="B455" i="17"/>
  <c r="B458" i="18"/>
  <c r="V212" i="17"/>
  <c r="AE212" i="17"/>
  <c r="AN212" i="17"/>
  <c r="AW212" i="17"/>
  <c r="T212" i="17"/>
  <c r="AC212" i="17"/>
  <c r="AL212" i="17"/>
  <c r="AU212" i="17"/>
  <c r="R212" i="17"/>
  <c r="AA212" i="17"/>
  <c r="AJ212" i="17"/>
  <c r="AS212" i="17"/>
  <c r="P212" i="17"/>
  <c r="Y212" i="17"/>
  <c r="AH212" i="17"/>
  <c r="AQ212" i="17"/>
  <c r="U211" i="17"/>
  <c r="G1192" i="18" s="1"/>
  <c r="AD211" i="17"/>
  <c r="G1437" i="18" s="1"/>
  <c r="AM211" i="17"/>
  <c r="G1682" i="18" s="1"/>
  <c r="AV211" i="17"/>
  <c r="G1927" i="18" s="1"/>
  <c r="S211" i="17"/>
  <c r="E1192" i="18" s="1"/>
  <c r="AB211" i="17"/>
  <c r="E1437" i="18" s="1"/>
  <c r="AK211" i="17"/>
  <c r="E1682" i="18" s="1"/>
  <c r="AT211" i="17"/>
  <c r="E1927" i="18" s="1"/>
  <c r="Q211" i="17"/>
  <c r="C1192" i="18" s="1"/>
  <c r="Z211" i="17"/>
  <c r="C1437" i="18" s="1"/>
  <c r="AI211" i="17"/>
  <c r="C1682" i="18" s="1"/>
  <c r="AR211" i="17"/>
  <c r="C1927" i="18" s="1"/>
  <c r="O211" i="17"/>
  <c r="A1192" i="18" s="1"/>
  <c r="X211" i="17"/>
  <c r="A1437" i="18" s="1"/>
  <c r="AG211" i="17"/>
  <c r="A1682" i="18" s="1"/>
  <c r="AP211" i="17"/>
  <c r="A1927" i="18" s="1"/>
  <c r="E454" i="17"/>
  <c r="H457" i="18"/>
  <c r="D454" i="17"/>
  <c r="F457" i="18"/>
  <c r="C454" i="17"/>
  <c r="D457" i="18"/>
  <c r="B454" i="17"/>
  <c r="B457" i="18"/>
  <c r="V211" i="17"/>
  <c r="AE211" i="17"/>
  <c r="AN211" i="17"/>
  <c r="AW211" i="17"/>
  <c r="T211" i="17"/>
  <c r="AC211" i="17"/>
  <c r="AL211" i="17"/>
  <c r="AU211" i="17"/>
  <c r="R211" i="17"/>
  <c r="AA211" i="17"/>
  <c r="AJ211" i="17"/>
  <c r="AS211" i="17"/>
  <c r="P211" i="17"/>
  <c r="Y211" i="17"/>
  <c r="AH211" i="17"/>
  <c r="AQ211" i="17"/>
  <c r="U210" i="17"/>
  <c r="G1191" i="18" s="1"/>
  <c r="AD210" i="17"/>
  <c r="G1436" i="18" s="1"/>
  <c r="AM210" i="17"/>
  <c r="G1681" i="18" s="1"/>
  <c r="AV210" i="17"/>
  <c r="G1926" i="18" s="1"/>
  <c r="S210" i="17"/>
  <c r="E1191" i="18" s="1"/>
  <c r="AB210" i="17"/>
  <c r="E1436" i="18" s="1"/>
  <c r="AK210" i="17"/>
  <c r="E1681" i="18" s="1"/>
  <c r="AT210" i="17"/>
  <c r="E1926" i="18" s="1"/>
  <c r="Q210" i="17"/>
  <c r="C1191" i="18" s="1"/>
  <c r="Z210" i="17"/>
  <c r="C1436" i="18" s="1"/>
  <c r="AI210" i="17"/>
  <c r="C1681" i="18" s="1"/>
  <c r="AR210" i="17"/>
  <c r="C1926" i="18" s="1"/>
  <c r="O210" i="17"/>
  <c r="A1191" i="18" s="1"/>
  <c r="X210" i="17"/>
  <c r="A1436" i="18" s="1"/>
  <c r="AG210" i="17"/>
  <c r="A1681" i="18" s="1"/>
  <c r="AP210" i="17"/>
  <c r="A1926" i="18" s="1"/>
  <c r="E453" i="17"/>
  <c r="H456" i="18"/>
  <c r="D453" i="17"/>
  <c r="F456" i="18"/>
  <c r="C453" i="17"/>
  <c r="D456" i="18"/>
  <c r="B453" i="17"/>
  <c r="B456" i="18"/>
  <c r="T210" i="17"/>
  <c r="AC210" i="17"/>
  <c r="AL210" i="17"/>
  <c r="AU210" i="17"/>
  <c r="Q209" i="17"/>
  <c r="C1190" i="18" s="1"/>
  <c r="Z209" i="17"/>
  <c r="C1435" i="18" s="1"/>
  <c r="AI209" i="17"/>
  <c r="C1680" i="18" s="1"/>
  <c r="AR209" i="17"/>
  <c r="C1925" i="18" s="1"/>
  <c r="C452" i="17"/>
  <c r="D455" i="18"/>
  <c r="P209" i="17"/>
  <c r="Y209" i="17"/>
  <c r="AH209" i="17"/>
  <c r="AQ209" i="17"/>
  <c r="S208" i="17"/>
  <c r="E1189" i="18" s="1"/>
  <c r="AB208" i="17"/>
  <c r="E1434" i="18" s="1"/>
  <c r="AK208" i="17"/>
  <c r="E1679" i="18" s="1"/>
  <c r="AT208" i="17"/>
  <c r="E1924" i="18" s="1"/>
  <c r="AC205" i="17"/>
  <c r="AU205" i="17"/>
  <c r="T205" i="17"/>
  <c r="AL205" i="17"/>
  <c r="F450" i="18"/>
  <c r="D447" i="17"/>
  <c r="Y203" i="17"/>
  <c r="P203" i="17"/>
  <c r="AH203" i="17"/>
  <c r="AQ203" i="17"/>
  <c r="O202" i="17"/>
  <c r="A1183" i="18" s="1"/>
  <c r="X202" i="17"/>
  <c r="A1428" i="18" s="1"/>
  <c r="AG202" i="17"/>
  <c r="A1673" i="18" s="1"/>
  <c r="AP202" i="17"/>
  <c r="A1918" i="18" s="1"/>
  <c r="T202" i="17"/>
  <c r="AC202" i="17"/>
  <c r="AL202" i="17"/>
  <c r="AU202" i="17"/>
  <c r="Z201" i="17"/>
  <c r="C1427" i="18" s="1"/>
  <c r="Q201" i="17"/>
  <c r="C1182" i="18" s="1"/>
  <c r="AI201" i="17"/>
  <c r="C1672" i="18" s="1"/>
  <c r="AR201" i="17"/>
  <c r="C1917" i="18" s="1"/>
  <c r="AA201" i="17"/>
  <c r="AJ201" i="17"/>
  <c r="AS201" i="17"/>
  <c r="R201" i="17"/>
  <c r="AP200" i="17"/>
  <c r="A1916" i="18" s="1"/>
  <c r="X200" i="17"/>
  <c r="A1426" i="18" s="1"/>
  <c r="AG200" i="17"/>
  <c r="A1671" i="18" s="1"/>
  <c r="O200" i="17"/>
  <c r="A1181" i="18" s="1"/>
  <c r="S199" i="17"/>
  <c r="E1180" i="18" s="1"/>
  <c r="AK199" i="17"/>
  <c r="E1670" i="18" s="1"/>
  <c r="AB199" i="17"/>
  <c r="E1425" i="18" s="1"/>
  <c r="AT199" i="17"/>
  <c r="E1915" i="18" s="1"/>
  <c r="AB198" i="17"/>
  <c r="E1424" i="18" s="1"/>
  <c r="AK198" i="17"/>
  <c r="E1669" i="18" s="1"/>
  <c r="AT198" i="17"/>
  <c r="E1914" i="18" s="1"/>
  <c r="S198" i="17"/>
  <c r="E1179" i="18" s="1"/>
  <c r="AU198" i="17"/>
  <c r="T198" i="17"/>
  <c r="AC198" i="17"/>
  <c r="AL198" i="17"/>
  <c r="AW197" i="17"/>
  <c r="V197" i="17"/>
  <c r="AE197" i="17"/>
  <c r="AN197" i="17"/>
  <c r="O196" i="17"/>
  <c r="A1177" i="18" s="1"/>
  <c r="X196" i="17"/>
  <c r="A1422" i="18" s="1"/>
  <c r="AP196" i="17"/>
  <c r="A1912" i="18" s="1"/>
  <c r="AG196" i="17"/>
  <c r="A1667" i="18" s="1"/>
  <c r="B442" i="18"/>
  <c r="B439" i="17"/>
  <c r="AW195" i="17"/>
  <c r="AN195" i="17"/>
  <c r="V195" i="17"/>
  <c r="AE195" i="17"/>
  <c r="Z194" i="17"/>
  <c r="C1420" i="18" s="1"/>
  <c r="AI194" i="17"/>
  <c r="C1665" i="18" s="1"/>
  <c r="AR194" i="17"/>
  <c r="C1910" i="18" s="1"/>
  <c r="Q194" i="17"/>
  <c r="C1175" i="18" s="1"/>
  <c r="D440" i="18"/>
  <c r="C437" i="17"/>
  <c r="Q190" i="17"/>
  <c r="C1171" i="18" s="1"/>
  <c r="Z190" i="17"/>
  <c r="C1416" i="18" s="1"/>
  <c r="AI190" i="17"/>
  <c r="C1661" i="18" s="1"/>
  <c r="AR190" i="17"/>
  <c r="C1906" i="18" s="1"/>
  <c r="S189" i="17"/>
  <c r="E1170" i="18" s="1"/>
  <c r="AB189" i="17"/>
  <c r="E1415" i="18" s="1"/>
  <c r="AK189" i="17"/>
  <c r="E1660" i="18" s="1"/>
  <c r="AT189" i="17"/>
  <c r="E1905" i="18" s="1"/>
  <c r="B432" i="17"/>
  <c r="B435" i="18"/>
  <c r="V187" i="17"/>
  <c r="AE187" i="17"/>
  <c r="AN187" i="17"/>
  <c r="AW187" i="17"/>
  <c r="P185" i="17"/>
  <c r="Y185" i="17"/>
  <c r="AH185" i="17"/>
  <c r="AQ185" i="17"/>
  <c r="Q184" i="17"/>
  <c r="C1165" i="18" s="1"/>
  <c r="Z184" i="17"/>
  <c r="C1410" i="18" s="1"/>
  <c r="AI184" i="17"/>
  <c r="C1655" i="18" s="1"/>
  <c r="AR184" i="17"/>
  <c r="C1900" i="18" s="1"/>
  <c r="O183" i="17"/>
  <c r="A1164" i="18" s="1"/>
  <c r="X183" i="17"/>
  <c r="A1409" i="18" s="1"/>
  <c r="AG183" i="17"/>
  <c r="A1654" i="18" s="1"/>
  <c r="AP183" i="17"/>
  <c r="A1899" i="18" s="1"/>
  <c r="D425" i="17"/>
  <c r="F428" i="18"/>
  <c r="E424" i="17"/>
  <c r="H427" i="18"/>
  <c r="P181" i="17"/>
  <c r="Y181" i="17"/>
  <c r="AH181" i="17"/>
  <c r="AQ181" i="17"/>
  <c r="R180" i="17"/>
  <c r="AA180" i="17"/>
  <c r="AJ180" i="17"/>
  <c r="AS180" i="17"/>
  <c r="Q179" i="17"/>
  <c r="C1160" i="18" s="1"/>
  <c r="Z179" i="17"/>
  <c r="C1405" i="18" s="1"/>
  <c r="AI179" i="17"/>
  <c r="C1650" i="18" s="1"/>
  <c r="AR179" i="17"/>
  <c r="C1895" i="18" s="1"/>
  <c r="Q178" i="17"/>
  <c r="C1159" i="18" s="1"/>
  <c r="Z178" i="17"/>
  <c r="C1404" i="18" s="1"/>
  <c r="AI178" i="17"/>
  <c r="C1649" i="18" s="1"/>
  <c r="AR178" i="17"/>
  <c r="C1894" i="18" s="1"/>
  <c r="B421" i="17"/>
  <c r="B424" i="18"/>
  <c r="P177" i="17"/>
  <c r="Y177" i="17"/>
  <c r="AH177" i="17"/>
  <c r="AQ177" i="17"/>
  <c r="U176" i="17"/>
  <c r="G1157" i="18" s="1"/>
  <c r="AD176" i="17"/>
  <c r="G1402" i="18" s="1"/>
  <c r="AM176" i="17"/>
  <c r="G1647" i="18" s="1"/>
  <c r="AV176" i="17"/>
  <c r="G1892" i="18" s="1"/>
  <c r="U175" i="17"/>
  <c r="G1156" i="18" s="1"/>
  <c r="AD175" i="17"/>
  <c r="G1401" i="18" s="1"/>
  <c r="AM175" i="17"/>
  <c r="G1646" i="18" s="1"/>
  <c r="AV175" i="17"/>
  <c r="G1891" i="18" s="1"/>
  <c r="E418" i="17"/>
  <c r="H421" i="18"/>
  <c r="V174" i="17"/>
  <c r="AE174" i="17"/>
  <c r="AN174" i="17"/>
  <c r="AW174" i="17"/>
  <c r="V173" i="17"/>
  <c r="AE173" i="17"/>
  <c r="AN173" i="17"/>
  <c r="AW173" i="17"/>
  <c r="U172" i="17"/>
  <c r="G1153" i="18" s="1"/>
  <c r="AD172" i="17"/>
  <c r="G1398" i="18" s="1"/>
  <c r="AM172" i="17"/>
  <c r="G1643" i="18" s="1"/>
  <c r="AV172" i="17"/>
  <c r="G1888" i="18" s="1"/>
  <c r="V172" i="17"/>
  <c r="AE172" i="17"/>
  <c r="AN172" i="17"/>
  <c r="AW172" i="17"/>
  <c r="V171" i="17"/>
  <c r="AE171" i="17"/>
  <c r="AN171" i="17"/>
  <c r="AW171" i="17"/>
  <c r="O170" i="17"/>
  <c r="A1151" i="18" s="1"/>
  <c r="X170" i="17"/>
  <c r="A1396" i="18" s="1"/>
  <c r="AG170" i="17"/>
  <c r="A1641" i="18" s="1"/>
  <c r="AP170" i="17"/>
  <c r="A1886" i="18" s="1"/>
  <c r="E413" i="17"/>
  <c r="H416" i="18"/>
  <c r="C412" i="17"/>
  <c r="D415" i="18"/>
  <c r="T168" i="17"/>
  <c r="AC168" i="17"/>
  <c r="AL168" i="17"/>
  <c r="AU168" i="17"/>
  <c r="P166" i="17"/>
  <c r="Y166" i="17"/>
  <c r="AH166" i="17"/>
  <c r="AQ166" i="17"/>
  <c r="V165" i="17"/>
  <c r="AE165" i="17"/>
  <c r="AN165" i="17"/>
  <c r="AW165" i="17"/>
  <c r="O164" i="17"/>
  <c r="A1145" i="18" s="1"/>
  <c r="X164" i="17"/>
  <c r="A1390" i="18" s="1"/>
  <c r="AG164" i="17"/>
  <c r="A1635" i="18" s="1"/>
  <c r="AP164" i="17"/>
  <c r="A1880" i="18" s="1"/>
  <c r="P164" i="17"/>
  <c r="Y164" i="17"/>
  <c r="AH164" i="17"/>
  <c r="AQ164" i="17"/>
  <c r="B406" i="17"/>
  <c r="B409" i="18"/>
  <c r="O162" i="17"/>
  <c r="A1143" i="18" s="1"/>
  <c r="X162" i="17"/>
  <c r="A1388" i="18" s="1"/>
  <c r="AG162" i="17"/>
  <c r="A1633" i="18" s="1"/>
  <c r="AP162" i="17"/>
  <c r="A1878" i="18" s="1"/>
  <c r="O161" i="17"/>
  <c r="A1142" i="18" s="1"/>
  <c r="X161" i="17"/>
  <c r="A1387" i="18" s="1"/>
  <c r="AG161" i="17"/>
  <c r="A1632" i="18" s="1"/>
  <c r="AP161" i="17"/>
  <c r="A1877" i="18" s="1"/>
  <c r="E404" i="17"/>
  <c r="H407" i="18"/>
  <c r="P161" i="17"/>
  <c r="Y161" i="17"/>
  <c r="AH161" i="17"/>
  <c r="AQ161" i="17"/>
  <c r="S160" i="17"/>
  <c r="E1141" i="18" s="1"/>
  <c r="AB160" i="17"/>
  <c r="E1386" i="18" s="1"/>
  <c r="AK160" i="17"/>
  <c r="E1631" i="18" s="1"/>
  <c r="AT160" i="17"/>
  <c r="E1876" i="18" s="1"/>
  <c r="V160" i="17"/>
  <c r="AE160" i="17"/>
  <c r="AN160" i="17"/>
  <c r="AW160" i="17"/>
  <c r="P158" i="17"/>
  <c r="Y158" i="17"/>
  <c r="AH158" i="17"/>
  <c r="AQ158" i="17"/>
  <c r="P156" i="17"/>
  <c r="Y156" i="17"/>
  <c r="AH156" i="17"/>
  <c r="AQ156" i="17"/>
  <c r="Q155" i="17"/>
  <c r="C1136" i="18" s="1"/>
  <c r="Z155" i="17"/>
  <c r="C1381" i="18" s="1"/>
  <c r="AI155" i="17"/>
  <c r="C1626" i="18" s="1"/>
  <c r="AR155" i="17"/>
  <c r="C1871" i="18" s="1"/>
  <c r="E398" i="17"/>
  <c r="H401" i="18"/>
  <c r="S154" i="17"/>
  <c r="E1135" i="18" s="1"/>
  <c r="AB154" i="17"/>
  <c r="E1380" i="18" s="1"/>
  <c r="AK154" i="17"/>
  <c r="E1625" i="18" s="1"/>
  <c r="AT154" i="17"/>
  <c r="E1870" i="18" s="1"/>
  <c r="T154" i="17"/>
  <c r="AC154" i="17"/>
  <c r="AL154" i="17"/>
  <c r="AU154" i="17"/>
  <c r="AU115" i="17"/>
  <c r="T115" i="17"/>
  <c r="AC115" i="17"/>
  <c r="AL115" i="17"/>
  <c r="P112" i="17"/>
  <c r="AH112" i="17"/>
  <c r="AQ112" i="17"/>
  <c r="Y112" i="17"/>
  <c r="Q111" i="17"/>
  <c r="C1092" i="18" s="1"/>
  <c r="AR111" i="17"/>
  <c r="C1827" i="18" s="1"/>
  <c r="Z111" i="17"/>
  <c r="C1337" i="18" s="1"/>
  <c r="AI111" i="17"/>
  <c r="C1582" i="18" s="1"/>
  <c r="AI110" i="17"/>
  <c r="C1581" i="18" s="1"/>
  <c r="AR110" i="17"/>
  <c r="C1826" i="18" s="1"/>
  <c r="Z110" i="17"/>
  <c r="C1336" i="18" s="1"/>
  <c r="Q110" i="17"/>
  <c r="C1091" i="18" s="1"/>
  <c r="H356" i="18"/>
  <c r="E353" i="17"/>
  <c r="B350" i="17"/>
  <c r="B353" i="18"/>
  <c r="U106" i="17"/>
  <c r="G1087" i="18" s="1"/>
  <c r="AM106" i="17"/>
  <c r="G1577" i="18" s="1"/>
  <c r="AD106" i="17"/>
  <c r="G1332" i="18" s="1"/>
  <c r="AV106" i="17"/>
  <c r="G1822" i="18" s="1"/>
  <c r="AD105" i="17"/>
  <c r="G1331" i="18" s="1"/>
  <c r="AV105" i="17"/>
  <c r="G1821" i="18" s="1"/>
  <c r="U105" i="17"/>
  <c r="G1086" i="18" s="1"/>
  <c r="AM105" i="17"/>
  <c r="G1576" i="18" s="1"/>
  <c r="Q104" i="17"/>
  <c r="C1085" i="18" s="1"/>
  <c r="Z104" i="17"/>
  <c r="C1330" i="18" s="1"/>
  <c r="AI104" i="17"/>
  <c r="C1575" i="18" s="1"/>
  <c r="AR104" i="17"/>
  <c r="C1820" i="18" s="1"/>
  <c r="B346" i="17"/>
  <c r="B349" i="18"/>
  <c r="AG101" i="17"/>
  <c r="A1572" i="18" s="1"/>
  <c r="X101" i="17"/>
  <c r="A1327" i="18" s="1"/>
  <c r="AP101" i="17"/>
  <c r="A1817" i="18" s="1"/>
  <c r="O101" i="17"/>
  <c r="A1082" i="18" s="1"/>
  <c r="C344" i="17"/>
  <c r="D347" i="18"/>
  <c r="H346" i="18"/>
  <c r="E343" i="17"/>
  <c r="T100" i="17"/>
  <c r="AL100" i="17"/>
  <c r="AU100" i="17"/>
  <c r="AC100" i="17"/>
  <c r="V98" i="17"/>
  <c r="AN98" i="17"/>
  <c r="AW98" i="17"/>
  <c r="AE98" i="17"/>
  <c r="O97" i="17"/>
  <c r="A1078" i="18" s="1"/>
  <c r="X97" i="17"/>
  <c r="A1323" i="18" s="1"/>
  <c r="AP97" i="17"/>
  <c r="A1813" i="18" s="1"/>
  <c r="AG97" i="17"/>
  <c r="A1568" i="18" s="1"/>
  <c r="AW97" i="17"/>
  <c r="V97" i="17"/>
  <c r="AN97" i="17"/>
  <c r="AE97" i="17"/>
  <c r="U96" i="17"/>
  <c r="G1077" i="18" s="1"/>
  <c r="AM96" i="17"/>
  <c r="G1567" i="18" s="1"/>
  <c r="AD96" i="17"/>
  <c r="G1322" i="18" s="1"/>
  <c r="AV96" i="17"/>
  <c r="G1812" i="18" s="1"/>
  <c r="C339" i="17"/>
  <c r="D342" i="18"/>
  <c r="U95" i="17"/>
  <c r="G1076" i="18" s="1"/>
  <c r="AD95" i="17"/>
  <c r="G1321" i="18" s="1"/>
  <c r="AM95" i="17"/>
  <c r="G1566" i="18" s="1"/>
  <c r="AV95" i="17"/>
  <c r="G1811" i="18" s="1"/>
  <c r="AP94" i="17"/>
  <c r="A1810" i="18" s="1"/>
  <c r="O94" i="17"/>
  <c r="A1075" i="18" s="1"/>
  <c r="X94" i="17"/>
  <c r="A1320" i="18" s="1"/>
  <c r="AG94" i="17"/>
  <c r="A1565" i="18" s="1"/>
  <c r="T94" i="17"/>
  <c r="AC94" i="17"/>
  <c r="AL94" i="17"/>
  <c r="AU94" i="17"/>
  <c r="AD93" i="17"/>
  <c r="G1319" i="18" s="1"/>
  <c r="AM93" i="17"/>
  <c r="G1564" i="18" s="1"/>
  <c r="U93" i="17"/>
  <c r="G1074" i="18" s="1"/>
  <c r="AV93" i="17"/>
  <c r="G1809" i="18" s="1"/>
  <c r="AC93" i="17"/>
  <c r="AL93" i="17"/>
  <c r="T93" i="17"/>
  <c r="AU93" i="17"/>
  <c r="O92" i="17"/>
  <c r="A1073" i="18" s="1"/>
  <c r="X92" i="17"/>
  <c r="A1318" i="18" s="1"/>
  <c r="AG92" i="17"/>
  <c r="A1563" i="18" s="1"/>
  <c r="AP92" i="17"/>
  <c r="A1808" i="18" s="1"/>
  <c r="E335" i="17"/>
  <c r="H338" i="18"/>
  <c r="U91" i="17"/>
  <c r="G1072" i="18" s="1"/>
  <c r="AD91" i="17"/>
  <c r="G1317" i="18" s="1"/>
  <c r="AM91" i="17"/>
  <c r="G1562" i="18" s="1"/>
  <c r="AV91" i="17"/>
  <c r="G1807" i="18" s="1"/>
  <c r="P90" i="17"/>
  <c r="Y90" i="17"/>
  <c r="AH90" i="17"/>
  <c r="AQ90" i="17"/>
  <c r="Q89" i="17"/>
  <c r="C1070" i="18" s="1"/>
  <c r="Z89" i="17"/>
  <c r="C1315" i="18" s="1"/>
  <c r="AI89" i="17"/>
  <c r="C1560" i="18" s="1"/>
  <c r="AR89" i="17"/>
  <c r="C1805" i="18" s="1"/>
  <c r="D332" i="17"/>
  <c r="F335" i="18"/>
  <c r="S88" i="17"/>
  <c r="E1069" i="18" s="1"/>
  <c r="AB88" i="17"/>
  <c r="E1314" i="18" s="1"/>
  <c r="AK88" i="17"/>
  <c r="E1559" i="18" s="1"/>
  <c r="AT88" i="17"/>
  <c r="E1804" i="18" s="1"/>
  <c r="Q88" i="17"/>
  <c r="C1069" i="18" s="1"/>
  <c r="Z88" i="17"/>
  <c r="C1314" i="18" s="1"/>
  <c r="AI88" i="17"/>
  <c r="C1559" i="18" s="1"/>
  <c r="AR88" i="17"/>
  <c r="C1804" i="18" s="1"/>
  <c r="T88" i="17"/>
  <c r="AC88" i="17"/>
  <c r="AL88" i="17"/>
  <c r="AU88" i="17"/>
  <c r="U87" i="17"/>
  <c r="G1068" i="18" s="1"/>
  <c r="AD87" i="17"/>
  <c r="G1313" i="18" s="1"/>
  <c r="AM87" i="17"/>
  <c r="G1558" i="18" s="1"/>
  <c r="AV87" i="17"/>
  <c r="G1803" i="18" s="1"/>
  <c r="O87" i="17"/>
  <c r="A1068" i="18" s="1"/>
  <c r="X87" i="17"/>
  <c r="A1313" i="18" s="1"/>
  <c r="AG87" i="17"/>
  <c r="A1558" i="18" s="1"/>
  <c r="AP87" i="17"/>
  <c r="A1803" i="18" s="1"/>
  <c r="V87" i="17"/>
  <c r="AE87" i="17"/>
  <c r="AN87" i="17"/>
  <c r="AW87" i="17"/>
  <c r="D329" i="17"/>
  <c r="F332" i="18"/>
  <c r="Q85" i="17"/>
  <c r="C1066" i="18" s="1"/>
  <c r="Z85" i="17"/>
  <c r="C1311" i="18" s="1"/>
  <c r="AI85" i="17"/>
  <c r="C1556" i="18" s="1"/>
  <c r="AR85" i="17"/>
  <c r="C1801" i="18" s="1"/>
  <c r="O84" i="17"/>
  <c r="A1065" i="18" s="1"/>
  <c r="X84" i="17"/>
  <c r="A1310" i="18" s="1"/>
  <c r="AG84" i="17"/>
  <c r="A1555" i="18" s="1"/>
  <c r="AP84" i="17"/>
  <c r="A1800" i="18" s="1"/>
  <c r="S83" i="17"/>
  <c r="E1064" i="18" s="1"/>
  <c r="AB83" i="17"/>
  <c r="E1309" i="18" s="1"/>
  <c r="AK83" i="17"/>
  <c r="E1554" i="18" s="1"/>
  <c r="AT83" i="17"/>
  <c r="E1799" i="18" s="1"/>
  <c r="D326" i="17"/>
  <c r="F329" i="18"/>
  <c r="S81" i="17"/>
  <c r="E1062" i="18" s="1"/>
  <c r="AB81" i="17"/>
  <c r="E1307" i="18" s="1"/>
  <c r="AK81" i="17"/>
  <c r="E1552" i="18" s="1"/>
  <c r="AT81" i="17"/>
  <c r="E1797" i="18" s="1"/>
  <c r="V81" i="17"/>
  <c r="AE81" i="17"/>
  <c r="AN81" i="17"/>
  <c r="AW81" i="17"/>
  <c r="U79" i="17"/>
  <c r="G1060" i="18" s="1"/>
  <c r="AD79" i="17"/>
  <c r="G1305" i="18" s="1"/>
  <c r="AM79" i="17"/>
  <c r="G1550" i="18" s="1"/>
  <c r="AV79" i="17"/>
  <c r="G1795" i="18" s="1"/>
  <c r="E321" i="17"/>
  <c r="H324" i="18"/>
  <c r="S77" i="17"/>
  <c r="E1058" i="18" s="1"/>
  <c r="AB77" i="17"/>
  <c r="E1303" i="18" s="1"/>
  <c r="AK77" i="17"/>
  <c r="E1548" i="18" s="1"/>
  <c r="AT77" i="17"/>
  <c r="E1793" i="18" s="1"/>
  <c r="E320" i="17"/>
  <c r="H323" i="18"/>
  <c r="U76" i="17"/>
  <c r="G1057" i="18" s="1"/>
  <c r="AD76" i="17"/>
  <c r="G1302" i="18" s="1"/>
  <c r="AM76" i="17"/>
  <c r="G1547" i="18" s="1"/>
  <c r="AV76" i="17"/>
  <c r="G1792" i="18" s="1"/>
  <c r="V76" i="17"/>
  <c r="AE76" i="17"/>
  <c r="AN76" i="17"/>
  <c r="AW76" i="17"/>
  <c r="O74" i="17"/>
  <c r="A1055" i="18" s="1"/>
  <c r="X74" i="17"/>
  <c r="A1300" i="18" s="1"/>
  <c r="AG74" i="17"/>
  <c r="A1545" i="18" s="1"/>
  <c r="AP74" i="17"/>
  <c r="A1790" i="18" s="1"/>
  <c r="R74" i="17"/>
  <c r="AA74" i="17"/>
  <c r="AJ74" i="17"/>
  <c r="AS74" i="17"/>
  <c r="T73" i="17"/>
  <c r="AC73" i="17"/>
  <c r="AL73" i="17"/>
  <c r="AU73" i="17"/>
  <c r="P26" i="17"/>
  <c r="Y26" i="17"/>
  <c r="AH26" i="17"/>
  <c r="AQ26" i="17"/>
  <c r="V25" i="17"/>
  <c r="AE25" i="17"/>
  <c r="AN25" i="17"/>
  <c r="AW25" i="17"/>
  <c r="D267" i="17"/>
  <c r="F270" i="18"/>
  <c r="Q23" i="17"/>
  <c r="C1004" i="18" s="1"/>
  <c r="Z23" i="17"/>
  <c r="C1249" i="18" s="1"/>
  <c r="AI23" i="17"/>
  <c r="C1494" i="18" s="1"/>
  <c r="AR23" i="17"/>
  <c r="C1739" i="18" s="1"/>
  <c r="U22" i="17"/>
  <c r="G1003" i="18" s="1"/>
  <c r="AD22" i="17"/>
  <c r="G1248" i="18" s="1"/>
  <c r="AM22" i="17"/>
  <c r="G1493" i="18" s="1"/>
  <c r="AV22" i="17"/>
  <c r="G1738" i="18" s="1"/>
  <c r="R22" i="17"/>
  <c r="AA22" i="17"/>
  <c r="AJ22" i="17"/>
  <c r="AS22" i="17"/>
  <c r="O21" i="17"/>
  <c r="A1002" i="18" s="1"/>
  <c r="X21" i="17"/>
  <c r="A1247" i="18" s="1"/>
  <c r="AG21" i="17"/>
  <c r="A1492" i="18" s="1"/>
  <c r="AP21" i="17"/>
  <c r="A1737" i="18" s="1"/>
  <c r="E264" i="17"/>
  <c r="H267" i="18"/>
  <c r="C263" i="17"/>
  <c r="D266" i="18"/>
  <c r="U19" i="17"/>
  <c r="G1000" i="18" s="1"/>
  <c r="AD19" i="17"/>
  <c r="G1245" i="18" s="1"/>
  <c r="AM19" i="17"/>
  <c r="G1490" i="18" s="1"/>
  <c r="AV19" i="17"/>
  <c r="G1735" i="18" s="1"/>
  <c r="B262" i="17"/>
  <c r="B265" i="18"/>
  <c r="R18" i="17"/>
  <c r="AA18" i="17"/>
  <c r="AJ18" i="17"/>
  <c r="AS18" i="17"/>
  <c r="U17" i="17"/>
  <c r="G998" i="18" s="1"/>
  <c r="AD17" i="17"/>
  <c r="G1243" i="18" s="1"/>
  <c r="AM17" i="17"/>
  <c r="G1488" i="18" s="1"/>
  <c r="AV17" i="17"/>
  <c r="G1733" i="18" s="1"/>
  <c r="R17" i="17"/>
  <c r="AA17" i="17"/>
  <c r="AJ17" i="17"/>
  <c r="AS17" i="17"/>
  <c r="P16" i="17"/>
  <c r="Y16" i="17"/>
  <c r="AH16" i="17"/>
  <c r="AQ16" i="17"/>
  <c r="T15" i="17"/>
  <c r="AC15" i="17"/>
  <c r="AL15" i="17"/>
  <c r="AU15" i="17"/>
  <c r="C257" i="17"/>
  <c r="D260" i="18"/>
  <c r="T13" i="17"/>
  <c r="AC13" i="17"/>
  <c r="AL13" i="17"/>
  <c r="AU13" i="17"/>
  <c r="B255" i="17"/>
  <c r="B258" i="18"/>
  <c r="T11" i="17"/>
  <c r="AC11" i="17"/>
  <c r="AL11" i="17"/>
  <c r="AU11" i="17"/>
  <c r="S10" i="17"/>
  <c r="E991" i="18" s="1"/>
  <c r="AB10" i="17"/>
  <c r="E1236" i="18" s="1"/>
  <c r="AK10" i="17"/>
  <c r="E1481" i="18" s="1"/>
  <c r="AT10" i="17"/>
  <c r="E1726" i="18" s="1"/>
  <c r="P9" i="17"/>
  <c r="Y9" i="17"/>
  <c r="AH9" i="17"/>
  <c r="AQ9" i="17"/>
  <c r="P8" i="17"/>
  <c r="Y8" i="17"/>
  <c r="AH8" i="17"/>
  <c r="AQ8" i="17"/>
  <c r="F250" i="18"/>
  <c r="D247" i="17"/>
  <c r="O3" i="17"/>
  <c r="A984" i="18" s="1"/>
  <c r="X3" i="17"/>
  <c r="A1229" i="18" s="1"/>
  <c r="AG3" i="17"/>
  <c r="A1474" i="18" s="1"/>
  <c r="AP3" i="17"/>
  <c r="A1719" i="18" s="1"/>
  <c r="F249" i="18"/>
  <c r="D246" i="17"/>
  <c r="V2" i="17"/>
  <c r="AN2" i="17"/>
  <c r="AW2" i="17"/>
  <c r="AE2" i="17"/>
  <c r="I145" i="5"/>
  <c r="J145" i="5" s="1"/>
  <c r="AE145" i="5"/>
  <c r="AF145" i="5" s="1"/>
  <c r="C135" i="6"/>
  <c r="J135" i="10"/>
  <c r="G135" i="17" s="1"/>
  <c r="F136" i="18" s="1"/>
  <c r="M135" i="10"/>
  <c r="AE133" i="5"/>
  <c r="AF133" i="5" s="1"/>
  <c r="I133" i="5"/>
  <c r="J133" i="5" s="1"/>
  <c r="C131" i="6"/>
  <c r="J131" i="10"/>
  <c r="G131" i="17" s="1"/>
  <c r="F132" i="18" s="1"/>
  <c r="M131" i="10"/>
  <c r="C126" i="6"/>
  <c r="J126" i="10"/>
  <c r="G126" i="17" s="1"/>
  <c r="F127" i="18" s="1"/>
  <c r="M126" i="10"/>
  <c r="C122" i="5"/>
  <c r="AA122" i="5"/>
  <c r="Z122" i="5"/>
  <c r="D122" i="6"/>
  <c r="W122" i="10"/>
  <c r="D122" i="5"/>
  <c r="I116" i="5"/>
  <c r="J116" i="5" s="1"/>
  <c r="AE116" i="5"/>
  <c r="AF116" i="5" s="1"/>
  <c r="C115" i="6"/>
  <c r="J115" i="10"/>
  <c r="G115" i="17" s="1"/>
  <c r="F116" i="18" s="1"/>
  <c r="M115" i="10"/>
  <c r="C115" i="5"/>
  <c r="D115" i="6"/>
  <c r="AA115" i="5"/>
  <c r="Z115" i="5"/>
  <c r="AG115" i="5" s="1"/>
  <c r="AH115" i="5" s="1"/>
  <c r="W115" i="10"/>
  <c r="D115" i="5"/>
  <c r="B114" i="6"/>
  <c r="H114" i="10"/>
  <c r="E114" i="17" s="1"/>
  <c r="B115" i="18" s="1"/>
  <c r="I114" i="10"/>
  <c r="F114" i="17" s="1"/>
  <c r="D115" i="18" s="1"/>
  <c r="L114" i="10"/>
  <c r="AK114" i="5"/>
  <c r="C113" i="6"/>
  <c r="J113" i="10"/>
  <c r="G113" i="17" s="1"/>
  <c r="F114" i="18" s="1"/>
  <c r="M113" i="10"/>
  <c r="AK109" i="5"/>
  <c r="B109" i="6"/>
  <c r="H109" i="10"/>
  <c r="E109" i="17" s="1"/>
  <c r="B110" i="18" s="1"/>
  <c r="I109" i="10"/>
  <c r="F109" i="17" s="1"/>
  <c r="D110" i="18" s="1"/>
  <c r="L109" i="10"/>
  <c r="B105" i="6"/>
  <c r="H105" i="10"/>
  <c r="E105" i="17" s="1"/>
  <c r="B106" i="18" s="1"/>
  <c r="I105" i="10"/>
  <c r="F105" i="17" s="1"/>
  <c r="D106" i="18" s="1"/>
  <c r="L105" i="10"/>
  <c r="AK105" i="5"/>
  <c r="Z102" i="5"/>
  <c r="C102" i="5"/>
  <c r="D102" i="5"/>
  <c r="D102" i="6"/>
  <c r="W102" i="10"/>
  <c r="AA102" i="5"/>
  <c r="AA101" i="5"/>
  <c r="Z101" i="5"/>
  <c r="AG101" i="5" s="1"/>
  <c r="AH101" i="5" s="1"/>
  <c r="D101" i="6"/>
  <c r="W101" i="10"/>
  <c r="D101" i="5"/>
  <c r="C101" i="5"/>
  <c r="K101" i="5" s="1"/>
  <c r="L101" i="5" s="1"/>
  <c r="C99" i="6"/>
  <c r="J99" i="10"/>
  <c r="G99" i="17" s="1"/>
  <c r="F100" i="18" s="1"/>
  <c r="M99" i="10"/>
  <c r="AK97" i="5"/>
  <c r="B97" i="6"/>
  <c r="H97" i="10"/>
  <c r="E97" i="17" s="1"/>
  <c r="B98" i="18" s="1"/>
  <c r="I97" i="10"/>
  <c r="F97" i="17" s="1"/>
  <c r="D98" i="18" s="1"/>
  <c r="L97" i="10"/>
  <c r="U153" i="17"/>
  <c r="G1134" i="18" s="1"/>
  <c r="AD153" i="17"/>
  <c r="G1379" i="18" s="1"/>
  <c r="AM153" i="17"/>
  <c r="G1624" i="18" s="1"/>
  <c r="AV153" i="17"/>
  <c r="G1869" i="18" s="1"/>
  <c r="S153" i="17"/>
  <c r="E1134" i="18" s="1"/>
  <c r="AB153" i="17"/>
  <c r="E1379" i="18" s="1"/>
  <c r="AK153" i="17"/>
  <c r="E1624" i="18" s="1"/>
  <c r="AT153" i="17"/>
  <c r="E1869" i="18" s="1"/>
  <c r="Q153" i="17"/>
  <c r="C1134" i="18" s="1"/>
  <c r="Z153" i="17"/>
  <c r="C1379" i="18" s="1"/>
  <c r="AI153" i="17"/>
  <c r="C1624" i="18" s="1"/>
  <c r="AR153" i="17"/>
  <c r="C1869" i="18" s="1"/>
  <c r="O153" i="17"/>
  <c r="A1134" i="18" s="1"/>
  <c r="X153" i="17"/>
  <c r="A1379" i="18" s="1"/>
  <c r="AG153" i="17"/>
  <c r="A1624" i="18" s="1"/>
  <c r="AP153" i="17"/>
  <c r="A1869" i="18" s="1"/>
  <c r="E396" i="17"/>
  <c r="H399" i="18"/>
  <c r="D396" i="17"/>
  <c r="F399" i="18"/>
  <c r="C396" i="17"/>
  <c r="D399" i="18"/>
  <c r="B396" i="17"/>
  <c r="B399" i="18"/>
  <c r="V153" i="17"/>
  <c r="AE153" i="17"/>
  <c r="AN153" i="17"/>
  <c r="AW153" i="17"/>
  <c r="T153" i="17"/>
  <c r="AC153" i="17"/>
  <c r="AL153" i="17"/>
  <c r="AU153" i="17"/>
  <c r="R153" i="17"/>
  <c r="AA153" i="17"/>
  <c r="AJ153" i="17"/>
  <c r="AS153" i="17"/>
  <c r="P153" i="17"/>
  <c r="Y153" i="17"/>
  <c r="AH153" i="17"/>
  <c r="AQ153" i="17"/>
  <c r="U152" i="17"/>
  <c r="G1133" i="18" s="1"/>
  <c r="AD152" i="17"/>
  <c r="G1378" i="18" s="1"/>
  <c r="AM152" i="17"/>
  <c r="G1623" i="18" s="1"/>
  <c r="AV152" i="17"/>
  <c r="G1868" i="18" s="1"/>
  <c r="S152" i="17"/>
  <c r="E1133" i="18" s="1"/>
  <c r="AB152" i="17"/>
  <c r="E1378" i="18" s="1"/>
  <c r="AK152" i="17"/>
  <c r="E1623" i="18" s="1"/>
  <c r="AT152" i="17"/>
  <c r="E1868" i="18" s="1"/>
  <c r="Q152" i="17"/>
  <c r="C1133" i="18" s="1"/>
  <c r="Z152" i="17"/>
  <c r="C1378" i="18" s="1"/>
  <c r="AI152" i="17"/>
  <c r="C1623" i="18" s="1"/>
  <c r="AR152" i="17"/>
  <c r="C1868" i="18" s="1"/>
  <c r="O152" i="17"/>
  <c r="A1133" i="18" s="1"/>
  <c r="X152" i="17"/>
  <c r="A1378" i="18" s="1"/>
  <c r="AG152" i="17"/>
  <c r="A1623" i="18" s="1"/>
  <c r="AP152" i="17"/>
  <c r="A1868" i="18" s="1"/>
  <c r="E395" i="17"/>
  <c r="H398" i="18"/>
  <c r="D395" i="17"/>
  <c r="F398" i="18"/>
  <c r="C395" i="17"/>
  <c r="D398" i="18"/>
  <c r="B395" i="17"/>
  <c r="B398" i="18"/>
  <c r="V152" i="17"/>
  <c r="AE152" i="17"/>
  <c r="AN152" i="17"/>
  <c r="AW152" i="17"/>
  <c r="T152" i="17"/>
  <c r="AC152" i="17"/>
  <c r="AL152" i="17"/>
  <c r="AU152" i="17"/>
  <c r="R152" i="17"/>
  <c r="AA152" i="17"/>
  <c r="AJ152" i="17"/>
  <c r="AS152" i="17"/>
  <c r="P152" i="17"/>
  <c r="Y152" i="17"/>
  <c r="AH152" i="17"/>
  <c r="AQ152" i="17"/>
  <c r="U151" i="17"/>
  <c r="G1132" i="18" s="1"/>
  <c r="AD151" i="17"/>
  <c r="G1377" i="18" s="1"/>
  <c r="AM151" i="17"/>
  <c r="G1622" i="18" s="1"/>
  <c r="AV151" i="17"/>
  <c r="G1867" i="18" s="1"/>
  <c r="S151" i="17"/>
  <c r="E1132" i="18" s="1"/>
  <c r="AB151" i="17"/>
  <c r="E1377" i="18" s="1"/>
  <c r="AK151" i="17"/>
  <c r="E1622" i="18" s="1"/>
  <c r="AT151" i="17"/>
  <c r="E1867" i="18" s="1"/>
  <c r="Q151" i="17"/>
  <c r="C1132" i="18" s="1"/>
  <c r="Z151" i="17"/>
  <c r="C1377" i="18" s="1"/>
  <c r="AI151" i="17"/>
  <c r="C1622" i="18" s="1"/>
  <c r="AR151" i="17"/>
  <c r="C1867" i="18" s="1"/>
  <c r="O151" i="17"/>
  <c r="A1132" i="18" s="1"/>
  <c r="X151" i="17"/>
  <c r="A1377" i="18" s="1"/>
  <c r="AG151" i="17"/>
  <c r="A1622" i="18" s="1"/>
  <c r="AP151" i="17"/>
  <c r="A1867" i="18" s="1"/>
  <c r="E394" i="17"/>
  <c r="H397" i="18"/>
  <c r="D394" i="17"/>
  <c r="F397" i="18"/>
  <c r="C394" i="17"/>
  <c r="D397" i="18"/>
  <c r="B394" i="17"/>
  <c r="B397" i="18"/>
  <c r="V151" i="17"/>
  <c r="AE151" i="17"/>
  <c r="AN151" i="17"/>
  <c r="AW151" i="17"/>
  <c r="T151" i="17"/>
  <c r="AC151" i="17"/>
  <c r="AL151" i="17"/>
  <c r="AU151" i="17"/>
  <c r="R151" i="17"/>
  <c r="AA151" i="17"/>
  <c r="AJ151" i="17"/>
  <c r="AS151" i="17"/>
  <c r="P151" i="17"/>
  <c r="Y151" i="17"/>
  <c r="AH151" i="17"/>
  <c r="AQ151" i="17"/>
  <c r="U150" i="17"/>
  <c r="G1131" i="18" s="1"/>
  <c r="AD150" i="17"/>
  <c r="G1376" i="18" s="1"/>
  <c r="AM150" i="17"/>
  <c r="G1621" i="18" s="1"/>
  <c r="AV150" i="17"/>
  <c r="G1866" i="18" s="1"/>
  <c r="S150" i="17"/>
  <c r="E1131" i="18" s="1"/>
  <c r="AB150" i="17"/>
  <c r="E1376" i="18" s="1"/>
  <c r="AK150" i="17"/>
  <c r="E1621" i="18" s="1"/>
  <c r="AT150" i="17"/>
  <c r="E1866" i="18" s="1"/>
  <c r="Q150" i="17"/>
  <c r="C1131" i="18" s="1"/>
  <c r="Z150" i="17"/>
  <c r="C1376" i="18" s="1"/>
  <c r="AI150" i="17"/>
  <c r="C1621" i="18" s="1"/>
  <c r="AR150" i="17"/>
  <c r="C1866" i="18" s="1"/>
  <c r="O150" i="17"/>
  <c r="A1131" i="18" s="1"/>
  <c r="X150" i="17"/>
  <c r="A1376" i="18" s="1"/>
  <c r="AG150" i="17"/>
  <c r="A1621" i="18" s="1"/>
  <c r="AP150" i="17"/>
  <c r="A1866" i="18" s="1"/>
  <c r="E393" i="17"/>
  <c r="H396" i="18"/>
  <c r="D393" i="17"/>
  <c r="F396" i="18"/>
  <c r="C393" i="17"/>
  <c r="D396" i="18"/>
  <c r="B393" i="17"/>
  <c r="B396" i="18"/>
  <c r="V150" i="17"/>
  <c r="AE150" i="17"/>
  <c r="AN150" i="17"/>
  <c r="AW150" i="17"/>
  <c r="T150" i="17"/>
  <c r="AC150" i="17"/>
  <c r="AL150" i="17"/>
  <c r="AU150" i="17"/>
  <c r="R150" i="17"/>
  <c r="AA150" i="17"/>
  <c r="AJ150" i="17"/>
  <c r="AS150" i="17"/>
  <c r="P150" i="17"/>
  <c r="Y150" i="17"/>
  <c r="AH150" i="17"/>
  <c r="AQ150" i="17"/>
  <c r="U149" i="17"/>
  <c r="G1130" i="18" s="1"/>
  <c r="AD149" i="17"/>
  <c r="G1375" i="18" s="1"/>
  <c r="AM149" i="17"/>
  <c r="G1620" i="18" s="1"/>
  <c r="AV149" i="17"/>
  <c r="G1865" i="18" s="1"/>
  <c r="S149" i="17"/>
  <c r="E1130" i="18" s="1"/>
  <c r="AB149" i="17"/>
  <c r="E1375" i="18" s="1"/>
  <c r="AK149" i="17"/>
  <c r="E1620" i="18" s="1"/>
  <c r="AT149" i="17"/>
  <c r="E1865" i="18" s="1"/>
  <c r="Q149" i="17"/>
  <c r="C1130" i="18" s="1"/>
  <c r="Z149" i="17"/>
  <c r="C1375" i="18" s="1"/>
  <c r="AI149" i="17"/>
  <c r="C1620" i="18" s="1"/>
  <c r="AR149" i="17"/>
  <c r="C1865" i="18" s="1"/>
  <c r="O149" i="17"/>
  <c r="A1130" i="18" s="1"/>
  <c r="X149" i="17"/>
  <c r="A1375" i="18" s="1"/>
  <c r="AG149" i="17"/>
  <c r="A1620" i="18" s="1"/>
  <c r="AP149" i="17"/>
  <c r="A1865" i="18" s="1"/>
  <c r="E392" i="17"/>
  <c r="H395" i="18"/>
  <c r="D392" i="17"/>
  <c r="F395" i="18"/>
  <c r="C392" i="17"/>
  <c r="D395" i="18"/>
  <c r="B392" i="17"/>
  <c r="B395" i="18"/>
  <c r="V149" i="17"/>
  <c r="AE149" i="17"/>
  <c r="AN149" i="17"/>
  <c r="AW149" i="17"/>
  <c r="T149" i="17"/>
  <c r="AC149" i="17"/>
  <c r="AL149" i="17"/>
  <c r="AU149" i="17"/>
  <c r="R149" i="17"/>
  <c r="AA149" i="17"/>
  <c r="AJ149" i="17"/>
  <c r="AS149" i="17"/>
  <c r="P149" i="17"/>
  <c r="Y149" i="17"/>
  <c r="AH149" i="17"/>
  <c r="AQ149" i="17"/>
  <c r="U148" i="17"/>
  <c r="G1129" i="18" s="1"/>
  <c r="AD148" i="17"/>
  <c r="G1374" i="18" s="1"/>
  <c r="AM148" i="17"/>
  <c r="G1619" i="18" s="1"/>
  <c r="AV148" i="17"/>
  <c r="G1864" i="18" s="1"/>
  <c r="S148" i="17"/>
  <c r="E1129" i="18" s="1"/>
  <c r="AB148" i="17"/>
  <c r="E1374" i="18" s="1"/>
  <c r="AK148" i="17"/>
  <c r="E1619" i="18" s="1"/>
  <c r="AT148" i="17"/>
  <c r="E1864" i="18" s="1"/>
  <c r="Z148" i="17"/>
  <c r="C1374" i="18" s="1"/>
  <c r="AI148" i="17"/>
  <c r="C1619" i="18" s="1"/>
  <c r="AR148" i="17"/>
  <c r="C1864" i="18" s="1"/>
  <c r="Q148" i="17"/>
  <c r="C1129" i="18" s="1"/>
  <c r="X148" i="17"/>
  <c r="A1374" i="18" s="1"/>
  <c r="AG148" i="17"/>
  <c r="A1619" i="18" s="1"/>
  <c r="AP148" i="17"/>
  <c r="A1864" i="18" s="1"/>
  <c r="O148" i="17"/>
  <c r="A1129" i="18" s="1"/>
  <c r="E391" i="17"/>
  <c r="H394" i="18"/>
  <c r="F394" i="18"/>
  <c r="D391" i="17"/>
  <c r="C391" i="17"/>
  <c r="D394" i="18"/>
  <c r="B391" i="17"/>
  <c r="B394" i="18"/>
  <c r="V148" i="17"/>
  <c r="AE148" i="17"/>
  <c r="AN148" i="17"/>
  <c r="AW148" i="17"/>
  <c r="AC148" i="17"/>
  <c r="AL148" i="17"/>
  <c r="AU148" i="17"/>
  <c r="T148" i="17"/>
  <c r="R148" i="17"/>
  <c r="AA148" i="17"/>
  <c r="AJ148" i="17"/>
  <c r="AS148" i="17"/>
  <c r="Y148" i="17"/>
  <c r="AH148" i="17"/>
  <c r="AQ148" i="17"/>
  <c r="P148" i="17"/>
  <c r="AD147" i="17"/>
  <c r="G1373" i="18" s="1"/>
  <c r="AM147" i="17"/>
  <c r="G1618" i="18" s="1"/>
  <c r="U147" i="17"/>
  <c r="G1128" i="18" s="1"/>
  <c r="AV147" i="17"/>
  <c r="G1863" i="18" s="1"/>
  <c r="S147" i="17"/>
  <c r="E1128" i="18" s="1"/>
  <c r="AB147" i="17"/>
  <c r="E1373" i="18" s="1"/>
  <c r="AT147" i="17"/>
  <c r="E1863" i="18" s="1"/>
  <c r="AK147" i="17"/>
  <c r="E1618" i="18" s="1"/>
  <c r="Z147" i="17"/>
  <c r="C1373" i="18" s="1"/>
  <c r="Q147" i="17"/>
  <c r="C1128" i="18" s="1"/>
  <c r="AI147" i="17"/>
  <c r="C1618" i="18" s="1"/>
  <c r="AR147" i="17"/>
  <c r="C1863" i="18" s="1"/>
  <c r="O147" i="17"/>
  <c r="A1128" i="18" s="1"/>
  <c r="AG147" i="17"/>
  <c r="A1618" i="18" s="1"/>
  <c r="X147" i="17"/>
  <c r="A1373" i="18" s="1"/>
  <c r="AP147" i="17"/>
  <c r="A1863" i="18" s="1"/>
  <c r="H393" i="18"/>
  <c r="E390" i="17"/>
  <c r="D390" i="17"/>
  <c r="F393" i="18"/>
  <c r="C390" i="17"/>
  <c r="D393" i="18"/>
  <c r="B393" i="18"/>
  <c r="B390" i="17"/>
  <c r="AW147" i="17"/>
  <c r="V147" i="17"/>
  <c r="AE147" i="17"/>
  <c r="AN147" i="17"/>
  <c r="AL147" i="17"/>
  <c r="T147" i="17"/>
  <c r="AU147" i="17"/>
  <c r="AC147" i="17"/>
  <c r="AS147" i="17"/>
  <c r="AA147" i="17"/>
  <c r="R147" i="17"/>
  <c r="AJ147" i="17"/>
  <c r="AH147" i="17"/>
  <c r="AQ147" i="17"/>
  <c r="P147" i="17"/>
  <c r="Y147" i="17"/>
  <c r="AD146" i="17"/>
  <c r="G1372" i="18" s="1"/>
  <c r="AM146" i="17"/>
  <c r="G1617" i="18" s="1"/>
  <c r="U146" i="17"/>
  <c r="G1127" i="18" s="1"/>
  <c r="AV146" i="17"/>
  <c r="G1862" i="18" s="1"/>
  <c r="S146" i="17"/>
  <c r="E1127" i="18" s="1"/>
  <c r="AT146" i="17"/>
  <c r="E1862" i="18" s="1"/>
  <c r="AB146" i="17"/>
  <c r="E1372" i="18" s="1"/>
  <c r="AK146" i="17"/>
  <c r="E1617" i="18" s="1"/>
  <c r="Z146" i="17"/>
  <c r="C1372" i="18" s="1"/>
  <c r="AI146" i="17"/>
  <c r="C1617" i="18" s="1"/>
  <c r="AR146" i="17"/>
  <c r="C1862" i="18" s="1"/>
  <c r="Q146" i="17"/>
  <c r="C1127" i="18" s="1"/>
  <c r="O146" i="17"/>
  <c r="A1127" i="18" s="1"/>
  <c r="AP146" i="17"/>
  <c r="A1862" i="18" s="1"/>
  <c r="X146" i="17"/>
  <c r="A1372" i="18" s="1"/>
  <c r="AG146" i="17"/>
  <c r="A1617" i="18" s="1"/>
  <c r="H392" i="18"/>
  <c r="E389" i="17"/>
  <c r="D389" i="17"/>
  <c r="F392" i="18"/>
  <c r="C389" i="17"/>
  <c r="D392" i="18"/>
  <c r="V146" i="17"/>
  <c r="AE146" i="17"/>
  <c r="AW146" i="17"/>
  <c r="AN146" i="17"/>
  <c r="AU146" i="17"/>
  <c r="AL146" i="17"/>
  <c r="AC146" i="17"/>
  <c r="T146" i="17"/>
  <c r="AJ146" i="17"/>
  <c r="R146" i="17"/>
  <c r="AA146" i="17"/>
  <c r="AS146" i="17"/>
  <c r="AQ146" i="17"/>
  <c r="P146" i="17"/>
  <c r="Y146" i="17"/>
  <c r="AH146" i="17"/>
  <c r="AD145" i="17"/>
  <c r="G1371" i="18" s="1"/>
  <c r="AM145" i="17"/>
  <c r="G1616" i="18" s="1"/>
  <c r="AV145" i="17"/>
  <c r="G1861" i="18" s="1"/>
  <c r="U145" i="17"/>
  <c r="G1126" i="18" s="1"/>
  <c r="AK145" i="17"/>
  <c r="E1616" i="18" s="1"/>
  <c r="AB145" i="17"/>
  <c r="E1371" i="18" s="1"/>
  <c r="AT145" i="17"/>
  <c r="E1861" i="18" s="1"/>
  <c r="S145" i="17"/>
  <c r="E1126" i="18" s="1"/>
  <c r="Z145" i="17"/>
  <c r="C1371" i="18" s="1"/>
  <c r="AI145" i="17"/>
  <c r="C1616" i="18" s="1"/>
  <c r="Q145" i="17"/>
  <c r="C1126" i="18" s="1"/>
  <c r="AR145" i="17"/>
  <c r="C1861" i="18" s="1"/>
  <c r="AG145" i="17"/>
  <c r="A1616" i="18" s="1"/>
  <c r="O145" i="17"/>
  <c r="A1126" i="18" s="1"/>
  <c r="AP145" i="17"/>
  <c r="A1861" i="18" s="1"/>
  <c r="X145" i="17"/>
  <c r="A1371" i="18" s="1"/>
  <c r="E388" i="17"/>
  <c r="H391" i="18"/>
  <c r="F391" i="18"/>
  <c r="D388" i="17"/>
  <c r="D391" i="18"/>
  <c r="C388" i="17"/>
  <c r="B388" i="17"/>
  <c r="B391" i="18"/>
  <c r="V145" i="17"/>
  <c r="AE145" i="17"/>
  <c r="AN145" i="17"/>
  <c r="AW145" i="17"/>
  <c r="T145" i="17"/>
  <c r="AL145" i="17"/>
  <c r="AU145" i="17"/>
  <c r="AC145" i="17"/>
  <c r="AS145" i="17"/>
  <c r="AA145" i="17"/>
  <c r="R145" i="17"/>
  <c r="AJ145" i="17"/>
  <c r="Y145" i="17"/>
  <c r="AH145" i="17"/>
  <c r="P145" i="17"/>
  <c r="AQ145" i="17"/>
  <c r="AM144" i="17"/>
  <c r="G1615" i="18" s="1"/>
  <c r="AD144" i="17"/>
  <c r="G1370" i="18" s="1"/>
  <c r="U144" i="17"/>
  <c r="G1125" i="18" s="1"/>
  <c r="AV144" i="17"/>
  <c r="G1860" i="18" s="1"/>
  <c r="AK144" i="17"/>
  <c r="E1615" i="18" s="1"/>
  <c r="S144" i="17"/>
  <c r="E1125" i="18" s="1"/>
  <c r="AB144" i="17"/>
  <c r="E1370" i="18" s="1"/>
  <c r="AT144" i="17"/>
  <c r="E1860" i="18" s="1"/>
  <c r="Q144" i="17"/>
  <c r="C1125" i="18" s="1"/>
  <c r="AI144" i="17"/>
  <c r="C1615" i="18" s="1"/>
  <c r="Z144" i="17"/>
  <c r="C1370" i="18" s="1"/>
  <c r="AR144" i="17"/>
  <c r="C1860" i="18" s="1"/>
  <c r="X144" i="17"/>
  <c r="A1370" i="18" s="1"/>
  <c r="AP144" i="17"/>
  <c r="A1860" i="18" s="1"/>
  <c r="AG144" i="17"/>
  <c r="A1615" i="18" s="1"/>
  <c r="O144" i="17"/>
  <c r="A1125" i="18" s="1"/>
  <c r="E387" i="17"/>
  <c r="H390" i="18"/>
  <c r="D387" i="17"/>
  <c r="F390" i="18"/>
  <c r="D390" i="18"/>
  <c r="C387" i="17"/>
  <c r="B387" i="17"/>
  <c r="B390" i="18"/>
  <c r="AE144" i="17"/>
  <c r="AW144" i="17"/>
  <c r="V144" i="17"/>
  <c r="AN144" i="17"/>
  <c r="AU144" i="17"/>
  <c r="AL144" i="17"/>
  <c r="T144" i="17"/>
  <c r="AC144" i="17"/>
  <c r="R144" i="17"/>
  <c r="AJ144" i="17"/>
  <c r="AA144" i="17"/>
  <c r="AS144" i="17"/>
  <c r="Y144" i="17"/>
  <c r="AQ144" i="17"/>
  <c r="P144" i="17"/>
  <c r="AH144" i="17"/>
  <c r="AD143" i="17"/>
  <c r="G1369" i="18" s="1"/>
  <c r="AM143" i="17"/>
  <c r="G1614" i="18" s="1"/>
  <c r="AV143" i="17"/>
  <c r="G1859" i="18" s="1"/>
  <c r="U143" i="17"/>
  <c r="G1124" i="18" s="1"/>
  <c r="S143" i="17"/>
  <c r="E1124" i="18" s="1"/>
  <c r="AK143" i="17"/>
  <c r="E1614" i="18" s="1"/>
  <c r="AB143" i="17"/>
  <c r="E1369" i="18" s="1"/>
  <c r="AT143" i="17"/>
  <c r="E1859" i="18" s="1"/>
  <c r="AR143" i="17"/>
  <c r="C1859" i="18" s="1"/>
  <c r="Z143" i="17"/>
  <c r="C1369" i="18" s="1"/>
  <c r="Q143" i="17"/>
  <c r="C1124" i="18" s="1"/>
  <c r="AI143" i="17"/>
  <c r="C1614" i="18" s="1"/>
  <c r="O143" i="17"/>
  <c r="A1124" i="18" s="1"/>
  <c r="AP143" i="17"/>
  <c r="A1859" i="18" s="1"/>
  <c r="X143" i="17"/>
  <c r="A1369" i="18" s="1"/>
  <c r="AG143" i="17"/>
  <c r="A1614" i="18" s="1"/>
  <c r="H389" i="18"/>
  <c r="E386" i="17"/>
  <c r="D386" i="17"/>
  <c r="F389" i="18"/>
  <c r="D389" i="18"/>
  <c r="C386" i="17"/>
  <c r="B386" i="17"/>
  <c r="B389" i="18"/>
  <c r="V143" i="17"/>
  <c r="AW143" i="17"/>
  <c r="AE143" i="17"/>
  <c r="AN143" i="17"/>
  <c r="AC143" i="17"/>
  <c r="AL143" i="17"/>
  <c r="T143" i="17"/>
  <c r="AU143" i="17"/>
  <c r="R143" i="17"/>
  <c r="AA143" i="17"/>
  <c r="AS143" i="17"/>
  <c r="AJ143" i="17"/>
  <c r="AH143" i="17"/>
  <c r="P143" i="17"/>
  <c r="Y143" i="17"/>
  <c r="AQ143" i="17"/>
  <c r="AV142" i="17"/>
  <c r="G1858" i="18" s="1"/>
  <c r="U142" i="17"/>
  <c r="G1123" i="18" s="1"/>
  <c r="AM142" i="17"/>
  <c r="G1613" i="18" s="1"/>
  <c r="AD142" i="17"/>
  <c r="G1368" i="18" s="1"/>
  <c r="AB142" i="17"/>
  <c r="E1368" i="18" s="1"/>
  <c r="S142" i="17"/>
  <c r="E1123" i="18" s="1"/>
  <c r="AT142" i="17"/>
  <c r="E1858" i="18" s="1"/>
  <c r="AK142" i="17"/>
  <c r="E1613" i="18" s="1"/>
  <c r="Q142" i="17"/>
  <c r="C1123" i="18" s="1"/>
  <c r="AR142" i="17"/>
  <c r="C1858" i="18" s="1"/>
  <c r="Z142" i="17"/>
  <c r="C1368" i="18" s="1"/>
  <c r="AI142" i="17"/>
  <c r="C1613" i="18" s="1"/>
  <c r="AP142" i="17"/>
  <c r="A1858" i="18" s="1"/>
  <c r="O142" i="17"/>
  <c r="A1123" i="18" s="1"/>
  <c r="X142" i="17"/>
  <c r="A1368" i="18" s="1"/>
  <c r="AG142" i="17"/>
  <c r="A1613" i="18" s="1"/>
  <c r="E385" i="17"/>
  <c r="H388" i="18"/>
  <c r="F388" i="18"/>
  <c r="D385" i="17"/>
  <c r="D388" i="18"/>
  <c r="C385" i="17"/>
  <c r="B385" i="17"/>
  <c r="B388" i="18"/>
  <c r="AW142" i="17"/>
  <c r="V142" i="17"/>
  <c r="AN142" i="17"/>
  <c r="AE142" i="17"/>
  <c r="AL142" i="17"/>
  <c r="T142" i="17"/>
  <c r="AC142" i="17"/>
  <c r="AU142" i="17"/>
  <c r="AA142" i="17"/>
  <c r="R142" i="17"/>
  <c r="AJ142" i="17"/>
  <c r="AS142" i="17"/>
  <c r="Y142" i="17"/>
  <c r="P142" i="17"/>
  <c r="AH142" i="17"/>
  <c r="AQ142" i="17"/>
  <c r="AD141" i="17"/>
  <c r="G1367" i="18" s="1"/>
  <c r="AM141" i="17"/>
  <c r="G1612" i="18" s="1"/>
  <c r="U141" i="17"/>
  <c r="G1122" i="18" s="1"/>
  <c r="AV141" i="17"/>
  <c r="G1857" i="18" s="1"/>
  <c r="S141" i="17"/>
  <c r="E1122" i="18" s="1"/>
  <c r="AT141" i="17"/>
  <c r="E1857" i="18" s="1"/>
  <c r="AK141" i="17"/>
  <c r="E1612" i="18" s="1"/>
  <c r="AB141" i="17"/>
  <c r="E1367" i="18" s="1"/>
  <c r="AI141" i="17"/>
  <c r="C1612" i="18" s="1"/>
  <c r="Z141" i="17"/>
  <c r="C1367" i="18" s="1"/>
  <c r="AR141" i="17"/>
  <c r="C1857" i="18" s="1"/>
  <c r="Q141" i="17"/>
  <c r="C1122" i="18" s="1"/>
  <c r="O141" i="17"/>
  <c r="A1122" i="18" s="1"/>
  <c r="AP141" i="17"/>
  <c r="A1857" i="18" s="1"/>
  <c r="X141" i="17"/>
  <c r="A1367" i="18" s="1"/>
  <c r="AG141" i="17"/>
  <c r="A1612" i="18" s="1"/>
  <c r="E384" i="17"/>
  <c r="H387" i="18"/>
  <c r="F387" i="18"/>
  <c r="D384" i="17"/>
  <c r="C384" i="17"/>
  <c r="D387" i="18"/>
  <c r="B384" i="17"/>
  <c r="B387" i="18"/>
  <c r="V141" i="17"/>
  <c r="AE141" i="17"/>
  <c r="AN141" i="17"/>
  <c r="AW141" i="17"/>
  <c r="AL141" i="17"/>
  <c r="AU141" i="17"/>
  <c r="T141" i="17"/>
  <c r="AC141" i="17"/>
  <c r="AA141" i="17"/>
  <c r="R141" i="17"/>
  <c r="AS141" i="17"/>
  <c r="AJ141" i="17"/>
  <c r="P141" i="17"/>
  <c r="Y141" i="17"/>
  <c r="AH141" i="17"/>
  <c r="AQ141" i="17"/>
  <c r="U140" i="17"/>
  <c r="G1121" i="18" s="1"/>
  <c r="AM140" i="17"/>
  <c r="G1611" i="18" s="1"/>
  <c r="AV140" i="17"/>
  <c r="G1856" i="18" s="1"/>
  <c r="AD140" i="17"/>
  <c r="G1366" i="18" s="1"/>
  <c r="S140" i="17"/>
  <c r="E1121" i="18" s="1"/>
  <c r="AK140" i="17"/>
  <c r="E1611" i="18" s="1"/>
  <c r="AB140" i="17"/>
  <c r="E1366" i="18" s="1"/>
  <c r="AT140" i="17"/>
  <c r="E1856" i="18" s="1"/>
  <c r="Z140" i="17"/>
  <c r="C1366" i="18" s="1"/>
  <c r="AI140" i="17"/>
  <c r="C1611" i="18" s="1"/>
  <c r="Q140" i="17"/>
  <c r="C1121" i="18" s="1"/>
  <c r="AR140" i="17"/>
  <c r="C1856" i="18" s="1"/>
  <c r="X140" i="17"/>
  <c r="A1366" i="18" s="1"/>
  <c r="AP140" i="17"/>
  <c r="A1856" i="18" s="1"/>
  <c r="O140" i="17"/>
  <c r="A1121" i="18" s="1"/>
  <c r="AG140" i="17"/>
  <c r="A1611" i="18" s="1"/>
  <c r="H386" i="18"/>
  <c r="E383" i="17"/>
  <c r="D383" i="17"/>
  <c r="F386" i="18"/>
  <c r="D386" i="18"/>
  <c r="C383" i="17"/>
  <c r="B383" i="17"/>
  <c r="B386" i="18"/>
  <c r="AE140" i="17"/>
  <c r="V140" i="17"/>
  <c r="AN140" i="17"/>
  <c r="AW140" i="17"/>
  <c r="T140" i="17"/>
  <c r="AL140" i="17"/>
  <c r="AU140" i="17"/>
  <c r="AC140" i="17"/>
  <c r="AS140" i="17"/>
  <c r="AA140" i="17"/>
  <c r="R140" i="17"/>
  <c r="AJ140" i="17"/>
  <c r="P140" i="17"/>
  <c r="AH140" i="17"/>
  <c r="Y140" i="17"/>
  <c r="AQ140" i="17"/>
  <c r="AD139" i="17"/>
  <c r="G1365" i="18" s="1"/>
  <c r="AM139" i="17"/>
  <c r="G1610" i="18" s="1"/>
  <c r="AV139" i="17"/>
  <c r="G1855" i="18" s="1"/>
  <c r="U139" i="17"/>
  <c r="G1120" i="18" s="1"/>
  <c r="S139" i="17"/>
  <c r="E1120" i="18" s="1"/>
  <c r="AK139" i="17"/>
  <c r="E1610" i="18" s="1"/>
  <c r="AB139" i="17"/>
  <c r="E1365" i="18" s="1"/>
  <c r="AT139" i="17"/>
  <c r="E1855" i="18" s="1"/>
  <c r="AI139" i="17"/>
  <c r="C1610" i="18" s="1"/>
  <c r="Z139" i="17"/>
  <c r="C1365" i="18" s="1"/>
  <c r="Q139" i="17"/>
  <c r="C1120" i="18" s="1"/>
  <c r="AR139" i="17"/>
  <c r="C1855" i="18" s="1"/>
  <c r="O139" i="17"/>
  <c r="A1120" i="18" s="1"/>
  <c r="X139" i="17"/>
  <c r="A1365" i="18" s="1"/>
  <c r="AG139" i="17"/>
  <c r="A1610" i="18" s="1"/>
  <c r="AP139" i="17"/>
  <c r="A1855" i="18" s="1"/>
  <c r="E382" i="17"/>
  <c r="H385" i="18"/>
  <c r="F385" i="18"/>
  <c r="D382" i="17"/>
  <c r="C382" i="17"/>
  <c r="D385" i="18"/>
  <c r="B385" i="18"/>
  <c r="B382" i="17"/>
  <c r="AE139" i="17"/>
  <c r="AN139" i="17"/>
  <c r="AW139" i="17"/>
  <c r="V139" i="17"/>
  <c r="AU139" i="17"/>
  <c r="T139" i="17"/>
  <c r="AC139" i="17"/>
  <c r="AL139" i="17"/>
  <c r="AA139" i="17"/>
  <c r="R139" i="17"/>
  <c r="AJ139" i="17"/>
  <c r="AS139" i="17"/>
  <c r="Y139" i="17"/>
  <c r="P139" i="17"/>
  <c r="AH139" i="17"/>
  <c r="AQ139" i="17"/>
  <c r="U138" i="17"/>
  <c r="G1119" i="18" s="1"/>
  <c r="AM138" i="17"/>
  <c r="G1609" i="18" s="1"/>
  <c r="AD138" i="17"/>
  <c r="G1364" i="18" s="1"/>
  <c r="AV138" i="17"/>
  <c r="G1854" i="18" s="1"/>
  <c r="S138" i="17"/>
  <c r="E1119" i="18" s="1"/>
  <c r="AB138" i="17"/>
  <c r="E1364" i="18" s="1"/>
  <c r="AK138" i="17"/>
  <c r="E1609" i="18" s="1"/>
  <c r="AT138" i="17"/>
  <c r="E1854" i="18" s="1"/>
  <c r="Z138" i="17"/>
  <c r="C1364" i="18" s="1"/>
  <c r="AI138" i="17"/>
  <c r="C1609" i="18" s="1"/>
  <c r="AR138" i="17"/>
  <c r="C1854" i="18" s="1"/>
  <c r="Q138" i="17"/>
  <c r="C1119" i="18" s="1"/>
  <c r="AP138" i="17"/>
  <c r="A1854" i="18" s="1"/>
  <c r="O138" i="17"/>
  <c r="A1119" i="18" s="1"/>
  <c r="X138" i="17"/>
  <c r="A1364" i="18" s="1"/>
  <c r="AG138" i="17"/>
  <c r="A1609" i="18" s="1"/>
  <c r="E381" i="17"/>
  <c r="H384" i="18"/>
  <c r="F384" i="18"/>
  <c r="D381" i="17"/>
  <c r="D384" i="18"/>
  <c r="C381" i="17"/>
  <c r="B381" i="17"/>
  <c r="B384" i="18"/>
  <c r="AE138" i="17"/>
  <c r="V138" i="17"/>
  <c r="AN138" i="17"/>
  <c r="AW138" i="17"/>
  <c r="AL138" i="17"/>
  <c r="AU138" i="17"/>
  <c r="T138" i="17"/>
  <c r="AC138" i="17"/>
  <c r="R138" i="17"/>
  <c r="AA138" i="17"/>
  <c r="AJ138" i="17"/>
  <c r="AS138" i="17"/>
  <c r="P138" i="17"/>
  <c r="AH138" i="17"/>
  <c r="Y138" i="17"/>
  <c r="AQ138" i="17"/>
  <c r="U137" i="17"/>
  <c r="G1118" i="18" s="1"/>
  <c r="AM137" i="17"/>
  <c r="G1608" i="18" s="1"/>
  <c r="AD137" i="17"/>
  <c r="G1363" i="18" s="1"/>
  <c r="AV137" i="17"/>
  <c r="G1853" i="18" s="1"/>
  <c r="S137" i="17"/>
  <c r="E1118" i="18" s="1"/>
  <c r="AK137" i="17"/>
  <c r="E1608" i="18" s="1"/>
  <c r="AT137" i="17"/>
  <c r="E1853" i="18" s="1"/>
  <c r="AB137" i="17"/>
  <c r="E1363" i="18" s="1"/>
  <c r="AR137" i="17"/>
  <c r="C1853" i="18" s="1"/>
  <c r="Q137" i="17"/>
  <c r="C1118" i="18" s="1"/>
  <c r="Z137" i="17"/>
  <c r="C1363" i="18" s="1"/>
  <c r="AI137" i="17"/>
  <c r="C1608" i="18" s="1"/>
  <c r="AP137" i="17"/>
  <c r="A1853" i="18" s="1"/>
  <c r="AG137" i="17"/>
  <c r="A1608" i="18" s="1"/>
  <c r="O137" i="17"/>
  <c r="A1118" i="18" s="1"/>
  <c r="X137" i="17"/>
  <c r="A1363" i="18" s="1"/>
  <c r="E380" i="17"/>
  <c r="H383" i="18"/>
  <c r="F383" i="18"/>
  <c r="D380" i="17"/>
  <c r="D383" i="18"/>
  <c r="C380" i="17"/>
  <c r="B380" i="17"/>
  <c r="B383" i="18"/>
  <c r="V137" i="17"/>
  <c r="AE137" i="17"/>
  <c r="AW137" i="17"/>
  <c r="AN137" i="17"/>
  <c r="AC137" i="17"/>
  <c r="AL137" i="17"/>
  <c r="AU137" i="17"/>
  <c r="T137" i="17"/>
  <c r="AJ137" i="17"/>
  <c r="R137" i="17"/>
  <c r="AA137" i="17"/>
  <c r="AS137" i="17"/>
  <c r="P137" i="17"/>
  <c r="AQ137" i="17"/>
  <c r="Y137" i="17"/>
  <c r="AH137" i="17"/>
  <c r="AD136" i="17"/>
  <c r="G1362" i="18" s="1"/>
  <c r="AV136" i="17"/>
  <c r="G1852" i="18" s="1"/>
  <c r="U136" i="17"/>
  <c r="G1117" i="18" s="1"/>
  <c r="AM136" i="17"/>
  <c r="G1607" i="18" s="1"/>
  <c r="S136" i="17"/>
  <c r="E1117" i="18" s="1"/>
  <c r="AB136" i="17"/>
  <c r="E1362" i="18" s="1"/>
  <c r="AT136" i="17"/>
  <c r="E1852" i="18" s="1"/>
  <c r="AK136" i="17"/>
  <c r="E1607" i="18" s="1"/>
  <c r="AI136" i="17"/>
  <c r="C1607" i="18" s="1"/>
  <c r="AR136" i="17"/>
  <c r="C1852" i="18" s="1"/>
  <c r="Q136" i="17"/>
  <c r="C1117" i="18" s="1"/>
  <c r="Z136" i="17"/>
  <c r="C1362" i="18" s="1"/>
  <c r="O136" i="17"/>
  <c r="A1117" i="18" s="1"/>
  <c r="X136" i="17"/>
  <c r="A1362" i="18" s="1"/>
  <c r="AP136" i="17"/>
  <c r="A1852" i="18" s="1"/>
  <c r="AG136" i="17"/>
  <c r="A1607" i="18" s="1"/>
  <c r="E379" i="17"/>
  <c r="H382" i="18"/>
  <c r="F382" i="18"/>
  <c r="D379" i="17"/>
  <c r="C379" i="17"/>
  <c r="D382" i="18"/>
  <c r="B382" i="18"/>
  <c r="B379" i="17"/>
  <c r="AE136" i="17"/>
  <c r="AN136" i="17"/>
  <c r="AW136" i="17"/>
  <c r="V136" i="17"/>
  <c r="T136" i="17"/>
  <c r="AU136" i="17"/>
  <c r="AC136" i="17"/>
  <c r="AL136" i="17"/>
  <c r="AJ136" i="17"/>
  <c r="AS136" i="17"/>
  <c r="R136" i="17"/>
  <c r="AA136" i="17"/>
  <c r="P136" i="17"/>
  <c r="Y136" i="17"/>
  <c r="AQ136" i="17"/>
  <c r="AH136" i="17"/>
  <c r="AM135" i="17"/>
  <c r="G1606" i="18" s="1"/>
  <c r="U135" i="17"/>
  <c r="G1116" i="18" s="1"/>
  <c r="AD135" i="17"/>
  <c r="G1361" i="18" s="1"/>
  <c r="AV135" i="17"/>
  <c r="G1851" i="18" s="1"/>
  <c r="AB135" i="17"/>
  <c r="E1361" i="18" s="1"/>
  <c r="AK135" i="17"/>
  <c r="E1606" i="18" s="1"/>
  <c r="S135" i="17"/>
  <c r="E1116" i="18" s="1"/>
  <c r="AT135" i="17"/>
  <c r="E1851" i="18" s="1"/>
  <c r="AI135" i="17"/>
  <c r="C1606" i="18" s="1"/>
  <c r="AR135" i="17"/>
  <c r="C1851" i="18" s="1"/>
  <c r="Q135" i="17"/>
  <c r="C1116" i="18" s="1"/>
  <c r="Z135" i="17"/>
  <c r="C1361" i="18" s="1"/>
  <c r="O135" i="17"/>
  <c r="A1116" i="18" s="1"/>
  <c r="X135" i="17"/>
  <c r="A1361" i="18" s="1"/>
  <c r="AG135" i="17"/>
  <c r="A1606" i="18" s="1"/>
  <c r="AP135" i="17"/>
  <c r="A1851" i="18" s="1"/>
  <c r="H381" i="18"/>
  <c r="E378" i="17"/>
  <c r="F381" i="18"/>
  <c r="D378" i="17"/>
  <c r="C378" i="17"/>
  <c r="D381" i="18"/>
  <c r="B381" i="18"/>
  <c r="B378" i="17"/>
  <c r="AW135" i="17"/>
  <c r="V135" i="17"/>
  <c r="AE135" i="17"/>
  <c r="AN135" i="17"/>
  <c r="T135" i="17"/>
  <c r="AC135" i="17"/>
  <c r="AU135" i="17"/>
  <c r="AL135" i="17"/>
  <c r="AA135" i="17"/>
  <c r="AJ135" i="17"/>
  <c r="R135" i="17"/>
  <c r="AS135" i="17"/>
  <c r="P135" i="17"/>
  <c r="AQ135" i="17"/>
  <c r="Y135" i="17"/>
  <c r="AH135" i="17"/>
  <c r="AV134" i="17"/>
  <c r="G1850" i="18" s="1"/>
  <c r="U134" i="17"/>
  <c r="G1115" i="18" s="1"/>
  <c r="AD134" i="17"/>
  <c r="G1360" i="18" s="1"/>
  <c r="AM134" i="17"/>
  <c r="G1605" i="18" s="1"/>
  <c r="AB134" i="17"/>
  <c r="E1360" i="18" s="1"/>
  <c r="AK134" i="17"/>
  <c r="E1605" i="18" s="1"/>
  <c r="S134" i="17"/>
  <c r="E1115" i="18" s="1"/>
  <c r="AT134" i="17"/>
  <c r="E1850" i="18" s="1"/>
  <c r="Z134" i="17"/>
  <c r="C1360" i="18" s="1"/>
  <c r="AR134" i="17"/>
  <c r="C1850" i="18" s="1"/>
  <c r="AI134" i="17"/>
  <c r="C1605" i="18" s="1"/>
  <c r="Q134" i="17"/>
  <c r="C1115" i="18" s="1"/>
  <c r="X134" i="17"/>
  <c r="A1360" i="18" s="1"/>
  <c r="O134" i="17"/>
  <c r="A1115" i="18" s="1"/>
  <c r="AG134" i="17"/>
  <c r="A1605" i="18" s="1"/>
  <c r="AP134" i="17"/>
  <c r="A1850" i="18" s="1"/>
  <c r="H380" i="18"/>
  <c r="E377" i="17"/>
  <c r="F380" i="18"/>
  <c r="D377" i="17"/>
  <c r="C377" i="17"/>
  <c r="D380" i="18"/>
  <c r="B377" i="17"/>
  <c r="B380" i="18"/>
  <c r="V134" i="17"/>
  <c r="AN134" i="17"/>
  <c r="AW134" i="17"/>
  <c r="AE134" i="17"/>
  <c r="T134" i="17"/>
  <c r="AC134" i="17"/>
  <c r="AL134" i="17"/>
  <c r="AU134" i="17"/>
  <c r="AS134" i="17"/>
  <c r="R134" i="17"/>
  <c r="AA134" i="17"/>
  <c r="AJ134" i="17"/>
  <c r="P134" i="17"/>
  <c r="AH134" i="17"/>
  <c r="AQ134" i="17"/>
  <c r="Y134" i="17"/>
  <c r="U133" i="17"/>
  <c r="G1114" i="18" s="1"/>
  <c r="AD133" i="17"/>
  <c r="G1359" i="18" s="1"/>
  <c r="AM133" i="17"/>
  <c r="G1604" i="18" s="1"/>
  <c r="AV133" i="17"/>
  <c r="G1849" i="18" s="1"/>
  <c r="AB133" i="17"/>
  <c r="E1359" i="18" s="1"/>
  <c r="AT133" i="17"/>
  <c r="E1849" i="18" s="1"/>
  <c r="S133" i="17"/>
  <c r="E1114" i="18" s="1"/>
  <c r="AK133" i="17"/>
  <c r="E1604" i="18" s="1"/>
  <c r="Q133" i="17"/>
  <c r="C1114" i="18" s="1"/>
  <c r="Z133" i="17"/>
  <c r="C1359" i="18" s="1"/>
  <c r="AI133" i="17"/>
  <c r="C1604" i="18" s="1"/>
  <c r="AR133" i="17"/>
  <c r="C1849" i="18" s="1"/>
  <c r="AG133" i="17"/>
  <c r="A1604" i="18" s="1"/>
  <c r="X133" i="17"/>
  <c r="A1359" i="18" s="1"/>
  <c r="O133" i="17"/>
  <c r="A1114" i="18" s="1"/>
  <c r="AP133" i="17"/>
  <c r="A1849" i="18" s="1"/>
  <c r="H379" i="18"/>
  <c r="E376" i="17"/>
  <c r="D376" i="17"/>
  <c r="F379" i="18"/>
  <c r="C376" i="17"/>
  <c r="D379" i="18"/>
  <c r="B379" i="18"/>
  <c r="B376" i="17"/>
  <c r="AW133" i="17"/>
  <c r="V133" i="17"/>
  <c r="AE133" i="17"/>
  <c r="AN133" i="17"/>
  <c r="AL133" i="17"/>
  <c r="AC133" i="17"/>
  <c r="AU133" i="17"/>
  <c r="T133" i="17"/>
  <c r="AA133" i="17"/>
  <c r="AJ133" i="17"/>
  <c r="AS133" i="17"/>
  <c r="R133" i="17"/>
  <c r="AQ133" i="17"/>
  <c r="P133" i="17"/>
  <c r="AH133" i="17"/>
  <c r="Y133" i="17"/>
  <c r="AM132" i="17"/>
  <c r="G1603" i="18" s="1"/>
  <c r="U132" i="17"/>
  <c r="G1113" i="18" s="1"/>
  <c r="AV132" i="17"/>
  <c r="G1848" i="18" s="1"/>
  <c r="AD132" i="17"/>
  <c r="G1358" i="18" s="1"/>
  <c r="S132" i="17"/>
  <c r="E1113" i="18" s="1"/>
  <c r="AK132" i="17"/>
  <c r="E1603" i="18" s="1"/>
  <c r="AB132" i="17"/>
  <c r="E1358" i="18" s="1"/>
  <c r="AT132" i="17"/>
  <c r="E1848" i="18" s="1"/>
  <c r="Q132" i="17"/>
  <c r="C1113" i="18" s="1"/>
  <c r="AI132" i="17"/>
  <c r="C1603" i="18" s="1"/>
  <c r="AR132" i="17"/>
  <c r="C1848" i="18" s="1"/>
  <c r="Z132" i="17"/>
  <c r="C1358" i="18" s="1"/>
  <c r="X132" i="17"/>
  <c r="A1358" i="18" s="1"/>
  <c r="O132" i="17"/>
  <c r="A1113" i="18" s="1"/>
  <c r="AG132" i="17"/>
  <c r="A1603" i="18" s="1"/>
  <c r="AP132" i="17"/>
  <c r="A1848" i="18" s="1"/>
  <c r="H378" i="18"/>
  <c r="E375" i="17"/>
  <c r="D375" i="17"/>
  <c r="F378" i="18"/>
  <c r="D378" i="18"/>
  <c r="C375" i="17"/>
  <c r="B375" i="17"/>
  <c r="B378" i="18"/>
  <c r="V132" i="17"/>
  <c r="AE132" i="17"/>
  <c r="AN132" i="17"/>
  <c r="AW132" i="17"/>
  <c r="AU132" i="17"/>
  <c r="AC132" i="17"/>
  <c r="AL132" i="17"/>
  <c r="T132" i="17"/>
  <c r="AA132" i="17"/>
  <c r="AS132" i="17"/>
  <c r="R132" i="17"/>
  <c r="AJ132" i="17"/>
  <c r="P132" i="17"/>
  <c r="AH132" i="17"/>
  <c r="Y132" i="17"/>
  <c r="AQ132" i="17"/>
  <c r="AM131" i="17"/>
  <c r="G1602" i="18" s="1"/>
  <c r="AV131" i="17"/>
  <c r="G1847" i="18" s="1"/>
  <c r="U131" i="17"/>
  <c r="G1112" i="18" s="1"/>
  <c r="AD131" i="17"/>
  <c r="G1357" i="18" s="1"/>
  <c r="S131" i="17"/>
  <c r="E1112" i="18" s="1"/>
  <c r="AB131" i="17"/>
  <c r="E1357" i="18" s="1"/>
  <c r="AK131" i="17"/>
  <c r="E1602" i="18" s="1"/>
  <c r="AT131" i="17"/>
  <c r="E1847" i="18" s="1"/>
  <c r="Z131" i="17"/>
  <c r="C1357" i="18" s="1"/>
  <c r="AR131" i="17"/>
  <c r="C1847" i="18" s="1"/>
  <c r="Q131" i="17"/>
  <c r="C1112" i="18" s="1"/>
  <c r="AI131" i="17"/>
  <c r="C1602" i="18" s="1"/>
  <c r="O131" i="17"/>
  <c r="A1112" i="18" s="1"/>
  <c r="X131" i="17"/>
  <c r="A1357" i="18" s="1"/>
  <c r="AG131" i="17"/>
  <c r="A1602" i="18" s="1"/>
  <c r="AP131" i="17"/>
  <c r="A1847" i="18" s="1"/>
  <c r="H377" i="18"/>
  <c r="E374" i="17"/>
  <c r="F377" i="18"/>
  <c r="D374" i="17"/>
  <c r="C374" i="17"/>
  <c r="D377" i="18"/>
  <c r="B377" i="18"/>
  <c r="B374" i="17"/>
  <c r="AW131" i="17"/>
  <c r="V131" i="17"/>
  <c r="AE131" i="17"/>
  <c r="AN131" i="17"/>
  <c r="AC131" i="17"/>
  <c r="AL131" i="17"/>
  <c r="T131" i="17"/>
  <c r="AU131" i="17"/>
  <c r="AJ131" i="17"/>
  <c r="AS131" i="17"/>
  <c r="R131" i="17"/>
  <c r="AA131" i="17"/>
  <c r="Y131" i="17"/>
  <c r="P131" i="17"/>
  <c r="AH131" i="17"/>
  <c r="AQ131" i="17"/>
  <c r="AM130" i="17"/>
  <c r="G1601" i="18" s="1"/>
  <c r="U130" i="17"/>
  <c r="G1111" i="18" s="1"/>
  <c r="AD130" i="17"/>
  <c r="G1356" i="18" s="1"/>
  <c r="AV130" i="17"/>
  <c r="G1846" i="18" s="1"/>
  <c r="AK130" i="17"/>
  <c r="E1601" i="18" s="1"/>
  <c r="S130" i="17"/>
  <c r="E1111" i="18" s="1"/>
  <c r="AB130" i="17"/>
  <c r="E1356" i="18" s="1"/>
  <c r="AT130" i="17"/>
  <c r="E1846" i="18" s="1"/>
  <c r="Z130" i="17"/>
  <c r="C1356" i="18" s="1"/>
  <c r="AI130" i="17"/>
  <c r="C1601" i="18" s="1"/>
  <c r="Q130" i="17"/>
  <c r="C1111" i="18" s="1"/>
  <c r="AR130" i="17"/>
  <c r="C1846" i="18" s="1"/>
  <c r="O130" i="17"/>
  <c r="A1111" i="18" s="1"/>
  <c r="X130" i="17"/>
  <c r="A1356" i="18" s="1"/>
  <c r="AP130" i="17"/>
  <c r="A1846" i="18" s="1"/>
  <c r="AG130" i="17"/>
  <c r="A1601" i="18" s="1"/>
  <c r="H376" i="18"/>
  <c r="E373" i="17"/>
  <c r="F376" i="18"/>
  <c r="D373" i="17"/>
  <c r="C373" i="17"/>
  <c r="D376" i="18"/>
  <c r="B373" i="17"/>
  <c r="B376" i="18"/>
  <c r="AE130" i="17"/>
  <c r="AW130" i="17"/>
  <c r="V130" i="17"/>
  <c r="AN130" i="17"/>
  <c r="T130" i="17"/>
  <c r="AU130" i="17"/>
  <c r="AL130" i="17"/>
  <c r="AC130" i="17"/>
  <c r="AS130" i="17"/>
  <c r="AA130" i="17"/>
  <c r="R130" i="17"/>
  <c r="AJ130" i="17"/>
  <c r="AQ130" i="17"/>
  <c r="P130" i="17"/>
  <c r="Y130" i="17"/>
  <c r="AH130" i="17"/>
  <c r="AV129" i="17"/>
  <c r="G1845" i="18" s="1"/>
  <c r="AD129" i="17"/>
  <c r="G1355" i="18" s="1"/>
  <c r="AM129" i="17"/>
  <c r="G1600" i="18" s="1"/>
  <c r="U129" i="17"/>
  <c r="G1110" i="18" s="1"/>
  <c r="S129" i="17"/>
  <c r="E1110" i="18" s="1"/>
  <c r="AB129" i="17"/>
  <c r="E1355" i="18" s="1"/>
  <c r="AK129" i="17"/>
  <c r="E1600" i="18" s="1"/>
  <c r="AT129" i="17"/>
  <c r="E1845" i="18" s="1"/>
  <c r="AI129" i="17"/>
  <c r="C1600" i="18" s="1"/>
  <c r="Q129" i="17"/>
  <c r="C1110" i="18" s="1"/>
  <c r="AR129" i="17"/>
  <c r="C1845" i="18" s="1"/>
  <c r="Z129" i="17"/>
  <c r="C1355" i="18" s="1"/>
  <c r="X129" i="17"/>
  <c r="A1355" i="18" s="1"/>
  <c r="O129" i="17"/>
  <c r="A1110" i="18" s="1"/>
  <c r="AP129" i="17"/>
  <c r="A1845" i="18" s="1"/>
  <c r="AG129" i="17"/>
  <c r="A1600" i="18" s="1"/>
  <c r="E372" i="17"/>
  <c r="H375" i="18"/>
  <c r="F375" i="18"/>
  <c r="D372" i="17"/>
  <c r="D375" i="18"/>
  <c r="C372" i="17"/>
  <c r="B372" i="17"/>
  <c r="B375" i="18"/>
  <c r="AW129" i="17"/>
  <c r="AN129" i="17"/>
  <c r="V129" i="17"/>
  <c r="AE129" i="17"/>
  <c r="T129" i="17"/>
  <c r="AC129" i="17"/>
  <c r="AU129" i="17"/>
  <c r="AL129" i="17"/>
  <c r="AJ129" i="17"/>
  <c r="R129" i="17"/>
  <c r="AA129" i="17"/>
  <c r="AS129" i="17"/>
  <c r="AQ129" i="17"/>
  <c r="Y129" i="17"/>
  <c r="AH129" i="17"/>
  <c r="P129" i="17"/>
  <c r="U128" i="17"/>
  <c r="G1109" i="18" s="1"/>
  <c r="AD128" i="17"/>
  <c r="G1354" i="18" s="1"/>
  <c r="AM128" i="17"/>
  <c r="G1599" i="18" s="1"/>
  <c r="AV128" i="17"/>
  <c r="G1844" i="18" s="1"/>
  <c r="AK128" i="17"/>
  <c r="E1599" i="18" s="1"/>
  <c r="S128" i="17"/>
  <c r="E1109" i="18" s="1"/>
  <c r="AT128" i="17"/>
  <c r="E1844" i="18" s="1"/>
  <c r="AB128" i="17"/>
  <c r="E1354" i="18" s="1"/>
  <c r="Q128" i="17"/>
  <c r="C1109" i="18" s="1"/>
  <c r="Z128" i="17"/>
  <c r="C1354" i="18" s="1"/>
  <c r="AR128" i="17"/>
  <c r="C1844" i="18" s="1"/>
  <c r="AI128" i="17"/>
  <c r="C1599" i="18" s="1"/>
  <c r="AP128" i="17"/>
  <c r="A1844" i="18" s="1"/>
  <c r="AG128" i="17"/>
  <c r="A1599" i="18" s="1"/>
  <c r="O128" i="17"/>
  <c r="A1109" i="18" s="1"/>
  <c r="X128" i="17"/>
  <c r="A1354" i="18" s="1"/>
  <c r="E371" i="17"/>
  <c r="H374" i="18"/>
  <c r="F374" i="18"/>
  <c r="D371" i="17"/>
  <c r="C371" i="17"/>
  <c r="D374" i="18"/>
  <c r="B374" i="18"/>
  <c r="B371" i="17"/>
  <c r="V128" i="17"/>
  <c r="AW128" i="17"/>
  <c r="AN128" i="17"/>
  <c r="AE128" i="17"/>
  <c r="AL128" i="17"/>
  <c r="AU128" i="17"/>
  <c r="AC128" i="17"/>
  <c r="T128" i="17"/>
  <c r="R128" i="17"/>
  <c r="AA128" i="17"/>
  <c r="AJ128" i="17"/>
  <c r="AS128" i="17"/>
  <c r="AH128" i="17"/>
  <c r="P128" i="17"/>
  <c r="Y128" i="17"/>
  <c r="AQ128" i="17"/>
  <c r="AM127" i="17"/>
  <c r="G1598" i="18" s="1"/>
  <c r="AD127" i="17"/>
  <c r="G1353" i="18" s="1"/>
  <c r="U127" i="17"/>
  <c r="G1108" i="18" s="1"/>
  <c r="AV127" i="17"/>
  <c r="G1843" i="18" s="1"/>
  <c r="AK127" i="17"/>
  <c r="E1598" i="18" s="1"/>
  <c r="AB127" i="17"/>
  <c r="E1353" i="18" s="1"/>
  <c r="AT127" i="17"/>
  <c r="E1843" i="18" s="1"/>
  <c r="S127" i="17"/>
  <c r="E1108" i="18" s="1"/>
  <c r="Q127" i="17"/>
  <c r="C1108" i="18" s="1"/>
  <c r="Z127" i="17"/>
  <c r="C1353" i="18" s="1"/>
  <c r="AI127" i="17"/>
  <c r="C1598" i="18" s="1"/>
  <c r="AR127" i="17"/>
  <c r="C1843" i="18" s="1"/>
  <c r="AP127" i="17"/>
  <c r="A1843" i="18" s="1"/>
  <c r="O127" i="17"/>
  <c r="A1108" i="18" s="1"/>
  <c r="X127" i="17"/>
  <c r="A1353" i="18" s="1"/>
  <c r="AG127" i="17"/>
  <c r="A1598" i="18" s="1"/>
  <c r="E370" i="17"/>
  <c r="H373" i="18"/>
  <c r="F373" i="18"/>
  <c r="D370" i="17"/>
  <c r="D373" i="18"/>
  <c r="C370" i="17"/>
  <c r="B370" i="17"/>
  <c r="B373" i="18"/>
  <c r="AW127" i="17"/>
  <c r="V127" i="17"/>
  <c r="AE127" i="17"/>
  <c r="AN127" i="17"/>
  <c r="AU127" i="17"/>
  <c r="AL127" i="17"/>
  <c r="T127" i="17"/>
  <c r="AC127" i="17"/>
  <c r="R127" i="17"/>
  <c r="AA127" i="17"/>
  <c r="AJ127" i="17"/>
  <c r="AS127" i="17"/>
  <c r="AH127" i="17"/>
  <c r="P127" i="17"/>
  <c r="Y127" i="17"/>
  <c r="AQ127" i="17"/>
  <c r="AD126" i="17"/>
  <c r="G1352" i="18" s="1"/>
  <c r="AV126" i="17"/>
  <c r="G1842" i="18" s="1"/>
  <c r="AM126" i="17"/>
  <c r="G1597" i="18" s="1"/>
  <c r="U126" i="17"/>
  <c r="G1107" i="18" s="1"/>
  <c r="S126" i="17"/>
  <c r="E1107" i="18" s="1"/>
  <c r="AK126" i="17"/>
  <c r="E1597" i="18" s="1"/>
  <c r="AB126" i="17"/>
  <c r="E1352" i="18" s="1"/>
  <c r="AT126" i="17"/>
  <c r="E1842" i="18" s="1"/>
  <c r="Q126" i="17"/>
  <c r="C1107" i="18" s="1"/>
  <c r="AI126" i="17"/>
  <c r="C1597" i="18" s="1"/>
  <c r="Z126" i="17"/>
  <c r="C1352" i="18" s="1"/>
  <c r="AR126" i="17"/>
  <c r="C1842" i="18" s="1"/>
  <c r="AG126" i="17"/>
  <c r="A1597" i="18" s="1"/>
  <c r="AP126" i="17"/>
  <c r="A1842" i="18" s="1"/>
  <c r="O126" i="17"/>
  <c r="A1107" i="18" s="1"/>
  <c r="X126" i="17"/>
  <c r="A1352" i="18" s="1"/>
  <c r="H372" i="18"/>
  <c r="E369" i="17"/>
  <c r="D369" i="17"/>
  <c r="F372" i="18"/>
  <c r="C369" i="17"/>
  <c r="D372" i="18"/>
  <c r="B372" i="18"/>
  <c r="B369" i="17"/>
  <c r="AE126" i="17"/>
  <c r="V126" i="17"/>
  <c r="AN126" i="17"/>
  <c r="AW126" i="17"/>
  <c r="AU126" i="17"/>
  <c r="T126" i="17"/>
  <c r="AL126" i="17"/>
  <c r="AC126" i="17"/>
  <c r="AA126" i="17"/>
  <c r="AS126" i="17"/>
  <c r="R126" i="17"/>
  <c r="AJ126" i="17"/>
  <c r="P126" i="17"/>
  <c r="Y126" i="17"/>
  <c r="AH126" i="17"/>
  <c r="AQ126" i="17"/>
  <c r="AD125" i="17"/>
  <c r="G1351" i="18" s="1"/>
  <c r="AV125" i="17"/>
  <c r="G1841" i="18" s="1"/>
  <c r="U125" i="17"/>
  <c r="G1106" i="18" s="1"/>
  <c r="AM125" i="17"/>
  <c r="G1596" i="18" s="1"/>
  <c r="S125" i="17"/>
  <c r="E1106" i="18" s="1"/>
  <c r="AT125" i="17"/>
  <c r="E1841" i="18" s="1"/>
  <c r="AB125" i="17"/>
  <c r="E1351" i="18" s="1"/>
  <c r="AK125" i="17"/>
  <c r="E1596" i="18" s="1"/>
  <c r="AI125" i="17"/>
  <c r="C1596" i="18" s="1"/>
  <c r="AR125" i="17"/>
  <c r="C1841" i="18" s="1"/>
  <c r="Z125" i="17"/>
  <c r="C1351" i="18" s="1"/>
  <c r="Q125" i="17"/>
  <c r="C1106" i="18" s="1"/>
  <c r="O125" i="17"/>
  <c r="A1106" i="18" s="1"/>
  <c r="AP125" i="17"/>
  <c r="A1841" i="18" s="1"/>
  <c r="X125" i="17"/>
  <c r="A1351" i="18" s="1"/>
  <c r="AG125" i="17"/>
  <c r="A1596" i="18" s="1"/>
  <c r="H371" i="18"/>
  <c r="E368" i="17"/>
  <c r="D368" i="17"/>
  <c r="F371" i="18"/>
  <c r="C368" i="17"/>
  <c r="D371" i="18"/>
  <c r="B368" i="17"/>
  <c r="B371" i="18"/>
  <c r="AN125" i="17"/>
  <c r="AE125" i="17"/>
  <c r="AW125" i="17"/>
  <c r="V125" i="17"/>
  <c r="T125" i="17"/>
  <c r="AL125" i="17"/>
  <c r="AC125" i="17"/>
  <c r="AU125" i="17"/>
  <c r="AJ125" i="17"/>
  <c r="R125" i="17"/>
  <c r="AA125" i="17"/>
  <c r="AS125" i="17"/>
  <c r="Y125" i="17"/>
  <c r="P125" i="17"/>
  <c r="AH125" i="17"/>
  <c r="AQ125" i="17"/>
  <c r="AM124" i="17"/>
  <c r="G1595" i="18" s="1"/>
  <c r="AD124" i="17"/>
  <c r="G1350" i="18" s="1"/>
  <c r="AV124" i="17"/>
  <c r="G1840" i="18" s="1"/>
  <c r="U124" i="17"/>
  <c r="G1105" i="18" s="1"/>
  <c r="AT124" i="17"/>
  <c r="E1840" i="18" s="1"/>
  <c r="S124" i="17"/>
  <c r="E1105" i="18" s="1"/>
  <c r="AB124" i="17"/>
  <c r="E1350" i="18" s="1"/>
  <c r="AK124" i="17"/>
  <c r="E1595" i="18" s="1"/>
  <c r="AI124" i="17"/>
  <c r="C1595" i="18" s="1"/>
  <c r="Q124" i="17"/>
  <c r="C1105" i="18" s="1"/>
  <c r="AR124" i="17"/>
  <c r="C1840" i="18" s="1"/>
  <c r="Z124" i="17"/>
  <c r="C1350" i="18" s="1"/>
  <c r="AG124" i="17"/>
  <c r="A1595" i="18" s="1"/>
  <c r="AP124" i="17"/>
  <c r="A1840" i="18" s="1"/>
  <c r="O124" i="17"/>
  <c r="A1105" i="18" s="1"/>
  <c r="X124" i="17"/>
  <c r="A1350" i="18" s="1"/>
  <c r="E367" i="17"/>
  <c r="H370" i="18"/>
  <c r="D367" i="17"/>
  <c r="F370" i="18"/>
  <c r="C367" i="17"/>
  <c r="D370" i="18"/>
  <c r="B370" i="18"/>
  <c r="B367" i="17"/>
  <c r="AE124" i="17"/>
  <c r="V124" i="17"/>
  <c r="AW124" i="17"/>
  <c r="AN124" i="17"/>
  <c r="AU124" i="17"/>
  <c r="T124" i="17"/>
  <c r="AC124" i="17"/>
  <c r="AL124" i="17"/>
  <c r="AA124" i="17"/>
  <c r="AJ124" i="17"/>
  <c r="R124" i="17"/>
  <c r="AS124" i="17"/>
  <c r="AQ124" i="17"/>
  <c r="P124" i="17"/>
  <c r="Y124" i="17"/>
  <c r="AH124" i="17"/>
  <c r="U123" i="17"/>
  <c r="G1104" i="18" s="1"/>
  <c r="AV123" i="17"/>
  <c r="G1839" i="18" s="1"/>
  <c r="AD123" i="17"/>
  <c r="G1349" i="18" s="1"/>
  <c r="AM123" i="17"/>
  <c r="G1594" i="18" s="1"/>
  <c r="AK123" i="17"/>
  <c r="E1594" i="18" s="1"/>
  <c r="S123" i="17"/>
  <c r="E1104" i="18" s="1"/>
  <c r="AB123" i="17"/>
  <c r="E1349" i="18" s="1"/>
  <c r="AT123" i="17"/>
  <c r="E1839" i="18" s="1"/>
  <c r="AR123" i="17"/>
  <c r="C1839" i="18" s="1"/>
  <c r="AI123" i="17"/>
  <c r="C1594" i="18" s="1"/>
  <c r="Q123" i="17"/>
  <c r="C1104" i="18" s="1"/>
  <c r="Z123" i="17"/>
  <c r="C1349" i="18" s="1"/>
  <c r="AP123" i="17"/>
  <c r="A1839" i="18" s="1"/>
  <c r="O123" i="17"/>
  <c r="A1104" i="18" s="1"/>
  <c r="X123" i="17"/>
  <c r="A1349" i="18" s="1"/>
  <c r="AG123" i="17"/>
  <c r="A1594" i="18" s="1"/>
  <c r="E366" i="17"/>
  <c r="H369" i="18"/>
  <c r="D366" i="17"/>
  <c r="F369" i="18"/>
  <c r="D369" i="18"/>
  <c r="C366" i="17"/>
  <c r="B366" i="17"/>
  <c r="B369" i="18"/>
  <c r="V123" i="17"/>
  <c r="AE123" i="17"/>
  <c r="AN123" i="17"/>
  <c r="AW123" i="17"/>
  <c r="AL123" i="17"/>
  <c r="T123" i="17"/>
  <c r="AC123" i="17"/>
  <c r="AU123" i="17"/>
  <c r="AA123" i="17"/>
  <c r="AS123" i="17"/>
  <c r="R123" i="17"/>
  <c r="AJ123" i="17"/>
  <c r="AH123" i="17"/>
  <c r="P123" i="17"/>
  <c r="Y123" i="17"/>
  <c r="AQ123" i="17"/>
  <c r="U122" i="17"/>
  <c r="G1103" i="18" s="1"/>
  <c r="AD122" i="17"/>
  <c r="G1348" i="18" s="1"/>
  <c r="AV122" i="17"/>
  <c r="G1838" i="18" s="1"/>
  <c r="AM122" i="17"/>
  <c r="G1593" i="18" s="1"/>
  <c r="AT122" i="17"/>
  <c r="E1838" i="18" s="1"/>
  <c r="S122" i="17"/>
  <c r="E1103" i="18" s="1"/>
  <c r="AK122" i="17"/>
  <c r="E1593" i="18" s="1"/>
  <c r="AB122" i="17"/>
  <c r="E1348" i="18" s="1"/>
  <c r="Z122" i="17"/>
  <c r="C1348" i="18" s="1"/>
  <c r="AI122" i="17"/>
  <c r="C1593" i="18" s="1"/>
  <c r="Q122" i="17"/>
  <c r="C1103" i="18" s="1"/>
  <c r="AR122" i="17"/>
  <c r="C1838" i="18" s="1"/>
  <c r="O122" i="17"/>
  <c r="A1103" i="18" s="1"/>
  <c r="AP122" i="17"/>
  <c r="A1838" i="18" s="1"/>
  <c r="X122" i="17"/>
  <c r="A1348" i="18" s="1"/>
  <c r="AG122" i="17"/>
  <c r="A1593" i="18" s="1"/>
  <c r="E365" i="17"/>
  <c r="H368" i="18"/>
  <c r="D365" i="17"/>
  <c r="F368" i="18"/>
  <c r="D368" i="18"/>
  <c r="C365" i="17"/>
  <c r="B365" i="17"/>
  <c r="B368" i="18"/>
  <c r="AE122" i="17"/>
  <c r="AN122" i="17"/>
  <c r="AW122" i="17"/>
  <c r="V122" i="17"/>
  <c r="T122" i="17"/>
  <c r="AU122" i="17"/>
  <c r="AC122" i="17"/>
  <c r="AL122" i="17"/>
  <c r="AA122" i="17"/>
  <c r="R122" i="17"/>
  <c r="AJ122" i="17"/>
  <c r="AS122" i="17"/>
  <c r="AQ122" i="17"/>
  <c r="P122" i="17"/>
  <c r="Y122" i="17"/>
  <c r="AH122" i="17"/>
  <c r="AV121" i="17"/>
  <c r="G1837" i="18" s="1"/>
  <c r="U121" i="17"/>
  <c r="G1102" i="18" s="1"/>
  <c r="AM121" i="17"/>
  <c r="G1592" i="18" s="1"/>
  <c r="AD121" i="17"/>
  <c r="G1347" i="18" s="1"/>
  <c r="S121" i="17"/>
  <c r="E1102" i="18" s="1"/>
  <c r="AK121" i="17"/>
  <c r="E1592" i="18" s="1"/>
  <c r="AT121" i="17"/>
  <c r="E1837" i="18" s="1"/>
  <c r="AB121" i="17"/>
  <c r="E1347" i="18" s="1"/>
  <c r="AR121" i="17"/>
  <c r="C1837" i="18" s="1"/>
  <c r="Q121" i="17"/>
  <c r="C1102" i="18" s="1"/>
  <c r="Z121" i="17"/>
  <c r="C1347" i="18" s="1"/>
  <c r="AI121" i="17"/>
  <c r="C1592" i="18" s="1"/>
  <c r="O121" i="17"/>
  <c r="A1102" i="18" s="1"/>
  <c r="AG121" i="17"/>
  <c r="A1592" i="18" s="1"/>
  <c r="AP121" i="17"/>
  <c r="A1837" i="18" s="1"/>
  <c r="X121" i="17"/>
  <c r="A1347" i="18" s="1"/>
  <c r="E364" i="17"/>
  <c r="H367" i="18"/>
  <c r="F367" i="18"/>
  <c r="D364" i="17"/>
  <c r="D367" i="18"/>
  <c r="C364" i="17"/>
  <c r="B364" i="17"/>
  <c r="B367" i="18"/>
  <c r="V121" i="17"/>
  <c r="AE121" i="17"/>
  <c r="AN121" i="17"/>
  <c r="AW121" i="17"/>
  <c r="AL121" i="17"/>
  <c r="AU121" i="17"/>
  <c r="AC121" i="17"/>
  <c r="T121" i="17"/>
  <c r="AJ121" i="17"/>
  <c r="R121" i="17"/>
  <c r="AA121" i="17"/>
  <c r="AS121" i="17"/>
  <c r="P121" i="17"/>
  <c r="Y121" i="17"/>
  <c r="AH121" i="17"/>
  <c r="AQ121" i="17"/>
  <c r="AD120" i="17"/>
  <c r="G1346" i="18" s="1"/>
  <c r="AM120" i="17"/>
  <c r="G1591" i="18" s="1"/>
  <c r="U120" i="17"/>
  <c r="G1101" i="18" s="1"/>
  <c r="AV120" i="17"/>
  <c r="G1836" i="18" s="1"/>
  <c r="S120" i="17"/>
  <c r="E1101" i="18" s="1"/>
  <c r="AT120" i="17"/>
  <c r="E1836" i="18" s="1"/>
  <c r="AB120" i="17"/>
  <c r="E1346" i="18" s="1"/>
  <c r="AK120" i="17"/>
  <c r="E1591" i="18" s="1"/>
  <c r="Z120" i="17"/>
  <c r="C1346" i="18" s="1"/>
  <c r="Q120" i="17"/>
  <c r="C1101" i="18" s="1"/>
  <c r="AI120" i="17"/>
  <c r="C1591" i="18" s="1"/>
  <c r="AR120" i="17"/>
  <c r="C1836" i="18" s="1"/>
  <c r="X120" i="17"/>
  <c r="A1346" i="18" s="1"/>
  <c r="AG120" i="17"/>
  <c r="A1591" i="18" s="1"/>
  <c r="O120" i="17"/>
  <c r="A1101" i="18" s="1"/>
  <c r="AP120" i="17"/>
  <c r="A1836" i="18" s="1"/>
  <c r="E363" i="17"/>
  <c r="H366" i="18"/>
  <c r="D363" i="17"/>
  <c r="F366" i="18"/>
  <c r="D366" i="18"/>
  <c r="C363" i="17"/>
  <c r="B363" i="17"/>
  <c r="B366" i="18"/>
  <c r="AW120" i="17"/>
  <c r="AE120" i="17"/>
  <c r="AN120" i="17"/>
  <c r="V120" i="17"/>
  <c r="T120" i="17"/>
  <c r="AC120" i="17"/>
  <c r="AU120" i="17"/>
  <c r="AL120" i="17"/>
  <c r="AS120" i="17"/>
  <c r="AJ120" i="17"/>
  <c r="R120" i="17"/>
  <c r="AA120" i="17"/>
  <c r="AH120" i="17"/>
  <c r="AQ120" i="17"/>
  <c r="P120" i="17"/>
  <c r="Y120" i="17"/>
  <c r="AM119" i="17"/>
  <c r="G1590" i="18" s="1"/>
  <c r="U119" i="17"/>
  <c r="G1100" i="18" s="1"/>
  <c r="AD119" i="17"/>
  <c r="G1345" i="18" s="1"/>
  <c r="AV119" i="17"/>
  <c r="G1835" i="18" s="1"/>
  <c r="AK119" i="17"/>
  <c r="E1590" i="18" s="1"/>
  <c r="AT119" i="17"/>
  <c r="E1835" i="18" s="1"/>
  <c r="AB119" i="17"/>
  <c r="E1345" i="18" s="1"/>
  <c r="S119" i="17"/>
  <c r="E1100" i="18" s="1"/>
  <c r="Z119" i="17"/>
  <c r="C1345" i="18" s="1"/>
  <c r="Q119" i="17"/>
  <c r="C1100" i="18" s="1"/>
  <c r="AI119" i="17"/>
  <c r="C1590" i="18" s="1"/>
  <c r="AR119" i="17"/>
  <c r="C1835" i="18" s="1"/>
  <c r="X119" i="17"/>
  <c r="A1345" i="18" s="1"/>
  <c r="AP119" i="17"/>
  <c r="A1835" i="18" s="1"/>
  <c r="O119" i="17"/>
  <c r="A1100" i="18" s="1"/>
  <c r="AG119" i="17"/>
  <c r="A1590" i="18" s="1"/>
  <c r="E362" i="17"/>
  <c r="H365" i="18"/>
  <c r="F365" i="18"/>
  <c r="D362" i="17"/>
  <c r="C362" i="17"/>
  <c r="D365" i="18"/>
  <c r="B365" i="18"/>
  <c r="B362" i="17"/>
  <c r="AE119" i="17"/>
  <c r="V119" i="17"/>
  <c r="AW119" i="17"/>
  <c r="AN119" i="17"/>
  <c r="AU119" i="17"/>
  <c r="T119" i="17"/>
  <c r="AC119" i="17"/>
  <c r="AL119" i="17"/>
  <c r="R119" i="17"/>
  <c r="AJ119" i="17"/>
  <c r="AA119" i="17"/>
  <c r="AS119" i="17"/>
  <c r="AH119" i="17"/>
  <c r="AQ119" i="17"/>
  <c r="Y119" i="17"/>
  <c r="P119" i="17"/>
  <c r="U118" i="17"/>
  <c r="G1099" i="18" s="1"/>
  <c r="AM118" i="17"/>
  <c r="G1589" i="18" s="1"/>
  <c r="AD118" i="17"/>
  <c r="G1344" i="18" s="1"/>
  <c r="AV118" i="17"/>
  <c r="G1834" i="18" s="1"/>
  <c r="AK118" i="17"/>
  <c r="E1589" i="18" s="1"/>
  <c r="AT118" i="17"/>
  <c r="E1834" i="18" s="1"/>
  <c r="S118" i="17"/>
  <c r="E1099" i="18" s="1"/>
  <c r="AB118" i="17"/>
  <c r="E1344" i="18" s="1"/>
  <c r="Z118" i="17"/>
  <c r="C1344" i="18" s="1"/>
  <c r="AR118" i="17"/>
  <c r="C1834" i="18" s="1"/>
  <c r="Q118" i="17"/>
  <c r="C1099" i="18" s="1"/>
  <c r="AI118" i="17"/>
  <c r="C1589" i="18" s="1"/>
  <c r="O118" i="17"/>
  <c r="A1099" i="18" s="1"/>
  <c r="X118" i="17"/>
  <c r="A1344" i="18" s="1"/>
  <c r="AG118" i="17"/>
  <c r="A1589" i="18" s="1"/>
  <c r="AP118" i="17"/>
  <c r="A1834" i="18" s="1"/>
  <c r="E361" i="17"/>
  <c r="H364" i="18"/>
  <c r="F364" i="18"/>
  <c r="D361" i="17"/>
  <c r="D364" i="18"/>
  <c r="C361" i="17"/>
  <c r="B361" i="17"/>
  <c r="B364" i="18"/>
  <c r="AE118" i="17"/>
  <c r="AN118" i="17"/>
  <c r="V118" i="17"/>
  <c r="AW118" i="17"/>
  <c r="AU118" i="17"/>
  <c r="AL118" i="17"/>
  <c r="AC118" i="17"/>
  <c r="T118" i="17"/>
  <c r="R118" i="17"/>
  <c r="AJ118" i="17"/>
  <c r="AS118" i="17"/>
  <c r="AA118" i="17"/>
  <c r="AH118" i="17"/>
  <c r="AQ118" i="17"/>
  <c r="Y118" i="17"/>
  <c r="P118" i="17"/>
  <c r="AD117" i="17"/>
  <c r="G1343" i="18" s="1"/>
  <c r="AM117" i="17"/>
  <c r="G1588" i="18" s="1"/>
  <c r="U117" i="17"/>
  <c r="G1098" i="18" s="1"/>
  <c r="AV117" i="17"/>
  <c r="G1833" i="18" s="1"/>
  <c r="S117" i="17"/>
  <c r="E1098" i="18" s="1"/>
  <c r="AT117" i="17"/>
  <c r="E1833" i="18" s="1"/>
  <c r="AK117" i="17"/>
  <c r="E1588" i="18" s="1"/>
  <c r="AB117" i="17"/>
  <c r="E1343" i="18" s="1"/>
  <c r="Q117" i="17"/>
  <c r="C1098" i="18" s="1"/>
  <c r="Z117" i="17"/>
  <c r="C1343" i="18" s="1"/>
  <c r="AI117" i="17"/>
  <c r="C1588" i="18" s="1"/>
  <c r="AR117" i="17"/>
  <c r="C1833" i="18" s="1"/>
  <c r="AP117" i="17"/>
  <c r="A1833" i="18" s="1"/>
  <c r="AG117" i="17"/>
  <c r="A1588" i="18" s="1"/>
  <c r="X117" i="17"/>
  <c r="A1343" i="18" s="1"/>
  <c r="O117" i="17"/>
  <c r="A1098" i="18" s="1"/>
  <c r="E360" i="17"/>
  <c r="H363" i="18"/>
  <c r="D360" i="17"/>
  <c r="F363" i="18"/>
  <c r="D363" i="18"/>
  <c r="C360" i="17"/>
  <c r="B360" i="17"/>
  <c r="B363" i="18"/>
  <c r="AE117" i="17"/>
  <c r="V117" i="17"/>
  <c r="AW117" i="17"/>
  <c r="AN117" i="17"/>
  <c r="AL117" i="17"/>
  <c r="AC117" i="17"/>
  <c r="T117" i="17"/>
  <c r="AU117" i="17"/>
  <c r="AS117" i="17"/>
  <c r="R117" i="17"/>
  <c r="AA117" i="17"/>
  <c r="AJ117" i="17"/>
  <c r="Y117" i="17"/>
  <c r="AQ117" i="17"/>
  <c r="P117" i="17"/>
  <c r="AH117" i="17"/>
  <c r="U116" i="17"/>
  <c r="G1097" i="18" s="1"/>
  <c r="AD116" i="17"/>
  <c r="G1342" i="18" s="1"/>
  <c r="AV116" i="17"/>
  <c r="G1832" i="18" s="1"/>
  <c r="AM116" i="17"/>
  <c r="G1587" i="18" s="1"/>
  <c r="AB116" i="17"/>
  <c r="E1342" i="18" s="1"/>
  <c r="AK116" i="17"/>
  <c r="E1587" i="18" s="1"/>
  <c r="S116" i="17"/>
  <c r="E1097" i="18" s="1"/>
  <c r="AT116" i="17"/>
  <c r="E1832" i="18" s="1"/>
  <c r="AR116" i="17"/>
  <c r="C1832" i="18" s="1"/>
  <c r="AI116" i="17"/>
  <c r="C1587" i="18" s="1"/>
  <c r="Z116" i="17"/>
  <c r="C1342" i="18" s="1"/>
  <c r="Q116" i="17"/>
  <c r="C1097" i="18" s="1"/>
  <c r="AP116" i="17"/>
  <c r="A1832" i="18" s="1"/>
  <c r="O116" i="17"/>
  <c r="A1097" i="18" s="1"/>
  <c r="AG116" i="17"/>
  <c r="A1587" i="18" s="1"/>
  <c r="X116" i="17"/>
  <c r="A1342" i="18" s="1"/>
  <c r="E359" i="17"/>
  <c r="H362" i="18"/>
  <c r="D359" i="17"/>
  <c r="F362" i="18"/>
  <c r="D362" i="18"/>
  <c r="C359" i="17"/>
  <c r="B362" i="18"/>
  <c r="B359" i="17"/>
  <c r="V116" i="17"/>
  <c r="AN116" i="17"/>
  <c r="AW116" i="17"/>
  <c r="AE116" i="17"/>
  <c r="AL116" i="17"/>
  <c r="AU116" i="17"/>
  <c r="T116" i="17"/>
  <c r="AC116" i="17"/>
  <c r="R116" i="17"/>
  <c r="AA116" i="17"/>
  <c r="AS116" i="17"/>
  <c r="AJ116" i="17"/>
  <c r="Y116" i="17"/>
  <c r="AH116" i="17"/>
  <c r="P116" i="17"/>
  <c r="AQ116" i="17"/>
  <c r="U115" i="17"/>
  <c r="G1096" i="18" s="1"/>
  <c r="AD115" i="17"/>
  <c r="G1341" i="18" s="1"/>
  <c r="AV115" i="17"/>
  <c r="G1831" i="18" s="1"/>
  <c r="AM115" i="17"/>
  <c r="G1586" i="18" s="1"/>
  <c r="S115" i="17"/>
  <c r="E1096" i="18" s="1"/>
  <c r="AB115" i="17"/>
  <c r="E1341" i="18" s="1"/>
  <c r="AK115" i="17"/>
  <c r="E1586" i="18" s="1"/>
  <c r="AT115" i="17"/>
  <c r="E1831" i="18" s="1"/>
  <c r="AQ115" i="17"/>
  <c r="AH115" i="17"/>
  <c r="P115" i="17"/>
  <c r="Y115" i="17"/>
  <c r="S113" i="17"/>
  <c r="E1094" i="18" s="1"/>
  <c r="AB113" i="17"/>
  <c r="E1339" i="18" s="1"/>
  <c r="AT113" i="17"/>
  <c r="E1829" i="18" s="1"/>
  <c r="AK113" i="17"/>
  <c r="E1584" i="18" s="1"/>
  <c r="Y113" i="17"/>
  <c r="AH113" i="17"/>
  <c r="P113" i="17"/>
  <c r="AQ113" i="17"/>
  <c r="AK112" i="17"/>
  <c r="E1583" i="18" s="1"/>
  <c r="AB112" i="17"/>
  <c r="E1338" i="18" s="1"/>
  <c r="S112" i="17"/>
  <c r="E1093" i="18" s="1"/>
  <c r="AT112" i="17"/>
  <c r="E1828" i="18" s="1"/>
  <c r="AU111" i="17"/>
  <c r="AC111" i="17"/>
  <c r="T111" i="17"/>
  <c r="AL111" i="17"/>
  <c r="C352" i="17"/>
  <c r="D355" i="18"/>
  <c r="P109" i="17"/>
  <c r="Y109" i="17"/>
  <c r="AH109" i="17"/>
  <c r="AQ109" i="17"/>
  <c r="AB108" i="17"/>
  <c r="E1334" i="18" s="1"/>
  <c r="AK108" i="17"/>
  <c r="E1579" i="18" s="1"/>
  <c r="AT108" i="17"/>
  <c r="E1824" i="18" s="1"/>
  <c r="S108" i="17"/>
  <c r="E1089" i="18" s="1"/>
  <c r="Q108" i="17"/>
  <c r="C1089" i="18" s="1"/>
  <c r="AR108" i="17"/>
  <c r="C1824" i="18" s="1"/>
  <c r="Z108" i="17"/>
  <c r="C1334" i="18" s="1"/>
  <c r="AI108" i="17"/>
  <c r="C1579" i="18" s="1"/>
  <c r="R108" i="17"/>
  <c r="AJ108" i="17"/>
  <c r="AA108" i="17"/>
  <c r="AS108" i="17"/>
  <c r="V107" i="17"/>
  <c r="AW107" i="17"/>
  <c r="AE107" i="17"/>
  <c r="AN107" i="17"/>
  <c r="AB106" i="17"/>
  <c r="E1332" i="18" s="1"/>
  <c r="AK106" i="17"/>
  <c r="E1577" i="18" s="1"/>
  <c r="S106" i="17"/>
  <c r="E1087" i="18" s="1"/>
  <c r="AT106" i="17"/>
  <c r="E1822" i="18" s="1"/>
  <c r="AG105" i="17"/>
  <c r="A1576" i="18" s="1"/>
  <c r="O105" i="17"/>
  <c r="A1086" i="18" s="1"/>
  <c r="X105" i="17"/>
  <c r="A1331" i="18" s="1"/>
  <c r="AP105" i="17"/>
  <c r="A1821" i="18" s="1"/>
  <c r="D348" i="17"/>
  <c r="F351" i="18"/>
  <c r="T103" i="17"/>
  <c r="AL103" i="17"/>
  <c r="AU103" i="17"/>
  <c r="AC103" i="17"/>
  <c r="D348" i="18"/>
  <c r="C345" i="17"/>
  <c r="AN100" i="17"/>
  <c r="AW100" i="17"/>
  <c r="V100" i="17"/>
  <c r="AE100" i="17"/>
  <c r="X99" i="17"/>
  <c r="A1325" i="18" s="1"/>
  <c r="AG99" i="17"/>
  <c r="A1570" i="18" s="1"/>
  <c r="AP99" i="17"/>
  <c r="A1815" i="18" s="1"/>
  <c r="O99" i="17"/>
  <c r="A1080" i="18" s="1"/>
  <c r="AP98" i="17"/>
  <c r="A1814" i="18" s="1"/>
  <c r="X98" i="17"/>
  <c r="A1324" i="18" s="1"/>
  <c r="AG98" i="17"/>
  <c r="A1569" i="18" s="1"/>
  <c r="O98" i="17"/>
  <c r="A1079" i="18" s="1"/>
  <c r="AB95" i="17"/>
  <c r="E1321" i="18" s="1"/>
  <c r="AT95" i="17"/>
  <c r="E1811" i="18" s="1"/>
  <c r="AK95" i="17"/>
  <c r="E1566" i="18" s="1"/>
  <c r="S95" i="17"/>
  <c r="E1076" i="18" s="1"/>
  <c r="C338" i="17"/>
  <c r="D341" i="18"/>
  <c r="S94" i="17"/>
  <c r="E1075" i="18" s="1"/>
  <c r="AB94" i="17"/>
  <c r="E1320" i="18" s="1"/>
  <c r="AT94" i="17"/>
  <c r="E1810" i="18" s="1"/>
  <c r="AK94" i="17"/>
  <c r="E1565" i="18" s="1"/>
  <c r="C337" i="17"/>
  <c r="D340" i="18"/>
  <c r="AH93" i="17"/>
  <c r="P93" i="17"/>
  <c r="Y93" i="17"/>
  <c r="AQ93" i="17"/>
  <c r="S92" i="17"/>
  <c r="E1073" i="18" s="1"/>
  <c r="AB92" i="17"/>
  <c r="E1318" i="18" s="1"/>
  <c r="AK92" i="17"/>
  <c r="E1563" i="18" s="1"/>
  <c r="AT92" i="17"/>
  <c r="E1808" i="18" s="1"/>
  <c r="V92" i="17"/>
  <c r="AE92" i="17"/>
  <c r="AW92" i="17"/>
  <c r="AN92" i="17"/>
  <c r="D334" i="17"/>
  <c r="F337" i="18"/>
  <c r="U89" i="17"/>
  <c r="G1070" i="18" s="1"/>
  <c r="AD89" i="17"/>
  <c r="G1315" i="18" s="1"/>
  <c r="AM89" i="17"/>
  <c r="G1560" i="18" s="1"/>
  <c r="AV89" i="17"/>
  <c r="G1805" i="18" s="1"/>
  <c r="V89" i="17"/>
  <c r="AE89" i="17"/>
  <c r="AN89" i="17"/>
  <c r="AW89" i="17"/>
  <c r="R88" i="17"/>
  <c r="AA88" i="17"/>
  <c r="AJ88" i="17"/>
  <c r="AS88" i="17"/>
  <c r="D330" i="17"/>
  <c r="F333" i="18"/>
  <c r="R86" i="17"/>
  <c r="AA86" i="17"/>
  <c r="AJ86" i="17"/>
  <c r="AS86" i="17"/>
  <c r="S85" i="17"/>
  <c r="E1066" i="18" s="1"/>
  <c r="AB85" i="17"/>
  <c r="E1311" i="18" s="1"/>
  <c r="AK85" i="17"/>
  <c r="E1556" i="18" s="1"/>
  <c r="AT85" i="17"/>
  <c r="E1801" i="18" s="1"/>
  <c r="B328" i="17"/>
  <c r="B331" i="18"/>
  <c r="B327" i="17"/>
  <c r="B330" i="18"/>
  <c r="V83" i="17"/>
  <c r="AE83" i="17"/>
  <c r="AN83" i="17"/>
  <c r="AW83" i="17"/>
  <c r="B324" i="17"/>
  <c r="B327" i="18"/>
  <c r="V79" i="17"/>
  <c r="AE79" i="17"/>
  <c r="AN79" i="17"/>
  <c r="AW79" i="17"/>
  <c r="S78" i="17"/>
  <c r="E1059" i="18" s="1"/>
  <c r="AB78" i="17"/>
  <c r="E1304" i="18" s="1"/>
  <c r="AK78" i="17"/>
  <c r="E1549" i="18" s="1"/>
  <c r="AT78" i="17"/>
  <c r="E1794" i="18" s="1"/>
  <c r="D321" i="17"/>
  <c r="F324" i="18"/>
  <c r="D320" i="17"/>
  <c r="F323" i="18"/>
  <c r="S76" i="17"/>
  <c r="E1057" i="18" s="1"/>
  <c r="AB76" i="17"/>
  <c r="E1302" i="18" s="1"/>
  <c r="AK76" i="17"/>
  <c r="E1547" i="18" s="1"/>
  <c r="AT76" i="17"/>
  <c r="E1792" i="18" s="1"/>
  <c r="D318" i="17"/>
  <c r="F321" i="18"/>
  <c r="D317" i="17"/>
  <c r="F320" i="18"/>
  <c r="O73" i="17"/>
  <c r="A1054" i="18" s="1"/>
  <c r="X73" i="17"/>
  <c r="A1299" i="18" s="1"/>
  <c r="AG73" i="17"/>
  <c r="A1544" i="18" s="1"/>
  <c r="AP73" i="17"/>
  <c r="A1789" i="18" s="1"/>
  <c r="V73" i="17"/>
  <c r="AE73" i="17"/>
  <c r="AN73" i="17"/>
  <c r="AW73" i="17"/>
  <c r="U26" i="17"/>
  <c r="G1007" i="18" s="1"/>
  <c r="AD26" i="17"/>
  <c r="G1252" i="18" s="1"/>
  <c r="AM26" i="17"/>
  <c r="G1497" i="18" s="1"/>
  <c r="AV26" i="17"/>
  <c r="G1742" i="18" s="1"/>
  <c r="C266" i="17"/>
  <c r="D269" i="18"/>
  <c r="P23" i="17"/>
  <c r="Y23" i="17"/>
  <c r="AH23" i="17"/>
  <c r="AQ23" i="17"/>
  <c r="Q22" i="17"/>
  <c r="C1003" i="18" s="1"/>
  <c r="Z22" i="17"/>
  <c r="C1248" i="18" s="1"/>
  <c r="AI22" i="17"/>
  <c r="C1493" i="18" s="1"/>
  <c r="AR22" i="17"/>
  <c r="C1738" i="18" s="1"/>
  <c r="E265" i="17"/>
  <c r="H268" i="18"/>
  <c r="V21" i="17"/>
  <c r="AE21" i="17"/>
  <c r="AN21" i="17"/>
  <c r="AW21" i="17"/>
  <c r="O20" i="17"/>
  <c r="A1001" i="18" s="1"/>
  <c r="X20" i="17"/>
  <c r="A1246" i="18" s="1"/>
  <c r="AG20" i="17"/>
  <c r="A1491" i="18" s="1"/>
  <c r="AP20" i="17"/>
  <c r="A1736" i="18" s="1"/>
  <c r="D263" i="17"/>
  <c r="F266" i="18"/>
  <c r="S17" i="17"/>
  <c r="E998" i="18" s="1"/>
  <c r="AB17" i="17"/>
  <c r="E1243" i="18" s="1"/>
  <c r="AK17" i="17"/>
  <c r="E1488" i="18" s="1"/>
  <c r="AT17" i="17"/>
  <c r="E1733" i="18" s="1"/>
  <c r="E260" i="17"/>
  <c r="H263" i="18"/>
  <c r="S16" i="17"/>
  <c r="E997" i="18" s="1"/>
  <c r="AB16" i="17"/>
  <c r="E1242" i="18" s="1"/>
  <c r="AK16" i="17"/>
  <c r="E1487" i="18" s="1"/>
  <c r="AT16" i="17"/>
  <c r="E1732" i="18" s="1"/>
  <c r="R16" i="17"/>
  <c r="AA16" i="17"/>
  <c r="AJ16" i="17"/>
  <c r="AS16" i="17"/>
  <c r="Q15" i="17"/>
  <c r="C996" i="18" s="1"/>
  <c r="Z15" i="17"/>
  <c r="C1241" i="18" s="1"/>
  <c r="AI15" i="17"/>
  <c r="C1486" i="18" s="1"/>
  <c r="AR15" i="17"/>
  <c r="C1731" i="18" s="1"/>
  <c r="R15" i="17"/>
  <c r="AA15" i="17"/>
  <c r="AJ15" i="17"/>
  <c r="AS15" i="17"/>
  <c r="O14" i="17"/>
  <c r="A995" i="18" s="1"/>
  <c r="X14" i="17"/>
  <c r="A1240" i="18" s="1"/>
  <c r="AG14" i="17"/>
  <c r="A1485" i="18" s="1"/>
  <c r="AP14" i="17"/>
  <c r="A1730" i="18" s="1"/>
  <c r="B257" i="17"/>
  <c r="B260" i="18"/>
  <c r="E255" i="17"/>
  <c r="H258" i="18"/>
  <c r="Q11" i="17"/>
  <c r="C992" i="18" s="1"/>
  <c r="Z11" i="17"/>
  <c r="C1237" i="18" s="1"/>
  <c r="AI11" i="17"/>
  <c r="C1482" i="18" s="1"/>
  <c r="AR11" i="17"/>
  <c r="C1727" i="18" s="1"/>
  <c r="C254" i="17"/>
  <c r="D257" i="18"/>
  <c r="U8" i="17"/>
  <c r="G989" i="18" s="1"/>
  <c r="AD8" i="17"/>
  <c r="G1234" i="18" s="1"/>
  <c r="AM8" i="17"/>
  <c r="G1479" i="18" s="1"/>
  <c r="AV8" i="17"/>
  <c r="G1724" i="18" s="1"/>
  <c r="O8" i="17"/>
  <c r="A989" i="18" s="1"/>
  <c r="X8" i="17"/>
  <c r="A1234" i="18" s="1"/>
  <c r="AG8" i="17"/>
  <c r="A1479" i="18" s="1"/>
  <c r="AP8" i="17"/>
  <c r="A1724" i="18" s="1"/>
  <c r="Q7" i="17"/>
  <c r="C988" i="18" s="1"/>
  <c r="Z7" i="17"/>
  <c r="C1233" i="18" s="1"/>
  <c r="AI7" i="17"/>
  <c r="C1478" i="18" s="1"/>
  <c r="AR7" i="17"/>
  <c r="C1723" i="18" s="1"/>
  <c r="E250" i="17"/>
  <c r="H253" i="18"/>
  <c r="F252" i="18"/>
  <c r="D249" i="17"/>
  <c r="X4" i="17"/>
  <c r="A1230" i="18" s="1"/>
  <c r="AG4" i="17"/>
  <c r="A1475" i="18" s="1"/>
  <c r="O4" i="17"/>
  <c r="A985" i="18" s="1"/>
  <c r="AP4" i="17"/>
  <c r="A1720" i="18" s="1"/>
  <c r="B247" i="17"/>
  <c r="B250" i="18"/>
  <c r="AK140" i="5"/>
  <c r="B140" i="6"/>
  <c r="H140" i="10"/>
  <c r="E140" i="17" s="1"/>
  <c r="B141" i="18" s="1"/>
  <c r="I140" i="10"/>
  <c r="F140" i="17" s="1"/>
  <c r="D141" i="18" s="1"/>
  <c r="L140" i="10"/>
  <c r="I140" i="5"/>
  <c r="J140" i="5" s="1"/>
  <c r="AE140" i="5"/>
  <c r="AF140" i="5" s="1"/>
  <c r="C140" i="5"/>
  <c r="D140" i="5"/>
  <c r="AA140" i="5"/>
  <c r="Z140" i="5"/>
  <c r="D140" i="6"/>
  <c r="W140" i="10"/>
  <c r="AE136" i="5"/>
  <c r="AF136" i="5" s="1"/>
  <c r="I136" i="5"/>
  <c r="J136" i="5" s="1"/>
  <c r="AK134" i="5"/>
  <c r="B134" i="6"/>
  <c r="H134" i="10"/>
  <c r="E134" i="17" s="1"/>
  <c r="B135" i="18" s="1"/>
  <c r="I134" i="10"/>
  <c r="F134" i="17" s="1"/>
  <c r="D135" i="18" s="1"/>
  <c r="L134" i="10"/>
  <c r="C132" i="6"/>
  <c r="J132" i="10"/>
  <c r="G132" i="17" s="1"/>
  <c r="F133" i="18" s="1"/>
  <c r="M132" i="10"/>
  <c r="C125" i="6"/>
  <c r="J125" i="10"/>
  <c r="G125" i="17" s="1"/>
  <c r="F126" i="18" s="1"/>
  <c r="M125" i="10"/>
  <c r="B124" i="6"/>
  <c r="AK124" i="5"/>
  <c r="H124" i="10"/>
  <c r="E124" i="17" s="1"/>
  <c r="B125" i="18" s="1"/>
  <c r="I124" i="10"/>
  <c r="F124" i="17" s="1"/>
  <c r="D125" i="18" s="1"/>
  <c r="L124" i="10"/>
  <c r="C119" i="6"/>
  <c r="J119" i="10"/>
  <c r="G119" i="17" s="1"/>
  <c r="F120" i="18" s="1"/>
  <c r="M119" i="10"/>
  <c r="C118" i="5"/>
  <c r="Z118" i="5"/>
  <c r="D118" i="5"/>
  <c r="D118" i="6"/>
  <c r="W118" i="10"/>
  <c r="AA118" i="5"/>
  <c r="C111" i="6"/>
  <c r="J111" i="10"/>
  <c r="G111" i="17" s="1"/>
  <c r="F112" i="18" s="1"/>
  <c r="M111" i="10"/>
  <c r="D109" i="5"/>
  <c r="AA109" i="5"/>
  <c r="C109" i="5"/>
  <c r="Z109" i="5"/>
  <c r="D109" i="6"/>
  <c r="W109" i="10"/>
  <c r="AK108" i="5"/>
  <c r="B108" i="6"/>
  <c r="H108" i="10"/>
  <c r="E108" i="17" s="1"/>
  <c r="B109" i="18" s="1"/>
  <c r="I108" i="10"/>
  <c r="F108" i="17" s="1"/>
  <c r="D109" i="18" s="1"/>
  <c r="L108" i="10"/>
  <c r="AA103" i="5"/>
  <c r="Z103" i="5"/>
  <c r="D103" i="6"/>
  <c r="D103" i="5"/>
  <c r="W103" i="10"/>
  <c r="C103" i="5"/>
  <c r="C315" i="17"/>
  <c r="D318" i="18"/>
  <c r="B315" i="17"/>
  <c r="B318" i="18"/>
  <c r="V72" i="17"/>
  <c r="AE72" i="17"/>
  <c r="AN72" i="17"/>
  <c r="AW72" i="17"/>
  <c r="T72" i="17"/>
  <c r="AC72" i="17"/>
  <c r="AL72" i="17"/>
  <c r="AU72" i="17"/>
  <c r="R72" i="17"/>
  <c r="AA72" i="17"/>
  <c r="AJ72" i="17"/>
  <c r="AS72" i="17"/>
  <c r="P72" i="17"/>
  <c r="Y72" i="17"/>
  <c r="AH72" i="17"/>
  <c r="AQ72" i="17"/>
  <c r="U71" i="17"/>
  <c r="G1052" i="18" s="1"/>
  <c r="AD71" i="17"/>
  <c r="G1297" i="18" s="1"/>
  <c r="AM71" i="17"/>
  <c r="G1542" i="18" s="1"/>
  <c r="AV71" i="17"/>
  <c r="G1787" i="18" s="1"/>
  <c r="S71" i="17"/>
  <c r="E1052" i="18" s="1"/>
  <c r="AB71" i="17"/>
  <c r="E1297" i="18" s="1"/>
  <c r="AK71" i="17"/>
  <c r="E1542" i="18" s="1"/>
  <c r="AT71" i="17"/>
  <c r="E1787" i="18" s="1"/>
  <c r="Q71" i="17"/>
  <c r="C1052" i="18" s="1"/>
  <c r="Z71" i="17"/>
  <c r="C1297" i="18" s="1"/>
  <c r="AI71" i="17"/>
  <c r="C1542" i="18" s="1"/>
  <c r="AR71" i="17"/>
  <c r="C1787" i="18" s="1"/>
  <c r="O71" i="17"/>
  <c r="A1052" i="18" s="1"/>
  <c r="X71" i="17"/>
  <c r="A1297" i="18" s="1"/>
  <c r="AG71" i="17"/>
  <c r="A1542" i="18" s="1"/>
  <c r="AP71" i="17"/>
  <c r="A1787" i="18" s="1"/>
  <c r="E314" i="17"/>
  <c r="H317" i="18"/>
  <c r="D314" i="17"/>
  <c r="F317" i="18"/>
  <c r="C314" i="17"/>
  <c r="D317" i="18"/>
  <c r="B314" i="17"/>
  <c r="B317" i="18"/>
  <c r="V71" i="17"/>
  <c r="AE71" i="17"/>
  <c r="AN71" i="17"/>
  <c r="AW71" i="17"/>
  <c r="T71" i="17"/>
  <c r="AC71" i="17"/>
  <c r="AL71" i="17"/>
  <c r="AU71" i="17"/>
  <c r="R71" i="17"/>
  <c r="AA71" i="17"/>
  <c r="AJ71" i="17"/>
  <c r="AS71" i="17"/>
  <c r="P71" i="17"/>
  <c r="Y71" i="17"/>
  <c r="AH71" i="17"/>
  <c r="AQ71" i="17"/>
  <c r="U70" i="17"/>
  <c r="G1051" i="18" s="1"/>
  <c r="AD70" i="17"/>
  <c r="G1296" i="18" s="1"/>
  <c r="AM70" i="17"/>
  <c r="G1541" i="18" s="1"/>
  <c r="AV70" i="17"/>
  <c r="G1786" i="18" s="1"/>
  <c r="S70" i="17"/>
  <c r="E1051" i="18" s="1"/>
  <c r="AB70" i="17"/>
  <c r="E1296" i="18" s="1"/>
  <c r="AK70" i="17"/>
  <c r="E1541" i="18" s="1"/>
  <c r="AT70" i="17"/>
  <c r="E1786" i="18" s="1"/>
  <c r="Q70" i="17"/>
  <c r="C1051" i="18" s="1"/>
  <c r="Z70" i="17"/>
  <c r="C1296" i="18" s="1"/>
  <c r="AI70" i="17"/>
  <c r="C1541" i="18" s="1"/>
  <c r="AR70" i="17"/>
  <c r="C1786" i="18" s="1"/>
  <c r="O70" i="17"/>
  <c r="A1051" i="18" s="1"/>
  <c r="X70" i="17"/>
  <c r="A1296" i="18" s="1"/>
  <c r="AG70" i="17"/>
  <c r="A1541" i="18" s="1"/>
  <c r="AP70" i="17"/>
  <c r="A1786" i="18" s="1"/>
  <c r="E313" i="17"/>
  <c r="H316" i="18"/>
  <c r="D313" i="17"/>
  <c r="F316" i="18"/>
  <c r="C313" i="17"/>
  <c r="D316" i="18"/>
  <c r="B313" i="17"/>
  <c r="B316" i="18"/>
  <c r="V70" i="17"/>
  <c r="AE70" i="17"/>
  <c r="AN70" i="17"/>
  <c r="AW70" i="17"/>
  <c r="T70" i="17"/>
  <c r="AC70" i="17"/>
  <c r="AL70" i="17"/>
  <c r="AU70" i="17"/>
  <c r="R70" i="17"/>
  <c r="AA70" i="17"/>
  <c r="AJ70" i="17"/>
  <c r="AS70" i="17"/>
  <c r="P70" i="17"/>
  <c r="Y70" i="17"/>
  <c r="AH70" i="17"/>
  <c r="AQ70" i="17"/>
  <c r="U69" i="17"/>
  <c r="G1050" i="18" s="1"/>
  <c r="AD69" i="17"/>
  <c r="G1295" i="18" s="1"/>
  <c r="AM69" i="17"/>
  <c r="G1540" i="18" s="1"/>
  <c r="AV69" i="17"/>
  <c r="G1785" i="18" s="1"/>
  <c r="S69" i="17"/>
  <c r="E1050" i="18" s="1"/>
  <c r="AB69" i="17"/>
  <c r="E1295" i="18" s="1"/>
  <c r="AK69" i="17"/>
  <c r="E1540" i="18" s="1"/>
  <c r="AT69" i="17"/>
  <c r="E1785" i="18" s="1"/>
  <c r="Q69" i="17"/>
  <c r="C1050" i="18" s="1"/>
  <c r="Z69" i="17"/>
  <c r="C1295" i="18" s="1"/>
  <c r="AI69" i="17"/>
  <c r="C1540" i="18" s="1"/>
  <c r="AR69" i="17"/>
  <c r="C1785" i="18" s="1"/>
  <c r="O69" i="17"/>
  <c r="A1050" i="18" s="1"/>
  <c r="X69" i="17"/>
  <c r="A1295" i="18" s="1"/>
  <c r="AG69" i="17"/>
  <c r="A1540" i="18" s="1"/>
  <c r="AP69" i="17"/>
  <c r="A1785" i="18" s="1"/>
  <c r="E312" i="17"/>
  <c r="H315" i="18"/>
  <c r="D312" i="17"/>
  <c r="F315" i="18"/>
  <c r="C312" i="17"/>
  <c r="D315" i="18"/>
  <c r="B312" i="17"/>
  <c r="B315" i="18"/>
  <c r="V69" i="17"/>
  <c r="AE69" i="17"/>
  <c r="AN69" i="17"/>
  <c r="AW69" i="17"/>
  <c r="T69" i="17"/>
  <c r="AC69" i="17"/>
  <c r="AL69" i="17"/>
  <c r="AU69" i="17"/>
  <c r="R69" i="17"/>
  <c r="AA69" i="17"/>
  <c r="AJ69" i="17"/>
  <c r="AS69" i="17"/>
  <c r="P69" i="17"/>
  <c r="Y69" i="17"/>
  <c r="AH69" i="17"/>
  <c r="AQ69" i="17"/>
  <c r="U68" i="17"/>
  <c r="G1049" i="18" s="1"/>
  <c r="AD68" i="17"/>
  <c r="G1294" i="18" s="1"/>
  <c r="AM68" i="17"/>
  <c r="G1539" i="18" s="1"/>
  <c r="AV68" i="17"/>
  <c r="G1784" i="18" s="1"/>
  <c r="S68" i="17"/>
  <c r="E1049" i="18" s="1"/>
  <c r="AB68" i="17"/>
  <c r="E1294" i="18" s="1"/>
  <c r="AK68" i="17"/>
  <c r="E1539" i="18" s="1"/>
  <c r="AT68" i="17"/>
  <c r="E1784" i="18" s="1"/>
  <c r="Q68" i="17"/>
  <c r="C1049" i="18" s="1"/>
  <c r="Z68" i="17"/>
  <c r="C1294" i="18" s="1"/>
  <c r="AI68" i="17"/>
  <c r="C1539" i="18" s="1"/>
  <c r="AR68" i="17"/>
  <c r="C1784" i="18" s="1"/>
  <c r="O68" i="17"/>
  <c r="A1049" i="18" s="1"/>
  <c r="X68" i="17"/>
  <c r="A1294" i="18" s="1"/>
  <c r="AG68" i="17"/>
  <c r="A1539" i="18" s="1"/>
  <c r="AP68" i="17"/>
  <c r="A1784" i="18" s="1"/>
  <c r="E311" i="17"/>
  <c r="H314" i="18"/>
  <c r="D311" i="17"/>
  <c r="F314" i="18"/>
  <c r="C311" i="17"/>
  <c r="D314" i="18"/>
  <c r="B311" i="17"/>
  <c r="B314" i="18"/>
  <c r="V68" i="17"/>
  <c r="AE68" i="17"/>
  <c r="AN68" i="17"/>
  <c r="AW68" i="17"/>
  <c r="T68" i="17"/>
  <c r="AC68" i="17"/>
  <c r="AL68" i="17"/>
  <c r="AU68" i="17"/>
  <c r="R68" i="17"/>
  <c r="AA68" i="17"/>
  <c r="AJ68" i="17"/>
  <c r="AS68" i="17"/>
  <c r="P68" i="17"/>
  <c r="Y68" i="17"/>
  <c r="AH68" i="17"/>
  <c r="AQ68" i="17"/>
  <c r="U67" i="17"/>
  <c r="G1048" i="18" s="1"/>
  <c r="AD67" i="17"/>
  <c r="G1293" i="18" s="1"/>
  <c r="AM67" i="17"/>
  <c r="G1538" i="18" s="1"/>
  <c r="AV67" i="17"/>
  <c r="G1783" i="18" s="1"/>
  <c r="S67" i="17"/>
  <c r="E1048" i="18" s="1"/>
  <c r="AB67" i="17"/>
  <c r="E1293" i="18" s="1"/>
  <c r="AK67" i="17"/>
  <c r="E1538" i="18" s="1"/>
  <c r="AT67" i="17"/>
  <c r="E1783" i="18" s="1"/>
  <c r="Q67" i="17"/>
  <c r="C1048" i="18" s="1"/>
  <c r="Z67" i="17"/>
  <c r="C1293" i="18" s="1"/>
  <c r="AI67" i="17"/>
  <c r="C1538" i="18" s="1"/>
  <c r="AR67" i="17"/>
  <c r="C1783" i="18" s="1"/>
  <c r="O67" i="17"/>
  <c r="A1048" i="18" s="1"/>
  <c r="X67" i="17"/>
  <c r="A1293" i="18" s="1"/>
  <c r="AG67" i="17"/>
  <c r="A1538" i="18" s="1"/>
  <c r="AP67" i="17"/>
  <c r="A1783" i="18" s="1"/>
  <c r="E310" i="17"/>
  <c r="H313" i="18"/>
  <c r="D310" i="17"/>
  <c r="F313" i="18"/>
  <c r="C310" i="17"/>
  <c r="D313" i="18"/>
  <c r="B310" i="17"/>
  <c r="B313" i="18"/>
  <c r="V67" i="17"/>
  <c r="AE67" i="17"/>
  <c r="AN67" i="17"/>
  <c r="AW67" i="17"/>
  <c r="T67" i="17"/>
  <c r="AC67" i="17"/>
  <c r="AL67" i="17"/>
  <c r="AU67" i="17"/>
  <c r="R67" i="17"/>
  <c r="AA67" i="17"/>
  <c r="AJ67" i="17"/>
  <c r="AS67" i="17"/>
  <c r="P67" i="17"/>
  <c r="Y67" i="17"/>
  <c r="AH67" i="17"/>
  <c r="AQ67" i="17"/>
  <c r="U66" i="17"/>
  <c r="G1047" i="18" s="1"/>
  <c r="AD66" i="17"/>
  <c r="G1292" i="18" s="1"/>
  <c r="AM66" i="17"/>
  <c r="G1537" i="18" s="1"/>
  <c r="AV66" i="17"/>
  <c r="G1782" i="18" s="1"/>
  <c r="S66" i="17"/>
  <c r="E1047" i="18" s="1"/>
  <c r="AB66" i="17"/>
  <c r="E1292" i="18" s="1"/>
  <c r="AK66" i="17"/>
  <c r="E1537" i="18" s="1"/>
  <c r="AT66" i="17"/>
  <c r="E1782" i="18" s="1"/>
  <c r="Q66" i="17"/>
  <c r="C1047" i="18" s="1"/>
  <c r="Z66" i="17"/>
  <c r="C1292" i="18" s="1"/>
  <c r="AI66" i="17"/>
  <c r="C1537" i="18" s="1"/>
  <c r="AR66" i="17"/>
  <c r="C1782" i="18" s="1"/>
  <c r="O66" i="17"/>
  <c r="A1047" i="18" s="1"/>
  <c r="X66" i="17"/>
  <c r="A1292" i="18" s="1"/>
  <c r="AG66" i="17"/>
  <c r="A1537" i="18" s="1"/>
  <c r="AP66" i="17"/>
  <c r="A1782" i="18" s="1"/>
  <c r="V66" i="17"/>
  <c r="AE66" i="17"/>
  <c r="AN66" i="17"/>
  <c r="AW66" i="17"/>
  <c r="T66" i="17"/>
  <c r="AC66" i="17"/>
  <c r="AL66" i="17"/>
  <c r="AU66" i="17"/>
  <c r="R66" i="17"/>
  <c r="AA66" i="17"/>
  <c r="AJ66" i="17"/>
  <c r="AS66" i="17"/>
  <c r="P66" i="17"/>
  <c r="Y66" i="17"/>
  <c r="AH66" i="17"/>
  <c r="AQ66" i="17"/>
  <c r="U65" i="17"/>
  <c r="G1046" i="18" s="1"/>
  <c r="AD65" i="17"/>
  <c r="G1291" i="18" s="1"/>
  <c r="AM65" i="17"/>
  <c r="G1536" i="18" s="1"/>
  <c r="AV65" i="17"/>
  <c r="G1781" i="18" s="1"/>
  <c r="S65" i="17"/>
  <c r="E1046" i="18" s="1"/>
  <c r="AB65" i="17"/>
  <c r="E1291" i="18" s="1"/>
  <c r="AK65" i="17"/>
  <c r="E1536" i="18" s="1"/>
  <c r="AT65" i="17"/>
  <c r="E1781" i="18" s="1"/>
  <c r="Q65" i="17"/>
  <c r="C1046" i="18" s="1"/>
  <c r="Z65" i="17"/>
  <c r="C1291" i="18" s="1"/>
  <c r="AI65" i="17"/>
  <c r="C1536" i="18" s="1"/>
  <c r="AR65" i="17"/>
  <c r="C1781" i="18" s="1"/>
  <c r="O65" i="17"/>
  <c r="A1046" i="18" s="1"/>
  <c r="X65" i="17"/>
  <c r="A1291" i="18" s="1"/>
  <c r="AG65" i="17"/>
  <c r="A1536" i="18" s="1"/>
  <c r="AP65" i="17"/>
  <c r="A1781" i="18" s="1"/>
  <c r="E308" i="17"/>
  <c r="H311" i="18"/>
  <c r="D308" i="17"/>
  <c r="F311" i="18"/>
  <c r="C308" i="17"/>
  <c r="D311" i="18"/>
  <c r="B308" i="17"/>
  <c r="B311" i="18"/>
  <c r="V65" i="17"/>
  <c r="AE65" i="17"/>
  <c r="AN65" i="17"/>
  <c r="AW65" i="17"/>
  <c r="T65" i="17"/>
  <c r="AC65" i="17"/>
  <c r="AL65" i="17"/>
  <c r="AU65" i="17"/>
  <c r="R65" i="17"/>
  <c r="AA65" i="17"/>
  <c r="AJ65" i="17"/>
  <c r="AS65" i="17"/>
  <c r="P65" i="17"/>
  <c r="Y65" i="17"/>
  <c r="AH65" i="17"/>
  <c r="AQ65" i="17"/>
  <c r="U64" i="17"/>
  <c r="G1045" i="18" s="1"/>
  <c r="AD64" i="17"/>
  <c r="G1290" i="18" s="1"/>
  <c r="AM64" i="17"/>
  <c r="G1535" i="18" s="1"/>
  <c r="AV64" i="17"/>
  <c r="G1780" i="18" s="1"/>
  <c r="S64" i="17"/>
  <c r="E1045" i="18" s="1"/>
  <c r="AB64" i="17"/>
  <c r="E1290" i="18" s="1"/>
  <c r="AK64" i="17"/>
  <c r="E1535" i="18" s="1"/>
  <c r="AT64" i="17"/>
  <c r="E1780" i="18" s="1"/>
  <c r="Q64" i="17"/>
  <c r="C1045" i="18" s="1"/>
  <c r="Z64" i="17"/>
  <c r="C1290" i="18" s="1"/>
  <c r="AI64" i="17"/>
  <c r="C1535" i="18" s="1"/>
  <c r="AR64" i="17"/>
  <c r="C1780" i="18" s="1"/>
  <c r="O64" i="17"/>
  <c r="A1045" i="18" s="1"/>
  <c r="X64" i="17"/>
  <c r="A1290" i="18" s="1"/>
  <c r="AG64" i="17"/>
  <c r="A1535" i="18" s="1"/>
  <c r="AP64" i="17"/>
  <c r="A1780" i="18" s="1"/>
  <c r="E307" i="17"/>
  <c r="H310" i="18"/>
  <c r="D307" i="17"/>
  <c r="F310" i="18"/>
  <c r="C307" i="17"/>
  <c r="D310" i="18"/>
  <c r="B307" i="17"/>
  <c r="B310" i="18"/>
  <c r="V64" i="17"/>
  <c r="AE64" i="17"/>
  <c r="AN64" i="17"/>
  <c r="AW64" i="17"/>
  <c r="T64" i="17"/>
  <c r="AC64" i="17"/>
  <c r="AL64" i="17"/>
  <c r="AU64" i="17"/>
  <c r="R64" i="17"/>
  <c r="AA64" i="17"/>
  <c r="AJ64" i="17"/>
  <c r="AS64" i="17"/>
  <c r="P64" i="17"/>
  <c r="Y64" i="17"/>
  <c r="AH64" i="17"/>
  <c r="AQ64" i="17"/>
  <c r="U63" i="17"/>
  <c r="G1044" i="18" s="1"/>
  <c r="AD63" i="17"/>
  <c r="G1289" i="18" s="1"/>
  <c r="AM63" i="17"/>
  <c r="G1534" i="18" s="1"/>
  <c r="AV63" i="17"/>
  <c r="G1779" i="18" s="1"/>
  <c r="S63" i="17"/>
  <c r="E1044" i="18" s="1"/>
  <c r="AB63" i="17"/>
  <c r="E1289" i="18" s="1"/>
  <c r="AK63" i="17"/>
  <c r="E1534" i="18" s="1"/>
  <c r="AT63" i="17"/>
  <c r="E1779" i="18" s="1"/>
  <c r="Q63" i="17"/>
  <c r="C1044" i="18" s="1"/>
  <c r="Z63" i="17"/>
  <c r="C1289" i="18" s="1"/>
  <c r="AI63" i="17"/>
  <c r="C1534" i="18" s="1"/>
  <c r="AR63" i="17"/>
  <c r="C1779" i="18" s="1"/>
  <c r="O63" i="17"/>
  <c r="A1044" i="18" s="1"/>
  <c r="X63" i="17"/>
  <c r="A1289" i="18" s="1"/>
  <c r="AG63" i="17"/>
  <c r="A1534" i="18" s="1"/>
  <c r="AP63" i="17"/>
  <c r="A1779" i="18" s="1"/>
  <c r="E306" i="17"/>
  <c r="H309" i="18"/>
  <c r="D306" i="17"/>
  <c r="F309" i="18"/>
  <c r="C306" i="17"/>
  <c r="D309" i="18"/>
  <c r="B306" i="17"/>
  <c r="B309" i="18"/>
  <c r="V63" i="17"/>
  <c r="AE63" i="17"/>
  <c r="AN63" i="17"/>
  <c r="AW63" i="17"/>
  <c r="T63" i="17"/>
  <c r="AC63" i="17"/>
  <c r="AL63" i="17"/>
  <c r="AU63" i="17"/>
  <c r="R63" i="17"/>
  <c r="AA63" i="17"/>
  <c r="AJ63" i="17"/>
  <c r="AS63" i="17"/>
  <c r="P63" i="17"/>
  <c r="Y63" i="17"/>
  <c r="AH63" i="17"/>
  <c r="AQ63" i="17"/>
  <c r="U62" i="17"/>
  <c r="G1043" i="18" s="1"/>
  <c r="AD62" i="17"/>
  <c r="G1288" i="18" s="1"/>
  <c r="AM62" i="17"/>
  <c r="G1533" i="18" s="1"/>
  <c r="AV62" i="17"/>
  <c r="G1778" i="18" s="1"/>
  <c r="S62" i="17"/>
  <c r="E1043" i="18" s="1"/>
  <c r="AB62" i="17"/>
  <c r="E1288" i="18" s="1"/>
  <c r="AK62" i="17"/>
  <c r="E1533" i="18" s="1"/>
  <c r="AT62" i="17"/>
  <c r="E1778" i="18" s="1"/>
  <c r="Q62" i="17"/>
  <c r="C1043" i="18" s="1"/>
  <c r="Z62" i="17"/>
  <c r="C1288" i="18" s="1"/>
  <c r="AI62" i="17"/>
  <c r="C1533" i="18" s="1"/>
  <c r="AR62" i="17"/>
  <c r="C1778" i="18" s="1"/>
  <c r="O62" i="17"/>
  <c r="A1043" i="18" s="1"/>
  <c r="X62" i="17"/>
  <c r="A1288" i="18" s="1"/>
  <c r="AG62" i="17"/>
  <c r="A1533" i="18" s="1"/>
  <c r="AP62" i="17"/>
  <c r="A1778" i="18" s="1"/>
  <c r="E305" i="17"/>
  <c r="H308" i="18"/>
  <c r="D305" i="17"/>
  <c r="F308" i="18"/>
  <c r="C305" i="17"/>
  <c r="D308" i="18"/>
  <c r="B305" i="17"/>
  <c r="B308" i="18"/>
  <c r="V62" i="17"/>
  <c r="AE62" i="17"/>
  <c r="AN62" i="17"/>
  <c r="AW62" i="17"/>
  <c r="T62" i="17"/>
  <c r="AC62" i="17"/>
  <c r="AL62" i="17"/>
  <c r="AU62" i="17"/>
  <c r="R62" i="17"/>
  <c r="AA62" i="17"/>
  <c r="AJ62" i="17"/>
  <c r="AS62" i="17"/>
  <c r="P62" i="17"/>
  <c r="Y62" i="17"/>
  <c r="AH62" i="17"/>
  <c r="AQ62" i="17"/>
  <c r="U61" i="17"/>
  <c r="G1042" i="18" s="1"/>
  <c r="AD61" i="17"/>
  <c r="G1287" i="18" s="1"/>
  <c r="AM61" i="17"/>
  <c r="G1532" i="18" s="1"/>
  <c r="AV61" i="17"/>
  <c r="G1777" i="18" s="1"/>
  <c r="S61" i="17"/>
  <c r="E1042" i="18" s="1"/>
  <c r="AB61" i="17"/>
  <c r="E1287" i="18" s="1"/>
  <c r="AK61" i="17"/>
  <c r="E1532" i="18" s="1"/>
  <c r="AT61" i="17"/>
  <c r="E1777" i="18" s="1"/>
  <c r="Q61" i="17"/>
  <c r="C1042" i="18" s="1"/>
  <c r="Z61" i="17"/>
  <c r="C1287" i="18" s="1"/>
  <c r="AI61" i="17"/>
  <c r="C1532" i="18" s="1"/>
  <c r="AR61" i="17"/>
  <c r="C1777" i="18" s="1"/>
  <c r="O61" i="17"/>
  <c r="A1042" i="18" s="1"/>
  <c r="X61" i="17"/>
  <c r="A1287" i="18" s="1"/>
  <c r="AG61" i="17"/>
  <c r="A1532" i="18" s="1"/>
  <c r="AP61" i="17"/>
  <c r="A1777" i="18" s="1"/>
  <c r="E304" i="17"/>
  <c r="H307" i="18"/>
  <c r="D304" i="17"/>
  <c r="F307" i="18"/>
  <c r="C304" i="17"/>
  <c r="D307" i="18"/>
  <c r="B304" i="17"/>
  <c r="B307" i="18"/>
  <c r="V61" i="17"/>
  <c r="AE61" i="17"/>
  <c r="AN61" i="17"/>
  <c r="AW61" i="17"/>
  <c r="T61" i="17"/>
  <c r="AC61" i="17"/>
  <c r="AL61" i="17"/>
  <c r="AU61" i="17"/>
  <c r="R61" i="17"/>
  <c r="AA61" i="17"/>
  <c r="AJ61" i="17"/>
  <c r="AS61" i="17"/>
  <c r="P61" i="17"/>
  <c r="Y61" i="17"/>
  <c r="AH61" i="17"/>
  <c r="AQ61" i="17"/>
  <c r="U60" i="17"/>
  <c r="G1041" i="18" s="1"/>
  <c r="AD60" i="17"/>
  <c r="G1286" i="18" s="1"/>
  <c r="AM60" i="17"/>
  <c r="G1531" i="18" s="1"/>
  <c r="AV60" i="17"/>
  <c r="G1776" i="18" s="1"/>
  <c r="S60" i="17"/>
  <c r="E1041" i="18" s="1"/>
  <c r="AB60" i="17"/>
  <c r="E1286" i="18" s="1"/>
  <c r="AK60" i="17"/>
  <c r="E1531" i="18" s="1"/>
  <c r="AT60" i="17"/>
  <c r="E1776" i="18" s="1"/>
  <c r="Q60" i="17"/>
  <c r="C1041" i="18" s="1"/>
  <c r="Z60" i="17"/>
  <c r="C1286" i="18" s="1"/>
  <c r="AI60" i="17"/>
  <c r="C1531" i="18" s="1"/>
  <c r="AR60" i="17"/>
  <c r="C1776" i="18" s="1"/>
  <c r="O60" i="17"/>
  <c r="A1041" i="18" s="1"/>
  <c r="X60" i="17"/>
  <c r="A1286" i="18" s="1"/>
  <c r="AG60" i="17"/>
  <c r="A1531" i="18" s="1"/>
  <c r="AP60" i="17"/>
  <c r="A1776" i="18" s="1"/>
  <c r="E303" i="17"/>
  <c r="H306" i="18"/>
  <c r="D303" i="17"/>
  <c r="F306" i="18"/>
  <c r="C303" i="17"/>
  <c r="D306" i="18"/>
  <c r="B303" i="17"/>
  <c r="B306" i="18"/>
  <c r="V60" i="17"/>
  <c r="AE60" i="17"/>
  <c r="AN60" i="17"/>
  <c r="AW60" i="17"/>
  <c r="T60" i="17"/>
  <c r="AC60" i="17"/>
  <c r="AL60" i="17"/>
  <c r="AU60" i="17"/>
  <c r="R60" i="17"/>
  <c r="AA60" i="17"/>
  <c r="AJ60" i="17"/>
  <c r="AS60" i="17"/>
  <c r="P60" i="17"/>
  <c r="Y60" i="17"/>
  <c r="AH60" i="17"/>
  <c r="AQ60" i="17"/>
  <c r="U59" i="17"/>
  <c r="G1040" i="18" s="1"/>
  <c r="AD59" i="17"/>
  <c r="G1285" i="18" s="1"/>
  <c r="AM59" i="17"/>
  <c r="G1530" i="18" s="1"/>
  <c r="AV59" i="17"/>
  <c r="G1775" i="18" s="1"/>
  <c r="S59" i="17"/>
  <c r="E1040" i="18" s="1"/>
  <c r="AB59" i="17"/>
  <c r="E1285" i="18" s="1"/>
  <c r="AK59" i="17"/>
  <c r="E1530" i="18" s="1"/>
  <c r="AT59" i="17"/>
  <c r="E1775" i="18" s="1"/>
  <c r="Q59" i="17"/>
  <c r="C1040" i="18" s="1"/>
  <c r="Z59" i="17"/>
  <c r="C1285" i="18" s="1"/>
  <c r="AI59" i="17"/>
  <c r="C1530" i="18" s="1"/>
  <c r="AR59" i="17"/>
  <c r="C1775" i="18" s="1"/>
  <c r="O59" i="17"/>
  <c r="A1040" i="18" s="1"/>
  <c r="X59" i="17"/>
  <c r="A1285" i="18" s="1"/>
  <c r="AG59" i="17"/>
  <c r="A1530" i="18" s="1"/>
  <c r="AP59" i="17"/>
  <c r="A1775" i="18" s="1"/>
  <c r="E302" i="17"/>
  <c r="H305" i="18"/>
  <c r="D302" i="17"/>
  <c r="F305" i="18"/>
  <c r="C302" i="17"/>
  <c r="D305" i="18"/>
  <c r="B302" i="17"/>
  <c r="B305" i="18"/>
  <c r="V59" i="17"/>
  <c r="AE59" i="17"/>
  <c r="AN59" i="17"/>
  <c r="AW59" i="17"/>
  <c r="T59" i="17"/>
  <c r="AC59" i="17"/>
  <c r="AL59" i="17"/>
  <c r="AU59" i="17"/>
  <c r="R59" i="17"/>
  <c r="AA59" i="17"/>
  <c r="AJ59" i="17"/>
  <c r="AS59" i="17"/>
  <c r="P59" i="17"/>
  <c r="Y59" i="17"/>
  <c r="AH59" i="17"/>
  <c r="AQ59" i="17"/>
  <c r="U58" i="17"/>
  <c r="G1039" i="18" s="1"/>
  <c r="AD58" i="17"/>
  <c r="G1284" i="18" s="1"/>
  <c r="AM58" i="17"/>
  <c r="G1529" i="18" s="1"/>
  <c r="AV58" i="17"/>
  <c r="G1774" i="18" s="1"/>
  <c r="S58" i="17"/>
  <c r="E1039" i="18" s="1"/>
  <c r="AB58" i="17"/>
  <c r="E1284" i="18" s="1"/>
  <c r="AK58" i="17"/>
  <c r="E1529" i="18" s="1"/>
  <c r="AT58" i="17"/>
  <c r="E1774" i="18" s="1"/>
  <c r="Q58" i="17"/>
  <c r="C1039" i="18" s="1"/>
  <c r="Z58" i="17"/>
  <c r="C1284" i="18" s="1"/>
  <c r="AI58" i="17"/>
  <c r="C1529" i="18" s="1"/>
  <c r="AR58" i="17"/>
  <c r="C1774" i="18" s="1"/>
  <c r="O58" i="17"/>
  <c r="A1039" i="18" s="1"/>
  <c r="X58" i="17"/>
  <c r="A1284" i="18" s="1"/>
  <c r="AG58" i="17"/>
  <c r="A1529" i="18" s="1"/>
  <c r="AP58" i="17"/>
  <c r="A1774" i="18" s="1"/>
  <c r="E301" i="17"/>
  <c r="H304" i="18"/>
  <c r="D301" i="17"/>
  <c r="F304" i="18"/>
  <c r="C301" i="17"/>
  <c r="D304" i="18"/>
  <c r="B301" i="17"/>
  <c r="B304" i="18"/>
  <c r="V58" i="17"/>
  <c r="AE58" i="17"/>
  <c r="AN58" i="17"/>
  <c r="AW58" i="17"/>
  <c r="T58" i="17"/>
  <c r="AC58" i="17"/>
  <c r="AL58" i="17"/>
  <c r="AU58" i="17"/>
  <c r="R58" i="17"/>
  <c r="AA58" i="17"/>
  <c r="AJ58" i="17"/>
  <c r="AS58" i="17"/>
  <c r="P58" i="17"/>
  <c r="Y58" i="17"/>
  <c r="AH58" i="17"/>
  <c r="AQ58" i="17"/>
  <c r="U57" i="17"/>
  <c r="G1038" i="18" s="1"/>
  <c r="AD57" i="17"/>
  <c r="G1283" i="18" s="1"/>
  <c r="AM57" i="17"/>
  <c r="G1528" i="18" s="1"/>
  <c r="AV57" i="17"/>
  <c r="G1773" i="18" s="1"/>
  <c r="S57" i="17"/>
  <c r="E1038" i="18" s="1"/>
  <c r="AB57" i="17"/>
  <c r="E1283" i="18" s="1"/>
  <c r="AK57" i="17"/>
  <c r="E1528" i="18" s="1"/>
  <c r="AT57" i="17"/>
  <c r="E1773" i="18" s="1"/>
  <c r="Q57" i="17"/>
  <c r="C1038" i="18" s="1"/>
  <c r="Z57" i="17"/>
  <c r="C1283" i="18" s="1"/>
  <c r="AI57" i="17"/>
  <c r="C1528" i="18" s="1"/>
  <c r="AR57" i="17"/>
  <c r="C1773" i="18" s="1"/>
  <c r="O57" i="17"/>
  <c r="A1038" i="18" s="1"/>
  <c r="X57" i="17"/>
  <c r="A1283" i="18" s="1"/>
  <c r="AG57" i="17"/>
  <c r="A1528" i="18" s="1"/>
  <c r="AP57" i="17"/>
  <c r="A1773" i="18" s="1"/>
  <c r="E300" i="17"/>
  <c r="H303" i="18"/>
  <c r="D300" i="17"/>
  <c r="F303" i="18"/>
  <c r="C300" i="17"/>
  <c r="D303" i="18"/>
  <c r="B300" i="17"/>
  <c r="B303" i="18"/>
  <c r="V57" i="17"/>
  <c r="AE57" i="17"/>
  <c r="AN57" i="17"/>
  <c r="AW57" i="17"/>
  <c r="T57" i="17"/>
  <c r="AC57" i="17"/>
  <c r="AL57" i="17"/>
  <c r="AU57" i="17"/>
  <c r="R57" i="17"/>
  <c r="AA57" i="17"/>
  <c r="AJ57" i="17"/>
  <c r="AS57" i="17"/>
  <c r="P57" i="17"/>
  <c r="Y57" i="17"/>
  <c r="AH57" i="17"/>
  <c r="AQ57" i="17"/>
  <c r="U56" i="17"/>
  <c r="G1037" i="18" s="1"/>
  <c r="AD56" i="17"/>
  <c r="G1282" i="18" s="1"/>
  <c r="AM56" i="17"/>
  <c r="G1527" i="18" s="1"/>
  <c r="AV56" i="17"/>
  <c r="G1772" i="18" s="1"/>
  <c r="S56" i="17"/>
  <c r="E1037" i="18" s="1"/>
  <c r="AB56" i="17"/>
  <c r="E1282" i="18" s="1"/>
  <c r="AK56" i="17"/>
  <c r="E1527" i="18" s="1"/>
  <c r="AT56" i="17"/>
  <c r="E1772" i="18" s="1"/>
  <c r="Q56" i="17"/>
  <c r="C1037" i="18" s="1"/>
  <c r="Z56" i="17"/>
  <c r="C1282" i="18" s="1"/>
  <c r="AI56" i="17"/>
  <c r="C1527" i="18" s="1"/>
  <c r="AR56" i="17"/>
  <c r="C1772" i="18" s="1"/>
  <c r="O56" i="17"/>
  <c r="A1037" i="18" s="1"/>
  <c r="X56" i="17"/>
  <c r="A1282" i="18" s="1"/>
  <c r="AG56" i="17"/>
  <c r="A1527" i="18" s="1"/>
  <c r="AP56" i="17"/>
  <c r="A1772" i="18" s="1"/>
  <c r="E299" i="17"/>
  <c r="H302" i="18"/>
  <c r="D299" i="17"/>
  <c r="F302" i="18"/>
  <c r="C299" i="17"/>
  <c r="D302" i="18"/>
  <c r="B299" i="17"/>
  <c r="B302" i="18"/>
  <c r="V56" i="17"/>
  <c r="AE56" i="17"/>
  <c r="AN56" i="17"/>
  <c r="AW56" i="17"/>
  <c r="T56" i="17"/>
  <c r="AC56" i="17"/>
  <c r="AL56" i="17"/>
  <c r="AU56" i="17"/>
  <c r="R56" i="17"/>
  <c r="AA56" i="17"/>
  <c r="AJ56" i="17"/>
  <c r="AS56" i="17"/>
  <c r="P56" i="17"/>
  <c r="Y56" i="17"/>
  <c r="AH56" i="17"/>
  <c r="AQ56" i="17"/>
  <c r="U55" i="17"/>
  <c r="G1036" i="18" s="1"/>
  <c r="AD55" i="17"/>
  <c r="G1281" i="18" s="1"/>
  <c r="AM55" i="17"/>
  <c r="G1526" i="18" s="1"/>
  <c r="AV55" i="17"/>
  <c r="G1771" i="18" s="1"/>
  <c r="S55" i="17"/>
  <c r="E1036" i="18" s="1"/>
  <c r="AB55" i="17"/>
  <c r="E1281" i="18" s="1"/>
  <c r="AK55" i="17"/>
  <c r="E1526" i="18" s="1"/>
  <c r="AT55" i="17"/>
  <c r="E1771" i="18" s="1"/>
  <c r="Q55" i="17"/>
  <c r="C1036" i="18" s="1"/>
  <c r="Z55" i="17"/>
  <c r="C1281" i="18" s="1"/>
  <c r="AI55" i="17"/>
  <c r="C1526" i="18" s="1"/>
  <c r="AR55" i="17"/>
  <c r="C1771" i="18" s="1"/>
  <c r="O55" i="17"/>
  <c r="A1036" i="18" s="1"/>
  <c r="X55" i="17"/>
  <c r="A1281" i="18" s="1"/>
  <c r="AG55" i="17"/>
  <c r="A1526" i="18" s="1"/>
  <c r="AP55" i="17"/>
  <c r="A1771" i="18" s="1"/>
  <c r="E298" i="17"/>
  <c r="H301" i="18"/>
  <c r="D298" i="17"/>
  <c r="F301" i="18"/>
  <c r="C298" i="17"/>
  <c r="D301" i="18"/>
  <c r="B298" i="17"/>
  <c r="B301" i="18"/>
  <c r="V55" i="17"/>
  <c r="AE55" i="17"/>
  <c r="AN55" i="17"/>
  <c r="AW55" i="17"/>
  <c r="T55" i="17"/>
  <c r="AC55" i="17"/>
  <c r="AL55" i="17"/>
  <c r="AU55" i="17"/>
  <c r="R55" i="17"/>
  <c r="AA55" i="17"/>
  <c r="AJ55" i="17"/>
  <c r="AS55" i="17"/>
  <c r="P55" i="17"/>
  <c r="Y55" i="17"/>
  <c r="AH55" i="17"/>
  <c r="AQ55" i="17"/>
  <c r="U54" i="17"/>
  <c r="G1035" i="18" s="1"/>
  <c r="AD54" i="17"/>
  <c r="G1280" i="18" s="1"/>
  <c r="AM54" i="17"/>
  <c r="G1525" i="18" s="1"/>
  <c r="AV54" i="17"/>
  <c r="G1770" i="18" s="1"/>
  <c r="S54" i="17"/>
  <c r="E1035" i="18" s="1"/>
  <c r="AB54" i="17"/>
  <c r="E1280" i="18" s="1"/>
  <c r="AK54" i="17"/>
  <c r="E1525" i="18" s="1"/>
  <c r="AT54" i="17"/>
  <c r="E1770" i="18" s="1"/>
  <c r="Q54" i="17"/>
  <c r="C1035" i="18" s="1"/>
  <c r="Z54" i="17"/>
  <c r="C1280" i="18" s="1"/>
  <c r="AI54" i="17"/>
  <c r="C1525" i="18" s="1"/>
  <c r="AR54" i="17"/>
  <c r="C1770" i="18" s="1"/>
  <c r="O54" i="17"/>
  <c r="A1035" i="18" s="1"/>
  <c r="X54" i="17"/>
  <c r="A1280" i="18" s="1"/>
  <c r="AG54" i="17"/>
  <c r="A1525" i="18" s="1"/>
  <c r="AP54" i="17"/>
  <c r="A1770" i="18" s="1"/>
  <c r="E297" i="17"/>
  <c r="H300" i="18"/>
  <c r="D297" i="17"/>
  <c r="F300" i="18"/>
  <c r="C297" i="17"/>
  <c r="D300" i="18"/>
  <c r="B297" i="17"/>
  <c r="B300" i="18"/>
  <c r="V54" i="17"/>
  <c r="AE54" i="17"/>
  <c r="AN54" i="17"/>
  <c r="AW54" i="17"/>
  <c r="T54" i="17"/>
  <c r="AC54" i="17"/>
  <c r="AL54" i="17"/>
  <c r="AU54" i="17"/>
  <c r="R54" i="17"/>
  <c r="AA54" i="17"/>
  <c r="AJ54" i="17"/>
  <c r="AS54" i="17"/>
  <c r="P54" i="17"/>
  <c r="Y54" i="17"/>
  <c r="AH54" i="17"/>
  <c r="AQ54" i="17"/>
  <c r="U53" i="17"/>
  <c r="G1034" i="18" s="1"/>
  <c r="AD53" i="17"/>
  <c r="G1279" i="18" s="1"/>
  <c r="AM53" i="17"/>
  <c r="G1524" i="18" s="1"/>
  <c r="AV53" i="17"/>
  <c r="G1769" i="18" s="1"/>
  <c r="S53" i="17"/>
  <c r="E1034" i="18" s="1"/>
  <c r="AB53" i="17"/>
  <c r="E1279" i="18" s="1"/>
  <c r="AK53" i="17"/>
  <c r="E1524" i="18" s="1"/>
  <c r="AT53" i="17"/>
  <c r="E1769" i="18" s="1"/>
  <c r="Q53" i="17"/>
  <c r="C1034" i="18" s="1"/>
  <c r="Z53" i="17"/>
  <c r="C1279" i="18" s="1"/>
  <c r="AI53" i="17"/>
  <c r="C1524" i="18" s="1"/>
  <c r="AR53" i="17"/>
  <c r="C1769" i="18" s="1"/>
  <c r="O53" i="17"/>
  <c r="A1034" i="18" s="1"/>
  <c r="X53" i="17"/>
  <c r="A1279" i="18" s="1"/>
  <c r="AG53" i="17"/>
  <c r="A1524" i="18" s="1"/>
  <c r="AP53" i="17"/>
  <c r="A1769" i="18" s="1"/>
  <c r="E296" i="17"/>
  <c r="H299" i="18"/>
  <c r="D296" i="17"/>
  <c r="F299" i="18"/>
  <c r="C296" i="17"/>
  <c r="D299" i="18"/>
  <c r="B296" i="17"/>
  <c r="B299" i="18"/>
  <c r="V53" i="17"/>
  <c r="AE53" i="17"/>
  <c r="AN53" i="17"/>
  <c r="AW53" i="17"/>
  <c r="T53" i="17"/>
  <c r="AC53" i="17"/>
  <c r="AL53" i="17"/>
  <c r="AU53" i="17"/>
  <c r="R53" i="17"/>
  <c r="AA53" i="17"/>
  <c r="AJ53" i="17"/>
  <c r="AS53" i="17"/>
  <c r="P53" i="17"/>
  <c r="Y53" i="17"/>
  <c r="AH53" i="17"/>
  <c r="AQ53" i="17"/>
  <c r="U52" i="17"/>
  <c r="G1033" i="18" s="1"/>
  <c r="AD52" i="17"/>
  <c r="G1278" i="18" s="1"/>
  <c r="AM52" i="17"/>
  <c r="G1523" i="18" s="1"/>
  <c r="AV52" i="17"/>
  <c r="G1768" i="18" s="1"/>
  <c r="S52" i="17"/>
  <c r="E1033" i="18" s="1"/>
  <c r="AB52" i="17"/>
  <c r="E1278" i="18" s="1"/>
  <c r="AK52" i="17"/>
  <c r="E1523" i="18" s="1"/>
  <c r="AT52" i="17"/>
  <c r="E1768" i="18" s="1"/>
  <c r="Q52" i="17"/>
  <c r="C1033" i="18" s="1"/>
  <c r="Z52" i="17"/>
  <c r="C1278" i="18" s="1"/>
  <c r="AI52" i="17"/>
  <c r="C1523" i="18" s="1"/>
  <c r="AR52" i="17"/>
  <c r="C1768" i="18" s="1"/>
  <c r="O52" i="17"/>
  <c r="A1033" i="18" s="1"/>
  <c r="X52" i="17"/>
  <c r="A1278" i="18" s="1"/>
  <c r="AG52" i="17"/>
  <c r="A1523" i="18" s="1"/>
  <c r="AP52" i="17"/>
  <c r="A1768" i="18" s="1"/>
  <c r="E295" i="17"/>
  <c r="H298" i="18"/>
  <c r="D295" i="17"/>
  <c r="F298" i="18"/>
  <c r="C295" i="17"/>
  <c r="D298" i="18"/>
  <c r="B295" i="17"/>
  <c r="B298" i="18"/>
  <c r="V52" i="17"/>
  <c r="AE52" i="17"/>
  <c r="AN52" i="17"/>
  <c r="AW52" i="17"/>
  <c r="T52" i="17"/>
  <c r="AC52" i="17"/>
  <c r="AL52" i="17"/>
  <c r="AU52" i="17"/>
  <c r="R52" i="17"/>
  <c r="AA52" i="17"/>
  <c r="AJ52" i="17"/>
  <c r="AS52" i="17"/>
  <c r="P52" i="17"/>
  <c r="Y52" i="17"/>
  <c r="AH52" i="17"/>
  <c r="AQ52" i="17"/>
  <c r="U51" i="17"/>
  <c r="G1032" i="18" s="1"/>
  <c r="AD51" i="17"/>
  <c r="G1277" i="18" s="1"/>
  <c r="AM51" i="17"/>
  <c r="G1522" i="18" s="1"/>
  <c r="AV51" i="17"/>
  <c r="G1767" i="18" s="1"/>
  <c r="S51" i="17"/>
  <c r="E1032" i="18" s="1"/>
  <c r="AB51" i="17"/>
  <c r="E1277" i="18" s="1"/>
  <c r="AK51" i="17"/>
  <c r="E1522" i="18" s="1"/>
  <c r="AT51" i="17"/>
  <c r="E1767" i="18" s="1"/>
  <c r="Q51" i="17"/>
  <c r="C1032" i="18" s="1"/>
  <c r="Z51" i="17"/>
  <c r="C1277" i="18" s="1"/>
  <c r="AI51" i="17"/>
  <c r="C1522" i="18" s="1"/>
  <c r="AR51" i="17"/>
  <c r="C1767" i="18" s="1"/>
  <c r="O51" i="17"/>
  <c r="A1032" i="18" s="1"/>
  <c r="X51" i="17"/>
  <c r="A1277" i="18" s="1"/>
  <c r="AG51" i="17"/>
  <c r="A1522" i="18" s="1"/>
  <c r="AP51" i="17"/>
  <c r="A1767" i="18" s="1"/>
  <c r="E294" i="17"/>
  <c r="H297" i="18"/>
  <c r="D294" i="17"/>
  <c r="F297" i="18"/>
  <c r="C294" i="17"/>
  <c r="D297" i="18"/>
  <c r="B294" i="17"/>
  <c r="B297" i="18"/>
  <c r="V51" i="17"/>
  <c r="AE51" i="17"/>
  <c r="AN51" i="17"/>
  <c r="AW51" i="17"/>
  <c r="T51" i="17"/>
  <c r="AC51" i="17"/>
  <c r="AL51" i="17"/>
  <c r="AU51" i="17"/>
  <c r="R51" i="17"/>
  <c r="AA51" i="17"/>
  <c r="AJ51" i="17"/>
  <c r="AS51" i="17"/>
  <c r="P51" i="17"/>
  <c r="Y51" i="17"/>
  <c r="AH51" i="17"/>
  <c r="AQ51" i="17"/>
  <c r="U50" i="17"/>
  <c r="G1031" i="18" s="1"/>
  <c r="AD50" i="17"/>
  <c r="G1276" i="18" s="1"/>
  <c r="AM50" i="17"/>
  <c r="G1521" i="18" s="1"/>
  <c r="AV50" i="17"/>
  <c r="G1766" i="18" s="1"/>
  <c r="S50" i="17"/>
  <c r="E1031" i="18" s="1"/>
  <c r="AB50" i="17"/>
  <c r="E1276" i="18" s="1"/>
  <c r="AK50" i="17"/>
  <c r="E1521" i="18" s="1"/>
  <c r="AT50" i="17"/>
  <c r="E1766" i="18" s="1"/>
  <c r="Q50" i="17"/>
  <c r="C1031" i="18" s="1"/>
  <c r="Z50" i="17"/>
  <c r="C1276" i="18" s="1"/>
  <c r="AI50" i="17"/>
  <c r="C1521" i="18" s="1"/>
  <c r="AR50" i="17"/>
  <c r="C1766" i="18" s="1"/>
  <c r="O50" i="17"/>
  <c r="A1031" i="18" s="1"/>
  <c r="X50" i="17"/>
  <c r="A1276" i="18" s="1"/>
  <c r="AG50" i="17"/>
  <c r="A1521" i="18" s="1"/>
  <c r="AP50" i="17"/>
  <c r="A1766" i="18" s="1"/>
  <c r="E293" i="17"/>
  <c r="H296" i="18"/>
  <c r="D293" i="17"/>
  <c r="F296" i="18"/>
  <c r="C293" i="17"/>
  <c r="D296" i="18"/>
  <c r="B293" i="17"/>
  <c r="B296" i="18"/>
  <c r="V50" i="17"/>
  <c r="AE50" i="17"/>
  <c r="AN50" i="17"/>
  <c r="AW50" i="17"/>
  <c r="T50" i="17"/>
  <c r="AC50" i="17"/>
  <c r="AL50" i="17"/>
  <c r="AU50" i="17"/>
  <c r="R50" i="17"/>
  <c r="AA50" i="17"/>
  <c r="AJ50" i="17"/>
  <c r="AS50" i="17"/>
  <c r="P50" i="17"/>
  <c r="Y50" i="17"/>
  <c r="AH50" i="17"/>
  <c r="AQ50" i="17"/>
  <c r="U49" i="17"/>
  <c r="G1030" i="18" s="1"/>
  <c r="AD49" i="17"/>
  <c r="G1275" i="18" s="1"/>
  <c r="AM49" i="17"/>
  <c r="G1520" i="18" s="1"/>
  <c r="AV49" i="17"/>
  <c r="G1765" i="18" s="1"/>
  <c r="S49" i="17"/>
  <c r="E1030" i="18" s="1"/>
  <c r="AB49" i="17"/>
  <c r="E1275" i="18" s="1"/>
  <c r="AK49" i="17"/>
  <c r="E1520" i="18" s="1"/>
  <c r="AT49" i="17"/>
  <c r="E1765" i="18" s="1"/>
  <c r="Q49" i="17"/>
  <c r="C1030" i="18" s="1"/>
  <c r="Z49" i="17"/>
  <c r="C1275" i="18" s="1"/>
  <c r="AI49" i="17"/>
  <c r="C1520" i="18" s="1"/>
  <c r="AR49" i="17"/>
  <c r="C1765" i="18" s="1"/>
  <c r="O49" i="17"/>
  <c r="A1030" i="18" s="1"/>
  <c r="X49" i="17"/>
  <c r="A1275" i="18" s="1"/>
  <c r="AG49" i="17"/>
  <c r="A1520" i="18" s="1"/>
  <c r="AP49" i="17"/>
  <c r="A1765" i="18" s="1"/>
  <c r="E292" i="17"/>
  <c r="H295" i="18"/>
  <c r="D292" i="17"/>
  <c r="F295" i="18"/>
  <c r="C292" i="17"/>
  <c r="D295" i="18"/>
  <c r="B292" i="17"/>
  <c r="B295" i="18"/>
  <c r="V49" i="17"/>
  <c r="AE49" i="17"/>
  <c r="AN49" i="17"/>
  <c r="AW49" i="17"/>
  <c r="T49" i="17"/>
  <c r="AC49" i="17"/>
  <c r="AL49" i="17"/>
  <c r="AU49" i="17"/>
  <c r="R49" i="17"/>
  <c r="AA49" i="17"/>
  <c r="AJ49" i="17"/>
  <c r="AS49" i="17"/>
  <c r="P49" i="17"/>
  <c r="Y49" i="17"/>
  <c r="AH49" i="17"/>
  <c r="AQ49" i="17"/>
  <c r="U48" i="17"/>
  <c r="G1029" i="18" s="1"/>
  <c r="AD48" i="17"/>
  <c r="G1274" i="18" s="1"/>
  <c r="AM48" i="17"/>
  <c r="G1519" i="18" s="1"/>
  <c r="AV48" i="17"/>
  <c r="G1764" i="18" s="1"/>
  <c r="S48" i="17"/>
  <c r="E1029" i="18" s="1"/>
  <c r="AB48" i="17"/>
  <c r="E1274" i="18" s="1"/>
  <c r="AK48" i="17"/>
  <c r="E1519" i="18" s="1"/>
  <c r="AT48" i="17"/>
  <c r="E1764" i="18" s="1"/>
  <c r="Q48" i="17"/>
  <c r="C1029" i="18" s="1"/>
  <c r="Z48" i="17"/>
  <c r="C1274" i="18" s="1"/>
  <c r="AI48" i="17"/>
  <c r="C1519" i="18" s="1"/>
  <c r="AR48" i="17"/>
  <c r="C1764" i="18" s="1"/>
  <c r="O48" i="17"/>
  <c r="A1029" i="18" s="1"/>
  <c r="X48" i="17"/>
  <c r="A1274" i="18" s="1"/>
  <c r="AG48" i="17"/>
  <c r="A1519" i="18" s="1"/>
  <c r="AP48" i="17"/>
  <c r="A1764" i="18" s="1"/>
  <c r="E291" i="17"/>
  <c r="H294" i="18"/>
  <c r="D291" i="17"/>
  <c r="F294" i="18"/>
  <c r="C291" i="17"/>
  <c r="D294" i="18"/>
  <c r="B291" i="17"/>
  <c r="B294" i="18"/>
  <c r="V48" i="17"/>
  <c r="AE48" i="17"/>
  <c r="AN48" i="17"/>
  <c r="AW48" i="17"/>
  <c r="T48" i="17"/>
  <c r="AC48" i="17"/>
  <c r="AL48" i="17"/>
  <c r="AU48" i="17"/>
  <c r="R48" i="17"/>
  <c r="AA48" i="17"/>
  <c r="AJ48" i="17"/>
  <c r="AS48" i="17"/>
  <c r="P48" i="17"/>
  <c r="Y48" i="17"/>
  <c r="AH48" i="17"/>
  <c r="AQ48" i="17"/>
  <c r="U47" i="17"/>
  <c r="G1028" i="18" s="1"/>
  <c r="AD47" i="17"/>
  <c r="G1273" i="18" s="1"/>
  <c r="AM47" i="17"/>
  <c r="G1518" i="18" s="1"/>
  <c r="AV47" i="17"/>
  <c r="G1763" i="18" s="1"/>
  <c r="S47" i="17"/>
  <c r="E1028" i="18" s="1"/>
  <c r="AB47" i="17"/>
  <c r="E1273" i="18" s="1"/>
  <c r="AK47" i="17"/>
  <c r="E1518" i="18" s="1"/>
  <c r="AT47" i="17"/>
  <c r="E1763" i="18" s="1"/>
  <c r="Q47" i="17"/>
  <c r="C1028" i="18" s="1"/>
  <c r="Z47" i="17"/>
  <c r="C1273" i="18" s="1"/>
  <c r="AI47" i="17"/>
  <c r="C1518" i="18" s="1"/>
  <c r="AR47" i="17"/>
  <c r="C1763" i="18" s="1"/>
  <c r="O47" i="17"/>
  <c r="A1028" i="18" s="1"/>
  <c r="X47" i="17"/>
  <c r="A1273" i="18" s="1"/>
  <c r="AG47" i="17"/>
  <c r="A1518" i="18" s="1"/>
  <c r="AP47" i="17"/>
  <c r="A1763" i="18" s="1"/>
  <c r="E290" i="17"/>
  <c r="H293" i="18"/>
  <c r="D290" i="17"/>
  <c r="F293" i="18"/>
  <c r="C290" i="17"/>
  <c r="D293" i="18"/>
  <c r="B290" i="17"/>
  <c r="B293" i="18"/>
  <c r="V47" i="17"/>
  <c r="AE47" i="17"/>
  <c r="AN47" i="17"/>
  <c r="AW47" i="17"/>
  <c r="T47" i="17"/>
  <c r="AC47" i="17"/>
  <c r="AL47" i="17"/>
  <c r="AU47" i="17"/>
  <c r="R47" i="17"/>
  <c r="AA47" i="17"/>
  <c r="AJ47" i="17"/>
  <c r="AS47" i="17"/>
  <c r="P47" i="17"/>
  <c r="Y47" i="17"/>
  <c r="AH47" i="17"/>
  <c r="AQ47" i="17"/>
  <c r="U46" i="17"/>
  <c r="G1027" i="18" s="1"/>
  <c r="AD46" i="17"/>
  <c r="G1272" i="18" s="1"/>
  <c r="AM46" i="17"/>
  <c r="G1517" i="18" s="1"/>
  <c r="AV46" i="17"/>
  <c r="G1762" i="18" s="1"/>
  <c r="S46" i="17"/>
  <c r="E1027" i="18" s="1"/>
  <c r="AB46" i="17"/>
  <c r="E1272" i="18" s="1"/>
  <c r="AK46" i="17"/>
  <c r="E1517" i="18" s="1"/>
  <c r="AT46" i="17"/>
  <c r="E1762" i="18" s="1"/>
  <c r="Q46" i="17"/>
  <c r="C1027" i="18" s="1"/>
  <c r="Z46" i="17"/>
  <c r="C1272" i="18" s="1"/>
  <c r="AI46" i="17"/>
  <c r="C1517" i="18" s="1"/>
  <c r="AR46" i="17"/>
  <c r="C1762" i="18" s="1"/>
  <c r="O46" i="17"/>
  <c r="A1027" i="18" s="1"/>
  <c r="X46" i="17"/>
  <c r="A1272" i="18" s="1"/>
  <c r="AG46" i="17"/>
  <c r="A1517" i="18" s="1"/>
  <c r="AP46" i="17"/>
  <c r="A1762" i="18" s="1"/>
  <c r="E289" i="17"/>
  <c r="H292" i="18"/>
  <c r="D289" i="17"/>
  <c r="F292" i="18"/>
  <c r="C289" i="17"/>
  <c r="D292" i="18"/>
  <c r="B289" i="17"/>
  <c r="B292" i="18"/>
  <c r="V46" i="17"/>
  <c r="AE46" i="17"/>
  <c r="AN46" i="17"/>
  <c r="AW46" i="17"/>
  <c r="T46" i="17"/>
  <c r="AC46" i="17"/>
  <c r="AL46" i="17"/>
  <c r="AU46" i="17"/>
  <c r="R46" i="17"/>
  <c r="AA46" i="17"/>
  <c r="AJ46" i="17"/>
  <c r="AS46" i="17"/>
  <c r="P46" i="17"/>
  <c r="Y46" i="17"/>
  <c r="AH46" i="17"/>
  <c r="AQ46" i="17"/>
  <c r="U45" i="17"/>
  <c r="G1026" i="18" s="1"/>
  <c r="AD45" i="17"/>
  <c r="G1271" i="18" s="1"/>
  <c r="AM45" i="17"/>
  <c r="G1516" i="18" s="1"/>
  <c r="AV45" i="17"/>
  <c r="G1761" i="18" s="1"/>
  <c r="S45" i="17"/>
  <c r="E1026" i="18" s="1"/>
  <c r="AB45" i="17"/>
  <c r="E1271" i="18" s="1"/>
  <c r="AK45" i="17"/>
  <c r="E1516" i="18" s="1"/>
  <c r="AT45" i="17"/>
  <c r="E1761" i="18" s="1"/>
  <c r="Q45" i="17"/>
  <c r="C1026" i="18" s="1"/>
  <c r="Z45" i="17"/>
  <c r="C1271" i="18" s="1"/>
  <c r="AI45" i="17"/>
  <c r="C1516" i="18" s="1"/>
  <c r="AR45" i="17"/>
  <c r="C1761" i="18" s="1"/>
  <c r="O45" i="17"/>
  <c r="A1026" i="18" s="1"/>
  <c r="X45" i="17"/>
  <c r="A1271" i="18" s="1"/>
  <c r="AG45" i="17"/>
  <c r="A1516" i="18" s="1"/>
  <c r="AP45" i="17"/>
  <c r="A1761" i="18" s="1"/>
  <c r="E288" i="17"/>
  <c r="H291" i="18"/>
  <c r="D288" i="17"/>
  <c r="F291" i="18"/>
  <c r="C288" i="17"/>
  <c r="D291" i="18"/>
  <c r="B288" i="17"/>
  <c r="B291" i="18"/>
  <c r="V45" i="17"/>
  <c r="AE45" i="17"/>
  <c r="AN45" i="17"/>
  <c r="AW45" i="17"/>
  <c r="T45" i="17"/>
  <c r="AC45" i="17"/>
  <c r="AL45" i="17"/>
  <c r="AU45" i="17"/>
  <c r="R45" i="17"/>
  <c r="AA45" i="17"/>
  <c r="AJ45" i="17"/>
  <c r="AS45" i="17"/>
  <c r="P45" i="17"/>
  <c r="Y45" i="17"/>
  <c r="AH45" i="17"/>
  <c r="AQ45" i="17"/>
  <c r="U44" i="17"/>
  <c r="G1025" i="18" s="1"/>
  <c r="AD44" i="17"/>
  <c r="G1270" i="18" s="1"/>
  <c r="AM44" i="17"/>
  <c r="G1515" i="18" s="1"/>
  <c r="AV44" i="17"/>
  <c r="G1760" i="18" s="1"/>
  <c r="S44" i="17"/>
  <c r="E1025" i="18" s="1"/>
  <c r="AB44" i="17"/>
  <c r="E1270" i="18" s="1"/>
  <c r="AK44" i="17"/>
  <c r="E1515" i="18" s="1"/>
  <c r="AT44" i="17"/>
  <c r="E1760" i="18" s="1"/>
  <c r="Q44" i="17"/>
  <c r="C1025" i="18" s="1"/>
  <c r="Z44" i="17"/>
  <c r="C1270" i="18" s="1"/>
  <c r="AI44" i="17"/>
  <c r="C1515" i="18" s="1"/>
  <c r="AR44" i="17"/>
  <c r="C1760" i="18" s="1"/>
  <c r="O44" i="17"/>
  <c r="A1025" i="18" s="1"/>
  <c r="X44" i="17"/>
  <c r="A1270" i="18" s="1"/>
  <c r="AG44" i="17"/>
  <c r="A1515" i="18" s="1"/>
  <c r="AP44" i="17"/>
  <c r="A1760" i="18" s="1"/>
  <c r="E287" i="17"/>
  <c r="H290" i="18"/>
  <c r="D287" i="17"/>
  <c r="F290" i="18"/>
  <c r="C287" i="17"/>
  <c r="D290" i="18"/>
  <c r="B287" i="17"/>
  <c r="B290" i="18"/>
  <c r="V44" i="17"/>
  <c r="AE44" i="17"/>
  <c r="AN44" i="17"/>
  <c r="AW44" i="17"/>
  <c r="T44" i="17"/>
  <c r="AC44" i="17"/>
  <c r="AL44" i="17"/>
  <c r="AU44" i="17"/>
  <c r="R44" i="17"/>
  <c r="AA44" i="17"/>
  <c r="AJ44" i="17"/>
  <c r="AS44" i="17"/>
  <c r="P44" i="17"/>
  <c r="Y44" i="17"/>
  <c r="AH44" i="17"/>
  <c r="AQ44" i="17"/>
  <c r="U43" i="17"/>
  <c r="G1024" i="18" s="1"/>
  <c r="AD43" i="17"/>
  <c r="G1269" i="18" s="1"/>
  <c r="AM43" i="17"/>
  <c r="G1514" i="18" s="1"/>
  <c r="AV43" i="17"/>
  <c r="G1759" i="18" s="1"/>
  <c r="S43" i="17"/>
  <c r="E1024" i="18" s="1"/>
  <c r="AB43" i="17"/>
  <c r="E1269" i="18" s="1"/>
  <c r="AK43" i="17"/>
  <c r="E1514" i="18" s="1"/>
  <c r="AT43" i="17"/>
  <c r="E1759" i="18" s="1"/>
  <c r="Q43" i="17"/>
  <c r="C1024" i="18" s="1"/>
  <c r="Z43" i="17"/>
  <c r="C1269" i="18" s="1"/>
  <c r="AI43" i="17"/>
  <c r="C1514" i="18" s="1"/>
  <c r="AR43" i="17"/>
  <c r="C1759" i="18" s="1"/>
  <c r="O43" i="17"/>
  <c r="A1024" i="18" s="1"/>
  <c r="X43" i="17"/>
  <c r="A1269" i="18" s="1"/>
  <c r="AG43" i="17"/>
  <c r="A1514" i="18" s="1"/>
  <c r="AP43" i="17"/>
  <c r="A1759" i="18" s="1"/>
  <c r="E286" i="17"/>
  <c r="H289" i="18"/>
  <c r="D286" i="17"/>
  <c r="F289" i="18"/>
  <c r="C286" i="17"/>
  <c r="D289" i="18"/>
  <c r="B286" i="17"/>
  <c r="B289" i="18"/>
  <c r="V43" i="17"/>
  <c r="AE43" i="17"/>
  <c r="AN43" i="17"/>
  <c r="AW43" i="17"/>
  <c r="T43" i="17"/>
  <c r="AC43" i="17"/>
  <c r="AL43" i="17"/>
  <c r="AU43" i="17"/>
  <c r="R43" i="17"/>
  <c r="AA43" i="17"/>
  <c r="AJ43" i="17"/>
  <c r="AS43" i="17"/>
  <c r="P43" i="17"/>
  <c r="Y43" i="17"/>
  <c r="AH43" i="17"/>
  <c r="AQ43" i="17"/>
  <c r="U42" i="17"/>
  <c r="G1023" i="18" s="1"/>
  <c r="AD42" i="17"/>
  <c r="G1268" i="18" s="1"/>
  <c r="AM42" i="17"/>
  <c r="G1513" i="18" s="1"/>
  <c r="AV42" i="17"/>
  <c r="G1758" i="18" s="1"/>
  <c r="S42" i="17"/>
  <c r="E1023" i="18" s="1"/>
  <c r="AB42" i="17"/>
  <c r="E1268" i="18" s="1"/>
  <c r="AK42" i="17"/>
  <c r="E1513" i="18" s="1"/>
  <c r="AT42" i="17"/>
  <c r="E1758" i="18" s="1"/>
  <c r="Q42" i="17"/>
  <c r="C1023" i="18" s="1"/>
  <c r="Z42" i="17"/>
  <c r="C1268" i="18" s="1"/>
  <c r="AI42" i="17"/>
  <c r="C1513" i="18" s="1"/>
  <c r="AR42" i="17"/>
  <c r="C1758" i="18" s="1"/>
  <c r="O42" i="17"/>
  <c r="A1023" i="18" s="1"/>
  <c r="X42" i="17"/>
  <c r="A1268" i="18" s="1"/>
  <c r="AG42" i="17"/>
  <c r="A1513" i="18" s="1"/>
  <c r="AP42" i="17"/>
  <c r="A1758" i="18" s="1"/>
  <c r="E285" i="17"/>
  <c r="H288" i="18"/>
  <c r="D285" i="17"/>
  <c r="F288" i="18"/>
  <c r="C285" i="17"/>
  <c r="D288" i="18"/>
  <c r="B285" i="17"/>
  <c r="B288" i="18"/>
  <c r="V42" i="17"/>
  <c r="AE42" i="17"/>
  <c r="AN42" i="17"/>
  <c r="AW42" i="17"/>
  <c r="T42" i="17"/>
  <c r="AC42" i="17"/>
  <c r="AL42" i="17"/>
  <c r="AU42" i="17"/>
  <c r="R42" i="17"/>
  <c r="AA42" i="17"/>
  <c r="AJ42" i="17"/>
  <c r="AS42" i="17"/>
  <c r="P42" i="17"/>
  <c r="Y42" i="17"/>
  <c r="AH42" i="17"/>
  <c r="AQ42" i="17"/>
  <c r="U41" i="17"/>
  <c r="G1022" i="18" s="1"/>
  <c r="AD41" i="17"/>
  <c r="G1267" i="18" s="1"/>
  <c r="AM41" i="17"/>
  <c r="G1512" i="18" s="1"/>
  <c r="AV41" i="17"/>
  <c r="G1757" i="18" s="1"/>
  <c r="S41" i="17"/>
  <c r="E1022" i="18" s="1"/>
  <c r="AB41" i="17"/>
  <c r="E1267" i="18" s="1"/>
  <c r="AK41" i="17"/>
  <c r="E1512" i="18" s="1"/>
  <c r="AT41" i="17"/>
  <c r="E1757" i="18" s="1"/>
  <c r="Q41" i="17"/>
  <c r="C1022" i="18" s="1"/>
  <c r="Z41" i="17"/>
  <c r="C1267" i="18" s="1"/>
  <c r="AI41" i="17"/>
  <c r="C1512" i="18" s="1"/>
  <c r="AR41" i="17"/>
  <c r="C1757" i="18" s="1"/>
  <c r="O41" i="17"/>
  <c r="A1022" i="18" s="1"/>
  <c r="X41" i="17"/>
  <c r="A1267" i="18" s="1"/>
  <c r="AG41" i="17"/>
  <c r="A1512" i="18" s="1"/>
  <c r="AP41" i="17"/>
  <c r="A1757" i="18" s="1"/>
  <c r="E284" i="17"/>
  <c r="H287" i="18"/>
  <c r="D284" i="17"/>
  <c r="F287" i="18"/>
  <c r="C284" i="17"/>
  <c r="D287" i="18"/>
  <c r="B284" i="17"/>
  <c r="B287" i="18"/>
  <c r="V41" i="17"/>
  <c r="AE41" i="17"/>
  <c r="AN41" i="17"/>
  <c r="AW41" i="17"/>
  <c r="T41" i="17"/>
  <c r="AC41" i="17"/>
  <c r="AL41" i="17"/>
  <c r="AU41" i="17"/>
  <c r="R41" i="17"/>
  <c r="AA41" i="17"/>
  <c r="AJ41" i="17"/>
  <c r="AS41" i="17"/>
  <c r="P41" i="17"/>
  <c r="Y41" i="17"/>
  <c r="AH41" i="17"/>
  <c r="AQ41" i="17"/>
  <c r="U40" i="17"/>
  <c r="G1021" i="18" s="1"/>
  <c r="AD40" i="17"/>
  <c r="G1266" i="18" s="1"/>
  <c r="AM40" i="17"/>
  <c r="G1511" i="18" s="1"/>
  <c r="AV40" i="17"/>
  <c r="G1756" i="18" s="1"/>
  <c r="S40" i="17"/>
  <c r="E1021" i="18" s="1"/>
  <c r="AB40" i="17"/>
  <c r="E1266" i="18" s="1"/>
  <c r="AK40" i="17"/>
  <c r="E1511" i="18" s="1"/>
  <c r="AT40" i="17"/>
  <c r="E1756" i="18" s="1"/>
  <c r="Q40" i="17"/>
  <c r="C1021" i="18" s="1"/>
  <c r="Z40" i="17"/>
  <c r="C1266" i="18" s="1"/>
  <c r="AI40" i="17"/>
  <c r="C1511" i="18" s="1"/>
  <c r="AR40" i="17"/>
  <c r="C1756" i="18" s="1"/>
  <c r="O40" i="17"/>
  <c r="A1021" i="18" s="1"/>
  <c r="X40" i="17"/>
  <c r="A1266" i="18" s="1"/>
  <c r="AG40" i="17"/>
  <c r="A1511" i="18" s="1"/>
  <c r="AP40" i="17"/>
  <c r="A1756" i="18" s="1"/>
  <c r="E283" i="17"/>
  <c r="H286" i="18"/>
  <c r="D283" i="17"/>
  <c r="F286" i="18"/>
  <c r="C283" i="17"/>
  <c r="D286" i="18"/>
  <c r="B283" i="17"/>
  <c r="B286" i="18"/>
  <c r="V40" i="17"/>
  <c r="AE40" i="17"/>
  <c r="AN40" i="17"/>
  <c r="AW40" i="17"/>
  <c r="T40" i="17"/>
  <c r="AC40" i="17"/>
  <c r="AL40" i="17"/>
  <c r="AU40" i="17"/>
  <c r="R40" i="17"/>
  <c r="AA40" i="17"/>
  <c r="AJ40" i="17"/>
  <c r="AS40" i="17"/>
  <c r="P40" i="17"/>
  <c r="Y40" i="17"/>
  <c r="AH40" i="17"/>
  <c r="AQ40" i="17"/>
  <c r="U39" i="17"/>
  <c r="G1020" i="18" s="1"/>
  <c r="AD39" i="17"/>
  <c r="G1265" i="18" s="1"/>
  <c r="AM39" i="17"/>
  <c r="G1510" i="18" s="1"/>
  <c r="AV39" i="17"/>
  <c r="G1755" i="18" s="1"/>
  <c r="S39" i="17"/>
  <c r="E1020" i="18" s="1"/>
  <c r="AB39" i="17"/>
  <c r="E1265" i="18" s="1"/>
  <c r="AK39" i="17"/>
  <c r="E1510" i="18" s="1"/>
  <c r="AT39" i="17"/>
  <c r="E1755" i="18" s="1"/>
  <c r="Q39" i="17"/>
  <c r="C1020" i="18" s="1"/>
  <c r="Z39" i="17"/>
  <c r="C1265" i="18" s="1"/>
  <c r="AI39" i="17"/>
  <c r="C1510" i="18" s="1"/>
  <c r="AR39" i="17"/>
  <c r="C1755" i="18" s="1"/>
  <c r="O39" i="17"/>
  <c r="A1020" i="18" s="1"/>
  <c r="X39" i="17"/>
  <c r="A1265" i="18" s="1"/>
  <c r="AG39" i="17"/>
  <c r="A1510" i="18" s="1"/>
  <c r="AP39" i="17"/>
  <c r="A1755" i="18" s="1"/>
  <c r="E282" i="17"/>
  <c r="H285" i="18"/>
  <c r="D282" i="17"/>
  <c r="F285" i="18"/>
  <c r="C282" i="17"/>
  <c r="D285" i="18"/>
  <c r="B282" i="17"/>
  <c r="B285" i="18"/>
  <c r="V39" i="17"/>
  <c r="AE39" i="17"/>
  <c r="AN39" i="17"/>
  <c r="AW39" i="17"/>
  <c r="T39" i="17"/>
  <c r="AC39" i="17"/>
  <c r="AL39" i="17"/>
  <c r="AU39" i="17"/>
  <c r="R39" i="17"/>
  <c r="AA39" i="17"/>
  <c r="AJ39" i="17"/>
  <c r="AS39" i="17"/>
  <c r="P39" i="17"/>
  <c r="Y39" i="17"/>
  <c r="AH39" i="17"/>
  <c r="AQ39" i="17"/>
  <c r="U38" i="17"/>
  <c r="G1019" i="18" s="1"/>
  <c r="AD38" i="17"/>
  <c r="G1264" i="18" s="1"/>
  <c r="AM38" i="17"/>
  <c r="G1509" i="18" s="1"/>
  <c r="AV38" i="17"/>
  <c r="G1754" i="18" s="1"/>
  <c r="S38" i="17"/>
  <c r="E1019" i="18" s="1"/>
  <c r="AB38" i="17"/>
  <c r="E1264" i="18" s="1"/>
  <c r="AK38" i="17"/>
  <c r="E1509" i="18" s="1"/>
  <c r="AT38" i="17"/>
  <c r="E1754" i="18" s="1"/>
  <c r="Q38" i="17"/>
  <c r="C1019" i="18" s="1"/>
  <c r="Z38" i="17"/>
  <c r="C1264" i="18" s="1"/>
  <c r="AI38" i="17"/>
  <c r="C1509" i="18" s="1"/>
  <c r="AR38" i="17"/>
  <c r="C1754" i="18" s="1"/>
  <c r="O38" i="17"/>
  <c r="A1019" i="18" s="1"/>
  <c r="X38" i="17"/>
  <c r="A1264" i="18" s="1"/>
  <c r="AG38" i="17"/>
  <c r="A1509" i="18" s="1"/>
  <c r="AP38" i="17"/>
  <c r="A1754" i="18" s="1"/>
  <c r="E281" i="17"/>
  <c r="H284" i="18"/>
  <c r="D281" i="17"/>
  <c r="F284" i="18"/>
  <c r="C281" i="17"/>
  <c r="D284" i="18"/>
  <c r="B281" i="17"/>
  <c r="B284" i="18"/>
  <c r="V38" i="17"/>
  <c r="AE38" i="17"/>
  <c r="AN38" i="17"/>
  <c r="AW38" i="17"/>
  <c r="T38" i="17"/>
  <c r="AC38" i="17"/>
  <c r="AL38" i="17"/>
  <c r="AU38" i="17"/>
  <c r="R38" i="17"/>
  <c r="AA38" i="17"/>
  <c r="AJ38" i="17"/>
  <c r="AS38" i="17"/>
  <c r="P38" i="17"/>
  <c r="Y38" i="17"/>
  <c r="AH38" i="17"/>
  <c r="AQ38" i="17"/>
  <c r="U37" i="17"/>
  <c r="G1018" i="18" s="1"/>
  <c r="AD37" i="17"/>
  <c r="G1263" i="18" s="1"/>
  <c r="AM37" i="17"/>
  <c r="G1508" i="18" s="1"/>
  <c r="AV37" i="17"/>
  <c r="G1753" i="18" s="1"/>
  <c r="S37" i="17"/>
  <c r="E1018" i="18" s="1"/>
  <c r="AB37" i="17"/>
  <c r="E1263" i="18" s="1"/>
  <c r="AK37" i="17"/>
  <c r="E1508" i="18" s="1"/>
  <c r="AT37" i="17"/>
  <c r="E1753" i="18" s="1"/>
  <c r="Q37" i="17"/>
  <c r="C1018" i="18" s="1"/>
  <c r="Z37" i="17"/>
  <c r="C1263" i="18" s="1"/>
  <c r="AI37" i="17"/>
  <c r="C1508" i="18" s="1"/>
  <c r="AR37" i="17"/>
  <c r="C1753" i="18" s="1"/>
  <c r="O37" i="17"/>
  <c r="A1018" i="18" s="1"/>
  <c r="X37" i="17"/>
  <c r="A1263" i="18" s="1"/>
  <c r="AG37" i="17"/>
  <c r="A1508" i="18" s="1"/>
  <c r="AP37" i="17"/>
  <c r="A1753" i="18" s="1"/>
  <c r="E280" i="17"/>
  <c r="H283" i="18"/>
  <c r="D280" i="17"/>
  <c r="F283" i="18"/>
  <c r="C280" i="17"/>
  <c r="D283" i="18"/>
  <c r="B280" i="17"/>
  <c r="B283" i="18"/>
  <c r="V37" i="17"/>
  <c r="AE37" i="17"/>
  <c r="AN37" i="17"/>
  <c r="AW37" i="17"/>
  <c r="T37" i="17"/>
  <c r="AC37" i="17"/>
  <c r="AL37" i="17"/>
  <c r="AU37" i="17"/>
  <c r="R37" i="17"/>
  <c r="AA37" i="17"/>
  <c r="AJ37" i="17"/>
  <c r="AS37" i="17"/>
  <c r="P37" i="17"/>
  <c r="Y37" i="17"/>
  <c r="AH37" i="17"/>
  <c r="AQ37" i="17"/>
  <c r="U36" i="17"/>
  <c r="G1017" i="18" s="1"/>
  <c r="AD36" i="17"/>
  <c r="G1262" i="18" s="1"/>
  <c r="AM36" i="17"/>
  <c r="G1507" i="18" s="1"/>
  <c r="AV36" i="17"/>
  <c r="G1752" i="18" s="1"/>
  <c r="S36" i="17"/>
  <c r="E1017" i="18" s="1"/>
  <c r="AB36" i="17"/>
  <c r="E1262" i="18" s="1"/>
  <c r="AK36" i="17"/>
  <c r="E1507" i="18" s="1"/>
  <c r="AT36" i="17"/>
  <c r="E1752" i="18" s="1"/>
  <c r="Q36" i="17"/>
  <c r="C1017" i="18" s="1"/>
  <c r="Z36" i="17"/>
  <c r="C1262" i="18" s="1"/>
  <c r="AI36" i="17"/>
  <c r="C1507" i="18" s="1"/>
  <c r="AR36" i="17"/>
  <c r="C1752" i="18" s="1"/>
  <c r="O36" i="17"/>
  <c r="A1017" i="18" s="1"/>
  <c r="X36" i="17"/>
  <c r="A1262" i="18" s="1"/>
  <c r="AG36" i="17"/>
  <c r="A1507" i="18" s="1"/>
  <c r="AP36" i="17"/>
  <c r="A1752" i="18" s="1"/>
  <c r="E279" i="17"/>
  <c r="H282" i="18"/>
  <c r="D279" i="17"/>
  <c r="F282" i="18"/>
  <c r="C279" i="17"/>
  <c r="D282" i="18"/>
  <c r="B279" i="17"/>
  <c r="B282" i="18"/>
  <c r="V36" i="17"/>
  <c r="AE36" i="17"/>
  <c r="AN36" i="17"/>
  <c r="AW36" i="17"/>
  <c r="T36" i="17"/>
  <c r="AC36" i="17"/>
  <c r="AL36" i="17"/>
  <c r="AU36" i="17"/>
  <c r="R36" i="17"/>
  <c r="AA36" i="17"/>
  <c r="AJ36" i="17"/>
  <c r="AS36" i="17"/>
  <c r="P36" i="17"/>
  <c r="Y36" i="17"/>
  <c r="AH36" i="17"/>
  <c r="AQ36" i="17"/>
  <c r="U35" i="17"/>
  <c r="G1016" i="18" s="1"/>
  <c r="AD35" i="17"/>
  <c r="G1261" i="18" s="1"/>
  <c r="AM35" i="17"/>
  <c r="G1506" i="18" s="1"/>
  <c r="AV35" i="17"/>
  <c r="G1751" i="18" s="1"/>
  <c r="S35" i="17"/>
  <c r="E1016" i="18" s="1"/>
  <c r="AB35" i="17"/>
  <c r="E1261" i="18" s="1"/>
  <c r="AK35" i="17"/>
  <c r="E1506" i="18" s="1"/>
  <c r="AT35" i="17"/>
  <c r="E1751" i="18" s="1"/>
  <c r="Q35" i="17"/>
  <c r="C1016" i="18" s="1"/>
  <c r="Z35" i="17"/>
  <c r="C1261" i="18" s="1"/>
  <c r="AI35" i="17"/>
  <c r="C1506" i="18" s="1"/>
  <c r="AR35" i="17"/>
  <c r="C1751" i="18" s="1"/>
  <c r="O35" i="17"/>
  <c r="A1016" i="18" s="1"/>
  <c r="X35" i="17"/>
  <c r="A1261" i="18" s="1"/>
  <c r="AG35" i="17"/>
  <c r="A1506" i="18" s="1"/>
  <c r="AP35" i="17"/>
  <c r="A1751" i="18" s="1"/>
  <c r="E278" i="17"/>
  <c r="H281" i="18"/>
  <c r="D278" i="17"/>
  <c r="F281" i="18"/>
  <c r="C278" i="17"/>
  <c r="D281" i="18"/>
  <c r="B278" i="17"/>
  <c r="B281" i="18"/>
  <c r="V35" i="17"/>
  <c r="AE35" i="17"/>
  <c r="AN35" i="17"/>
  <c r="AW35" i="17"/>
  <c r="T35" i="17"/>
  <c r="AC35" i="17"/>
  <c r="AL35" i="17"/>
  <c r="AU35" i="17"/>
  <c r="R35" i="17"/>
  <c r="AA35" i="17"/>
  <c r="AJ35" i="17"/>
  <c r="AS35" i="17"/>
  <c r="P35" i="17"/>
  <c r="Y35" i="17"/>
  <c r="AH35" i="17"/>
  <c r="AQ35" i="17"/>
  <c r="U34" i="17"/>
  <c r="G1015" i="18" s="1"/>
  <c r="AD34" i="17"/>
  <c r="G1260" i="18" s="1"/>
  <c r="AM34" i="17"/>
  <c r="G1505" i="18" s="1"/>
  <c r="AV34" i="17"/>
  <c r="G1750" i="18" s="1"/>
  <c r="S34" i="17"/>
  <c r="E1015" i="18" s="1"/>
  <c r="AB34" i="17"/>
  <c r="E1260" i="18" s="1"/>
  <c r="AK34" i="17"/>
  <c r="E1505" i="18" s="1"/>
  <c r="AT34" i="17"/>
  <c r="E1750" i="18" s="1"/>
  <c r="Q34" i="17"/>
  <c r="C1015" i="18" s="1"/>
  <c r="Z34" i="17"/>
  <c r="C1260" i="18" s="1"/>
  <c r="AI34" i="17"/>
  <c r="C1505" i="18" s="1"/>
  <c r="AR34" i="17"/>
  <c r="C1750" i="18" s="1"/>
  <c r="O34" i="17"/>
  <c r="A1015" i="18" s="1"/>
  <c r="X34" i="17"/>
  <c r="A1260" i="18" s="1"/>
  <c r="AG34" i="17"/>
  <c r="A1505" i="18" s="1"/>
  <c r="AP34" i="17"/>
  <c r="A1750" i="18" s="1"/>
  <c r="E277" i="17"/>
  <c r="H280" i="18"/>
  <c r="D277" i="17"/>
  <c r="F280" i="18"/>
  <c r="C277" i="17"/>
  <c r="D280" i="18"/>
  <c r="B277" i="17"/>
  <c r="B280" i="18"/>
  <c r="V34" i="17"/>
  <c r="AE34" i="17"/>
  <c r="AN34" i="17"/>
  <c r="AW34" i="17"/>
  <c r="T34" i="17"/>
  <c r="AC34" i="17"/>
  <c r="AL34" i="17"/>
  <c r="AU34" i="17"/>
  <c r="R34" i="17"/>
  <c r="AA34" i="17"/>
  <c r="AJ34" i="17"/>
  <c r="AS34" i="17"/>
  <c r="P34" i="17"/>
  <c r="Y34" i="17"/>
  <c r="AH34" i="17"/>
  <c r="AQ34" i="17"/>
  <c r="U33" i="17"/>
  <c r="G1014" i="18" s="1"/>
  <c r="AD33" i="17"/>
  <c r="G1259" i="18" s="1"/>
  <c r="AM33" i="17"/>
  <c r="G1504" i="18" s="1"/>
  <c r="AV33" i="17"/>
  <c r="G1749" i="18" s="1"/>
  <c r="S33" i="17"/>
  <c r="E1014" i="18" s="1"/>
  <c r="AB33" i="17"/>
  <c r="E1259" i="18" s="1"/>
  <c r="AK33" i="17"/>
  <c r="E1504" i="18" s="1"/>
  <c r="AT33" i="17"/>
  <c r="E1749" i="18" s="1"/>
  <c r="Q33" i="17"/>
  <c r="C1014" i="18" s="1"/>
  <c r="Z33" i="17"/>
  <c r="C1259" i="18" s="1"/>
  <c r="AI33" i="17"/>
  <c r="C1504" i="18" s="1"/>
  <c r="AR33" i="17"/>
  <c r="C1749" i="18" s="1"/>
  <c r="O33" i="17"/>
  <c r="A1014" i="18" s="1"/>
  <c r="X33" i="17"/>
  <c r="A1259" i="18" s="1"/>
  <c r="AG33" i="17"/>
  <c r="A1504" i="18" s="1"/>
  <c r="AP33" i="17"/>
  <c r="A1749" i="18" s="1"/>
  <c r="E276" i="17"/>
  <c r="H279" i="18"/>
  <c r="D276" i="17"/>
  <c r="F279" i="18"/>
  <c r="C276" i="17"/>
  <c r="D279" i="18"/>
  <c r="B276" i="17"/>
  <c r="B279" i="18"/>
  <c r="V33" i="17"/>
  <c r="AE33" i="17"/>
  <c r="AN33" i="17"/>
  <c r="AW33" i="17"/>
  <c r="T33" i="17"/>
  <c r="AC33" i="17"/>
  <c r="AL33" i="17"/>
  <c r="AU33" i="17"/>
  <c r="R33" i="17"/>
  <c r="AA33" i="17"/>
  <c r="AJ33" i="17"/>
  <c r="AS33" i="17"/>
  <c r="P33" i="17"/>
  <c r="Y33" i="17"/>
  <c r="AH33" i="17"/>
  <c r="AQ33" i="17"/>
  <c r="U32" i="17"/>
  <c r="G1013" i="18" s="1"/>
  <c r="AD32" i="17"/>
  <c r="G1258" i="18" s="1"/>
  <c r="AM32" i="17"/>
  <c r="G1503" i="18" s="1"/>
  <c r="AV32" i="17"/>
  <c r="G1748" i="18" s="1"/>
  <c r="S32" i="17"/>
  <c r="E1013" i="18" s="1"/>
  <c r="AB32" i="17"/>
  <c r="E1258" i="18" s="1"/>
  <c r="AK32" i="17"/>
  <c r="E1503" i="18" s="1"/>
  <c r="AT32" i="17"/>
  <c r="E1748" i="18" s="1"/>
  <c r="Q32" i="17"/>
  <c r="C1013" i="18" s="1"/>
  <c r="Z32" i="17"/>
  <c r="C1258" i="18" s="1"/>
  <c r="AI32" i="17"/>
  <c r="C1503" i="18" s="1"/>
  <c r="AR32" i="17"/>
  <c r="C1748" i="18" s="1"/>
  <c r="O32" i="17"/>
  <c r="A1013" i="18" s="1"/>
  <c r="X32" i="17"/>
  <c r="A1258" i="18" s="1"/>
  <c r="AG32" i="17"/>
  <c r="A1503" i="18" s="1"/>
  <c r="AP32" i="17"/>
  <c r="A1748" i="18" s="1"/>
  <c r="E275" i="17"/>
  <c r="H278" i="18"/>
  <c r="D275" i="17"/>
  <c r="F278" i="18"/>
  <c r="C275" i="17"/>
  <c r="D278" i="18"/>
  <c r="B275" i="17"/>
  <c r="B278" i="18"/>
  <c r="V32" i="17"/>
  <c r="AE32" i="17"/>
  <c r="AN32" i="17"/>
  <c r="AW32" i="17"/>
  <c r="T32" i="17"/>
  <c r="AC32" i="17"/>
  <c r="AL32" i="17"/>
  <c r="AU32" i="17"/>
  <c r="R32" i="17"/>
  <c r="AA32" i="17"/>
  <c r="AJ32" i="17"/>
  <c r="AS32" i="17"/>
  <c r="P32" i="17"/>
  <c r="Y32" i="17"/>
  <c r="AH32" i="17"/>
  <c r="AQ32" i="17"/>
  <c r="U31" i="17"/>
  <c r="G1012" i="18" s="1"/>
  <c r="AD31" i="17"/>
  <c r="G1257" i="18" s="1"/>
  <c r="AM31" i="17"/>
  <c r="G1502" i="18" s="1"/>
  <c r="AV31" i="17"/>
  <c r="G1747" i="18" s="1"/>
  <c r="S31" i="17"/>
  <c r="E1012" i="18" s="1"/>
  <c r="AB31" i="17"/>
  <c r="E1257" i="18" s="1"/>
  <c r="AK31" i="17"/>
  <c r="E1502" i="18" s="1"/>
  <c r="AT31" i="17"/>
  <c r="E1747" i="18" s="1"/>
  <c r="Q31" i="17"/>
  <c r="C1012" i="18" s="1"/>
  <c r="Z31" i="17"/>
  <c r="C1257" i="18" s="1"/>
  <c r="AI31" i="17"/>
  <c r="C1502" i="18" s="1"/>
  <c r="AR31" i="17"/>
  <c r="C1747" i="18" s="1"/>
  <c r="O31" i="17"/>
  <c r="A1012" i="18" s="1"/>
  <c r="X31" i="17"/>
  <c r="A1257" i="18" s="1"/>
  <c r="AG31" i="17"/>
  <c r="A1502" i="18" s="1"/>
  <c r="AP31" i="17"/>
  <c r="A1747" i="18" s="1"/>
  <c r="E274" i="17"/>
  <c r="H277" i="18"/>
  <c r="D274" i="17"/>
  <c r="F277" i="18"/>
  <c r="C274" i="17"/>
  <c r="D277" i="18"/>
  <c r="B274" i="17"/>
  <c r="B277" i="18"/>
  <c r="V31" i="17"/>
  <c r="AE31" i="17"/>
  <c r="AN31" i="17"/>
  <c r="AW31" i="17"/>
  <c r="T31" i="17"/>
  <c r="AC31" i="17"/>
  <c r="AL31" i="17"/>
  <c r="AU31" i="17"/>
  <c r="R31" i="17"/>
  <c r="AA31" i="17"/>
  <c r="AJ31" i="17"/>
  <c r="AS31" i="17"/>
  <c r="P31" i="17"/>
  <c r="Y31" i="17"/>
  <c r="AH31" i="17"/>
  <c r="AQ31" i="17"/>
  <c r="U30" i="17"/>
  <c r="G1011" i="18" s="1"/>
  <c r="AD30" i="17"/>
  <c r="G1256" i="18" s="1"/>
  <c r="AM30" i="17"/>
  <c r="G1501" i="18" s="1"/>
  <c r="AV30" i="17"/>
  <c r="G1746" i="18" s="1"/>
  <c r="S30" i="17"/>
  <c r="E1011" i="18" s="1"/>
  <c r="AB30" i="17"/>
  <c r="E1256" i="18" s="1"/>
  <c r="AK30" i="17"/>
  <c r="E1501" i="18" s="1"/>
  <c r="AT30" i="17"/>
  <c r="E1746" i="18" s="1"/>
  <c r="Q30" i="17"/>
  <c r="C1011" i="18" s="1"/>
  <c r="Z30" i="17"/>
  <c r="C1256" i="18" s="1"/>
  <c r="AI30" i="17"/>
  <c r="C1501" i="18" s="1"/>
  <c r="AR30" i="17"/>
  <c r="C1746" i="18" s="1"/>
  <c r="O30" i="17"/>
  <c r="A1011" i="18" s="1"/>
  <c r="X30" i="17"/>
  <c r="A1256" i="18" s="1"/>
  <c r="AG30" i="17"/>
  <c r="A1501" i="18" s="1"/>
  <c r="AP30" i="17"/>
  <c r="A1746" i="18" s="1"/>
  <c r="E273" i="17"/>
  <c r="H276" i="18"/>
  <c r="D273" i="17"/>
  <c r="F276" i="18"/>
  <c r="C273" i="17"/>
  <c r="D276" i="18"/>
  <c r="B273" i="17"/>
  <c r="B276" i="18"/>
  <c r="V30" i="17"/>
  <c r="AE30" i="17"/>
  <c r="AN30" i="17"/>
  <c r="AW30" i="17"/>
  <c r="T30" i="17"/>
  <c r="AC30" i="17"/>
  <c r="AL30" i="17"/>
  <c r="AU30" i="17"/>
  <c r="R30" i="17"/>
  <c r="AA30" i="17"/>
  <c r="AJ30" i="17"/>
  <c r="AS30" i="17"/>
  <c r="P30" i="17"/>
  <c r="Y30" i="17"/>
  <c r="AH30" i="17"/>
  <c r="AQ30" i="17"/>
  <c r="U29" i="17"/>
  <c r="G1010" i="18" s="1"/>
  <c r="AD29" i="17"/>
  <c r="G1255" i="18" s="1"/>
  <c r="AM29" i="17"/>
  <c r="G1500" i="18" s="1"/>
  <c r="AV29" i="17"/>
  <c r="G1745" i="18" s="1"/>
  <c r="S29" i="17"/>
  <c r="E1010" i="18" s="1"/>
  <c r="AB29" i="17"/>
  <c r="E1255" i="18" s="1"/>
  <c r="AK29" i="17"/>
  <c r="E1500" i="18" s="1"/>
  <c r="AT29" i="17"/>
  <c r="E1745" i="18" s="1"/>
  <c r="Q29" i="17"/>
  <c r="C1010" i="18" s="1"/>
  <c r="Z29" i="17"/>
  <c r="C1255" i="18" s="1"/>
  <c r="AI29" i="17"/>
  <c r="C1500" i="18" s="1"/>
  <c r="AR29" i="17"/>
  <c r="C1745" i="18" s="1"/>
  <c r="O29" i="17"/>
  <c r="A1010" i="18" s="1"/>
  <c r="X29" i="17"/>
  <c r="A1255" i="18" s="1"/>
  <c r="AG29" i="17"/>
  <c r="A1500" i="18" s="1"/>
  <c r="AP29" i="17"/>
  <c r="A1745" i="18" s="1"/>
  <c r="E272" i="17"/>
  <c r="H275" i="18"/>
  <c r="D272" i="17"/>
  <c r="F275" i="18"/>
  <c r="C272" i="17"/>
  <c r="D275" i="18"/>
  <c r="B272" i="17"/>
  <c r="B275" i="18"/>
  <c r="V29" i="17"/>
  <c r="AE29" i="17"/>
  <c r="AN29" i="17"/>
  <c r="AW29" i="17"/>
  <c r="T29" i="17"/>
  <c r="AC29" i="17"/>
  <c r="AL29" i="17"/>
  <c r="AU29" i="17"/>
  <c r="R29" i="17"/>
  <c r="AA29" i="17"/>
  <c r="AJ29" i="17"/>
  <c r="AS29" i="17"/>
  <c r="P29" i="17"/>
  <c r="Y29" i="17"/>
  <c r="AH29" i="17"/>
  <c r="AQ29" i="17"/>
  <c r="U28" i="17"/>
  <c r="G1009" i="18" s="1"/>
  <c r="AD28" i="17"/>
  <c r="G1254" i="18" s="1"/>
  <c r="AM28" i="17"/>
  <c r="G1499" i="18" s="1"/>
  <c r="AV28" i="17"/>
  <c r="G1744" i="18" s="1"/>
  <c r="S28" i="17"/>
  <c r="E1009" i="18" s="1"/>
  <c r="AB28" i="17"/>
  <c r="E1254" i="18" s="1"/>
  <c r="AK28" i="17"/>
  <c r="E1499" i="18" s="1"/>
  <c r="AT28" i="17"/>
  <c r="E1744" i="18" s="1"/>
  <c r="Q28" i="17"/>
  <c r="C1009" i="18" s="1"/>
  <c r="Z28" i="17"/>
  <c r="C1254" i="18" s="1"/>
  <c r="AI28" i="17"/>
  <c r="C1499" i="18" s="1"/>
  <c r="AR28" i="17"/>
  <c r="C1744" i="18" s="1"/>
  <c r="O28" i="17"/>
  <c r="A1009" i="18" s="1"/>
  <c r="X28" i="17"/>
  <c r="A1254" i="18" s="1"/>
  <c r="AG28" i="17"/>
  <c r="A1499" i="18" s="1"/>
  <c r="AP28" i="17"/>
  <c r="A1744" i="18" s="1"/>
  <c r="E271" i="17"/>
  <c r="H274" i="18"/>
  <c r="D271" i="17"/>
  <c r="F274" i="18"/>
  <c r="C271" i="17"/>
  <c r="D274" i="18"/>
  <c r="B271" i="17"/>
  <c r="B274" i="18"/>
  <c r="V28" i="17"/>
  <c r="AE28" i="17"/>
  <c r="AN28" i="17"/>
  <c r="AW28" i="17"/>
  <c r="T28" i="17"/>
  <c r="AC28" i="17"/>
  <c r="AL28" i="17"/>
  <c r="AU28" i="17"/>
  <c r="R28" i="17"/>
  <c r="AA28" i="17"/>
  <c r="AJ28" i="17"/>
  <c r="AS28" i="17"/>
  <c r="P28" i="17"/>
  <c r="Y28" i="17"/>
  <c r="AH28" i="17"/>
  <c r="AQ28" i="17"/>
  <c r="U27" i="17"/>
  <c r="G1008" i="18" s="1"/>
  <c r="AD27" i="17"/>
  <c r="G1253" i="18" s="1"/>
  <c r="AM27" i="17"/>
  <c r="G1498" i="18" s="1"/>
  <c r="AV27" i="17"/>
  <c r="G1743" i="18" s="1"/>
  <c r="S27" i="17"/>
  <c r="E1008" i="18" s="1"/>
  <c r="AB27" i="17"/>
  <c r="E1253" i="18" s="1"/>
  <c r="AK27" i="17"/>
  <c r="E1498" i="18" s="1"/>
  <c r="AT27" i="17"/>
  <c r="E1743" i="18" s="1"/>
  <c r="Q27" i="17"/>
  <c r="C1008" i="18" s="1"/>
  <c r="Z27" i="17"/>
  <c r="C1253" i="18" s="1"/>
  <c r="AI27" i="17"/>
  <c r="C1498" i="18" s="1"/>
  <c r="AR27" i="17"/>
  <c r="C1743" i="18" s="1"/>
  <c r="O27" i="17"/>
  <c r="A1008" i="18" s="1"/>
  <c r="X27" i="17"/>
  <c r="A1253" i="18" s="1"/>
  <c r="AG27" i="17"/>
  <c r="A1498" i="18" s="1"/>
  <c r="AP27" i="17"/>
  <c r="A1743" i="18" s="1"/>
  <c r="E270" i="17"/>
  <c r="H273" i="18"/>
  <c r="T27" i="17"/>
  <c r="AC27" i="17"/>
  <c r="AL27" i="17"/>
  <c r="AU27" i="17"/>
  <c r="Q25" i="17"/>
  <c r="C1006" i="18" s="1"/>
  <c r="Z25" i="17"/>
  <c r="C1251" i="18" s="1"/>
  <c r="AI25" i="17"/>
  <c r="C1496" i="18" s="1"/>
  <c r="AR25" i="17"/>
  <c r="C1741" i="18" s="1"/>
  <c r="C268" i="17"/>
  <c r="D271" i="18"/>
  <c r="S23" i="17"/>
  <c r="E1004" i="18" s="1"/>
  <c r="AB23" i="17"/>
  <c r="E1249" i="18" s="1"/>
  <c r="AK23" i="17"/>
  <c r="E1494" i="18" s="1"/>
  <c r="AT23" i="17"/>
  <c r="E1739" i="18" s="1"/>
  <c r="T23" i="17"/>
  <c r="AC23" i="17"/>
  <c r="AL23" i="17"/>
  <c r="AU23" i="17"/>
  <c r="S22" i="17"/>
  <c r="E1003" i="18" s="1"/>
  <c r="AB22" i="17"/>
  <c r="E1248" i="18" s="1"/>
  <c r="AK22" i="17"/>
  <c r="E1493" i="18" s="1"/>
  <c r="AT22" i="17"/>
  <c r="E1738" i="18" s="1"/>
  <c r="D265" i="17"/>
  <c r="F268" i="18"/>
  <c r="B264" i="17"/>
  <c r="B267" i="18"/>
  <c r="S18" i="17"/>
  <c r="E999" i="18" s="1"/>
  <c r="AB18" i="17"/>
  <c r="E1244" i="18" s="1"/>
  <c r="AK18" i="17"/>
  <c r="E1489" i="18" s="1"/>
  <c r="AT18" i="17"/>
  <c r="E1734" i="18" s="1"/>
  <c r="E261" i="17"/>
  <c r="H264" i="18"/>
  <c r="E258" i="17"/>
  <c r="H261" i="18"/>
  <c r="U14" i="17"/>
  <c r="G995" i="18" s="1"/>
  <c r="AD14" i="17"/>
  <c r="G1240" i="18" s="1"/>
  <c r="AM14" i="17"/>
  <c r="G1485" i="18" s="1"/>
  <c r="AV14" i="17"/>
  <c r="G1730" i="18" s="1"/>
  <c r="Q13" i="17"/>
  <c r="C994" i="18" s="1"/>
  <c r="Z13" i="17"/>
  <c r="C1239" i="18" s="1"/>
  <c r="AI13" i="17"/>
  <c r="C1484" i="18" s="1"/>
  <c r="AR13" i="17"/>
  <c r="C1729" i="18" s="1"/>
  <c r="B256" i="17"/>
  <c r="B259" i="18"/>
  <c r="R12" i="17"/>
  <c r="AA12" i="17"/>
  <c r="AJ12" i="17"/>
  <c r="AS12" i="17"/>
  <c r="S11" i="17"/>
  <c r="E992" i="18" s="1"/>
  <c r="AB11" i="17"/>
  <c r="E1237" i="18" s="1"/>
  <c r="AK11" i="17"/>
  <c r="E1482" i="18" s="1"/>
  <c r="AT11" i="17"/>
  <c r="E1727" i="18" s="1"/>
  <c r="R11" i="17"/>
  <c r="AA11" i="17"/>
  <c r="AJ11" i="17"/>
  <c r="AS11" i="17"/>
  <c r="E252" i="17"/>
  <c r="H255" i="18"/>
  <c r="R8" i="17"/>
  <c r="AA8" i="17"/>
  <c r="AJ8" i="17"/>
  <c r="AS8" i="17"/>
  <c r="R7" i="17"/>
  <c r="AA7" i="17"/>
  <c r="AJ7" i="17"/>
  <c r="AS7" i="17"/>
  <c r="Z6" i="17"/>
  <c r="C1232" i="18" s="1"/>
  <c r="AI6" i="17"/>
  <c r="C1477" i="18" s="1"/>
  <c r="AR6" i="17"/>
  <c r="C1722" i="18" s="1"/>
  <c r="Q6" i="17"/>
  <c r="C987" i="18" s="1"/>
  <c r="C249" i="17"/>
  <c r="D252" i="18"/>
  <c r="AM4" i="17"/>
  <c r="G1475" i="18" s="1"/>
  <c r="AV4" i="17"/>
  <c r="G1720" i="18" s="1"/>
  <c r="U4" i="17"/>
  <c r="G985" i="18" s="1"/>
  <c r="AD4" i="17"/>
  <c r="G1230" i="18" s="1"/>
  <c r="C246" i="17"/>
  <c r="D249" i="18"/>
  <c r="Y3" i="17"/>
  <c r="P3" i="17"/>
  <c r="AQ3" i="17"/>
  <c r="AH3" i="17"/>
  <c r="AI2" i="17"/>
  <c r="C1473" i="18" s="1"/>
  <c r="Q2" i="17"/>
  <c r="C983" i="18" s="1"/>
  <c r="Z2" i="17"/>
  <c r="C1228" i="18" s="1"/>
  <c r="AR2" i="17"/>
  <c r="C1718" i="18" s="1"/>
  <c r="E245" i="17"/>
  <c r="H248" i="18"/>
  <c r="AK133" i="5"/>
  <c r="B133" i="6"/>
  <c r="H133" i="10"/>
  <c r="E133" i="17" s="1"/>
  <c r="B134" i="18" s="1"/>
  <c r="I133" i="10"/>
  <c r="F133" i="17" s="1"/>
  <c r="D134" i="18" s="1"/>
  <c r="L133" i="10"/>
  <c r="AA129" i="5"/>
  <c r="Z129" i="5"/>
  <c r="D129" i="5"/>
  <c r="C129" i="5"/>
  <c r="D129" i="6"/>
  <c r="W129" i="10"/>
  <c r="C127" i="6"/>
  <c r="J127" i="10"/>
  <c r="G127" i="17" s="1"/>
  <c r="F128" i="18" s="1"/>
  <c r="M127" i="10"/>
  <c r="AK125" i="5"/>
  <c r="B125" i="6"/>
  <c r="H125" i="10"/>
  <c r="E125" i="17" s="1"/>
  <c r="B126" i="18" s="1"/>
  <c r="I125" i="10"/>
  <c r="F125" i="17" s="1"/>
  <c r="D126" i="18" s="1"/>
  <c r="L125" i="10"/>
  <c r="AE125" i="5"/>
  <c r="AF125" i="5" s="1"/>
  <c r="I125" i="5"/>
  <c r="J125" i="5" s="1"/>
  <c r="AE122" i="5"/>
  <c r="AF122" i="5" s="1"/>
  <c r="B11" i="1" s="1"/>
  <c r="I122" i="5"/>
  <c r="J122" i="5" s="1"/>
  <c r="C121" i="6"/>
  <c r="J121" i="10"/>
  <c r="G121" i="17" s="1"/>
  <c r="F122" i="18" s="1"/>
  <c r="M121" i="10"/>
  <c r="C120" i="5"/>
  <c r="AA120" i="5"/>
  <c r="D120" i="5"/>
  <c r="Z120" i="5"/>
  <c r="D120" i="6"/>
  <c r="W120" i="10"/>
  <c r="AK115" i="5"/>
  <c r="B115" i="6"/>
  <c r="H115" i="10"/>
  <c r="E115" i="17" s="1"/>
  <c r="B116" i="18" s="1"/>
  <c r="I115" i="10"/>
  <c r="F115" i="17" s="1"/>
  <c r="D116" i="18" s="1"/>
  <c r="L115" i="10"/>
  <c r="C108" i="6"/>
  <c r="J108" i="10"/>
  <c r="G108" i="17" s="1"/>
  <c r="F109" i="18" s="1"/>
  <c r="M108" i="10"/>
  <c r="C107" i="5"/>
  <c r="AA107" i="5"/>
  <c r="D107" i="5"/>
  <c r="Z107" i="5"/>
  <c r="D107" i="6"/>
  <c r="W107" i="10"/>
  <c r="AK101" i="5"/>
  <c r="B101" i="6"/>
  <c r="H101" i="10"/>
  <c r="E101" i="17" s="1"/>
  <c r="B102" i="18" s="1"/>
  <c r="I101" i="10"/>
  <c r="F101" i="17" s="1"/>
  <c r="D102" i="18" s="1"/>
  <c r="L101" i="10"/>
  <c r="B100" i="6"/>
  <c r="AK100" i="5"/>
  <c r="H100" i="10"/>
  <c r="E100" i="17" s="1"/>
  <c r="B101" i="18" s="1"/>
  <c r="I100" i="10"/>
  <c r="F100" i="17" s="1"/>
  <c r="D101" i="18" s="1"/>
  <c r="L100" i="10"/>
  <c r="AA100" i="5"/>
  <c r="D100" i="5"/>
  <c r="Z100" i="5"/>
  <c r="C100" i="5"/>
  <c r="K100" i="5" s="1"/>
  <c r="L100" i="5" s="1"/>
  <c r="D100" i="6"/>
  <c r="W100" i="10"/>
  <c r="A218" i="18"/>
  <c r="C218" i="18"/>
  <c r="E218" i="18"/>
  <c r="A952" i="18"/>
  <c r="C952" i="18"/>
  <c r="E952" i="18"/>
  <c r="G952" i="18"/>
  <c r="A217" i="18"/>
  <c r="C217" i="18"/>
  <c r="E217" i="18"/>
  <c r="A951" i="18"/>
  <c r="C951" i="18"/>
  <c r="E951" i="18"/>
  <c r="G951" i="18"/>
  <c r="A216" i="18"/>
  <c r="C216" i="18"/>
  <c r="E216" i="18"/>
  <c r="A950" i="18"/>
  <c r="C950" i="18"/>
  <c r="E950" i="18"/>
  <c r="G950" i="18"/>
  <c r="A215" i="18"/>
  <c r="C215" i="18"/>
  <c r="E215" i="18"/>
  <c r="A949" i="18"/>
  <c r="C949" i="18"/>
  <c r="E949" i="18"/>
  <c r="G949" i="18"/>
  <c r="A214" i="18"/>
  <c r="C214" i="18"/>
  <c r="E214" i="18"/>
  <c r="A948" i="18"/>
  <c r="C948" i="18"/>
  <c r="E948" i="18"/>
  <c r="G948" i="18"/>
  <c r="A213" i="18"/>
  <c r="C213" i="18"/>
  <c r="E213" i="18"/>
  <c r="A947" i="18"/>
  <c r="C947" i="18"/>
  <c r="E947" i="18"/>
  <c r="G947" i="18"/>
  <c r="A212" i="18"/>
  <c r="C212" i="18"/>
  <c r="E212" i="18"/>
  <c r="A946" i="18"/>
  <c r="C946" i="18"/>
  <c r="E946" i="18"/>
  <c r="G946" i="18"/>
  <c r="A211" i="18"/>
  <c r="C211" i="18"/>
  <c r="E211" i="18"/>
  <c r="A945" i="18"/>
  <c r="C945" i="18"/>
  <c r="E945" i="18"/>
  <c r="G945" i="18"/>
  <c r="A210" i="18"/>
  <c r="C210" i="18"/>
  <c r="E210" i="18"/>
  <c r="A944" i="18"/>
  <c r="C944" i="18"/>
  <c r="E944" i="18"/>
  <c r="G944" i="18"/>
  <c r="A209" i="18"/>
  <c r="C209" i="18"/>
  <c r="E209" i="18"/>
  <c r="A943" i="18"/>
  <c r="C943" i="18"/>
  <c r="E943" i="18"/>
  <c r="G943" i="18"/>
  <c r="A208" i="18"/>
  <c r="C208" i="18"/>
  <c r="E208" i="18"/>
  <c r="A942" i="18"/>
  <c r="C942" i="18"/>
  <c r="E942" i="18"/>
  <c r="G942" i="18"/>
  <c r="A207" i="18"/>
  <c r="C207" i="18"/>
  <c r="E207" i="18"/>
  <c r="A941" i="18"/>
  <c r="C941" i="18"/>
  <c r="E941" i="18"/>
  <c r="G941" i="18"/>
  <c r="A206" i="18"/>
  <c r="C206" i="18"/>
  <c r="E206" i="18"/>
  <c r="A940" i="18"/>
  <c r="C940" i="18"/>
  <c r="E940" i="18"/>
  <c r="G940" i="18"/>
  <c r="A205" i="18"/>
  <c r="C205" i="18"/>
  <c r="E205" i="18"/>
  <c r="A939" i="18"/>
  <c r="C939" i="18"/>
  <c r="E939" i="18"/>
  <c r="G939" i="18"/>
  <c r="A204" i="18"/>
  <c r="C204" i="18"/>
  <c r="E204" i="18"/>
  <c r="A938" i="18"/>
  <c r="C938" i="18"/>
  <c r="E938" i="18"/>
  <c r="G938" i="18"/>
  <c r="A203" i="18"/>
  <c r="C203" i="18"/>
  <c r="E203" i="18"/>
  <c r="A937" i="18"/>
  <c r="C937" i="18"/>
  <c r="E937" i="18"/>
  <c r="G937" i="18"/>
  <c r="A202" i="18"/>
  <c r="C202" i="18"/>
  <c r="E202" i="18"/>
  <c r="A936" i="18"/>
  <c r="C936" i="18"/>
  <c r="E936" i="18"/>
  <c r="G936" i="18"/>
  <c r="A201" i="18"/>
  <c r="C201" i="18"/>
  <c r="E201" i="18"/>
  <c r="A935" i="18"/>
  <c r="C935" i="18"/>
  <c r="E935" i="18"/>
  <c r="G935" i="18"/>
  <c r="A200" i="18"/>
  <c r="C200" i="18"/>
  <c r="E200" i="18"/>
  <c r="A934" i="18"/>
  <c r="C934" i="18"/>
  <c r="E934" i="18"/>
  <c r="G934" i="18"/>
  <c r="A199" i="18"/>
  <c r="C199" i="18"/>
  <c r="E199" i="18"/>
  <c r="A933" i="18"/>
  <c r="C933" i="18"/>
  <c r="E933" i="18"/>
  <c r="G933" i="18"/>
  <c r="A198" i="18"/>
  <c r="C198" i="18"/>
  <c r="E198" i="18"/>
  <c r="A932" i="18"/>
  <c r="C932" i="18"/>
  <c r="E932" i="18"/>
  <c r="G932" i="18"/>
  <c r="A197" i="18"/>
  <c r="C197" i="18"/>
  <c r="E197" i="18"/>
  <c r="A931" i="18"/>
  <c r="C931" i="18"/>
  <c r="E931" i="18"/>
  <c r="G931" i="18"/>
  <c r="A196" i="18"/>
  <c r="C196" i="18"/>
  <c r="E196" i="18"/>
  <c r="A930" i="18"/>
  <c r="C930" i="18"/>
  <c r="E930" i="18"/>
  <c r="G930" i="18"/>
  <c r="A195" i="18"/>
  <c r="C195" i="18"/>
  <c r="E195" i="18"/>
  <c r="A929" i="18"/>
  <c r="C929" i="18"/>
  <c r="E929" i="18"/>
  <c r="G929" i="18"/>
  <c r="A194" i="18"/>
  <c r="C194" i="18"/>
  <c r="E194" i="18"/>
  <c r="A926" i="18"/>
  <c r="C926" i="18"/>
  <c r="E926" i="18"/>
  <c r="G926" i="18"/>
  <c r="A191" i="18"/>
  <c r="C191" i="18"/>
  <c r="E191" i="18"/>
  <c r="A925" i="18"/>
  <c r="C925" i="18"/>
  <c r="E925" i="18"/>
  <c r="G925" i="18"/>
  <c r="A190" i="18"/>
  <c r="C190" i="18"/>
  <c r="E190" i="18"/>
  <c r="A924" i="18"/>
  <c r="C924" i="18"/>
  <c r="E924" i="18"/>
  <c r="G924" i="18"/>
  <c r="A189" i="18"/>
  <c r="C189" i="18"/>
  <c r="E189" i="18"/>
  <c r="A923" i="18"/>
  <c r="C923" i="18"/>
  <c r="E923" i="18"/>
  <c r="G923" i="18"/>
  <c r="A188" i="18"/>
  <c r="C188" i="18"/>
  <c r="E188" i="18"/>
  <c r="A922" i="18"/>
  <c r="C922" i="18"/>
  <c r="E922" i="18"/>
  <c r="G922" i="18"/>
  <c r="A187" i="18"/>
  <c r="C187" i="18"/>
  <c r="E187" i="18"/>
  <c r="A921" i="18"/>
  <c r="C921" i="18"/>
  <c r="E921" i="18"/>
  <c r="G921" i="18"/>
  <c r="A186" i="18"/>
  <c r="C186" i="18"/>
  <c r="E186" i="18"/>
  <c r="A920" i="18"/>
  <c r="C920" i="18"/>
  <c r="E920" i="18"/>
  <c r="G920" i="18"/>
  <c r="A185" i="18"/>
  <c r="C185" i="18"/>
  <c r="E185" i="18"/>
  <c r="A919" i="18"/>
  <c r="C919" i="18"/>
  <c r="E919" i="18"/>
  <c r="G919" i="18"/>
  <c r="A184" i="18"/>
  <c r="C184" i="18"/>
  <c r="E184" i="18"/>
  <c r="A918" i="18"/>
  <c r="C918" i="18"/>
  <c r="E918" i="18"/>
  <c r="G918" i="18"/>
  <c r="A183" i="18"/>
  <c r="C183" i="18"/>
  <c r="E183" i="18"/>
  <c r="A917" i="18"/>
  <c r="C917" i="18"/>
  <c r="E917" i="18"/>
  <c r="G917" i="18"/>
  <c r="A182" i="18"/>
  <c r="C182" i="18"/>
  <c r="E182" i="18"/>
  <c r="A916" i="18"/>
  <c r="C916" i="18"/>
  <c r="E916" i="18"/>
  <c r="G916" i="18"/>
  <c r="A181" i="18"/>
  <c r="C181" i="18"/>
  <c r="E181" i="18"/>
  <c r="A915" i="18"/>
  <c r="C915" i="18"/>
  <c r="E915" i="18"/>
  <c r="G915" i="18"/>
  <c r="A180" i="18"/>
  <c r="C180" i="18"/>
  <c r="E180" i="18"/>
  <c r="A914" i="18"/>
  <c r="C914" i="18"/>
  <c r="E914" i="18"/>
  <c r="G914" i="18"/>
  <c r="A179" i="18"/>
  <c r="C179" i="18"/>
  <c r="E179" i="18"/>
  <c r="A913" i="18"/>
  <c r="C913" i="18"/>
  <c r="E913" i="18"/>
  <c r="G913" i="18"/>
  <c r="A178" i="18"/>
  <c r="C178" i="18"/>
  <c r="E178" i="18"/>
  <c r="A912" i="18"/>
  <c r="C912" i="18"/>
  <c r="E912" i="18"/>
  <c r="G912" i="18"/>
  <c r="A177" i="18"/>
  <c r="C177" i="18"/>
  <c r="E177" i="18"/>
  <c r="A911" i="18"/>
  <c r="C911" i="18"/>
  <c r="E911" i="18"/>
  <c r="G911" i="18"/>
  <c r="A176" i="18"/>
  <c r="C176" i="18"/>
  <c r="E176" i="18"/>
  <c r="A910" i="18"/>
  <c r="C910" i="18"/>
  <c r="E910" i="18"/>
  <c r="G910" i="18"/>
  <c r="A175" i="18"/>
  <c r="C175" i="18"/>
  <c r="E175" i="18"/>
  <c r="A909" i="18"/>
  <c r="C909" i="18"/>
  <c r="E909" i="18"/>
  <c r="G909" i="18"/>
  <c r="A174" i="18"/>
  <c r="C174" i="18"/>
  <c r="E174" i="18"/>
  <c r="A908" i="18"/>
  <c r="C908" i="18"/>
  <c r="E908" i="18"/>
  <c r="G908" i="18"/>
  <c r="A173" i="18"/>
  <c r="C173" i="18"/>
  <c r="E173" i="18"/>
  <c r="A907" i="18"/>
  <c r="C907" i="18"/>
  <c r="E907" i="18"/>
  <c r="G907" i="18"/>
  <c r="A172" i="18"/>
  <c r="C172" i="18"/>
  <c r="E172" i="18"/>
  <c r="A906" i="18"/>
  <c r="C906" i="18"/>
  <c r="E906" i="18"/>
  <c r="G906" i="18"/>
  <c r="A171" i="18"/>
  <c r="C171" i="18"/>
  <c r="E171" i="18"/>
  <c r="A905" i="18"/>
  <c r="C905" i="18"/>
  <c r="E905" i="18"/>
  <c r="G905" i="18"/>
  <c r="A170" i="18"/>
  <c r="C170" i="18"/>
  <c r="E170" i="18"/>
  <c r="A904" i="18"/>
  <c r="C904" i="18"/>
  <c r="E904" i="18"/>
  <c r="G904" i="18"/>
  <c r="A169" i="18"/>
  <c r="C169" i="18"/>
  <c r="E169" i="18"/>
  <c r="A903" i="18"/>
  <c r="C903" i="18"/>
  <c r="E903" i="18"/>
  <c r="G903" i="18"/>
  <c r="A168" i="18"/>
  <c r="C168" i="18"/>
  <c r="E168" i="18"/>
  <c r="A902" i="18"/>
  <c r="C902" i="18"/>
  <c r="E902" i="18"/>
  <c r="G902" i="18"/>
  <c r="A167" i="18"/>
  <c r="C167" i="18"/>
  <c r="E167" i="18"/>
  <c r="A901" i="18"/>
  <c r="C901" i="18"/>
  <c r="E901" i="18"/>
  <c r="G901" i="18"/>
  <c r="A166" i="18"/>
  <c r="C166" i="18"/>
  <c r="E166" i="18"/>
  <c r="A900" i="18"/>
  <c r="C900" i="18"/>
  <c r="E900" i="18"/>
  <c r="G900" i="18"/>
  <c r="A165" i="18"/>
  <c r="C165" i="18"/>
  <c r="E165" i="18"/>
  <c r="A899" i="18"/>
  <c r="C899" i="18"/>
  <c r="E899" i="18"/>
  <c r="G899" i="18"/>
  <c r="A164" i="18"/>
  <c r="C164" i="18"/>
  <c r="E164" i="18"/>
  <c r="A898" i="18"/>
  <c r="C898" i="18"/>
  <c r="E898" i="18"/>
  <c r="G898" i="18"/>
  <c r="A163" i="18"/>
  <c r="C163" i="18"/>
  <c r="E163" i="18"/>
  <c r="A897" i="18"/>
  <c r="C897" i="18"/>
  <c r="E897" i="18"/>
  <c r="G897" i="18"/>
  <c r="A162" i="18"/>
  <c r="C162" i="18"/>
  <c r="E162" i="18"/>
  <c r="A896" i="18"/>
  <c r="C896" i="18"/>
  <c r="E896" i="18"/>
  <c r="G896" i="18"/>
  <c r="A161" i="18"/>
  <c r="C161" i="18"/>
  <c r="E161" i="18"/>
  <c r="A895" i="18"/>
  <c r="C895" i="18"/>
  <c r="E895" i="18"/>
  <c r="G895" i="18"/>
  <c r="A160" i="18"/>
  <c r="C160" i="18"/>
  <c r="E160" i="18"/>
  <c r="A894" i="18"/>
  <c r="C894" i="18"/>
  <c r="E894" i="18"/>
  <c r="G894" i="18"/>
  <c r="A159" i="18"/>
  <c r="C159" i="18"/>
  <c r="E159" i="18"/>
  <c r="A893" i="18"/>
  <c r="C893" i="18"/>
  <c r="E893" i="18"/>
  <c r="G893" i="18"/>
  <c r="A158" i="18"/>
  <c r="C158" i="18"/>
  <c r="E158" i="18"/>
  <c r="A892" i="18"/>
  <c r="C892" i="18"/>
  <c r="E892" i="18"/>
  <c r="G892" i="18"/>
  <c r="A157" i="18"/>
  <c r="C157" i="18"/>
  <c r="E157" i="18"/>
  <c r="A891" i="18"/>
  <c r="C891" i="18"/>
  <c r="E891" i="18"/>
  <c r="G891" i="18"/>
  <c r="A156" i="18"/>
  <c r="C156" i="18"/>
  <c r="E156" i="18"/>
  <c r="A890" i="18"/>
  <c r="C890" i="18"/>
  <c r="E890" i="18"/>
  <c r="G890" i="18"/>
  <c r="A155" i="18"/>
  <c r="C155" i="18"/>
  <c r="E155" i="18"/>
  <c r="A889" i="18"/>
  <c r="C889" i="18"/>
  <c r="E889" i="18"/>
  <c r="G889" i="18"/>
  <c r="A154" i="18"/>
  <c r="C154" i="18"/>
  <c r="E154" i="18"/>
  <c r="A888" i="18"/>
  <c r="C888" i="18"/>
  <c r="E888" i="18"/>
  <c r="G888" i="18"/>
  <c r="A153" i="18"/>
  <c r="C153" i="18"/>
  <c r="E153" i="18"/>
  <c r="A887" i="18"/>
  <c r="C887" i="18"/>
  <c r="E887" i="18"/>
  <c r="G887" i="18"/>
  <c r="A152" i="18"/>
  <c r="C152" i="18"/>
  <c r="E152" i="18"/>
  <c r="A886" i="18"/>
  <c r="C886" i="18"/>
  <c r="E886" i="18"/>
  <c r="G886" i="18"/>
  <c r="A151" i="18"/>
  <c r="C151" i="18"/>
  <c r="E151" i="18"/>
  <c r="A885" i="18"/>
  <c r="C885" i="18"/>
  <c r="E885" i="18"/>
  <c r="G885" i="18"/>
  <c r="A150" i="18"/>
  <c r="C150" i="18"/>
  <c r="E150" i="18"/>
  <c r="A884" i="18"/>
  <c r="C884" i="18"/>
  <c r="E884" i="18"/>
  <c r="G884" i="18"/>
  <c r="A149" i="18"/>
  <c r="C149" i="18"/>
  <c r="E149" i="18"/>
  <c r="A883" i="18"/>
  <c r="C883" i="18"/>
  <c r="E883" i="18"/>
  <c r="G883" i="18"/>
  <c r="A148" i="18"/>
  <c r="C148" i="18"/>
  <c r="E148" i="18"/>
  <c r="A882" i="18"/>
  <c r="C882" i="18"/>
  <c r="E882" i="18"/>
  <c r="G882" i="18"/>
  <c r="A147" i="18"/>
  <c r="C147" i="18"/>
  <c r="E147" i="18"/>
  <c r="A881" i="18"/>
  <c r="C881" i="18"/>
  <c r="E881" i="18"/>
  <c r="G881" i="18"/>
  <c r="A146" i="18"/>
  <c r="C146" i="18"/>
  <c r="E146" i="18"/>
  <c r="A880" i="18"/>
  <c r="C880" i="18"/>
  <c r="E880" i="18"/>
  <c r="G880" i="18"/>
  <c r="A145" i="18"/>
  <c r="C145" i="18"/>
  <c r="E145" i="18"/>
  <c r="A879" i="18"/>
  <c r="C879" i="18"/>
  <c r="E879" i="18"/>
  <c r="G879" i="18"/>
  <c r="A144" i="18"/>
  <c r="C144" i="18"/>
  <c r="E144" i="18"/>
  <c r="A878" i="18"/>
  <c r="C878" i="18"/>
  <c r="E878" i="18"/>
  <c r="G878" i="18"/>
  <c r="A143" i="18"/>
  <c r="C143" i="18"/>
  <c r="E143" i="18"/>
  <c r="A877" i="18"/>
  <c r="C877" i="18"/>
  <c r="E877" i="18"/>
  <c r="G877" i="18"/>
  <c r="A142" i="18"/>
  <c r="C142" i="18"/>
  <c r="E142" i="18"/>
  <c r="A876" i="18"/>
  <c r="C876" i="18"/>
  <c r="E876" i="18"/>
  <c r="G876" i="18"/>
  <c r="A141" i="18"/>
  <c r="C141" i="18"/>
  <c r="E141" i="18"/>
  <c r="A875" i="18"/>
  <c r="C875" i="18"/>
  <c r="E875" i="18"/>
  <c r="G875" i="18"/>
  <c r="A140" i="18"/>
  <c r="C140" i="18"/>
  <c r="E140" i="18"/>
  <c r="A874" i="18"/>
  <c r="C874" i="18"/>
  <c r="E874" i="18"/>
  <c r="G874" i="18"/>
  <c r="A139" i="18"/>
  <c r="C139" i="18"/>
  <c r="E139" i="18"/>
  <c r="A873" i="18"/>
  <c r="C873" i="18"/>
  <c r="E873" i="18"/>
  <c r="G873" i="18"/>
  <c r="A138" i="18"/>
  <c r="C138" i="18"/>
  <c r="E138" i="18"/>
  <c r="A872" i="18"/>
  <c r="C872" i="18"/>
  <c r="E872" i="18"/>
  <c r="G872" i="18"/>
  <c r="A137" i="18"/>
  <c r="C137" i="18"/>
  <c r="E137" i="18"/>
  <c r="A871" i="18"/>
  <c r="C871" i="18"/>
  <c r="E871" i="18"/>
  <c r="G871" i="18"/>
  <c r="A136" i="18"/>
  <c r="C136" i="18"/>
  <c r="E136" i="18"/>
  <c r="A870" i="18"/>
  <c r="C870" i="18"/>
  <c r="E870" i="18"/>
  <c r="G870" i="18"/>
  <c r="A135" i="18"/>
  <c r="C135" i="18"/>
  <c r="E135" i="18"/>
  <c r="A869" i="18"/>
  <c r="C869" i="18"/>
  <c r="E869" i="18"/>
  <c r="G869" i="18"/>
  <c r="A134" i="18"/>
  <c r="C134" i="18"/>
  <c r="E134" i="18"/>
  <c r="A868" i="18"/>
  <c r="C868" i="18"/>
  <c r="E868" i="18"/>
  <c r="G868" i="18"/>
  <c r="A133" i="18"/>
  <c r="C133" i="18"/>
  <c r="E133" i="18"/>
  <c r="A867" i="18"/>
  <c r="C867" i="18"/>
  <c r="E867" i="18"/>
  <c r="G867" i="18"/>
  <c r="A132" i="18"/>
  <c r="C132" i="18"/>
  <c r="E132" i="18"/>
  <c r="A866" i="18"/>
  <c r="C866" i="18"/>
  <c r="E866" i="18"/>
  <c r="G866" i="18"/>
  <c r="A131" i="18"/>
  <c r="C131" i="18"/>
  <c r="E131" i="18"/>
  <c r="A865" i="18"/>
  <c r="C865" i="18"/>
  <c r="E865" i="18"/>
  <c r="G865" i="18"/>
  <c r="A130" i="18"/>
  <c r="C130" i="18"/>
  <c r="E130" i="18"/>
  <c r="A864" i="18"/>
  <c r="C864" i="18"/>
  <c r="E864" i="18"/>
  <c r="G864" i="18"/>
  <c r="A129" i="18"/>
  <c r="C129" i="18"/>
  <c r="E129" i="18"/>
  <c r="A863" i="18"/>
  <c r="C863" i="18"/>
  <c r="E863" i="18"/>
  <c r="G863" i="18"/>
  <c r="A128" i="18"/>
  <c r="C128" i="18"/>
  <c r="E128" i="18"/>
  <c r="A862" i="18"/>
  <c r="C862" i="18"/>
  <c r="E862" i="18"/>
  <c r="G862" i="18"/>
  <c r="A127" i="18"/>
  <c r="C127" i="18"/>
  <c r="E127" i="18"/>
  <c r="A861" i="18"/>
  <c r="C861" i="18"/>
  <c r="E861" i="18"/>
  <c r="G861" i="18"/>
  <c r="A126" i="18"/>
  <c r="C126" i="18"/>
  <c r="E126" i="18"/>
  <c r="A860" i="18"/>
  <c r="C860" i="18"/>
  <c r="E860" i="18"/>
  <c r="G860" i="18"/>
  <c r="A125" i="18"/>
  <c r="C125" i="18"/>
  <c r="E125" i="18"/>
  <c r="A859" i="18"/>
  <c r="C859" i="18"/>
  <c r="E859" i="18"/>
  <c r="G859" i="18"/>
  <c r="A124" i="18"/>
  <c r="C124" i="18"/>
  <c r="E124" i="18"/>
  <c r="A858" i="18"/>
  <c r="C858" i="18"/>
  <c r="E858" i="18"/>
  <c r="G858" i="18"/>
  <c r="A123" i="18"/>
  <c r="C123" i="18"/>
  <c r="E123" i="18"/>
  <c r="A857" i="18"/>
  <c r="C857" i="18"/>
  <c r="E857" i="18"/>
  <c r="G857" i="18"/>
  <c r="A122" i="18"/>
  <c r="C122" i="18"/>
  <c r="E122" i="18"/>
  <c r="A856" i="18"/>
  <c r="C856" i="18"/>
  <c r="E856" i="18"/>
  <c r="G856" i="18"/>
  <c r="A121" i="18"/>
  <c r="C121" i="18"/>
  <c r="E121" i="18"/>
  <c r="A855" i="18"/>
  <c r="C855" i="18"/>
  <c r="E855" i="18"/>
  <c r="G855" i="18"/>
  <c r="A120" i="18"/>
  <c r="C120" i="18"/>
  <c r="E120" i="18"/>
  <c r="A854" i="18"/>
  <c r="C854" i="18"/>
  <c r="E854" i="18"/>
  <c r="G854" i="18"/>
  <c r="A119" i="18"/>
  <c r="C119" i="18"/>
  <c r="E119" i="18"/>
  <c r="A853" i="18"/>
  <c r="C853" i="18"/>
  <c r="E853" i="18"/>
  <c r="G853" i="18"/>
  <c r="A118" i="18"/>
  <c r="C118" i="18"/>
  <c r="E118" i="18"/>
  <c r="A852" i="18"/>
  <c r="C852" i="18"/>
  <c r="E852" i="18"/>
  <c r="G852" i="18"/>
  <c r="A117" i="18"/>
  <c r="C117" i="18"/>
  <c r="E117" i="18"/>
  <c r="A851" i="18"/>
  <c r="C851" i="18"/>
  <c r="E851" i="18"/>
  <c r="G851" i="18"/>
  <c r="A116" i="18"/>
  <c r="C116" i="18"/>
  <c r="E116" i="18"/>
  <c r="A850" i="18"/>
  <c r="C850" i="18"/>
  <c r="E850" i="18"/>
  <c r="G850" i="18"/>
  <c r="A115" i="18"/>
  <c r="C115" i="18"/>
  <c r="E115" i="18"/>
  <c r="A849" i="18"/>
  <c r="C849" i="18"/>
  <c r="E849" i="18"/>
  <c r="G849" i="18"/>
  <c r="A114" i="18"/>
  <c r="C114" i="18"/>
  <c r="E114" i="18"/>
  <c r="A848" i="18"/>
  <c r="C848" i="18"/>
  <c r="E848" i="18"/>
  <c r="G848" i="18"/>
  <c r="A113" i="18"/>
  <c r="C113" i="18"/>
  <c r="E113" i="18"/>
  <c r="A847" i="18"/>
  <c r="C847" i="18"/>
  <c r="E847" i="18"/>
  <c r="G847" i="18"/>
  <c r="A112" i="18"/>
  <c r="C112" i="18"/>
  <c r="E112" i="18"/>
  <c r="A846" i="18"/>
  <c r="C846" i="18"/>
  <c r="E846" i="18"/>
  <c r="G846" i="18"/>
  <c r="A111" i="18"/>
  <c r="C111" i="18"/>
  <c r="E111" i="18"/>
  <c r="A845" i="18"/>
  <c r="C845" i="18"/>
  <c r="E845" i="18"/>
  <c r="G845" i="18"/>
  <c r="A110" i="18"/>
  <c r="C110" i="18"/>
  <c r="E110" i="18"/>
  <c r="A844" i="18"/>
  <c r="C844" i="18"/>
  <c r="E844" i="18"/>
  <c r="G844" i="18"/>
  <c r="A109" i="18"/>
  <c r="C109" i="18"/>
  <c r="E109" i="18"/>
  <c r="A843" i="18"/>
  <c r="C843" i="18"/>
  <c r="E843" i="18"/>
  <c r="G843" i="18"/>
  <c r="A108" i="18"/>
  <c r="C108" i="18"/>
  <c r="E108" i="18"/>
  <c r="A842" i="18"/>
  <c r="C842" i="18"/>
  <c r="E842" i="18"/>
  <c r="G842" i="18"/>
  <c r="A107" i="18"/>
  <c r="C107" i="18"/>
  <c r="E107" i="18"/>
  <c r="A841" i="18"/>
  <c r="C841" i="18"/>
  <c r="E841" i="18"/>
  <c r="G841" i="18"/>
  <c r="A106" i="18"/>
  <c r="C106" i="18"/>
  <c r="E106" i="18"/>
  <c r="A840" i="18"/>
  <c r="C840" i="18"/>
  <c r="E840" i="18"/>
  <c r="G840" i="18"/>
  <c r="A105" i="18"/>
  <c r="C105" i="18"/>
  <c r="E105" i="18"/>
  <c r="A839" i="18"/>
  <c r="C839" i="18"/>
  <c r="E839" i="18"/>
  <c r="G839" i="18"/>
  <c r="A104" i="18"/>
  <c r="C104" i="18"/>
  <c r="E104" i="18"/>
  <c r="A838" i="18"/>
  <c r="C838" i="18"/>
  <c r="E838" i="18"/>
  <c r="G838" i="18"/>
  <c r="A103" i="18"/>
  <c r="C103" i="18"/>
  <c r="E103" i="18"/>
  <c r="A837" i="18"/>
  <c r="C837" i="18"/>
  <c r="E837" i="18"/>
  <c r="G837" i="18"/>
  <c r="A102" i="18"/>
  <c r="C102" i="18"/>
  <c r="E102" i="18"/>
  <c r="A836" i="18"/>
  <c r="C836" i="18"/>
  <c r="E836" i="18"/>
  <c r="G836" i="18"/>
  <c r="A101" i="18"/>
  <c r="C101" i="18"/>
  <c r="E101" i="18"/>
  <c r="A835" i="18"/>
  <c r="C835" i="18"/>
  <c r="E835" i="18"/>
  <c r="G835" i="18"/>
  <c r="A100" i="18"/>
  <c r="C100" i="18"/>
  <c r="E100" i="18"/>
  <c r="A834" i="18"/>
  <c r="C834" i="18"/>
  <c r="E834" i="18"/>
  <c r="G834" i="18"/>
  <c r="A99" i="18"/>
  <c r="C99" i="18"/>
  <c r="E99" i="18"/>
  <c r="A833" i="18"/>
  <c r="C833" i="18"/>
  <c r="E833" i="18"/>
  <c r="G833" i="18"/>
  <c r="A98" i="18"/>
  <c r="C98" i="18"/>
  <c r="E98" i="18"/>
  <c r="W182" i="10"/>
  <c r="C182" i="5"/>
  <c r="Z182" i="5"/>
  <c r="AA182" i="5"/>
  <c r="D182" i="6"/>
  <c r="D182" i="5"/>
  <c r="I181" i="5"/>
  <c r="J181" i="5" s="1"/>
  <c r="AE181" i="5"/>
  <c r="AF181" i="5" s="1"/>
  <c r="J180" i="10"/>
  <c r="G180" i="17" s="1"/>
  <c r="F181" i="18" s="1"/>
  <c r="M180" i="10"/>
  <c r="C180" i="6"/>
  <c r="H178" i="10"/>
  <c r="E178" i="17" s="1"/>
  <c r="B179" i="18" s="1"/>
  <c r="I178" i="10"/>
  <c r="F178" i="17" s="1"/>
  <c r="D179" i="18" s="1"/>
  <c r="L178" i="10"/>
  <c r="B178" i="6"/>
  <c r="AK178" i="5"/>
  <c r="Z178" i="5"/>
  <c r="W178" i="10"/>
  <c r="D178" i="5"/>
  <c r="D178" i="6"/>
  <c r="C178" i="5"/>
  <c r="K178" i="5" s="1"/>
  <c r="L178" i="5" s="1"/>
  <c r="AA178" i="5"/>
  <c r="AK177" i="5"/>
  <c r="H177" i="10"/>
  <c r="E177" i="17" s="1"/>
  <c r="B178" i="18" s="1"/>
  <c r="I177" i="10"/>
  <c r="F177" i="17" s="1"/>
  <c r="D178" i="18" s="1"/>
  <c r="L177" i="10"/>
  <c r="B177" i="6"/>
  <c r="Z176" i="5"/>
  <c r="W176" i="10"/>
  <c r="C176" i="5"/>
  <c r="D176" i="6"/>
  <c r="D176" i="5"/>
  <c r="AA176" i="5"/>
  <c r="J175" i="10"/>
  <c r="G175" i="17" s="1"/>
  <c r="F176" i="18" s="1"/>
  <c r="M175" i="10"/>
  <c r="C175" i="6"/>
  <c r="J172" i="10"/>
  <c r="G172" i="17" s="1"/>
  <c r="F173" i="18" s="1"/>
  <c r="M172" i="10"/>
  <c r="C172" i="6"/>
  <c r="C171" i="5"/>
  <c r="AA171" i="5"/>
  <c r="W171" i="10"/>
  <c r="D171" i="6"/>
  <c r="D171" i="5"/>
  <c r="Z171" i="5"/>
  <c r="AG171" i="5" s="1"/>
  <c r="AH171" i="5" s="1"/>
  <c r="J170" i="10"/>
  <c r="G170" i="17" s="1"/>
  <c r="F171" i="18" s="1"/>
  <c r="M170" i="10"/>
  <c r="C170" i="6"/>
  <c r="J169" i="10"/>
  <c r="G169" i="17" s="1"/>
  <c r="F170" i="18" s="1"/>
  <c r="M169" i="10"/>
  <c r="C169" i="6"/>
  <c r="J168" i="10"/>
  <c r="G168" i="17" s="1"/>
  <c r="F169" i="18" s="1"/>
  <c r="M168" i="10"/>
  <c r="C168" i="6"/>
  <c r="I168" i="5"/>
  <c r="J168" i="5" s="1"/>
  <c r="AE168" i="5"/>
  <c r="AF168" i="5" s="1"/>
  <c r="AK167" i="5"/>
  <c r="H167" i="10"/>
  <c r="E167" i="17" s="1"/>
  <c r="B168" i="18" s="1"/>
  <c r="I167" i="10"/>
  <c r="F167" i="17" s="1"/>
  <c r="D168" i="18" s="1"/>
  <c r="L167" i="10"/>
  <c r="B167" i="6"/>
  <c r="I167" i="5"/>
  <c r="J167" i="5" s="1"/>
  <c r="AE167" i="5"/>
  <c r="AF167" i="5" s="1"/>
  <c r="C166" i="5"/>
  <c r="AA166" i="5"/>
  <c r="W166" i="10"/>
  <c r="Z166" i="5"/>
  <c r="AG166" i="5" s="1"/>
  <c r="AH166" i="5" s="1"/>
  <c r="D166" i="6"/>
  <c r="D166" i="5"/>
  <c r="C165" i="5"/>
  <c r="AA165" i="5"/>
  <c r="W165" i="10"/>
  <c r="D165" i="5"/>
  <c r="Z165" i="5"/>
  <c r="AG165" i="5" s="1"/>
  <c r="AH165" i="5" s="1"/>
  <c r="D165" i="6"/>
  <c r="AK163" i="5"/>
  <c r="H163" i="10"/>
  <c r="E163" i="17" s="1"/>
  <c r="B164" i="18" s="1"/>
  <c r="I163" i="10"/>
  <c r="F163" i="17" s="1"/>
  <c r="D164" i="18" s="1"/>
  <c r="L163" i="10"/>
  <c r="B163" i="6"/>
  <c r="AK162" i="5"/>
  <c r="H162" i="10"/>
  <c r="E162" i="17" s="1"/>
  <c r="B163" i="18" s="1"/>
  <c r="I162" i="10"/>
  <c r="F162" i="17" s="1"/>
  <c r="D163" i="18" s="1"/>
  <c r="L162" i="10"/>
  <c r="B162" i="6"/>
  <c r="H161" i="10"/>
  <c r="E161" i="17" s="1"/>
  <c r="B162" i="18" s="1"/>
  <c r="I161" i="10"/>
  <c r="F161" i="17" s="1"/>
  <c r="D162" i="18" s="1"/>
  <c r="L161" i="10"/>
  <c r="B161" i="6"/>
  <c r="AK161" i="5"/>
  <c r="C161" i="5"/>
  <c r="W161" i="10"/>
  <c r="D161" i="5"/>
  <c r="Z161" i="5"/>
  <c r="D161" i="6"/>
  <c r="AA161" i="5"/>
  <c r="AK160" i="5"/>
  <c r="H160" i="10"/>
  <c r="E160" i="17" s="1"/>
  <c r="B161" i="18" s="1"/>
  <c r="I160" i="10"/>
  <c r="F160" i="17" s="1"/>
  <c r="D161" i="18" s="1"/>
  <c r="L160" i="10"/>
  <c r="B160" i="6"/>
  <c r="Z160" i="5"/>
  <c r="W160" i="10"/>
  <c r="C160" i="5"/>
  <c r="AA160" i="5"/>
  <c r="D160" i="6"/>
  <c r="D160" i="5"/>
  <c r="H159" i="10"/>
  <c r="E159" i="17" s="1"/>
  <c r="B160" i="18" s="1"/>
  <c r="I159" i="10"/>
  <c r="F159" i="17" s="1"/>
  <c r="D160" i="18" s="1"/>
  <c r="L159" i="10"/>
  <c r="B159" i="6"/>
  <c r="AK159" i="5"/>
  <c r="J158" i="10"/>
  <c r="G158" i="17" s="1"/>
  <c r="F159" i="18" s="1"/>
  <c r="M158" i="10"/>
  <c r="C158" i="6"/>
  <c r="AE158" i="5"/>
  <c r="AF158" i="5" s="1"/>
  <c r="I158" i="5"/>
  <c r="J158" i="5" s="1"/>
  <c r="H157" i="10"/>
  <c r="E157" i="17" s="1"/>
  <c r="B158" i="18" s="1"/>
  <c r="I157" i="10"/>
  <c r="F157" i="17" s="1"/>
  <c r="D158" i="18" s="1"/>
  <c r="L157" i="10"/>
  <c r="AK157" i="5"/>
  <c r="B157" i="6"/>
  <c r="J156" i="10"/>
  <c r="G156" i="17" s="1"/>
  <c r="F157" i="18" s="1"/>
  <c r="M156" i="10"/>
  <c r="C156" i="6"/>
  <c r="H155" i="10"/>
  <c r="E155" i="17" s="1"/>
  <c r="B156" i="18" s="1"/>
  <c r="I155" i="10"/>
  <c r="F155" i="17" s="1"/>
  <c r="D156" i="18" s="1"/>
  <c r="L155" i="10"/>
  <c r="AK155" i="5"/>
  <c r="B155" i="6"/>
  <c r="Z155" i="5"/>
  <c r="W155" i="10"/>
  <c r="C155" i="5"/>
  <c r="D155" i="6"/>
  <c r="D155" i="5"/>
  <c r="AA155" i="5"/>
  <c r="AK154" i="5"/>
  <c r="H154" i="10"/>
  <c r="E154" i="17" s="1"/>
  <c r="B155" i="18" s="1"/>
  <c r="I154" i="10"/>
  <c r="F154" i="17" s="1"/>
  <c r="D155" i="18" s="1"/>
  <c r="L154" i="10"/>
  <c r="B154" i="6"/>
  <c r="J151" i="10"/>
  <c r="G151" i="17" s="1"/>
  <c r="F152" i="18" s="1"/>
  <c r="M151" i="10"/>
  <c r="C151" i="6"/>
  <c r="I151" i="5"/>
  <c r="J151" i="5" s="1"/>
  <c r="AE151" i="5"/>
  <c r="AF151" i="5" s="1"/>
  <c r="AA151" i="5"/>
  <c r="W151" i="10"/>
  <c r="D151" i="5"/>
  <c r="D151" i="6"/>
  <c r="C151" i="5"/>
  <c r="K151" i="5" s="1"/>
  <c r="L151" i="5" s="1"/>
  <c r="Z151" i="5"/>
  <c r="AG151" i="5" s="1"/>
  <c r="AH151" i="5" s="1"/>
  <c r="AK150" i="5"/>
  <c r="H150" i="10"/>
  <c r="E150" i="17" s="1"/>
  <c r="B151" i="18" s="1"/>
  <c r="I150" i="10"/>
  <c r="F150" i="17" s="1"/>
  <c r="D151" i="18" s="1"/>
  <c r="L150" i="10"/>
  <c r="B150" i="6"/>
  <c r="H149" i="10"/>
  <c r="E149" i="17" s="1"/>
  <c r="B150" i="18" s="1"/>
  <c r="I149" i="10"/>
  <c r="F149" i="17" s="1"/>
  <c r="D150" i="18" s="1"/>
  <c r="L149" i="10"/>
  <c r="AK149" i="5"/>
  <c r="B149" i="6"/>
  <c r="J147" i="10"/>
  <c r="G147" i="17" s="1"/>
  <c r="F148" i="18" s="1"/>
  <c r="M147" i="10"/>
  <c r="C147" i="6"/>
  <c r="Z147" i="5"/>
  <c r="W147" i="10"/>
  <c r="D147" i="5"/>
  <c r="D147" i="6"/>
  <c r="C147" i="5"/>
  <c r="K147" i="5" s="1"/>
  <c r="L147" i="5" s="1"/>
  <c r="AA147" i="5"/>
  <c r="AK145" i="5"/>
  <c r="H145" i="10"/>
  <c r="E145" i="17" s="1"/>
  <c r="B146" i="18" s="1"/>
  <c r="I145" i="10"/>
  <c r="F145" i="17" s="1"/>
  <c r="D146" i="18" s="1"/>
  <c r="L145" i="10"/>
  <c r="B145" i="6"/>
  <c r="W143" i="10"/>
  <c r="AA143" i="5"/>
  <c r="Z143" i="5"/>
  <c r="AG143" i="5" s="1"/>
  <c r="AH143" i="5" s="1"/>
  <c r="D143" i="5"/>
  <c r="C143" i="5"/>
  <c r="K143" i="5" s="1"/>
  <c r="L143" i="5" s="1"/>
  <c r="D143" i="6"/>
  <c r="H138" i="10"/>
  <c r="E138" i="17" s="1"/>
  <c r="B139" i="18" s="1"/>
  <c r="I138" i="10"/>
  <c r="F138" i="17" s="1"/>
  <c r="D139" i="18" s="1"/>
  <c r="L138" i="10"/>
  <c r="AK138" i="5"/>
  <c r="B138" i="6"/>
  <c r="W131" i="10"/>
  <c r="Z131" i="5"/>
  <c r="C131" i="5"/>
  <c r="AA131" i="5"/>
  <c r="D131" i="5"/>
  <c r="D131" i="6"/>
  <c r="H127" i="10"/>
  <c r="E127" i="17" s="1"/>
  <c r="B128" i="18" s="1"/>
  <c r="I127" i="10"/>
  <c r="F127" i="17" s="1"/>
  <c r="D128" i="18" s="1"/>
  <c r="L127" i="10"/>
  <c r="AK127" i="5"/>
  <c r="B127" i="6"/>
  <c r="I127" i="5"/>
  <c r="J127" i="5" s="1"/>
  <c r="AE127" i="5"/>
  <c r="AF127" i="5" s="1"/>
  <c r="J124" i="10"/>
  <c r="G124" i="17" s="1"/>
  <c r="F125" i="18" s="1"/>
  <c r="M124" i="10"/>
  <c r="C124" i="6"/>
  <c r="AE118" i="5"/>
  <c r="AF118" i="5" s="1"/>
  <c r="I118" i="5"/>
  <c r="J118" i="5" s="1"/>
  <c r="W116" i="10"/>
  <c r="Z116" i="5"/>
  <c r="AA116" i="5"/>
  <c r="D116" i="5"/>
  <c r="D116" i="6"/>
  <c r="C116" i="5"/>
  <c r="K116" i="5" s="1"/>
  <c r="L116" i="5" s="1"/>
  <c r="J102" i="10"/>
  <c r="G102" i="17" s="1"/>
  <c r="F103" i="18" s="1"/>
  <c r="M102" i="10"/>
  <c r="C102" i="6"/>
  <c r="A772" i="18"/>
  <c r="C772" i="18"/>
  <c r="E772" i="18"/>
  <c r="G772" i="18"/>
  <c r="A37" i="18"/>
  <c r="C37" i="18"/>
  <c r="E37" i="18"/>
  <c r="A771" i="18"/>
  <c r="C771" i="18"/>
  <c r="E771" i="18"/>
  <c r="G771" i="18"/>
  <c r="A36" i="18"/>
  <c r="C36" i="18"/>
  <c r="E36" i="18"/>
  <c r="A770" i="18"/>
  <c r="C770" i="18"/>
  <c r="E770" i="18"/>
  <c r="G770" i="18"/>
  <c r="A35" i="18"/>
  <c r="C35" i="18"/>
  <c r="E35" i="18"/>
  <c r="A769" i="18"/>
  <c r="C769" i="18"/>
  <c r="E769" i="18"/>
  <c r="G769" i="18"/>
  <c r="A34" i="18"/>
  <c r="C34" i="18"/>
  <c r="E34" i="18"/>
  <c r="A768" i="18"/>
  <c r="C768" i="18"/>
  <c r="E768" i="18"/>
  <c r="G768" i="18"/>
  <c r="A33" i="18"/>
  <c r="C33" i="18"/>
  <c r="E33" i="18"/>
  <c r="A767" i="18"/>
  <c r="C767" i="18"/>
  <c r="E767" i="18"/>
  <c r="G767" i="18"/>
  <c r="A32" i="18"/>
  <c r="C32" i="18"/>
  <c r="E32" i="18"/>
  <c r="A766" i="18"/>
  <c r="C766" i="18"/>
  <c r="E766" i="18"/>
  <c r="G766" i="18"/>
  <c r="A31" i="18"/>
  <c r="C31" i="18"/>
  <c r="E31" i="18"/>
  <c r="A765" i="18"/>
  <c r="C765" i="18"/>
  <c r="E765" i="18"/>
  <c r="G765" i="18"/>
  <c r="A30" i="18"/>
  <c r="C30" i="18"/>
  <c r="E30" i="18"/>
  <c r="A764" i="18"/>
  <c r="C764" i="18"/>
  <c r="E764" i="18"/>
  <c r="G764" i="18"/>
  <c r="A29" i="18"/>
  <c r="C29" i="18"/>
  <c r="E29" i="18"/>
  <c r="A763" i="18"/>
  <c r="C763" i="18"/>
  <c r="E763" i="18"/>
  <c r="G763" i="18"/>
  <c r="A28" i="18"/>
  <c r="C28" i="18"/>
  <c r="E28" i="18"/>
  <c r="A762" i="18"/>
  <c r="C762" i="18"/>
  <c r="E762" i="18"/>
  <c r="G762" i="18"/>
  <c r="A27" i="18"/>
  <c r="C27" i="18"/>
  <c r="E27" i="18"/>
  <c r="A761" i="18"/>
  <c r="C761" i="18"/>
  <c r="E761" i="18"/>
  <c r="G761" i="18"/>
  <c r="A26" i="18"/>
  <c r="C26" i="18"/>
  <c r="E26" i="18"/>
  <c r="A760" i="18"/>
  <c r="C760" i="18"/>
  <c r="E760" i="18"/>
  <c r="G760" i="18"/>
  <c r="A25" i="18"/>
  <c r="C25" i="18"/>
  <c r="E25" i="18"/>
  <c r="A759" i="18"/>
  <c r="C759" i="18"/>
  <c r="E759" i="18"/>
  <c r="G759" i="18"/>
  <c r="A24" i="18"/>
  <c r="C24" i="18"/>
  <c r="E24" i="18"/>
  <c r="A758" i="18"/>
  <c r="C758" i="18"/>
  <c r="E758" i="18"/>
  <c r="G758" i="18"/>
  <c r="A23" i="18"/>
  <c r="C23" i="18"/>
  <c r="E23" i="18"/>
  <c r="A757" i="18"/>
  <c r="C757" i="18"/>
  <c r="E757" i="18"/>
  <c r="G757" i="18"/>
  <c r="A22" i="18"/>
  <c r="C22" i="18"/>
  <c r="E22" i="18"/>
  <c r="A756" i="18"/>
  <c r="C756" i="18"/>
  <c r="E756" i="18"/>
  <c r="G756" i="18"/>
  <c r="A21" i="18"/>
  <c r="C21" i="18"/>
  <c r="E21" i="18"/>
  <c r="A755" i="18"/>
  <c r="C755" i="18"/>
  <c r="E755" i="18"/>
  <c r="G755" i="18"/>
  <c r="A20" i="18"/>
  <c r="C20" i="18"/>
  <c r="E20" i="18"/>
  <c r="A754" i="18"/>
  <c r="C754" i="18"/>
  <c r="E754" i="18"/>
  <c r="G754" i="18"/>
  <c r="A19" i="18"/>
  <c r="C19" i="18"/>
  <c r="E19" i="18"/>
  <c r="A753" i="18"/>
  <c r="C753" i="18"/>
  <c r="E753" i="18"/>
  <c r="G753" i="18"/>
  <c r="A18" i="18"/>
  <c r="C18" i="18"/>
  <c r="E18" i="18"/>
  <c r="A752" i="18"/>
  <c r="C752" i="18"/>
  <c r="E752" i="18"/>
  <c r="G752" i="18"/>
  <c r="A17" i="18"/>
  <c r="C17" i="18"/>
  <c r="E17" i="18"/>
  <c r="A751" i="18"/>
  <c r="C751" i="18"/>
  <c r="E751" i="18"/>
  <c r="G751" i="18"/>
  <c r="A16" i="18"/>
  <c r="C16" i="18"/>
  <c r="E16" i="18"/>
  <c r="A750" i="18"/>
  <c r="C750" i="18"/>
  <c r="E750" i="18"/>
  <c r="G750" i="18"/>
  <c r="A15" i="18"/>
  <c r="C15" i="18"/>
  <c r="E15" i="18"/>
  <c r="A749" i="18"/>
  <c r="C749" i="18"/>
  <c r="E749" i="18"/>
  <c r="G749" i="18"/>
  <c r="A14" i="18"/>
  <c r="C14" i="18"/>
  <c r="E14" i="18"/>
  <c r="A748" i="18"/>
  <c r="C748" i="18"/>
  <c r="E748" i="18"/>
  <c r="G748" i="18"/>
  <c r="A13" i="18"/>
  <c r="C13" i="18"/>
  <c r="E13" i="18"/>
  <c r="A747" i="18"/>
  <c r="C747" i="18"/>
  <c r="E747" i="18"/>
  <c r="G747" i="18"/>
  <c r="A12" i="18"/>
  <c r="C12" i="18"/>
  <c r="E12" i="18"/>
  <c r="A746" i="18"/>
  <c r="C746" i="18"/>
  <c r="E746" i="18"/>
  <c r="G746" i="18"/>
  <c r="A11" i="18"/>
  <c r="C11" i="18"/>
  <c r="E11" i="18"/>
  <c r="A745" i="18"/>
  <c r="C745" i="18"/>
  <c r="E745" i="18"/>
  <c r="G745" i="18"/>
  <c r="A10" i="18"/>
  <c r="C10" i="18"/>
  <c r="E10" i="18"/>
  <c r="A744" i="18"/>
  <c r="C744" i="18"/>
  <c r="E744" i="18"/>
  <c r="G744" i="18"/>
  <c r="A9" i="18"/>
  <c r="C9" i="18"/>
  <c r="E9" i="18"/>
  <c r="A743" i="18"/>
  <c r="C743" i="18"/>
  <c r="E743" i="18"/>
  <c r="G743" i="18"/>
  <c r="A8" i="18"/>
  <c r="C8" i="18"/>
  <c r="E8" i="18"/>
  <c r="A742" i="18"/>
  <c r="C742" i="18"/>
  <c r="E742" i="18"/>
  <c r="G742" i="18"/>
  <c r="A7" i="18"/>
  <c r="C7" i="18"/>
  <c r="E7" i="18"/>
  <c r="A741" i="18"/>
  <c r="C741" i="18"/>
  <c r="E741" i="18"/>
  <c r="G741" i="18"/>
  <c r="A6" i="18"/>
  <c r="C6" i="18"/>
  <c r="E6" i="18"/>
  <c r="A740" i="18"/>
  <c r="C740" i="18"/>
  <c r="E740" i="18"/>
  <c r="G740" i="18"/>
  <c r="A5" i="18"/>
  <c r="C5" i="18"/>
  <c r="E5" i="18"/>
  <c r="A739" i="18"/>
  <c r="C739" i="18"/>
  <c r="E739" i="18"/>
  <c r="G739" i="18"/>
  <c r="A4" i="18"/>
  <c r="C4" i="18"/>
  <c r="E4" i="18"/>
  <c r="A738" i="18"/>
  <c r="C738" i="18"/>
  <c r="E738" i="18"/>
  <c r="G738" i="18"/>
  <c r="A3" i="18"/>
  <c r="C3" i="18"/>
  <c r="E3" i="18"/>
  <c r="G7" i="2"/>
  <c r="G8" i="2"/>
  <c r="B11" i="2"/>
  <c r="J181" i="10"/>
  <c r="G181" i="17" s="1"/>
  <c r="F182" i="18" s="1"/>
  <c r="M181" i="10"/>
  <c r="C181" i="6"/>
  <c r="C181" i="5"/>
  <c r="W181" i="10"/>
  <c r="D181" i="5"/>
  <c r="Z181" i="5"/>
  <c r="AA181" i="5"/>
  <c r="D181" i="6"/>
  <c r="AK180" i="5"/>
  <c r="H180" i="10"/>
  <c r="E180" i="17" s="1"/>
  <c r="B181" i="18" s="1"/>
  <c r="I180" i="10"/>
  <c r="F180" i="17" s="1"/>
  <c r="D181" i="18" s="1"/>
  <c r="L180" i="10"/>
  <c r="B180" i="6"/>
  <c r="AE180" i="5"/>
  <c r="AF180" i="5" s="1"/>
  <c r="I180" i="5"/>
  <c r="J180" i="5" s="1"/>
  <c r="C180" i="5"/>
  <c r="Z180" i="5"/>
  <c r="W180" i="10"/>
  <c r="D180" i="5"/>
  <c r="AA180" i="5"/>
  <c r="D180" i="6"/>
  <c r="AK179" i="5"/>
  <c r="H179" i="10"/>
  <c r="E179" i="17" s="1"/>
  <c r="B180" i="18" s="1"/>
  <c r="I179" i="10"/>
  <c r="F179" i="17" s="1"/>
  <c r="D180" i="18" s="1"/>
  <c r="L179" i="10"/>
  <c r="B179" i="6"/>
  <c r="C179" i="5"/>
  <c r="Z179" i="5"/>
  <c r="AA179" i="5"/>
  <c r="W179" i="10"/>
  <c r="D179" i="5"/>
  <c r="D179" i="6"/>
  <c r="I178" i="5"/>
  <c r="J178" i="5" s="1"/>
  <c r="AE178" i="5"/>
  <c r="AF178" i="5" s="1"/>
  <c r="J177" i="10"/>
  <c r="G177" i="17" s="1"/>
  <c r="F178" i="18" s="1"/>
  <c r="M177" i="10"/>
  <c r="C177" i="6"/>
  <c r="I177" i="5"/>
  <c r="J177" i="5" s="1"/>
  <c r="AE177" i="5"/>
  <c r="AF177" i="5" s="1"/>
  <c r="C177" i="5"/>
  <c r="Z177" i="5"/>
  <c r="W177" i="10"/>
  <c r="D177" i="5"/>
  <c r="AA177" i="5"/>
  <c r="D177" i="6"/>
  <c r="J176" i="10"/>
  <c r="G176" i="17" s="1"/>
  <c r="F177" i="18" s="1"/>
  <c r="M176" i="10"/>
  <c r="C176" i="6"/>
  <c r="H175" i="10"/>
  <c r="E175" i="17" s="1"/>
  <c r="B176" i="18" s="1"/>
  <c r="I175" i="10"/>
  <c r="F175" i="17" s="1"/>
  <c r="D176" i="18" s="1"/>
  <c r="L175" i="10"/>
  <c r="AK175" i="5"/>
  <c r="B175" i="6"/>
  <c r="I175" i="5"/>
  <c r="J175" i="5" s="1"/>
  <c r="AE175" i="5"/>
  <c r="AF175" i="5" s="1"/>
  <c r="C175" i="5"/>
  <c r="D175" i="5"/>
  <c r="Z175" i="5"/>
  <c r="W175" i="10"/>
  <c r="AA175" i="5"/>
  <c r="D175" i="6"/>
  <c r="J174" i="10"/>
  <c r="G174" i="17" s="1"/>
  <c r="F175" i="18" s="1"/>
  <c r="M174" i="10"/>
  <c r="C174" i="6"/>
  <c r="D174" i="5"/>
  <c r="AA174" i="5"/>
  <c r="W174" i="10"/>
  <c r="C174" i="5"/>
  <c r="K174" i="5" s="1"/>
  <c r="L174" i="5" s="1"/>
  <c r="Z174" i="5"/>
  <c r="AG174" i="5" s="1"/>
  <c r="AH174" i="5" s="1"/>
  <c r="D174" i="6"/>
  <c r="J173" i="10"/>
  <c r="G173" i="17" s="1"/>
  <c r="F174" i="18" s="1"/>
  <c r="M173" i="10"/>
  <c r="C173" i="6"/>
  <c r="AE173" i="5"/>
  <c r="AF173" i="5" s="1"/>
  <c r="I173" i="5"/>
  <c r="J173" i="5" s="1"/>
  <c r="D173" i="5"/>
  <c r="AA173" i="5"/>
  <c r="W173" i="10"/>
  <c r="C173" i="5"/>
  <c r="K173" i="5" s="1"/>
  <c r="L173" i="5" s="1"/>
  <c r="Z173" i="5"/>
  <c r="AG173" i="5" s="1"/>
  <c r="AH173" i="5" s="1"/>
  <c r="D173" i="6"/>
  <c r="I172" i="5"/>
  <c r="J172" i="5" s="1"/>
  <c r="AE172" i="5"/>
  <c r="AF172" i="5" s="1"/>
  <c r="AA172" i="5"/>
  <c r="D172" i="5"/>
  <c r="W172" i="10"/>
  <c r="C172" i="5"/>
  <c r="K172" i="5" s="1"/>
  <c r="L172" i="5" s="1"/>
  <c r="Z172" i="5"/>
  <c r="AG172" i="5" s="1"/>
  <c r="AH172" i="5" s="1"/>
  <c r="D172" i="6"/>
  <c r="J171" i="10"/>
  <c r="G171" i="17" s="1"/>
  <c r="F172" i="18" s="1"/>
  <c r="M171" i="10"/>
  <c r="C171" i="6"/>
  <c r="I170" i="5"/>
  <c r="J170" i="5" s="1"/>
  <c r="AE170" i="5"/>
  <c r="AF170" i="5" s="1"/>
  <c r="C170" i="5"/>
  <c r="AA170" i="5"/>
  <c r="W170" i="10"/>
  <c r="D170" i="5"/>
  <c r="Z170" i="5"/>
  <c r="AG170" i="5" s="1"/>
  <c r="AH170" i="5" s="1"/>
  <c r="D170" i="6"/>
  <c r="H169" i="10"/>
  <c r="E169" i="17" s="1"/>
  <c r="B170" i="18" s="1"/>
  <c r="I169" i="10"/>
  <c r="F169" i="17" s="1"/>
  <c r="D170" i="18" s="1"/>
  <c r="L169" i="10"/>
  <c r="AK169" i="5"/>
  <c r="B169" i="6"/>
  <c r="J167" i="10"/>
  <c r="G167" i="17" s="1"/>
  <c r="F168" i="18" s="1"/>
  <c r="M167" i="10"/>
  <c r="C167" i="6"/>
  <c r="C167" i="5"/>
  <c r="Z167" i="5"/>
  <c r="D167" i="5"/>
  <c r="W167" i="10"/>
  <c r="AA167" i="5"/>
  <c r="D167" i="6"/>
  <c r="AK166" i="5"/>
  <c r="H166" i="10"/>
  <c r="E166" i="17" s="1"/>
  <c r="B167" i="18" s="1"/>
  <c r="I166" i="10"/>
  <c r="F166" i="17" s="1"/>
  <c r="D167" i="18" s="1"/>
  <c r="L166" i="10"/>
  <c r="B166" i="6"/>
  <c r="I166" i="5"/>
  <c r="J166" i="5" s="1"/>
  <c r="AE166" i="5"/>
  <c r="AF166" i="5" s="1"/>
  <c r="H165" i="10"/>
  <c r="E165" i="17" s="1"/>
  <c r="B166" i="18" s="1"/>
  <c r="I165" i="10"/>
  <c r="F165" i="17" s="1"/>
  <c r="D166" i="18" s="1"/>
  <c r="L165" i="10"/>
  <c r="AK165" i="5"/>
  <c r="B165" i="6"/>
  <c r="J164" i="10"/>
  <c r="G164" i="17" s="1"/>
  <c r="F165" i="18" s="1"/>
  <c r="M164" i="10"/>
  <c r="C164" i="6"/>
  <c r="J163" i="10"/>
  <c r="G163" i="17" s="1"/>
  <c r="F164" i="18" s="1"/>
  <c r="M163" i="10"/>
  <c r="C163" i="6"/>
  <c r="AE163" i="5"/>
  <c r="AF163" i="5" s="1"/>
  <c r="I163" i="5"/>
  <c r="J163" i="5" s="1"/>
  <c r="C163" i="5"/>
  <c r="Z163" i="5"/>
  <c r="W163" i="10"/>
  <c r="D163" i="5"/>
  <c r="AA163" i="5"/>
  <c r="D163" i="6"/>
  <c r="J162" i="10"/>
  <c r="G162" i="17" s="1"/>
  <c r="F163" i="18" s="1"/>
  <c r="M162" i="10"/>
  <c r="C162" i="6"/>
  <c r="Z162" i="5"/>
  <c r="D162" i="5"/>
  <c r="W162" i="10"/>
  <c r="C162" i="5"/>
  <c r="K162" i="5" s="1"/>
  <c r="L162" i="5" s="1"/>
  <c r="AA162" i="5"/>
  <c r="D162" i="6"/>
  <c r="AE161" i="5"/>
  <c r="AF161" i="5" s="1"/>
  <c r="I161" i="5"/>
  <c r="J161" i="5" s="1"/>
  <c r="J160" i="10"/>
  <c r="G160" i="17" s="1"/>
  <c r="F161" i="18" s="1"/>
  <c r="M160" i="10"/>
  <c r="C160" i="6"/>
  <c r="J159" i="10"/>
  <c r="G159" i="17" s="1"/>
  <c r="F160" i="18" s="1"/>
  <c r="M159" i="10"/>
  <c r="C159" i="6"/>
  <c r="I159" i="5"/>
  <c r="J159" i="5" s="1"/>
  <c r="AE159" i="5"/>
  <c r="AF159" i="5" s="1"/>
  <c r="Z159" i="5"/>
  <c r="C159" i="5"/>
  <c r="W159" i="10"/>
  <c r="D159" i="5"/>
  <c r="AA159" i="5"/>
  <c r="D159" i="6"/>
  <c r="AK158" i="5"/>
  <c r="H158" i="10"/>
  <c r="E158" i="17" s="1"/>
  <c r="B159" i="18" s="1"/>
  <c r="I158" i="10"/>
  <c r="F158" i="17" s="1"/>
  <c r="D159" i="18" s="1"/>
  <c r="L158" i="10"/>
  <c r="B158" i="6"/>
  <c r="D157" i="5"/>
  <c r="Z157" i="5"/>
  <c r="W157" i="10"/>
  <c r="C157" i="5"/>
  <c r="K157" i="5" s="1"/>
  <c r="L157" i="5" s="1"/>
  <c r="AA157" i="5"/>
  <c r="D157" i="6"/>
  <c r="AA156" i="5"/>
  <c r="D156" i="5"/>
  <c r="Z156" i="5"/>
  <c r="AG156" i="5" s="1"/>
  <c r="AH156" i="5" s="1"/>
  <c r="W156" i="10"/>
  <c r="C156" i="5"/>
  <c r="K156" i="5" s="1"/>
  <c r="L156" i="5" s="1"/>
  <c r="D156" i="6"/>
  <c r="J154" i="10"/>
  <c r="G154" i="17" s="1"/>
  <c r="F155" i="18" s="1"/>
  <c r="M154" i="10"/>
  <c r="C154" i="6"/>
  <c r="Z154" i="5"/>
  <c r="C154" i="5"/>
  <c r="W154" i="10"/>
  <c r="D154" i="5"/>
  <c r="AA154" i="5"/>
  <c r="D154" i="6"/>
  <c r="J153" i="10"/>
  <c r="G153" i="17" s="1"/>
  <c r="F154" i="18" s="1"/>
  <c r="M153" i="10"/>
  <c r="C153" i="6"/>
  <c r="C153" i="5"/>
  <c r="Z153" i="5"/>
  <c r="AA153" i="5"/>
  <c r="W153" i="10"/>
  <c r="D153" i="5"/>
  <c r="D153" i="6"/>
  <c r="J152" i="10"/>
  <c r="G152" i="17" s="1"/>
  <c r="F153" i="18" s="1"/>
  <c r="M152" i="10"/>
  <c r="C152" i="6"/>
  <c r="C152" i="5"/>
  <c r="D152" i="5"/>
  <c r="AA152" i="5"/>
  <c r="W152" i="10"/>
  <c r="Z152" i="5"/>
  <c r="AG152" i="5" s="1"/>
  <c r="AH152" i="5" s="1"/>
  <c r="D152" i="6"/>
  <c r="I150" i="5"/>
  <c r="J150" i="5" s="1"/>
  <c r="AE150" i="5"/>
  <c r="AF150" i="5" s="1"/>
  <c r="AA150" i="5"/>
  <c r="C150" i="5"/>
  <c r="W150" i="10"/>
  <c r="D150" i="5"/>
  <c r="Z150" i="5"/>
  <c r="AG150" i="5" s="1"/>
  <c r="AH150" i="5" s="1"/>
  <c r="D150" i="6"/>
  <c r="J149" i="10"/>
  <c r="G149" i="17" s="1"/>
  <c r="F150" i="18" s="1"/>
  <c r="M149" i="10"/>
  <c r="C149" i="6"/>
  <c r="I149" i="5"/>
  <c r="J149" i="5" s="1"/>
  <c r="AE149" i="5"/>
  <c r="AF149" i="5" s="1"/>
  <c r="C149" i="5"/>
  <c r="AA149" i="5"/>
  <c r="D149" i="5"/>
  <c r="Z149" i="5"/>
  <c r="AG149" i="5" s="1"/>
  <c r="AH149" i="5" s="1"/>
  <c r="W149" i="10"/>
  <c r="D149" i="6"/>
  <c r="I148" i="5"/>
  <c r="J148" i="5" s="1"/>
  <c r="AE148" i="5"/>
  <c r="AF148" i="5" s="1"/>
  <c r="J146" i="10"/>
  <c r="G146" i="17" s="1"/>
  <c r="F147" i="18" s="1"/>
  <c r="M146" i="10"/>
  <c r="C146" i="6"/>
  <c r="C146" i="5"/>
  <c r="Z146" i="5"/>
  <c r="D146" i="5"/>
  <c r="AA146" i="5"/>
  <c r="W146" i="10"/>
  <c r="D146" i="6"/>
  <c r="AE144" i="5"/>
  <c r="AF144" i="5" s="1"/>
  <c r="I144" i="5"/>
  <c r="J144" i="5" s="1"/>
  <c r="AE139" i="5"/>
  <c r="AF139" i="5" s="1"/>
  <c r="I139" i="5"/>
  <c r="J139" i="5" s="1"/>
  <c r="H137" i="10"/>
  <c r="E137" i="17" s="1"/>
  <c r="B138" i="18" s="1"/>
  <c r="I137" i="10"/>
  <c r="F137" i="17" s="1"/>
  <c r="D138" i="18" s="1"/>
  <c r="L137" i="10"/>
  <c r="AK137" i="5"/>
  <c r="B137" i="6"/>
  <c r="W137" i="10"/>
  <c r="Z137" i="5"/>
  <c r="D137" i="5"/>
  <c r="C137" i="5"/>
  <c r="K137" i="5" s="1"/>
  <c r="L137" i="5" s="1"/>
  <c r="AA137" i="5"/>
  <c r="D137" i="6"/>
  <c r="W133" i="10"/>
  <c r="Z133" i="5"/>
  <c r="C133" i="5"/>
  <c r="D133" i="5"/>
  <c r="AA133" i="5"/>
  <c r="D133" i="6"/>
  <c r="H132" i="10"/>
  <c r="E132" i="17" s="1"/>
  <c r="B133" i="18" s="1"/>
  <c r="I132" i="10"/>
  <c r="F132" i="17" s="1"/>
  <c r="D133" i="18" s="1"/>
  <c r="L132" i="10"/>
  <c r="AK132" i="5"/>
  <c r="B132" i="6"/>
  <c r="W128" i="10"/>
  <c r="Z128" i="5"/>
  <c r="D128" i="5"/>
  <c r="AA128" i="5"/>
  <c r="C128" i="5"/>
  <c r="K128" i="5" s="1"/>
  <c r="L128" i="5" s="1"/>
  <c r="D128" i="6"/>
  <c r="C126" i="5"/>
  <c r="W126" i="10"/>
  <c r="D126" i="5"/>
  <c r="AA126" i="5"/>
  <c r="Z126" i="5"/>
  <c r="AG126" i="5" s="1"/>
  <c r="AH126" i="5" s="1"/>
  <c r="D126" i="6"/>
  <c r="J123" i="10"/>
  <c r="G123" i="17" s="1"/>
  <c r="F124" i="18" s="1"/>
  <c r="M123" i="10"/>
  <c r="C123" i="6"/>
  <c r="J122" i="10"/>
  <c r="G122" i="17" s="1"/>
  <c r="F123" i="18" s="1"/>
  <c r="M122" i="10"/>
  <c r="B22" i="15" s="1"/>
  <c r="C122" i="6"/>
  <c r="J110" i="10"/>
  <c r="G110" i="17" s="1"/>
  <c r="F111" i="18" s="1"/>
  <c r="M110" i="10"/>
  <c r="C110" i="6"/>
  <c r="I110" i="5"/>
  <c r="J110" i="5" s="1"/>
  <c r="AE110" i="5"/>
  <c r="AF110" i="5" s="1"/>
  <c r="C104" i="5"/>
  <c r="W104" i="10"/>
  <c r="D104" i="5"/>
  <c r="AA104" i="5"/>
  <c r="Z104" i="5"/>
  <c r="AG104" i="5" s="1"/>
  <c r="AH104" i="5" s="1"/>
  <c r="D104" i="6"/>
  <c r="H242" i="6"/>
  <c r="I242" i="6"/>
  <c r="N242" i="6" s="1"/>
  <c r="A242" i="7"/>
  <c r="I242" i="7" s="1"/>
  <c r="A242" i="9"/>
  <c r="H241" i="6"/>
  <c r="I241" i="6"/>
  <c r="N241" i="6" s="1"/>
  <c r="A241" i="7"/>
  <c r="I241" i="7" s="1"/>
  <c r="A241" i="9"/>
  <c r="H240" i="6"/>
  <c r="I240" i="6"/>
  <c r="N240" i="6" s="1"/>
  <c r="A240" i="7"/>
  <c r="I240" i="7" s="1"/>
  <c r="A240" i="9"/>
  <c r="H239" i="6"/>
  <c r="I239" i="6"/>
  <c r="N239" i="6" s="1"/>
  <c r="A239" i="7"/>
  <c r="I239" i="7" s="1"/>
  <c r="A239" i="9"/>
  <c r="H238" i="6"/>
  <c r="I238" i="6"/>
  <c r="N238" i="6" s="1"/>
  <c r="A238" i="7"/>
  <c r="I238" i="7" s="1"/>
  <c r="A238" i="9"/>
  <c r="H237" i="6"/>
  <c r="I237" i="6"/>
  <c r="N237" i="6" s="1"/>
  <c r="A237" i="7"/>
  <c r="I237" i="7" s="1"/>
  <c r="A237" i="9"/>
  <c r="H236" i="6"/>
  <c r="I236" i="6"/>
  <c r="N236" i="6" s="1"/>
  <c r="A236" i="7"/>
  <c r="I236" i="7" s="1"/>
  <c r="A236" i="9"/>
  <c r="H235" i="6"/>
  <c r="I235" i="6"/>
  <c r="N235" i="6" s="1"/>
  <c r="A235" i="7"/>
  <c r="I235" i="7" s="1"/>
  <c r="A235" i="9"/>
  <c r="H234" i="6"/>
  <c r="I234" i="6"/>
  <c r="N234" i="6" s="1"/>
  <c r="A234" i="7"/>
  <c r="I234" i="7" s="1"/>
  <c r="A234" i="9"/>
  <c r="H233" i="6"/>
  <c r="I233" i="6"/>
  <c r="N233" i="6" s="1"/>
  <c r="A233" i="7"/>
  <c r="I233" i="7" s="1"/>
  <c r="A233" i="9"/>
  <c r="H232" i="6"/>
  <c r="I232" i="6"/>
  <c r="N232" i="6" s="1"/>
  <c r="A232" i="7"/>
  <c r="I232" i="7" s="1"/>
  <c r="A232" i="9"/>
  <c r="H231" i="6"/>
  <c r="I231" i="6"/>
  <c r="N231" i="6" s="1"/>
  <c r="A231" i="7"/>
  <c r="I231" i="7" s="1"/>
  <c r="A231" i="9"/>
  <c r="H230" i="6"/>
  <c r="I230" i="6"/>
  <c r="N230" i="6" s="1"/>
  <c r="A230" i="7"/>
  <c r="I230" i="7" s="1"/>
  <c r="A230" i="9"/>
  <c r="H229" i="6"/>
  <c r="I229" i="6"/>
  <c r="N229" i="6" s="1"/>
  <c r="A229" i="7"/>
  <c r="I229" i="7" s="1"/>
  <c r="A229" i="9"/>
  <c r="H228" i="6"/>
  <c r="I228" i="6"/>
  <c r="N228" i="6" s="1"/>
  <c r="A228" i="7"/>
  <c r="I228" i="7" s="1"/>
  <c r="A228" i="9"/>
  <c r="H227" i="6"/>
  <c r="I227" i="6"/>
  <c r="N227" i="6" s="1"/>
  <c r="A227" i="7"/>
  <c r="I227" i="7" s="1"/>
  <c r="A227" i="9"/>
  <c r="H226" i="6"/>
  <c r="I226" i="6"/>
  <c r="N226" i="6" s="1"/>
  <c r="A226" i="7"/>
  <c r="I226" i="7" s="1"/>
  <c r="A226" i="9"/>
  <c r="H225" i="6"/>
  <c r="I225" i="6"/>
  <c r="N225" i="6" s="1"/>
  <c r="A225" i="7"/>
  <c r="I225" i="7" s="1"/>
  <c r="A225" i="9"/>
  <c r="H224" i="6"/>
  <c r="I224" i="6"/>
  <c r="N224" i="6" s="1"/>
  <c r="A224" i="7"/>
  <c r="I224" i="7" s="1"/>
  <c r="A224" i="9"/>
  <c r="H223" i="6"/>
  <c r="I223" i="6"/>
  <c r="N223" i="6" s="1"/>
  <c r="A223" i="7"/>
  <c r="I223" i="7" s="1"/>
  <c r="A223" i="9"/>
  <c r="H222" i="6"/>
  <c r="I222" i="6"/>
  <c r="N222" i="6" s="1"/>
  <c r="A222" i="7"/>
  <c r="I222" i="7" s="1"/>
  <c r="A222" i="9"/>
  <c r="H221" i="6"/>
  <c r="I221" i="6"/>
  <c r="N221" i="6" s="1"/>
  <c r="A221" i="7"/>
  <c r="I221" i="7" s="1"/>
  <c r="A221" i="9"/>
  <c r="H220" i="6"/>
  <c r="I220" i="6"/>
  <c r="N220" i="6" s="1"/>
  <c r="A220" i="7"/>
  <c r="I220" i="7" s="1"/>
  <c r="A220" i="9"/>
  <c r="H219" i="6"/>
  <c r="I219" i="6"/>
  <c r="N219" i="6" s="1"/>
  <c r="A219" i="7"/>
  <c r="I219" i="7" s="1"/>
  <c r="A219" i="9"/>
  <c r="H218" i="6"/>
  <c r="I218" i="6"/>
  <c r="N218" i="6" s="1"/>
  <c r="A218" i="7"/>
  <c r="I218" i="7" s="1"/>
  <c r="A218" i="9"/>
  <c r="H217" i="6"/>
  <c r="I217" i="6"/>
  <c r="N217" i="6" s="1"/>
  <c r="A217" i="7"/>
  <c r="I217" i="7" s="1"/>
  <c r="A217" i="9"/>
  <c r="H216" i="6"/>
  <c r="I216" i="6"/>
  <c r="N216" i="6" s="1"/>
  <c r="A216" i="7"/>
  <c r="I216" i="7" s="1"/>
  <c r="A216" i="9"/>
  <c r="H215" i="6"/>
  <c r="I215" i="6"/>
  <c r="N215" i="6" s="1"/>
  <c r="A215" i="7"/>
  <c r="I215" i="7" s="1"/>
  <c r="A215" i="9"/>
  <c r="H214" i="6"/>
  <c r="I214" i="6"/>
  <c r="N214" i="6" s="1"/>
  <c r="A214" i="7"/>
  <c r="I214" i="7" s="1"/>
  <c r="A214" i="9"/>
  <c r="H213" i="6"/>
  <c r="I213" i="6"/>
  <c r="N213" i="6" s="1"/>
  <c r="A213" i="7"/>
  <c r="I213" i="7" s="1"/>
  <c r="A213" i="9"/>
  <c r="H212" i="6"/>
  <c r="I212" i="6"/>
  <c r="N212" i="6" s="1"/>
  <c r="A212" i="7"/>
  <c r="I212" i="7" s="1"/>
  <c r="A212" i="9"/>
  <c r="H211" i="6"/>
  <c r="I211" i="6"/>
  <c r="N211" i="6" s="1"/>
  <c r="A211" i="7"/>
  <c r="I211" i="7" s="1"/>
  <c r="A211" i="9"/>
  <c r="H210" i="6"/>
  <c r="I210" i="6"/>
  <c r="N210" i="6" s="1"/>
  <c r="A210" i="7"/>
  <c r="I210" i="7" s="1"/>
  <c r="A210" i="9"/>
  <c r="H209" i="6"/>
  <c r="I209" i="6"/>
  <c r="N209" i="6" s="1"/>
  <c r="A209" i="7"/>
  <c r="I209" i="7" s="1"/>
  <c r="A209" i="9"/>
  <c r="H208" i="6"/>
  <c r="I208" i="6"/>
  <c r="N208" i="6" s="1"/>
  <c r="A208" i="7"/>
  <c r="I208" i="7" s="1"/>
  <c r="A208" i="9"/>
  <c r="H207" i="6"/>
  <c r="I207" i="6"/>
  <c r="N207" i="6" s="1"/>
  <c r="A207" i="7"/>
  <c r="I207" i="7" s="1"/>
  <c r="A207" i="9"/>
  <c r="H206" i="6"/>
  <c r="I206" i="6"/>
  <c r="N206" i="6" s="1"/>
  <c r="A206" i="7"/>
  <c r="I206" i="7" s="1"/>
  <c r="A206" i="9"/>
  <c r="H205" i="6"/>
  <c r="I205" i="6"/>
  <c r="N205" i="6" s="1"/>
  <c r="A205" i="7"/>
  <c r="I205" i="7" s="1"/>
  <c r="A205" i="9"/>
  <c r="H204" i="6"/>
  <c r="I204" i="6"/>
  <c r="N204" i="6" s="1"/>
  <c r="A204" i="7"/>
  <c r="I204" i="7" s="1"/>
  <c r="A204" i="9"/>
  <c r="H203" i="6"/>
  <c r="I203" i="6"/>
  <c r="N203" i="6" s="1"/>
  <c r="A203" i="7"/>
  <c r="I203" i="7" s="1"/>
  <c r="A203" i="9"/>
  <c r="H202" i="6"/>
  <c r="I202" i="6"/>
  <c r="N202" i="6" s="1"/>
  <c r="A202" i="7"/>
  <c r="I202" i="7" s="1"/>
  <c r="A202" i="9"/>
  <c r="H201" i="6"/>
  <c r="I201" i="6"/>
  <c r="N201" i="6" s="1"/>
  <c r="A201" i="7"/>
  <c r="I201" i="7" s="1"/>
  <c r="A201" i="9"/>
  <c r="H200" i="6"/>
  <c r="I200" i="6"/>
  <c r="N200" i="6" s="1"/>
  <c r="A200" i="7"/>
  <c r="I200" i="7" s="1"/>
  <c r="A200" i="9"/>
  <c r="H199" i="6"/>
  <c r="A199" i="7"/>
  <c r="I199" i="7" s="1"/>
  <c r="A199" i="9"/>
  <c r="H198" i="6"/>
  <c r="A198" i="7"/>
  <c r="I198" i="7" s="1"/>
  <c r="A198" i="9"/>
  <c r="H197" i="6"/>
  <c r="I197" i="6"/>
  <c r="N197" i="6" s="1"/>
  <c r="A197" i="7"/>
  <c r="I197" i="7" s="1"/>
  <c r="A197" i="9"/>
  <c r="H196" i="6"/>
  <c r="I196" i="6"/>
  <c r="N196" i="6" s="1"/>
  <c r="A196" i="9"/>
  <c r="A196" i="7"/>
  <c r="I196" i="7" s="1"/>
  <c r="H195" i="6"/>
  <c r="A195" i="9"/>
  <c r="A195" i="7"/>
  <c r="I195" i="7" s="1"/>
  <c r="H194" i="6"/>
  <c r="I194" i="6"/>
  <c r="N194" i="6" s="1"/>
  <c r="A194" i="7"/>
  <c r="I194" i="7" s="1"/>
  <c r="A194" i="9"/>
  <c r="H193" i="6"/>
  <c r="I193" i="6"/>
  <c r="N193" i="6" s="1"/>
  <c r="A193" i="7"/>
  <c r="I193" i="7" s="1"/>
  <c r="A193" i="9"/>
  <c r="U191" i="6"/>
  <c r="H190" i="6"/>
  <c r="I190" i="6"/>
  <c r="N190" i="6" s="1"/>
  <c r="A190" i="7"/>
  <c r="I190" i="7" s="1"/>
  <c r="A190" i="9"/>
  <c r="H189" i="6"/>
  <c r="I189" i="6"/>
  <c r="N189" i="6" s="1"/>
  <c r="A189" i="7"/>
  <c r="I189" i="7" s="1"/>
  <c r="A189" i="9"/>
  <c r="H188" i="6"/>
  <c r="I188" i="6"/>
  <c r="N188" i="6" s="1"/>
  <c r="A188" i="9"/>
  <c r="A188" i="7"/>
  <c r="I188" i="7" s="1"/>
  <c r="H187" i="6"/>
  <c r="I187" i="6"/>
  <c r="N187" i="6" s="1"/>
  <c r="A187" i="7"/>
  <c r="I187" i="7" s="1"/>
  <c r="A187" i="9"/>
  <c r="H186" i="6"/>
  <c r="I186" i="6"/>
  <c r="N186" i="6" s="1"/>
  <c r="A186" i="9"/>
  <c r="A186" i="7"/>
  <c r="I186" i="7" s="1"/>
  <c r="H185" i="6"/>
  <c r="I185" i="6"/>
  <c r="N185" i="6" s="1"/>
  <c r="A185" i="9"/>
  <c r="A185" i="7"/>
  <c r="I185" i="7" s="1"/>
  <c r="H184" i="6"/>
  <c r="I184" i="6"/>
  <c r="N184" i="6" s="1"/>
  <c r="A184" i="9"/>
  <c r="A184" i="7"/>
  <c r="I184" i="7" s="1"/>
  <c r="H183" i="6"/>
  <c r="I183" i="6"/>
  <c r="N183" i="6" s="1"/>
  <c r="A183" i="7"/>
  <c r="I183" i="7" s="1"/>
  <c r="A183" i="9"/>
  <c r="H182" i="6"/>
  <c r="A182" i="9"/>
  <c r="A182" i="7"/>
  <c r="I182" i="7" s="1"/>
  <c r="H181" i="6"/>
  <c r="A181" i="7"/>
  <c r="I181" i="7" s="1"/>
  <c r="A181" i="9"/>
  <c r="H180" i="6"/>
  <c r="I180" i="6"/>
  <c r="N180" i="6" s="1"/>
  <c r="A180" i="9"/>
  <c r="A180" i="7"/>
  <c r="I180" i="7" s="1"/>
  <c r="H179" i="6"/>
  <c r="I179" i="6"/>
  <c r="N179" i="6" s="1"/>
  <c r="A179" i="7"/>
  <c r="I179" i="7" s="1"/>
  <c r="A179" i="9"/>
  <c r="H178" i="6"/>
  <c r="I178" i="6"/>
  <c r="N178" i="6" s="1"/>
  <c r="A178" i="7"/>
  <c r="I178" i="7" s="1"/>
  <c r="A178" i="9"/>
  <c r="H177" i="6"/>
  <c r="A177" i="9"/>
  <c r="A177" i="7"/>
  <c r="I177" i="7" s="1"/>
  <c r="H176" i="6"/>
  <c r="I176" i="6"/>
  <c r="N176" i="6" s="1"/>
  <c r="A176" i="7"/>
  <c r="I176" i="7" s="1"/>
  <c r="A176" i="9"/>
  <c r="H175" i="6"/>
  <c r="A175" i="9"/>
  <c r="A175" i="7"/>
  <c r="I175" i="7" s="1"/>
  <c r="H174" i="6"/>
  <c r="A174" i="9"/>
  <c r="A174" i="7"/>
  <c r="I174" i="7" s="1"/>
  <c r="H173" i="6"/>
  <c r="I173" i="6"/>
  <c r="N173" i="6" s="1"/>
  <c r="A173" i="9"/>
  <c r="A173" i="7"/>
  <c r="I173" i="7" s="1"/>
  <c r="H172" i="6"/>
  <c r="I172" i="6"/>
  <c r="N172" i="6" s="1"/>
  <c r="A172" i="9"/>
  <c r="A172" i="7"/>
  <c r="I172" i="7" s="1"/>
  <c r="H171" i="6"/>
  <c r="I171" i="6"/>
  <c r="N171" i="6" s="1"/>
  <c r="A171" i="9"/>
  <c r="A171" i="7"/>
  <c r="I171" i="7" s="1"/>
  <c r="H170" i="6"/>
  <c r="I170" i="6"/>
  <c r="N170" i="6" s="1"/>
  <c r="A170" i="9"/>
  <c r="A170" i="7"/>
  <c r="I170" i="7" s="1"/>
  <c r="H169" i="6"/>
  <c r="A169" i="9"/>
  <c r="A169" i="7"/>
  <c r="I169" i="7" s="1"/>
  <c r="H168" i="6"/>
  <c r="I168" i="6"/>
  <c r="N168" i="6" s="1"/>
  <c r="A168" i="9"/>
  <c r="A168" i="7"/>
  <c r="I168" i="7" s="1"/>
  <c r="H167" i="6"/>
  <c r="I167" i="6"/>
  <c r="N167" i="6" s="1"/>
  <c r="A167" i="9"/>
  <c r="A167" i="7"/>
  <c r="I167" i="7" s="1"/>
  <c r="H166" i="6"/>
  <c r="I166" i="6"/>
  <c r="N166" i="6" s="1"/>
  <c r="A166" i="9"/>
  <c r="A166" i="7"/>
  <c r="I166" i="7" s="1"/>
  <c r="H165" i="6"/>
  <c r="A165" i="9"/>
  <c r="A165" i="7"/>
  <c r="I165" i="7" s="1"/>
  <c r="H164" i="6"/>
  <c r="I164" i="6"/>
  <c r="N164" i="6" s="1"/>
  <c r="A164" i="9"/>
  <c r="A164" i="7"/>
  <c r="I164" i="7" s="1"/>
  <c r="H163" i="6"/>
  <c r="I163" i="6"/>
  <c r="N163" i="6" s="1"/>
  <c r="A163" i="9"/>
  <c r="A163" i="7"/>
  <c r="I163" i="7" s="1"/>
  <c r="H162" i="6"/>
  <c r="I162" i="6"/>
  <c r="N162" i="6" s="1"/>
  <c r="A162" i="9"/>
  <c r="A162" i="7"/>
  <c r="I162" i="7" s="1"/>
  <c r="H161" i="6"/>
  <c r="I161" i="6"/>
  <c r="N161" i="6" s="1"/>
  <c r="A161" i="9"/>
  <c r="A161" i="7"/>
  <c r="I161" i="7" s="1"/>
  <c r="H160" i="6"/>
  <c r="I160" i="6"/>
  <c r="N160" i="6" s="1"/>
  <c r="A160" i="9"/>
  <c r="A160" i="7"/>
  <c r="I160" i="7" s="1"/>
  <c r="H159" i="6"/>
  <c r="I159" i="6"/>
  <c r="N159" i="6" s="1"/>
  <c r="A159" i="9"/>
  <c r="A159" i="7"/>
  <c r="I159" i="7" s="1"/>
  <c r="H158" i="6"/>
  <c r="I158" i="6"/>
  <c r="N158" i="6" s="1"/>
  <c r="A158" i="7"/>
  <c r="I158" i="7" s="1"/>
  <c r="A158" i="9"/>
  <c r="H157" i="6"/>
  <c r="I157" i="6"/>
  <c r="N157" i="6" s="1"/>
  <c r="A157" i="7"/>
  <c r="I157" i="7" s="1"/>
  <c r="A157" i="9"/>
  <c r="H156" i="6"/>
  <c r="I156" i="6"/>
  <c r="N156" i="6" s="1"/>
  <c r="A156" i="7"/>
  <c r="I156" i="7" s="1"/>
  <c r="A156" i="9"/>
  <c r="H155" i="6"/>
  <c r="I155" i="6"/>
  <c r="N155" i="6" s="1"/>
  <c r="A155" i="7"/>
  <c r="I155" i="7" s="1"/>
  <c r="A155" i="9"/>
  <c r="H154" i="6"/>
  <c r="I154" i="6"/>
  <c r="N154" i="6" s="1"/>
  <c r="A154" i="7"/>
  <c r="I154" i="7" s="1"/>
  <c r="A154" i="9"/>
  <c r="H153" i="6"/>
  <c r="I153" i="6"/>
  <c r="N153" i="6" s="1"/>
  <c r="A153" i="9"/>
  <c r="A153" i="7"/>
  <c r="I153" i="7" s="1"/>
  <c r="H152" i="6"/>
  <c r="I152" i="6"/>
  <c r="N152" i="6" s="1"/>
  <c r="A152" i="7"/>
  <c r="I152" i="7" s="1"/>
  <c r="A152" i="9"/>
  <c r="H151" i="6"/>
  <c r="I151" i="6"/>
  <c r="N151" i="6" s="1"/>
  <c r="A151" i="7"/>
  <c r="I151" i="7" s="1"/>
  <c r="A151" i="9"/>
  <c r="H150" i="6"/>
  <c r="I150" i="6"/>
  <c r="N150" i="6" s="1"/>
  <c r="A150" i="9"/>
  <c r="A150" i="7"/>
  <c r="I150" i="7" s="1"/>
  <c r="H149" i="6"/>
  <c r="I149" i="6"/>
  <c r="N149" i="6" s="1"/>
  <c r="A149" i="7"/>
  <c r="I149" i="7" s="1"/>
  <c r="A149" i="9"/>
  <c r="H148" i="6"/>
  <c r="I148" i="6"/>
  <c r="N148" i="6" s="1"/>
  <c r="A148" i="9"/>
  <c r="A148" i="7"/>
  <c r="I148" i="7" s="1"/>
  <c r="H147" i="6"/>
  <c r="I147" i="6"/>
  <c r="N147" i="6" s="1"/>
  <c r="A147" i="9"/>
  <c r="A147" i="7"/>
  <c r="I147" i="7" s="1"/>
  <c r="H146" i="6"/>
  <c r="I146" i="6"/>
  <c r="N146" i="6" s="1"/>
  <c r="A146" i="9"/>
  <c r="A146" i="7"/>
  <c r="I146" i="7" s="1"/>
  <c r="H145" i="6"/>
  <c r="I145" i="6"/>
  <c r="N145" i="6" s="1"/>
  <c r="A145" i="7"/>
  <c r="I145" i="7" s="1"/>
  <c r="A145" i="9"/>
  <c r="H144" i="6"/>
  <c r="I144" i="6"/>
  <c r="N144" i="6" s="1"/>
  <c r="A144" i="7"/>
  <c r="I144" i="7" s="1"/>
  <c r="A144" i="9"/>
  <c r="H143" i="6"/>
  <c r="A143" i="9"/>
  <c r="A143" i="7"/>
  <c r="I143" i="7" s="1"/>
  <c r="H142" i="6"/>
  <c r="I142" i="6"/>
  <c r="N142" i="6" s="1"/>
  <c r="A142" i="9"/>
  <c r="A142" i="7"/>
  <c r="I142" i="7" s="1"/>
  <c r="H141" i="6"/>
  <c r="I141" i="6"/>
  <c r="N141" i="6" s="1"/>
  <c r="A141" i="9"/>
  <c r="A141" i="7"/>
  <c r="I141" i="7" s="1"/>
  <c r="H140" i="6"/>
  <c r="I140" i="6"/>
  <c r="N140" i="6" s="1"/>
  <c r="A140" i="9"/>
  <c r="A140" i="7"/>
  <c r="I140" i="7" s="1"/>
  <c r="H139" i="6"/>
  <c r="I139" i="6"/>
  <c r="N139" i="6" s="1"/>
  <c r="A139" i="9"/>
  <c r="A139" i="7"/>
  <c r="I139" i="7" s="1"/>
  <c r="H138" i="6"/>
  <c r="I138" i="6"/>
  <c r="N138" i="6" s="1"/>
  <c r="A138" i="7"/>
  <c r="I138" i="7" s="1"/>
  <c r="A138" i="9"/>
  <c r="H137" i="6"/>
  <c r="I137" i="6"/>
  <c r="N137" i="6" s="1"/>
  <c r="A137" i="7"/>
  <c r="I137" i="7" s="1"/>
  <c r="A137" i="9"/>
  <c r="H136" i="6"/>
  <c r="I136" i="6"/>
  <c r="N136" i="6" s="1"/>
  <c r="A136" i="9"/>
  <c r="A136" i="7"/>
  <c r="I136" i="7" s="1"/>
  <c r="H135" i="6"/>
  <c r="I135" i="6"/>
  <c r="N135" i="6" s="1"/>
  <c r="A135" i="7"/>
  <c r="I135" i="7" s="1"/>
  <c r="A135" i="9"/>
  <c r="H134" i="6"/>
  <c r="I134" i="6"/>
  <c r="N134" i="6" s="1"/>
  <c r="A134" i="9"/>
  <c r="A134" i="7"/>
  <c r="I134" i="7" s="1"/>
  <c r="H133" i="6"/>
  <c r="A133" i="9"/>
  <c r="A133" i="7"/>
  <c r="I133" i="7" s="1"/>
  <c r="H132" i="6"/>
  <c r="I132" i="6"/>
  <c r="N132" i="6" s="1"/>
  <c r="A132" i="9"/>
  <c r="A132" i="7"/>
  <c r="I132" i="7" s="1"/>
  <c r="H131" i="6"/>
  <c r="I131" i="6"/>
  <c r="N131" i="6" s="1"/>
  <c r="A131" i="7"/>
  <c r="I131" i="7" s="1"/>
  <c r="A131" i="9"/>
  <c r="H130" i="6"/>
  <c r="I130" i="6"/>
  <c r="N130" i="6" s="1"/>
  <c r="A130" i="9"/>
  <c r="A130" i="7"/>
  <c r="I130" i="7" s="1"/>
  <c r="H129" i="6"/>
  <c r="I129" i="6"/>
  <c r="N129" i="6" s="1"/>
  <c r="A129" i="7"/>
  <c r="I129" i="7" s="1"/>
  <c r="A129" i="9"/>
  <c r="H128" i="6"/>
  <c r="I128" i="6"/>
  <c r="N128" i="6" s="1"/>
  <c r="A128" i="7"/>
  <c r="I128" i="7" s="1"/>
  <c r="A128" i="9"/>
  <c r="H127" i="6"/>
  <c r="I127" i="6"/>
  <c r="N127" i="6" s="1"/>
  <c r="A127" i="9"/>
  <c r="A127" i="7"/>
  <c r="I127" i="7" s="1"/>
  <c r="H126" i="6"/>
  <c r="I126" i="6"/>
  <c r="N126" i="6" s="1"/>
  <c r="A126" i="9"/>
  <c r="A126" i="7"/>
  <c r="I126" i="7" s="1"/>
  <c r="H125" i="6"/>
  <c r="I125" i="6"/>
  <c r="N125" i="6" s="1"/>
  <c r="A125" i="7"/>
  <c r="I125" i="7" s="1"/>
  <c r="A125" i="9"/>
  <c r="H124" i="6"/>
  <c r="I124" i="6"/>
  <c r="N124" i="6" s="1"/>
  <c r="A124" i="7"/>
  <c r="I124" i="7" s="1"/>
  <c r="A124" i="9"/>
  <c r="H123" i="6"/>
  <c r="I123" i="6"/>
  <c r="N123" i="6" s="1"/>
  <c r="A123" i="7"/>
  <c r="I123" i="7" s="1"/>
  <c r="A123" i="9"/>
  <c r="H122" i="6"/>
  <c r="I122" i="6"/>
  <c r="N122" i="6" s="1"/>
  <c r="A122" i="9"/>
  <c r="A122" i="7"/>
  <c r="I122" i="7" s="1"/>
  <c r="H121" i="6"/>
  <c r="I121" i="6"/>
  <c r="N121" i="6" s="1"/>
  <c r="A121" i="7"/>
  <c r="I121" i="7" s="1"/>
  <c r="A121" i="9"/>
  <c r="H120" i="6"/>
  <c r="I120" i="6"/>
  <c r="N120" i="6" s="1"/>
  <c r="A120" i="9"/>
  <c r="A120" i="7"/>
  <c r="I120" i="7" s="1"/>
  <c r="H119" i="6"/>
  <c r="I119" i="6"/>
  <c r="N119" i="6" s="1"/>
  <c r="A119" i="7"/>
  <c r="I119" i="7" s="1"/>
  <c r="A119" i="9"/>
  <c r="H118" i="6"/>
  <c r="I118" i="6"/>
  <c r="N118" i="6" s="1"/>
  <c r="A118" i="9"/>
  <c r="A118" i="7"/>
  <c r="I118" i="7" s="1"/>
  <c r="H117" i="6"/>
  <c r="I117" i="6"/>
  <c r="N117" i="6" s="1"/>
  <c r="A117" i="7"/>
  <c r="I117" i="7" s="1"/>
  <c r="A117" i="9"/>
  <c r="H116" i="6"/>
  <c r="I116" i="6"/>
  <c r="N116" i="6" s="1"/>
  <c r="A116" i="7"/>
  <c r="I116" i="7" s="1"/>
  <c r="A116" i="9"/>
  <c r="H115" i="6"/>
  <c r="I115" i="6"/>
  <c r="N115" i="6" s="1"/>
  <c r="A115" i="7"/>
  <c r="I115" i="7" s="1"/>
  <c r="A115" i="9"/>
  <c r="H114" i="6"/>
  <c r="I114" i="6"/>
  <c r="N114" i="6" s="1"/>
  <c r="A114" i="9"/>
  <c r="A114" i="7"/>
  <c r="I114" i="7" s="1"/>
  <c r="H113" i="6"/>
  <c r="A113" i="7"/>
  <c r="I113" i="7" s="1"/>
  <c r="A113" i="9"/>
  <c r="H112" i="6"/>
  <c r="I112" i="6"/>
  <c r="N112" i="6" s="1"/>
  <c r="A112" i="7"/>
  <c r="I112" i="7" s="1"/>
  <c r="A112" i="9"/>
  <c r="H111" i="6"/>
  <c r="I111" i="6"/>
  <c r="N111" i="6" s="1"/>
  <c r="A111" i="9"/>
  <c r="A111" i="7"/>
  <c r="I111" i="7" s="1"/>
  <c r="H110" i="6"/>
  <c r="I110" i="6"/>
  <c r="N110" i="6" s="1"/>
  <c r="A110" i="9"/>
  <c r="A110" i="7"/>
  <c r="I110" i="7" s="1"/>
  <c r="H109" i="6"/>
  <c r="I109" i="6"/>
  <c r="N109" i="6" s="1"/>
  <c r="A109" i="9"/>
  <c r="A109" i="7"/>
  <c r="I109" i="7" s="1"/>
  <c r="H108" i="6"/>
  <c r="A108" i="9"/>
  <c r="A108" i="7"/>
  <c r="I108" i="7" s="1"/>
  <c r="H107" i="6"/>
  <c r="I107" i="6"/>
  <c r="N107" i="6" s="1"/>
  <c r="A107" i="9"/>
  <c r="A107" i="7"/>
  <c r="I107" i="7" s="1"/>
  <c r="H106" i="6"/>
  <c r="A106" i="7"/>
  <c r="I106" i="7" s="1"/>
  <c r="A106" i="9"/>
  <c r="H105" i="6"/>
  <c r="A105" i="9"/>
  <c r="A105" i="7"/>
  <c r="I105" i="7" s="1"/>
  <c r="H104" i="6"/>
  <c r="I104" i="6"/>
  <c r="N104" i="6" s="1"/>
  <c r="A104" i="7"/>
  <c r="I104" i="7" s="1"/>
  <c r="A104" i="9"/>
  <c r="H103" i="6"/>
  <c r="I103" i="6"/>
  <c r="N103" i="6" s="1"/>
  <c r="A103" i="9"/>
  <c r="A103" i="7"/>
  <c r="I103" i="7" s="1"/>
  <c r="H102" i="6"/>
  <c r="I102" i="6"/>
  <c r="N102" i="6" s="1"/>
  <c r="A102" i="7"/>
  <c r="I102" i="7" s="1"/>
  <c r="A102" i="9"/>
  <c r="H101" i="6"/>
  <c r="I101" i="6"/>
  <c r="N101" i="6" s="1"/>
  <c r="A101" i="7"/>
  <c r="I101" i="7" s="1"/>
  <c r="A101" i="9"/>
  <c r="H100" i="6"/>
  <c r="I100" i="6"/>
  <c r="N100" i="6" s="1"/>
  <c r="A100" i="7"/>
  <c r="I100" i="7" s="1"/>
  <c r="A100" i="9"/>
  <c r="H99" i="6"/>
  <c r="A99" i="7"/>
  <c r="I99" i="7" s="1"/>
  <c r="A99" i="9"/>
  <c r="H98" i="6"/>
  <c r="I98" i="6"/>
  <c r="N98" i="6" s="1"/>
  <c r="A98" i="9"/>
  <c r="A98" i="7"/>
  <c r="I98" i="7" s="1"/>
  <c r="H97" i="6"/>
  <c r="I97" i="6"/>
  <c r="N97" i="6" s="1"/>
  <c r="A97" i="7"/>
  <c r="I97" i="7" s="1"/>
  <c r="A97" i="9"/>
  <c r="U96" i="6"/>
  <c r="U95" i="6"/>
  <c r="U94" i="6"/>
  <c r="U93" i="6"/>
  <c r="U92" i="6"/>
  <c r="U91" i="6"/>
  <c r="U90" i="6"/>
  <c r="U89" i="6"/>
  <c r="U88" i="6"/>
  <c r="U87" i="6"/>
  <c r="U86" i="6"/>
  <c r="U85" i="6"/>
  <c r="U84" i="6"/>
  <c r="U83" i="6"/>
  <c r="U82" i="6"/>
  <c r="C224" i="5"/>
  <c r="D224" i="5"/>
  <c r="D224" i="6"/>
  <c r="W224" i="10"/>
  <c r="Z224" i="5"/>
  <c r="AA224" i="5"/>
  <c r="AK223" i="5"/>
  <c r="B223" i="6"/>
  <c r="H223" i="10"/>
  <c r="E223" i="17" s="1"/>
  <c r="B224" i="18" s="1"/>
  <c r="L223" i="10"/>
  <c r="I223" i="10"/>
  <c r="F223" i="17" s="1"/>
  <c r="D224" i="18" s="1"/>
  <c r="C223" i="6"/>
  <c r="M223" i="10"/>
  <c r="J223" i="10"/>
  <c r="G223" i="17" s="1"/>
  <c r="F224" i="18" s="1"/>
  <c r="I223" i="5"/>
  <c r="J223" i="5" s="1"/>
  <c r="AE223" i="5"/>
  <c r="AF223" i="5" s="1"/>
  <c r="C223" i="5"/>
  <c r="D223" i="5"/>
  <c r="Z223" i="5"/>
  <c r="AA223" i="5"/>
  <c r="D223" i="6"/>
  <c r="W223" i="10"/>
  <c r="AK222" i="5"/>
  <c r="B222" i="6"/>
  <c r="H222" i="10"/>
  <c r="E222" i="17" s="1"/>
  <c r="B223" i="18" s="1"/>
  <c r="L222" i="10"/>
  <c r="I222" i="10"/>
  <c r="F222" i="17" s="1"/>
  <c r="D223" i="18" s="1"/>
  <c r="C222" i="6"/>
  <c r="M222" i="10"/>
  <c r="J222" i="10"/>
  <c r="G222" i="17" s="1"/>
  <c r="F223" i="18" s="1"/>
  <c r="I222" i="5"/>
  <c r="J222" i="5" s="1"/>
  <c r="AE222" i="5"/>
  <c r="AF222" i="5" s="1"/>
  <c r="C222" i="5"/>
  <c r="D222" i="5"/>
  <c r="Z222" i="5"/>
  <c r="AA222" i="5"/>
  <c r="D222" i="6"/>
  <c r="W222" i="10"/>
  <c r="AK221" i="5"/>
  <c r="B221" i="6"/>
  <c r="I221" i="10"/>
  <c r="F221" i="17" s="1"/>
  <c r="D222" i="18" s="1"/>
  <c r="L221" i="10"/>
  <c r="H221" i="10"/>
  <c r="E221" i="17" s="1"/>
  <c r="B222" i="18" s="1"/>
  <c r="C221" i="6"/>
  <c r="J221" i="10"/>
  <c r="G221" i="17" s="1"/>
  <c r="F222" i="18" s="1"/>
  <c r="M221" i="10"/>
  <c r="I221" i="5"/>
  <c r="J221" i="5" s="1"/>
  <c r="AE221" i="5"/>
  <c r="AF221" i="5" s="1"/>
  <c r="C221" i="5"/>
  <c r="D221" i="5"/>
  <c r="Z221" i="5"/>
  <c r="AA221" i="5"/>
  <c r="D221" i="6"/>
  <c r="W221" i="10"/>
  <c r="AK220" i="5"/>
  <c r="B220" i="6"/>
  <c r="H220" i="10"/>
  <c r="E220" i="17" s="1"/>
  <c r="B221" i="18" s="1"/>
  <c r="I220" i="10"/>
  <c r="F220" i="17" s="1"/>
  <c r="D221" i="18" s="1"/>
  <c r="L220" i="10"/>
  <c r="C220" i="6"/>
  <c r="M220" i="10"/>
  <c r="J220" i="10"/>
  <c r="G220" i="17" s="1"/>
  <c r="F221" i="18" s="1"/>
  <c r="I220" i="5"/>
  <c r="J220" i="5" s="1"/>
  <c r="AE220" i="5"/>
  <c r="AF220" i="5" s="1"/>
  <c r="C220" i="5"/>
  <c r="D220" i="5"/>
  <c r="Z220" i="5"/>
  <c r="AA220" i="5"/>
  <c r="D220" i="6"/>
  <c r="W220" i="10"/>
  <c r="AK219" i="5"/>
  <c r="B219" i="6"/>
  <c r="H219" i="10"/>
  <c r="E219" i="17" s="1"/>
  <c r="B220" i="18" s="1"/>
  <c r="I219" i="10"/>
  <c r="F219" i="17" s="1"/>
  <c r="D220" i="18" s="1"/>
  <c r="L219" i="10"/>
  <c r="C219" i="6"/>
  <c r="J219" i="10"/>
  <c r="G219" i="17" s="1"/>
  <c r="F220" i="18" s="1"/>
  <c r="M219" i="10"/>
  <c r="I219" i="5"/>
  <c r="J219" i="5" s="1"/>
  <c r="AE219" i="5"/>
  <c r="AF219" i="5" s="1"/>
  <c r="C219" i="5"/>
  <c r="D219" i="5"/>
  <c r="Z219" i="5"/>
  <c r="AA219" i="5"/>
  <c r="D219" i="6"/>
  <c r="W219" i="10"/>
  <c r="AK218" i="5"/>
  <c r="B218" i="6"/>
  <c r="I218" i="10"/>
  <c r="F218" i="17" s="1"/>
  <c r="D219" i="18" s="1"/>
  <c r="L218" i="10"/>
  <c r="H218" i="10"/>
  <c r="E218" i="17" s="1"/>
  <c r="B219" i="18" s="1"/>
  <c r="C218" i="6"/>
  <c r="M218" i="10"/>
  <c r="J218" i="10"/>
  <c r="G218" i="17" s="1"/>
  <c r="F219" i="18" s="1"/>
  <c r="I218" i="5"/>
  <c r="J218" i="5" s="1"/>
  <c r="AE218" i="5"/>
  <c r="AF218" i="5" s="1"/>
  <c r="C218" i="5"/>
  <c r="D218" i="5"/>
  <c r="Z218" i="5"/>
  <c r="AA218" i="5"/>
  <c r="D218" i="6"/>
  <c r="W218" i="10"/>
  <c r="AK217" i="5"/>
  <c r="B217" i="6"/>
  <c r="H217" i="10"/>
  <c r="E217" i="17" s="1"/>
  <c r="B218" i="18" s="1"/>
  <c r="I217" i="10"/>
  <c r="F217" i="17" s="1"/>
  <c r="D218" i="18" s="1"/>
  <c r="L217" i="10"/>
  <c r="C217" i="6"/>
  <c r="J217" i="10"/>
  <c r="G217" i="17" s="1"/>
  <c r="F218" i="18" s="1"/>
  <c r="M217" i="10"/>
  <c r="I217" i="5"/>
  <c r="J217" i="5" s="1"/>
  <c r="AE217" i="5"/>
  <c r="AF217" i="5" s="1"/>
  <c r="C217" i="5"/>
  <c r="D217" i="5"/>
  <c r="Z217" i="5"/>
  <c r="AA217" i="5"/>
  <c r="D217" i="6"/>
  <c r="W217" i="10"/>
  <c r="AK216" i="5"/>
  <c r="B216" i="6"/>
  <c r="H216" i="10"/>
  <c r="E216" i="17" s="1"/>
  <c r="B217" i="18" s="1"/>
  <c r="I216" i="10"/>
  <c r="F216" i="17" s="1"/>
  <c r="D217" i="18" s="1"/>
  <c r="L216" i="10"/>
  <c r="C216" i="6"/>
  <c r="J216" i="10"/>
  <c r="G216" i="17" s="1"/>
  <c r="F217" i="18" s="1"/>
  <c r="M216" i="10"/>
  <c r="I216" i="5"/>
  <c r="J216" i="5" s="1"/>
  <c r="AE216" i="5"/>
  <c r="AF216" i="5" s="1"/>
  <c r="C216" i="5"/>
  <c r="D216" i="5"/>
  <c r="Z216" i="5"/>
  <c r="AA216" i="5"/>
  <c r="D216" i="6"/>
  <c r="W216" i="10"/>
  <c r="AK215" i="5"/>
  <c r="B215" i="6"/>
  <c r="H215" i="10"/>
  <c r="E215" i="17" s="1"/>
  <c r="B216" i="18" s="1"/>
  <c r="I215" i="10"/>
  <c r="F215" i="17" s="1"/>
  <c r="D216" i="18" s="1"/>
  <c r="L215" i="10"/>
  <c r="C215" i="6"/>
  <c r="J215" i="10"/>
  <c r="G215" i="17" s="1"/>
  <c r="F216" i="18" s="1"/>
  <c r="M215" i="10"/>
  <c r="I215" i="5"/>
  <c r="J215" i="5" s="1"/>
  <c r="AE215" i="5"/>
  <c r="AF215" i="5" s="1"/>
  <c r="C215" i="5"/>
  <c r="D215" i="5"/>
  <c r="Z215" i="5"/>
  <c r="AA215" i="5"/>
  <c r="D215" i="6"/>
  <c r="W215" i="10"/>
  <c r="AK214" i="5"/>
  <c r="B214" i="6"/>
  <c r="H214" i="10"/>
  <c r="E214" i="17" s="1"/>
  <c r="B215" i="18" s="1"/>
  <c r="I214" i="10"/>
  <c r="F214" i="17" s="1"/>
  <c r="D215" i="18" s="1"/>
  <c r="L214" i="10"/>
  <c r="C214" i="6"/>
  <c r="J214" i="10"/>
  <c r="G214" i="17" s="1"/>
  <c r="F215" i="18" s="1"/>
  <c r="M214" i="10"/>
  <c r="I214" i="5"/>
  <c r="J214" i="5" s="1"/>
  <c r="AE214" i="5"/>
  <c r="AF214" i="5" s="1"/>
  <c r="C214" i="5"/>
  <c r="D214" i="5"/>
  <c r="Z214" i="5"/>
  <c r="AA214" i="5"/>
  <c r="D214" i="6"/>
  <c r="W214" i="10"/>
  <c r="AK213" i="5"/>
  <c r="B213" i="6"/>
  <c r="H213" i="10"/>
  <c r="E213" i="17" s="1"/>
  <c r="B214" i="18" s="1"/>
  <c r="I213" i="10"/>
  <c r="F213" i="17" s="1"/>
  <c r="D214" i="18" s="1"/>
  <c r="L213" i="10"/>
  <c r="C213" i="6"/>
  <c r="J213" i="10"/>
  <c r="G213" i="17" s="1"/>
  <c r="F214" i="18" s="1"/>
  <c r="M213" i="10"/>
  <c r="I213" i="5"/>
  <c r="J213" i="5" s="1"/>
  <c r="AE213" i="5"/>
  <c r="AF213" i="5" s="1"/>
  <c r="C213" i="5"/>
  <c r="D213" i="5"/>
  <c r="Z213" i="5"/>
  <c r="AA213" i="5"/>
  <c r="D213" i="6"/>
  <c r="W213" i="10"/>
  <c r="AK212" i="5"/>
  <c r="B212" i="6"/>
  <c r="H212" i="10"/>
  <c r="E212" i="17" s="1"/>
  <c r="B213" i="18" s="1"/>
  <c r="I212" i="10"/>
  <c r="F212" i="17" s="1"/>
  <c r="D213" i="18" s="1"/>
  <c r="L212" i="10"/>
  <c r="C212" i="6"/>
  <c r="J212" i="10"/>
  <c r="G212" i="17" s="1"/>
  <c r="F213" i="18" s="1"/>
  <c r="M212" i="10"/>
  <c r="I212" i="5"/>
  <c r="J212" i="5" s="1"/>
  <c r="AE212" i="5"/>
  <c r="AF212" i="5" s="1"/>
  <c r="C212" i="5"/>
  <c r="D212" i="5"/>
  <c r="Z212" i="5"/>
  <c r="AA212" i="5"/>
  <c r="D212" i="6"/>
  <c r="W212" i="10"/>
  <c r="AK211" i="5"/>
  <c r="B211" i="6"/>
  <c r="H211" i="10"/>
  <c r="E211" i="17" s="1"/>
  <c r="B212" i="18" s="1"/>
  <c r="I211" i="10"/>
  <c r="F211" i="17" s="1"/>
  <c r="D212" i="18" s="1"/>
  <c r="L211" i="10"/>
  <c r="C211" i="6"/>
  <c r="J211" i="10"/>
  <c r="G211" i="17" s="1"/>
  <c r="F212" i="18" s="1"/>
  <c r="M211" i="10"/>
  <c r="I211" i="5"/>
  <c r="J211" i="5" s="1"/>
  <c r="AE211" i="5"/>
  <c r="AF211" i="5" s="1"/>
  <c r="C211" i="5"/>
  <c r="D211" i="5"/>
  <c r="Z211" i="5"/>
  <c r="AA211" i="5"/>
  <c r="D211" i="6"/>
  <c r="W211" i="10"/>
  <c r="AK210" i="5"/>
  <c r="B210" i="6"/>
  <c r="H210" i="10"/>
  <c r="E210" i="17" s="1"/>
  <c r="B211" i="18" s="1"/>
  <c r="I210" i="10"/>
  <c r="F210" i="17" s="1"/>
  <c r="D211" i="18" s="1"/>
  <c r="L210" i="10"/>
  <c r="C210" i="6"/>
  <c r="J210" i="10"/>
  <c r="G210" i="17" s="1"/>
  <c r="F211" i="18" s="1"/>
  <c r="M210" i="10"/>
  <c r="I210" i="5"/>
  <c r="J210" i="5" s="1"/>
  <c r="AE210" i="5"/>
  <c r="AF210" i="5" s="1"/>
  <c r="C210" i="5"/>
  <c r="D210" i="5"/>
  <c r="Z210" i="5"/>
  <c r="AA210" i="5"/>
  <c r="D210" i="6"/>
  <c r="W210" i="10"/>
  <c r="AK209" i="5"/>
  <c r="B209" i="6"/>
  <c r="H209" i="10"/>
  <c r="E209" i="17" s="1"/>
  <c r="B210" i="18" s="1"/>
  <c r="I209" i="10"/>
  <c r="F209" i="17" s="1"/>
  <c r="D210" i="18" s="1"/>
  <c r="L209" i="10"/>
  <c r="C209" i="6"/>
  <c r="J209" i="10"/>
  <c r="G209" i="17" s="1"/>
  <c r="F210" i="18" s="1"/>
  <c r="M209" i="10"/>
  <c r="I209" i="5"/>
  <c r="J209" i="5" s="1"/>
  <c r="AE209" i="5"/>
  <c r="AF209" i="5" s="1"/>
  <c r="C209" i="5"/>
  <c r="D209" i="5"/>
  <c r="Z209" i="5"/>
  <c r="AA209" i="5"/>
  <c r="D209" i="6"/>
  <c r="W209" i="10"/>
  <c r="AK208" i="5"/>
  <c r="B208" i="6"/>
  <c r="H208" i="10"/>
  <c r="E208" i="17" s="1"/>
  <c r="B209" i="18" s="1"/>
  <c r="I208" i="10"/>
  <c r="F208" i="17" s="1"/>
  <c r="D209" i="18" s="1"/>
  <c r="L208" i="10"/>
  <c r="C208" i="6"/>
  <c r="J208" i="10"/>
  <c r="G208" i="17" s="1"/>
  <c r="F209" i="18" s="1"/>
  <c r="M208" i="10"/>
  <c r="I208" i="5"/>
  <c r="J208" i="5" s="1"/>
  <c r="AE208" i="5"/>
  <c r="AF208" i="5" s="1"/>
  <c r="C208" i="5"/>
  <c r="D208" i="5"/>
  <c r="Z208" i="5"/>
  <c r="AA208" i="5"/>
  <c r="D208" i="6"/>
  <c r="W208" i="10"/>
  <c r="AK207" i="5"/>
  <c r="B207" i="6"/>
  <c r="H207" i="10"/>
  <c r="E207" i="17" s="1"/>
  <c r="B208" i="18" s="1"/>
  <c r="I207" i="10"/>
  <c r="F207" i="17" s="1"/>
  <c r="D208" i="18" s="1"/>
  <c r="L207" i="10"/>
  <c r="C207" i="6"/>
  <c r="J207" i="10"/>
  <c r="G207" i="17" s="1"/>
  <c r="F208" i="18" s="1"/>
  <c r="M207" i="10"/>
  <c r="I207" i="5"/>
  <c r="J207" i="5" s="1"/>
  <c r="AE207" i="5"/>
  <c r="AF207" i="5" s="1"/>
  <c r="C207" i="5"/>
  <c r="D207" i="5"/>
  <c r="Z207" i="5"/>
  <c r="AA207" i="5"/>
  <c r="D207" i="6"/>
  <c r="W207" i="10"/>
  <c r="AK206" i="5"/>
  <c r="B206" i="6"/>
  <c r="H206" i="10"/>
  <c r="E206" i="17" s="1"/>
  <c r="B207" i="18" s="1"/>
  <c r="I206" i="10"/>
  <c r="F206" i="17" s="1"/>
  <c r="D207" i="18" s="1"/>
  <c r="L206" i="10"/>
  <c r="C206" i="6"/>
  <c r="J206" i="10"/>
  <c r="G206" i="17" s="1"/>
  <c r="F207" i="18" s="1"/>
  <c r="M206" i="10"/>
  <c r="I206" i="5"/>
  <c r="J206" i="5" s="1"/>
  <c r="AE206" i="5"/>
  <c r="AF206" i="5" s="1"/>
  <c r="C206" i="5"/>
  <c r="D206" i="5"/>
  <c r="Z206" i="5"/>
  <c r="AA206" i="5"/>
  <c r="D206" i="6"/>
  <c r="W206" i="10"/>
  <c r="AK205" i="5"/>
  <c r="B205" i="6"/>
  <c r="H205" i="10"/>
  <c r="E205" i="17" s="1"/>
  <c r="B206" i="18" s="1"/>
  <c r="I205" i="10"/>
  <c r="F205" i="17" s="1"/>
  <c r="D206" i="18" s="1"/>
  <c r="L205" i="10"/>
  <c r="C205" i="6"/>
  <c r="J205" i="10"/>
  <c r="G205" i="17" s="1"/>
  <c r="F206" i="18" s="1"/>
  <c r="M205" i="10"/>
  <c r="I205" i="5"/>
  <c r="J205" i="5" s="1"/>
  <c r="AE205" i="5"/>
  <c r="AF205" i="5" s="1"/>
  <c r="C205" i="5"/>
  <c r="D205" i="5"/>
  <c r="Z205" i="5"/>
  <c r="AA205" i="5"/>
  <c r="D205" i="6"/>
  <c r="W205" i="10"/>
  <c r="AK204" i="5"/>
  <c r="B204" i="6"/>
  <c r="H204" i="10"/>
  <c r="E204" i="17" s="1"/>
  <c r="B205" i="18" s="1"/>
  <c r="I204" i="10"/>
  <c r="F204" i="17" s="1"/>
  <c r="D205" i="18" s="1"/>
  <c r="L204" i="10"/>
  <c r="C204" i="6"/>
  <c r="J204" i="10"/>
  <c r="G204" i="17" s="1"/>
  <c r="F205" i="18" s="1"/>
  <c r="M204" i="10"/>
  <c r="I204" i="5"/>
  <c r="J204" i="5" s="1"/>
  <c r="AE204" i="5"/>
  <c r="AF204" i="5" s="1"/>
  <c r="C204" i="5"/>
  <c r="D204" i="5"/>
  <c r="Z204" i="5"/>
  <c r="AA204" i="5"/>
  <c r="D204" i="6"/>
  <c r="W204" i="10"/>
  <c r="AK203" i="5"/>
  <c r="B203" i="6"/>
  <c r="H203" i="10"/>
  <c r="E203" i="17" s="1"/>
  <c r="B204" i="18" s="1"/>
  <c r="I203" i="10"/>
  <c r="F203" i="17" s="1"/>
  <c r="D204" i="18" s="1"/>
  <c r="L203" i="10"/>
  <c r="C203" i="6"/>
  <c r="J203" i="10"/>
  <c r="G203" i="17" s="1"/>
  <c r="F204" i="18" s="1"/>
  <c r="M203" i="10"/>
  <c r="I203" i="5"/>
  <c r="J203" i="5" s="1"/>
  <c r="AE203" i="5"/>
  <c r="AF203" i="5" s="1"/>
  <c r="C203" i="5"/>
  <c r="D203" i="5"/>
  <c r="Z203" i="5"/>
  <c r="AA203" i="5"/>
  <c r="D203" i="6"/>
  <c r="W203" i="10"/>
  <c r="AK202" i="5"/>
  <c r="B202" i="6"/>
  <c r="H202" i="10"/>
  <c r="E202" i="17" s="1"/>
  <c r="B203" i="18" s="1"/>
  <c r="I202" i="10"/>
  <c r="F202" i="17" s="1"/>
  <c r="D203" i="18" s="1"/>
  <c r="L202" i="10"/>
  <c r="C202" i="6"/>
  <c r="J202" i="10"/>
  <c r="G202" i="17" s="1"/>
  <c r="F203" i="18" s="1"/>
  <c r="M202" i="10"/>
  <c r="I202" i="5"/>
  <c r="J202" i="5" s="1"/>
  <c r="AE202" i="5"/>
  <c r="AF202" i="5" s="1"/>
  <c r="C202" i="5"/>
  <c r="D202" i="5"/>
  <c r="Z202" i="5"/>
  <c r="AA202" i="5"/>
  <c r="D202" i="6"/>
  <c r="W202" i="10"/>
  <c r="AK201" i="5"/>
  <c r="B201" i="6"/>
  <c r="H201" i="10"/>
  <c r="E201" i="17" s="1"/>
  <c r="B202" i="18" s="1"/>
  <c r="I201" i="10"/>
  <c r="F201" i="17" s="1"/>
  <c r="D202" i="18" s="1"/>
  <c r="L201" i="10"/>
  <c r="C201" i="6"/>
  <c r="J201" i="10"/>
  <c r="G201" i="17" s="1"/>
  <c r="F202" i="18" s="1"/>
  <c r="M201" i="10"/>
  <c r="I201" i="5"/>
  <c r="J201" i="5" s="1"/>
  <c r="AE201" i="5"/>
  <c r="AF201" i="5" s="1"/>
  <c r="C201" i="5"/>
  <c r="D201" i="5"/>
  <c r="Z201" i="5"/>
  <c r="AA201" i="5"/>
  <c r="D201" i="6"/>
  <c r="W201" i="10"/>
  <c r="AK200" i="5"/>
  <c r="B200" i="6"/>
  <c r="H200" i="10"/>
  <c r="E200" i="17" s="1"/>
  <c r="B201" i="18" s="1"/>
  <c r="I200" i="10"/>
  <c r="F200" i="17" s="1"/>
  <c r="D201" i="18" s="1"/>
  <c r="L200" i="10"/>
  <c r="C200" i="6"/>
  <c r="J200" i="10"/>
  <c r="G200" i="17" s="1"/>
  <c r="F201" i="18" s="1"/>
  <c r="M200" i="10"/>
  <c r="I200" i="5"/>
  <c r="J200" i="5" s="1"/>
  <c r="AE200" i="5"/>
  <c r="AF200" i="5" s="1"/>
  <c r="C200" i="5"/>
  <c r="D200" i="5"/>
  <c r="Z200" i="5"/>
  <c r="AA200" i="5"/>
  <c r="D200" i="6"/>
  <c r="W200" i="10"/>
  <c r="AK199" i="5"/>
  <c r="B199" i="6"/>
  <c r="H199" i="10"/>
  <c r="E199" i="17" s="1"/>
  <c r="B200" i="18" s="1"/>
  <c r="I199" i="10"/>
  <c r="F199" i="17" s="1"/>
  <c r="D200" i="18" s="1"/>
  <c r="L199" i="10"/>
  <c r="C199" i="6"/>
  <c r="J199" i="10"/>
  <c r="G199" i="17" s="1"/>
  <c r="F200" i="18" s="1"/>
  <c r="M199" i="10"/>
  <c r="I199" i="5"/>
  <c r="J199" i="5" s="1"/>
  <c r="AE199" i="5"/>
  <c r="AF199" i="5" s="1"/>
  <c r="C199" i="5"/>
  <c r="D199" i="5"/>
  <c r="Z199" i="5"/>
  <c r="AA199" i="5"/>
  <c r="D199" i="6"/>
  <c r="W199" i="10"/>
  <c r="AK198" i="5"/>
  <c r="B198" i="6"/>
  <c r="H198" i="10"/>
  <c r="E198" i="17" s="1"/>
  <c r="B199" i="18" s="1"/>
  <c r="I198" i="10"/>
  <c r="F198" i="17" s="1"/>
  <c r="D199" i="18" s="1"/>
  <c r="L198" i="10"/>
  <c r="C198" i="6"/>
  <c r="J198" i="10"/>
  <c r="G198" i="17" s="1"/>
  <c r="F199" i="18" s="1"/>
  <c r="M198" i="10"/>
  <c r="I198" i="5"/>
  <c r="J198" i="5" s="1"/>
  <c r="AE198" i="5"/>
  <c r="AF198" i="5" s="1"/>
  <c r="C198" i="5"/>
  <c r="D198" i="5"/>
  <c r="Z198" i="5"/>
  <c r="AA198" i="5"/>
  <c r="D198" i="6"/>
  <c r="W198" i="10"/>
  <c r="AK197" i="5"/>
  <c r="B197" i="6"/>
  <c r="H197" i="10"/>
  <c r="E197" i="17" s="1"/>
  <c r="B198" i="18" s="1"/>
  <c r="I197" i="10"/>
  <c r="F197" i="17" s="1"/>
  <c r="D198" i="18" s="1"/>
  <c r="L197" i="10"/>
  <c r="C197" i="6"/>
  <c r="J197" i="10"/>
  <c r="G197" i="17" s="1"/>
  <c r="F198" i="18" s="1"/>
  <c r="M197" i="10"/>
  <c r="I197" i="5"/>
  <c r="J197" i="5" s="1"/>
  <c r="AE197" i="5"/>
  <c r="AF197" i="5" s="1"/>
  <c r="C197" i="5"/>
  <c r="D197" i="5"/>
  <c r="Z197" i="5"/>
  <c r="AA197" i="5"/>
  <c r="D197" i="6"/>
  <c r="W197" i="10"/>
  <c r="AK196" i="5"/>
  <c r="B196" i="6"/>
  <c r="H196" i="10"/>
  <c r="E196" i="17" s="1"/>
  <c r="B197" i="18" s="1"/>
  <c r="I196" i="10"/>
  <c r="F196" i="17" s="1"/>
  <c r="D197" i="18" s="1"/>
  <c r="L196" i="10"/>
  <c r="C196" i="6"/>
  <c r="J196" i="10"/>
  <c r="G196" i="17" s="1"/>
  <c r="F197" i="18" s="1"/>
  <c r="M196" i="10"/>
  <c r="I196" i="5"/>
  <c r="J196" i="5" s="1"/>
  <c r="AE196" i="5"/>
  <c r="AF196" i="5" s="1"/>
  <c r="C196" i="5"/>
  <c r="D196" i="5"/>
  <c r="Z196" i="5"/>
  <c r="AA196" i="5"/>
  <c r="D196" i="6"/>
  <c r="W196" i="10"/>
  <c r="AK195" i="5"/>
  <c r="B195" i="6"/>
  <c r="H195" i="10"/>
  <c r="E195" i="17" s="1"/>
  <c r="B196" i="18" s="1"/>
  <c r="I195" i="10"/>
  <c r="F195" i="17" s="1"/>
  <c r="D196" i="18" s="1"/>
  <c r="L195" i="10"/>
  <c r="C195" i="6"/>
  <c r="J195" i="10"/>
  <c r="G195" i="17" s="1"/>
  <c r="F196" i="18" s="1"/>
  <c r="M195" i="10"/>
  <c r="I195" i="5"/>
  <c r="J195" i="5" s="1"/>
  <c r="AE195" i="5"/>
  <c r="AF195" i="5" s="1"/>
  <c r="C195" i="5"/>
  <c r="D195" i="5"/>
  <c r="Z195" i="5"/>
  <c r="AA195" i="5"/>
  <c r="D195" i="6"/>
  <c r="W195" i="10"/>
  <c r="AK194" i="5"/>
  <c r="B194" i="6"/>
  <c r="H194" i="10"/>
  <c r="E194" i="17" s="1"/>
  <c r="B195" i="18" s="1"/>
  <c r="I194" i="10"/>
  <c r="F194" i="17" s="1"/>
  <c r="D195" i="18" s="1"/>
  <c r="L194" i="10"/>
  <c r="C194" i="6"/>
  <c r="J194" i="10"/>
  <c r="G194" i="17" s="1"/>
  <c r="F195" i="18" s="1"/>
  <c r="M194" i="10"/>
  <c r="I194" i="5"/>
  <c r="J194" i="5" s="1"/>
  <c r="AE194" i="5"/>
  <c r="AF194" i="5" s="1"/>
  <c r="C194" i="5"/>
  <c r="D194" i="5"/>
  <c r="Z194" i="5"/>
  <c r="AA194" i="5"/>
  <c r="D194" i="6"/>
  <c r="W194" i="10"/>
  <c r="AK193" i="5"/>
  <c r="B193" i="6"/>
  <c r="H193" i="10"/>
  <c r="E193" i="17" s="1"/>
  <c r="B194" i="18" s="1"/>
  <c r="I193" i="10"/>
  <c r="F193" i="17" s="1"/>
  <c r="D194" i="18" s="1"/>
  <c r="L193" i="10"/>
  <c r="C193" i="6"/>
  <c r="J193" i="10"/>
  <c r="G193" i="17" s="1"/>
  <c r="F194" i="18" s="1"/>
  <c r="M193" i="10"/>
  <c r="I193" i="5"/>
  <c r="J193" i="5" s="1"/>
  <c r="AE193" i="5"/>
  <c r="AF193" i="5" s="1"/>
  <c r="C193" i="5"/>
  <c r="D193" i="5"/>
  <c r="Z193" i="5"/>
  <c r="AA193" i="5"/>
  <c r="D193" i="6"/>
  <c r="W193" i="10"/>
  <c r="AK190" i="5"/>
  <c r="B190" i="6"/>
  <c r="H190" i="10"/>
  <c r="E190" i="17" s="1"/>
  <c r="B191" i="18" s="1"/>
  <c r="I190" i="10"/>
  <c r="F190" i="17" s="1"/>
  <c r="D191" i="18" s="1"/>
  <c r="L190" i="10"/>
  <c r="C190" i="6"/>
  <c r="J190" i="10"/>
  <c r="G190" i="17" s="1"/>
  <c r="F191" i="18" s="1"/>
  <c r="M190" i="10"/>
  <c r="I190" i="5"/>
  <c r="J190" i="5" s="1"/>
  <c r="AE190" i="5"/>
  <c r="AF190" i="5" s="1"/>
  <c r="C190" i="5"/>
  <c r="D190" i="5"/>
  <c r="Z190" i="5"/>
  <c r="AA190" i="5"/>
  <c r="D190" i="6"/>
  <c r="W190" i="10"/>
  <c r="AK189" i="5"/>
  <c r="B189" i="6"/>
  <c r="H189" i="10"/>
  <c r="E189" i="17" s="1"/>
  <c r="B190" i="18" s="1"/>
  <c r="I189" i="10"/>
  <c r="F189" i="17" s="1"/>
  <c r="D190" i="18" s="1"/>
  <c r="L189" i="10"/>
  <c r="C189" i="6"/>
  <c r="J189" i="10"/>
  <c r="G189" i="17" s="1"/>
  <c r="F190" i="18" s="1"/>
  <c r="M189" i="10"/>
  <c r="I189" i="5"/>
  <c r="J189" i="5" s="1"/>
  <c r="AE189" i="5"/>
  <c r="AF189" i="5" s="1"/>
  <c r="C189" i="5"/>
  <c r="D189" i="5"/>
  <c r="Z189" i="5"/>
  <c r="AA189" i="5"/>
  <c r="D189" i="6"/>
  <c r="W189" i="10"/>
  <c r="AK188" i="5"/>
  <c r="B188" i="6"/>
  <c r="H188" i="10"/>
  <c r="E188" i="17" s="1"/>
  <c r="B189" i="18" s="1"/>
  <c r="I188" i="10"/>
  <c r="F188" i="17" s="1"/>
  <c r="D189" i="18" s="1"/>
  <c r="L188" i="10"/>
  <c r="C188" i="6"/>
  <c r="J188" i="10"/>
  <c r="G188" i="17" s="1"/>
  <c r="F189" i="18" s="1"/>
  <c r="M188" i="10"/>
  <c r="I188" i="5"/>
  <c r="J188" i="5" s="1"/>
  <c r="AE188" i="5"/>
  <c r="AF188" i="5" s="1"/>
  <c r="C188" i="5"/>
  <c r="D188" i="5"/>
  <c r="Z188" i="5"/>
  <c r="AA188" i="5"/>
  <c r="D188" i="6"/>
  <c r="W188" i="10"/>
  <c r="AK187" i="5"/>
  <c r="B187" i="6"/>
  <c r="H187" i="10"/>
  <c r="E187" i="17" s="1"/>
  <c r="B188" i="18" s="1"/>
  <c r="I187" i="10"/>
  <c r="F187" i="17" s="1"/>
  <c r="D188" i="18" s="1"/>
  <c r="L187" i="10"/>
  <c r="C187" i="6"/>
  <c r="J187" i="10"/>
  <c r="G187" i="17" s="1"/>
  <c r="F188" i="18" s="1"/>
  <c r="M187" i="10"/>
  <c r="I187" i="5"/>
  <c r="J187" i="5" s="1"/>
  <c r="AE187" i="5"/>
  <c r="AF187" i="5" s="1"/>
  <c r="C187" i="5"/>
  <c r="D187" i="5"/>
  <c r="Z187" i="5"/>
  <c r="AA187" i="5"/>
  <c r="D187" i="6"/>
  <c r="W187" i="10"/>
  <c r="AK186" i="5"/>
  <c r="B186" i="6"/>
  <c r="H186" i="10"/>
  <c r="E186" i="17" s="1"/>
  <c r="B187" i="18" s="1"/>
  <c r="I186" i="10"/>
  <c r="F186" i="17" s="1"/>
  <c r="D187" i="18" s="1"/>
  <c r="L186" i="10"/>
  <c r="C186" i="6"/>
  <c r="J186" i="10"/>
  <c r="G186" i="17" s="1"/>
  <c r="F187" i="18" s="1"/>
  <c r="M186" i="10"/>
  <c r="I186" i="5"/>
  <c r="J186" i="5" s="1"/>
  <c r="AE186" i="5"/>
  <c r="AF186" i="5" s="1"/>
  <c r="C186" i="5"/>
  <c r="D186" i="5"/>
  <c r="Z186" i="5"/>
  <c r="AA186" i="5"/>
  <c r="D186" i="6"/>
  <c r="W186" i="10"/>
  <c r="AK185" i="5"/>
  <c r="B185" i="6"/>
  <c r="H185" i="10"/>
  <c r="E185" i="17" s="1"/>
  <c r="B186" i="18" s="1"/>
  <c r="I185" i="10"/>
  <c r="F185" i="17" s="1"/>
  <c r="D186" i="18" s="1"/>
  <c r="L185" i="10"/>
  <c r="C185" i="6"/>
  <c r="J185" i="10"/>
  <c r="G185" i="17" s="1"/>
  <c r="F186" i="18" s="1"/>
  <c r="M185" i="10"/>
  <c r="I185" i="5"/>
  <c r="J185" i="5" s="1"/>
  <c r="AE185" i="5"/>
  <c r="AF185" i="5" s="1"/>
  <c r="C185" i="5"/>
  <c r="D185" i="5"/>
  <c r="Z185" i="5"/>
  <c r="AA185" i="5"/>
  <c r="D185" i="6"/>
  <c r="W185" i="10"/>
  <c r="AK184" i="5"/>
  <c r="B184" i="6"/>
  <c r="H184" i="10"/>
  <c r="E184" i="17" s="1"/>
  <c r="B185" i="18" s="1"/>
  <c r="I184" i="10"/>
  <c r="F184" i="17" s="1"/>
  <c r="D185" i="18" s="1"/>
  <c r="L184" i="10"/>
  <c r="C184" i="6"/>
  <c r="J184" i="10"/>
  <c r="G184" i="17" s="1"/>
  <c r="F185" i="18" s="1"/>
  <c r="M184" i="10"/>
  <c r="I184" i="5"/>
  <c r="J184" i="5" s="1"/>
  <c r="AE184" i="5"/>
  <c r="AF184" i="5" s="1"/>
  <c r="C184" i="5"/>
  <c r="D184" i="5"/>
  <c r="Z184" i="5"/>
  <c r="AA184" i="5"/>
  <c r="D184" i="6"/>
  <c r="W184" i="10"/>
  <c r="AK183" i="5"/>
  <c r="B183" i="6"/>
  <c r="H183" i="10"/>
  <c r="E183" i="17" s="1"/>
  <c r="B184" i="18" s="1"/>
  <c r="I183" i="10"/>
  <c r="F183" i="17" s="1"/>
  <c r="D184" i="18" s="1"/>
  <c r="L183" i="10"/>
  <c r="C183" i="6"/>
  <c r="J183" i="10"/>
  <c r="G183" i="17" s="1"/>
  <c r="F184" i="18" s="1"/>
  <c r="M183" i="10"/>
  <c r="I183" i="5"/>
  <c r="J183" i="5" s="1"/>
  <c r="AE183" i="5"/>
  <c r="AF183" i="5" s="1"/>
  <c r="C183" i="5"/>
  <c r="D183" i="5"/>
  <c r="Z183" i="5"/>
  <c r="AA183" i="5"/>
  <c r="D183" i="6"/>
  <c r="W183" i="10"/>
  <c r="AK182" i="5"/>
  <c r="B182" i="6"/>
  <c r="H182" i="10"/>
  <c r="E182" i="17" s="1"/>
  <c r="B183" i="18" s="1"/>
  <c r="I182" i="10"/>
  <c r="F182" i="17" s="1"/>
  <c r="D183" i="18" s="1"/>
  <c r="L182" i="10"/>
  <c r="C182" i="6"/>
  <c r="J182" i="10"/>
  <c r="G182" i="17" s="1"/>
  <c r="F183" i="18" s="1"/>
  <c r="M182" i="10"/>
  <c r="AE182" i="5"/>
  <c r="AF182" i="5" s="1"/>
  <c r="I182" i="5"/>
  <c r="J182" i="5" s="1"/>
  <c r="AK181" i="5"/>
  <c r="B181" i="6"/>
  <c r="H181" i="10"/>
  <c r="E181" i="17" s="1"/>
  <c r="B182" i="18" s="1"/>
  <c r="I181" i="10"/>
  <c r="F181" i="17" s="1"/>
  <c r="D182" i="18" s="1"/>
  <c r="L181" i="10"/>
  <c r="C179" i="6"/>
  <c r="J179" i="10"/>
  <c r="G179" i="17" s="1"/>
  <c r="F180" i="18" s="1"/>
  <c r="M179" i="10"/>
  <c r="I179" i="5"/>
  <c r="J179" i="5" s="1"/>
  <c r="AE179" i="5"/>
  <c r="AF179" i="5" s="1"/>
  <c r="C178" i="6"/>
  <c r="J178" i="10"/>
  <c r="G178" i="17" s="1"/>
  <c r="F179" i="18" s="1"/>
  <c r="M178" i="10"/>
  <c r="B176" i="6"/>
  <c r="AK176" i="5"/>
  <c r="H176" i="10"/>
  <c r="E176" i="17" s="1"/>
  <c r="B177" i="18" s="1"/>
  <c r="I176" i="10"/>
  <c r="F176" i="17" s="1"/>
  <c r="D177" i="18" s="1"/>
  <c r="L176" i="10"/>
  <c r="I176" i="5"/>
  <c r="J176" i="5" s="1"/>
  <c r="AE176" i="5"/>
  <c r="AF176" i="5" s="1"/>
  <c r="B174" i="6"/>
  <c r="AK174" i="5"/>
  <c r="H174" i="10"/>
  <c r="E174" i="17" s="1"/>
  <c r="B175" i="18" s="1"/>
  <c r="I174" i="10"/>
  <c r="F174" i="17" s="1"/>
  <c r="D175" i="18" s="1"/>
  <c r="L174" i="10"/>
  <c r="I174" i="5"/>
  <c r="J174" i="5" s="1"/>
  <c r="AE174" i="5"/>
  <c r="AF174" i="5" s="1"/>
  <c r="B173" i="6"/>
  <c r="AK173" i="5"/>
  <c r="H173" i="10"/>
  <c r="E173" i="17" s="1"/>
  <c r="B174" i="18" s="1"/>
  <c r="I173" i="10"/>
  <c r="F173" i="17" s="1"/>
  <c r="D174" i="18" s="1"/>
  <c r="L173" i="10"/>
  <c r="B172" i="6"/>
  <c r="AK172" i="5"/>
  <c r="H172" i="10"/>
  <c r="E172" i="17" s="1"/>
  <c r="B173" i="18" s="1"/>
  <c r="I172" i="10"/>
  <c r="F172" i="17" s="1"/>
  <c r="D173" i="18" s="1"/>
  <c r="L172" i="10"/>
  <c r="AK171" i="5"/>
  <c r="B171" i="6"/>
  <c r="H171" i="10"/>
  <c r="E171" i="17" s="1"/>
  <c r="B172" i="18" s="1"/>
  <c r="I171" i="10"/>
  <c r="F171" i="17" s="1"/>
  <c r="D172" i="18" s="1"/>
  <c r="L171" i="10"/>
  <c r="AE171" i="5"/>
  <c r="AF171" i="5" s="1"/>
  <c r="I171" i="5"/>
  <c r="J171" i="5" s="1"/>
  <c r="B170" i="6"/>
  <c r="AK170" i="5"/>
  <c r="H170" i="10"/>
  <c r="E170" i="17" s="1"/>
  <c r="B171" i="18" s="1"/>
  <c r="I170" i="10"/>
  <c r="F170" i="17" s="1"/>
  <c r="D171" i="18" s="1"/>
  <c r="L170" i="10"/>
  <c r="I169" i="5"/>
  <c r="J169" i="5" s="1"/>
  <c r="AE169" i="5"/>
  <c r="AF169" i="5" s="1"/>
  <c r="D169" i="5"/>
  <c r="D169" i="6"/>
  <c r="Z169" i="5"/>
  <c r="C169" i="5"/>
  <c r="K169" i="5" s="1"/>
  <c r="L169" i="5" s="1"/>
  <c r="AA169" i="5"/>
  <c r="W169" i="10"/>
  <c r="B168" i="6"/>
  <c r="AK168" i="5"/>
  <c r="H168" i="10"/>
  <c r="E168" i="17" s="1"/>
  <c r="B169" i="18" s="1"/>
  <c r="I168" i="10"/>
  <c r="F168" i="17" s="1"/>
  <c r="D169" i="18" s="1"/>
  <c r="L168" i="10"/>
  <c r="D168" i="6"/>
  <c r="D168" i="5"/>
  <c r="AA168" i="5"/>
  <c r="C168" i="5"/>
  <c r="K168" i="5" s="1"/>
  <c r="L168" i="5" s="1"/>
  <c r="Z168" i="5"/>
  <c r="AG168" i="5" s="1"/>
  <c r="AH168" i="5" s="1"/>
  <c r="W168" i="10"/>
  <c r="C166" i="6"/>
  <c r="J166" i="10"/>
  <c r="G166" i="17" s="1"/>
  <c r="F167" i="18" s="1"/>
  <c r="M166" i="10"/>
  <c r="C165" i="6"/>
  <c r="J165" i="10"/>
  <c r="G165" i="17" s="1"/>
  <c r="F166" i="18" s="1"/>
  <c r="M165" i="10"/>
  <c r="I165" i="5"/>
  <c r="J165" i="5" s="1"/>
  <c r="AE165" i="5"/>
  <c r="AF165" i="5" s="1"/>
  <c r="B164" i="6"/>
  <c r="AK164" i="5"/>
  <c r="H164" i="10"/>
  <c r="E164" i="17" s="1"/>
  <c r="B165" i="18" s="1"/>
  <c r="I164" i="10"/>
  <c r="F164" i="17" s="1"/>
  <c r="D165" i="18" s="1"/>
  <c r="L164" i="10"/>
  <c r="AE164" i="5"/>
  <c r="AF164" i="5" s="1"/>
  <c r="I164" i="5"/>
  <c r="J164" i="5" s="1"/>
  <c r="C164" i="5"/>
  <c r="D164" i="6"/>
  <c r="D164" i="5"/>
  <c r="Z164" i="5"/>
  <c r="AA164" i="5"/>
  <c r="W164" i="10"/>
  <c r="I162" i="5"/>
  <c r="J162" i="5" s="1"/>
  <c r="AE162" i="5"/>
  <c r="AF162" i="5" s="1"/>
  <c r="C161" i="6"/>
  <c r="J161" i="10"/>
  <c r="G161" i="17" s="1"/>
  <c r="F162" i="18" s="1"/>
  <c r="M161" i="10"/>
  <c r="I160" i="5"/>
  <c r="J160" i="5" s="1"/>
  <c r="AE160" i="5"/>
  <c r="AF160" i="5" s="1"/>
  <c r="C158" i="5"/>
  <c r="Z158" i="5"/>
  <c r="D158" i="6"/>
  <c r="D158" i="5"/>
  <c r="AA158" i="5"/>
  <c r="W158" i="10"/>
  <c r="C157" i="6"/>
  <c r="J157" i="10"/>
  <c r="G157" i="17" s="1"/>
  <c r="F158" i="18" s="1"/>
  <c r="M157" i="10"/>
  <c r="I157" i="5"/>
  <c r="J157" i="5" s="1"/>
  <c r="AE157" i="5"/>
  <c r="AF157" i="5" s="1"/>
  <c r="B156" i="6"/>
  <c r="AK156" i="5"/>
  <c r="H156" i="10"/>
  <c r="E156" i="17" s="1"/>
  <c r="B157" i="18" s="1"/>
  <c r="I156" i="10"/>
  <c r="F156" i="17" s="1"/>
  <c r="D157" i="18" s="1"/>
  <c r="L156" i="10"/>
  <c r="I156" i="5"/>
  <c r="J156" i="5" s="1"/>
  <c r="AE156" i="5"/>
  <c r="AF156" i="5" s="1"/>
  <c r="C155" i="6"/>
  <c r="J155" i="10"/>
  <c r="G155" i="17" s="1"/>
  <c r="F156" i="18" s="1"/>
  <c r="M155" i="10"/>
  <c r="AE155" i="5"/>
  <c r="AF155" i="5" s="1"/>
  <c r="I155" i="5"/>
  <c r="J155" i="5" s="1"/>
  <c r="I154" i="5"/>
  <c r="J154" i="5" s="1"/>
  <c r="AE154" i="5"/>
  <c r="AF154" i="5" s="1"/>
  <c r="AK153" i="5"/>
  <c r="B153" i="6"/>
  <c r="H153" i="10"/>
  <c r="E153" i="17" s="1"/>
  <c r="B154" i="18" s="1"/>
  <c r="I153" i="10"/>
  <c r="F153" i="17" s="1"/>
  <c r="D154" i="18" s="1"/>
  <c r="L153" i="10"/>
  <c r="AE153" i="5"/>
  <c r="AF153" i="5" s="1"/>
  <c r="I153" i="5"/>
  <c r="J153" i="5" s="1"/>
  <c r="B152" i="6"/>
  <c r="AK152" i="5"/>
  <c r="H152" i="10"/>
  <c r="E152" i="17" s="1"/>
  <c r="B153" i="18" s="1"/>
  <c r="I152" i="10"/>
  <c r="F152" i="17" s="1"/>
  <c r="D153" i="18" s="1"/>
  <c r="L152" i="10"/>
  <c r="I152" i="5"/>
  <c r="J152" i="5" s="1"/>
  <c r="AE152" i="5"/>
  <c r="AF152" i="5" s="1"/>
  <c r="AK151" i="5"/>
  <c r="B151" i="6"/>
  <c r="H151" i="10"/>
  <c r="E151" i="17" s="1"/>
  <c r="B152" i="18" s="1"/>
  <c r="I151" i="10"/>
  <c r="F151" i="17" s="1"/>
  <c r="D152" i="18" s="1"/>
  <c r="L151" i="10"/>
  <c r="C150" i="6"/>
  <c r="J150" i="10"/>
  <c r="G150" i="17" s="1"/>
  <c r="F151" i="18" s="1"/>
  <c r="M150" i="10"/>
  <c r="B148" i="6"/>
  <c r="AK148" i="5"/>
  <c r="H148" i="10"/>
  <c r="E148" i="17" s="1"/>
  <c r="B149" i="18" s="1"/>
  <c r="I148" i="10"/>
  <c r="F148" i="17" s="1"/>
  <c r="D149" i="18" s="1"/>
  <c r="L148" i="10"/>
  <c r="C148" i="6"/>
  <c r="J148" i="10"/>
  <c r="G148" i="17" s="1"/>
  <c r="F149" i="18" s="1"/>
  <c r="M148" i="10"/>
  <c r="C148" i="5"/>
  <c r="Z148" i="5"/>
  <c r="AA148" i="5"/>
  <c r="D148" i="6"/>
  <c r="D148" i="5"/>
  <c r="W148" i="10"/>
  <c r="AK147" i="5"/>
  <c r="B147" i="6"/>
  <c r="H147" i="10"/>
  <c r="E147" i="17" s="1"/>
  <c r="B148" i="18" s="1"/>
  <c r="I147" i="10"/>
  <c r="F147" i="17" s="1"/>
  <c r="D148" i="18" s="1"/>
  <c r="L147" i="10"/>
  <c r="I147" i="5"/>
  <c r="J147" i="5" s="1"/>
  <c r="AE147" i="5"/>
  <c r="AF147" i="5" s="1"/>
  <c r="B146" i="6"/>
  <c r="AK146" i="5"/>
  <c r="H146" i="10"/>
  <c r="E146" i="17" s="1"/>
  <c r="B147" i="18" s="1"/>
  <c r="I146" i="10"/>
  <c r="F146" i="17" s="1"/>
  <c r="D147" i="18" s="1"/>
  <c r="L146" i="10"/>
  <c r="I146" i="5"/>
  <c r="J146" i="5" s="1"/>
  <c r="AE146" i="5"/>
  <c r="AF146" i="5" s="1"/>
  <c r="C145" i="6"/>
  <c r="J145" i="10"/>
  <c r="G145" i="17" s="1"/>
  <c r="F146" i="18" s="1"/>
  <c r="M145" i="10"/>
  <c r="Z145" i="5"/>
  <c r="AA145" i="5"/>
  <c r="D145" i="6"/>
  <c r="W145" i="10"/>
  <c r="C145" i="5"/>
  <c r="D145" i="5"/>
  <c r="D142" i="6"/>
  <c r="D142" i="5"/>
  <c r="W142" i="10"/>
  <c r="AA142" i="5"/>
  <c r="C142" i="5"/>
  <c r="K142" i="5" s="1"/>
  <c r="L142" i="5" s="1"/>
  <c r="Z142" i="5"/>
  <c r="AG142" i="5" s="1"/>
  <c r="AH142" i="5" s="1"/>
  <c r="B141" i="6"/>
  <c r="H141" i="10"/>
  <c r="E141" i="17" s="1"/>
  <c r="B142" i="18" s="1"/>
  <c r="I141" i="10"/>
  <c r="F141" i="17" s="1"/>
  <c r="D142" i="18" s="1"/>
  <c r="L141" i="10"/>
  <c r="AK141" i="5"/>
  <c r="AE134" i="5"/>
  <c r="AF134" i="5" s="1"/>
  <c r="I134" i="5"/>
  <c r="J134" i="5" s="1"/>
  <c r="C133" i="6"/>
  <c r="J133" i="10"/>
  <c r="G133" i="17" s="1"/>
  <c r="F134" i="18" s="1"/>
  <c r="M133" i="10"/>
  <c r="C128" i="6"/>
  <c r="J128" i="10"/>
  <c r="G128" i="17" s="1"/>
  <c r="F129" i="18" s="1"/>
  <c r="M128" i="10"/>
  <c r="I126" i="5"/>
  <c r="J126" i="5" s="1"/>
  <c r="AE126" i="5"/>
  <c r="AF126" i="5" s="1"/>
  <c r="C118" i="6"/>
  <c r="J118" i="10"/>
  <c r="G118" i="17" s="1"/>
  <c r="F119" i="18" s="1"/>
  <c r="M118" i="10"/>
  <c r="C117" i="6"/>
  <c r="J117" i="10"/>
  <c r="G117" i="17" s="1"/>
  <c r="F118" i="18" s="1"/>
  <c r="M117" i="10"/>
  <c r="AE114" i="5"/>
  <c r="AF114" i="5" s="1"/>
  <c r="I114" i="5"/>
  <c r="J114" i="5" s="1"/>
  <c r="AK111" i="5"/>
  <c r="B111" i="6"/>
  <c r="H111" i="10"/>
  <c r="E111" i="17" s="1"/>
  <c r="B112" i="18" s="1"/>
  <c r="I111" i="10"/>
  <c r="F111" i="17" s="1"/>
  <c r="D112" i="18" s="1"/>
  <c r="L111" i="10"/>
  <c r="H81" i="6"/>
  <c r="I81" i="6"/>
  <c r="N81" i="6" s="1"/>
  <c r="A81" i="9"/>
  <c r="A81" i="7"/>
  <c r="I81" i="7" s="1"/>
  <c r="H80" i="6"/>
  <c r="I80" i="6"/>
  <c r="N80" i="6" s="1"/>
  <c r="A80" i="9"/>
  <c r="A80" i="7"/>
  <c r="I80" i="7" s="1"/>
  <c r="H79" i="6"/>
  <c r="I79" i="6"/>
  <c r="N79" i="6" s="1"/>
  <c r="A79" i="9"/>
  <c r="A79" i="7"/>
  <c r="I79" i="7" s="1"/>
  <c r="H78" i="6"/>
  <c r="I78" i="6"/>
  <c r="N78" i="6" s="1"/>
  <c r="A78" i="9"/>
  <c r="A78" i="7"/>
  <c r="I78" i="7" s="1"/>
  <c r="H77" i="6"/>
  <c r="I77" i="6"/>
  <c r="N77" i="6" s="1"/>
  <c r="A77" i="7"/>
  <c r="I77" i="7" s="1"/>
  <c r="A77" i="9"/>
  <c r="H76" i="6"/>
  <c r="I76" i="6"/>
  <c r="N76" i="6" s="1"/>
  <c r="A76" i="7"/>
  <c r="I76" i="7" s="1"/>
  <c r="A76" i="9"/>
  <c r="H75" i="6"/>
  <c r="I75" i="6"/>
  <c r="N75" i="6" s="1"/>
  <c r="A75" i="7"/>
  <c r="I75" i="7" s="1"/>
  <c r="A75" i="9"/>
  <c r="H74" i="6"/>
  <c r="I74" i="6"/>
  <c r="N74" i="6" s="1"/>
  <c r="A74" i="9"/>
  <c r="A74" i="7"/>
  <c r="I74" i="7" s="1"/>
  <c r="H73" i="6"/>
  <c r="I73" i="6"/>
  <c r="N73" i="6" s="1"/>
  <c r="A73" i="7"/>
  <c r="I73" i="7" s="1"/>
  <c r="A73" i="9"/>
  <c r="H72" i="6"/>
  <c r="I72" i="6"/>
  <c r="N72" i="6" s="1"/>
  <c r="A72" i="7"/>
  <c r="I72" i="7" s="1"/>
  <c r="A72" i="9"/>
  <c r="H71" i="6"/>
  <c r="I71" i="6"/>
  <c r="N71" i="6" s="1"/>
  <c r="A71" i="7"/>
  <c r="I71" i="7" s="1"/>
  <c r="A71" i="9"/>
  <c r="H70" i="6"/>
  <c r="I70" i="6"/>
  <c r="N70" i="6" s="1"/>
  <c r="A70" i="7"/>
  <c r="I70" i="7" s="1"/>
  <c r="A70" i="9"/>
  <c r="H69" i="6"/>
  <c r="I69" i="6"/>
  <c r="N69" i="6" s="1"/>
  <c r="A69" i="9"/>
  <c r="A69" i="7"/>
  <c r="I69" i="7" s="1"/>
  <c r="H68" i="6"/>
  <c r="I68" i="6"/>
  <c r="N68" i="6" s="1"/>
  <c r="A68" i="7"/>
  <c r="I68" i="7" s="1"/>
  <c r="A68" i="9"/>
  <c r="H67" i="6"/>
  <c r="I67" i="6"/>
  <c r="N67" i="6" s="1"/>
  <c r="A67" i="7"/>
  <c r="I67" i="7" s="1"/>
  <c r="A67" i="9"/>
  <c r="H66" i="6"/>
  <c r="I66" i="6"/>
  <c r="N66" i="6" s="1"/>
  <c r="A66" i="7"/>
  <c r="I66" i="7" s="1"/>
  <c r="A66" i="9"/>
  <c r="H65" i="6"/>
  <c r="I65" i="6"/>
  <c r="N65" i="6" s="1"/>
  <c r="A65" i="9"/>
  <c r="A65" i="7"/>
  <c r="I65" i="7" s="1"/>
  <c r="H64" i="6"/>
  <c r="I64" i="6"/>
  <c r="N64" i="6" s="1"/>
  <c r="A64" i="9"/>
  <c r="A64" i="7"/>
  <c r="I64" i="7" s="1"/>
  <c r="H63" i="6"/>
  <c r="I63" i="6"/>
  <c r="N63" i="6" s="1"/>
  <c r="A63" i="7"/>
  <c r="I63" i="7" s="1"/>
  <c r="A63" i="9"/>
  <c r="H62" i="6"/>
  <c r="I62" i="6"/>
  <c r="N62" i="6" s="1"/>
  <c r="A62" i="9"/>
  <c r="A62" i="7"/>
  <c r="I62" i="7" s="1"/>
  <c r="H61" i="6"/>
  <c r="I61" i="6"/>
  <c r="N61" i="6" s="1"/>
  <c r="A61" i="9"/>
  <c r="A61" i="7"/>
  <c r="I61" i="7" s="1"/>
  <c r="H60" i="6"/>
  <c r="I60" i="6"/>
  <c r="N60" i="6" s="1"/>
  <c r="A60" i="7"/>
  <c r="I60" i="7" s="1"/>
  <c r="A60" i="9"/>
  <c r="H59" i="6"/>
  <c r="I59" i="6"/>
  <c r="N59" i="6" s="1"/>
  <c r="A59" i="9"/>
  <c r="A59" i="7"/>
  <c r="I59" i="7" s="1"/>
  <c r="H58" i="6"/>
  <c r="I58" i="6"/>
  <c r="N58" i="6" s="1"/>
  <c r="A58" i="9"/>
  <c r="A58" i="7"/>
  <c r="I58" i="7" s="1"/>
  <c r="H57" i="6"/>
  <c r="I57" i="6"/>
  <c r="N57" i="6" s="1"/>
  <c r="A57" i="7"/>
  <c r="I57" i="7" s="1"/>
  <c r="A57" i="9"/>
  <c r="H56" i="6"/>
  <c r="I56" i="6"/>
  <c r="N56" i="6" s="1"/>
  <c r="A56" i="9"/>
  <c r="A56" i="7"/>
  <c r="I56" i="7" s="1"/>
  <c r="H55" i="6"/>
  <c r="I55" i="6"/>
  <c r="N55" i="6" s="1"/>
  <c r="A55" i="7"/>
  <c r="I55" i="7" s="1"/>
  <c r="A55" i="9"/>
  <c r="H54" i="6"/>
  <c r="I54" i="6"/>
  <c r="N54" i="6" s="1"/>
  <c r="A54" i="9"/>
  <c r="A54" i="7"/>
  <c r="I54" i="7" s="1"/>
  <c r="H53" i="6"/>
  <c r="I53" i="6"/>
  <c r="N53" i="6" s="1"/>
  <c r="A53" i="9"/>
  <c r="A53" i="7"/>
  <c r="I53" i="7" s="1"/>
  <c r="H52" i="6"/>
  <c r="I52" i="6"/>
  <c r="N52" i="6" s="1"/>
  <c r="A52" i="9"/>
  <c r="A52" i="7"/>
  <c r="I52" i="7" s="1"/>
  <c r="H51" i="6"/>
  <c r="I51" i="6"/>
  <c r="N51" i="6" s="1"/>
  <c r="A51" i="7"/>
  <c r="I51" i="7" s="1"/>
  <c r="A51" i="9"/>
  <c r="H50" i="6"/>
  <c r="I50" i="6"/>
  <c r="N50" i="6" s="1"/>
  <c r="A50" i="7"/>
  <c r="I50" i="7" s="1"/>
  <c r="A50" i="9"/>
  <c r="H49" i="6"/>
  <c r="I49" i="6"/>
  <c r="N49" i="6" s="1"/>
  <c r="A49" i="7"/>
  <c r="I49" i="7" s="1"/>
  <c r="A49" i="9"/>
  <c r="H48" i="6"/>
  <c r="I48" i="6"/>
  <c r="N48" i="6" s="1"/>
  <c r="A48" i="7"/>
  <c r="I48" i="7" s="1"/>
  <c r="A48" i="9"/>
  <c r="H47" i="6"/>
  <c r="I47" i="6"/>
  <c r="N47" i="6" s="1"/>
  <c r="A47" i="7"/>
  <c r="I47" i="7" s="1"/>
  <c r="A47" i="9"/>
  <c r="H46" i="6"/>
  <c r="I46" i="6"/>
  <c r="N46" i="6" s="1"/>
  <c r="A46" i="7"/>
  <c r="I46" i="7" s="1"/>
  <c r="A46" i="9"/>
  <c r="H45" i="6"/>
  <c r="I45" i="6"/>
  <c r="N45" i="6" s="1"/>
  <c r="A45" i="7"/>
  <c r="I45" i="7" s="1"/>
  <c r="A45" i="9"/>
  <c r="H44" i="6"/>
  <c r="I44" i="6"/>
  <c r="N44" i="6" s="1"/>
  <c r="A44" i="7"/>
  <c r="I44" i="7" s="1"/>
  <c r="A44" i="9"/>
  <c r="H43" i="6"/>
  <c r="I43" i="6"/>
  <c r="N43" i="6" s="1"/>
  <c r="A43" i="7"/>
  <c r="I43" i="7" s="1"/>
  <c r="A43" i="9"/>
  <c r="H42" i="6"/>
  <c r="I42" i="6"/>
  <c r="N42" i="6" s="1"/>
  <c r="A42" i="7"/>
  <c r="I42" i="7" s="1"/>
  <c r="A42" i="9"/>
  <c r="H41" i="6"/>
  <c r="I41" i="6"/>
  <c r="N41" i="6" s="1"/>
  <c r="A41" i="7"/>
  <c r="I41" i="7" s="1"/>
  <c r="A41" i="9"/>
  <c r="H40" i="6"/>
  <c r="I40" i="6"/>
  <c r="N40" i="6" s="1"/>
  <c r="A40" i="9"/>
  <c r="A40" i="7"/>
  <c r="I40" i="7" s="1"/>
  <c r="H39" i="6"/>
  <c r="I39" i="6"/>
  <c r="N39" i="6" s="1"/>
  <c r="A39" i="7"/>
  <c r="I39" i="7" s="1"/>
  <c r="A39" i="9"/>
  <c r="H38" i="6"/>
  <c r="I38" i="6"/>
  <c r="N38" i="6" s="1"/>
  <c r="A38" i="9"/>
  <c r="A38" i="7"/>
  <c r="I38" i="7" s="1"/>
  <c r="H37" i="6"/>
  <c r="I37" i="6"/>
  <c r="N37" i="6" s="1"/>
  <c r="A37" i="9"/>
  <c r="A37" i="7"/>
  <c r="I37" i="7" s="1"/>
  <c r="H36" i="6"/>
  <c r="I36" i="6"/>
  <c r="N36" i="6" s="1"/>
  <c r="A36" i="7"/>
  <c r="I36" i="7" s="1"/>
  <c r="A36" i="9"/>
  <c r="H35" i="6"/>
  <c r="I35" i="6"/>
  <c r="N35" i="6" s="1"/>
  <c r="A35" i="7"/>
  <c r="I35" i="7" s="1"/>
  <c r="A35" i="9"/>
  <c r="H34" i="6"/>
  <c r="I34" i="6"/>
  <c r="N34" i="6" s="1"/>
  <c r="A34" i="9"/>
  <c r="A34" i="7"/>
  <c r="I34" i="7" s="1"/>
  <c r="H33" i="6"/>
  <c r="I33" i="6"/>
  <c r="N33" i="6" s="1"/>
  <c r="A33" i="7"/>
  <c r="I33" i="7" s="1"/>
  <c r="A33" i="9"/>
  <c r="H32" i="6"/>
  <c r="I32" i="6"/>
  <c r="N32" i="6" s="1"/>
  <c r="A32" i="9"/>
  <c r="A32" i="7"/>
  <c r="I32" i="7" s="1"/>
  <c r="H31" i="6"/>
  <c r="I31" i="6"/>
  <c r="N31" i="6" s="1"/>
  <c r="A31" i="9"/>
  <c r="A31" i="7"/>
  <c r="I31" i="7" s="1"/>
  <c r="H30" i="6"/>
  <c r="I30" i="6"/>
  <c r="N30" i="6" s="1"/>
  <c r="A30" i="7"/>
  <c r="I30" i="7" s="1"/>
  <c r="A30" i="9"/>
  <c r="H29" i="6"/>
  <c r="I29" i="6"/>
  <c r="N29" i="6" s="1"/>
  <c r="A29" i="9"/>
  <c r="A29" i="7"/>
  <c r="I29" i="7" s="1"/>
  <c r="H28" i="6"/>
  <c r="I28" i="6"/>
  <c r="N28" i="6" s="1"/>
  <c r="A28" i="9"/>
  <c r="A28" i="7"/>
  <c r="I28" i="7" s="1"/>
  <c r="H27" i="6"/>
  <c r="I27" i="6"/>
  <c r="N27" i="6" s="1"/>
  <c r="A27" i="7"/>
  <c r="I27" i="7" s="1"/>
  <c r="A27" i="9"/>
  <c r="H26" i="6"/>
  <c r="I26" i="6"/>
  <c r="N26" i="6" s="1"/>
  <c r="A26" i="9"/>
  <c r="A26" i="7"/>
  <c r="I26" i="7" s="1"/>
  <c r="H25" i="6"/>
  <c r="I25" i="6"/>
  <c r="N25" i="6" s="1"/>
  <c r="A25" i="7"/>
  <c r="I25" i="7" s="1"/>
  <c r="A25" i="9"/>
  <c r="H24" i="6"/>
  <c r="I24" i="6"/>
  <c r="N24" i="6" s="1"/>
  <c r="A24" i="9"/>
  <c r="A24" i="7"/>
  <c r="I24" i="7" s="1"/>
  <c r="H23" i="6"/>
  <c r="I23" i="6"/>
  <c r="N23" i="6" s="1"/>
  <c r="A23" i="7"/>
  <c r="I23" i="7" s="1"/>
  <c r="A23" i="9"/>
  <c r="H22" i="6"/>
  <c r="I22" i="6"/>
  <c r="N22" i="6" s="1"/>
  <c r="A22" i="7"/>
  <c r="I22" i="7" s="1"/>
  <c r="A22" i="9"/>
  <c r="H21" i="6"/>
  <c r="I21" i="6"/>
  <c r="N21" i="6" s="1"/>
  <c r="A21" i="7"/>
  <c r="I21" i="7" s="1"/>
  <c r="A21" i="9"/>
  <c r="H20" i="6"/>
  <c r="I20" i="6"/>
  <c r="N20" i="6" s="1"/>
  <c r="A20" i="9"/>
  <c r="A20" i="7"/>
  <c r="I20" i="7" s="1"/>
  <c r="H19" i="6"/>
  <c r="I19" i="6"/>
  <c r="N19" i="6" s="1"/>
  <c r="A19" i="9"/>
  <c r="A19" i="7"/>
  <c r="I19" i="7" s="1"/>
  <c r="H18" i="6"/>
  <c r="I18" i="6"/>
  <c r="N18" i="6" s="1"/>
  <c r="A18" i="9"/>
  <c r="A18" i="7"/>
  <c r="I18" i="7" s="1"/>
  <c r="H17" i="6"/>
  <c r="I17" i="6"/>
  <c r="N17" i="6" s="1"/>
  <c r="A17" i="7"/>
  <c r="I17" i="7" s="1"/>
  <c r="A17" i="9"/>
  <c r="H16" i="6"/>
  <c r="I16" i="6"/>
  <c r="N16" i="6" s="1"/>
  <c r="A16" i="7"/>
  <c r="I16" i="7" s="1"/>
  <c r="A16" i="9"/>
  <c r="H15" i="6"/>
  <c r="I15" i="6"/>
  <c r="N15" i="6" s="1"/>
  <c r="A15" i="7"/>
  <c r="I15" i="7" s="1"/>
  <c r="A15" i="9"/>
  <c r="H14" i="6"/>
  <c r="I14" i="6"/>
  <c r="N14" i="6" s="1"/>
  <c r="A14" i="7"/>
  <c r="I14" i="7" s="1"/>
  <c r="A14" i="9"/>
  <c r="H13" i="6"/>
  <c r="I13" i="6"/>
  <c r="N13" i="6" s="1"/>
  <c r="A13" i="7"/>
  <c r="I13" i="7" s="1"/>
  <c r="A13" i="9"/>
  <c r="H12" i="6"/>
  <c r="I12" i="6"/>
  <c r="N12" i="6" s="1"/>
  <c r="A12" i="7"/>
  <c r="I12" i="7" s="1"/>
  <c r="A12" i="9"/>
  <c r="H11" i="6"/>
  <c r="I11" i="6"/>
  <c r="N11" i="6" s="1"/>
  <c r="A11" i="7"/>
  <c r="I11" i="7" s="1"/>
  <c r="A11" i="9"/>
  <c r="H10" i="6"/>
  <c r="I10" i="6"/>
  <c r="N10" i="6" s="1"/>
  <c r="A10" i="7"/>
  <c r="I10" i="7" s="1"/>
  <c r="A10" i="9"/>
  <c r="H9" i="6"/>
  <c r="I9" i="6"/>
  <c r="N9" i="6" s="1"/>
  <c r="A9" i="7"/>
  <c r="I9" i="7" s="1"/>
  <c r="A9" i="9"/>
  <c r="H8" i="6"/>
  <c r="I8" i="6"/>
  <c r="N8" i="6" s="1"/>
  <c r="A8" i="7"/>
  <c r="I8" i="7" s="1"/>
  <c r="A8" i="9"/>
  <c r="H7" i="6"/>
  <c r="I7" i="6"/>
  <c r="N7" i="6" s="1"/>
  <c r="A7" i="7"/>
  <c r="I7" i="7" s="1"/>
  <c r="A7" i="9"/>
  <c r="H6" i="6"/>
  <c r="I6" i="6"/>
  <c r="N6" i="6" s="1"/>
  <c r="A6" i="7"/>
  <c r="I6" i="7" s="1"/>
  <c r="A6" i="9"/>
  <c r="H5" i="6"/>
  <c r="I5" i="6"/>
  <c r="N5" i="6" s="1"/>
  <c r="A5" i="7"/>
  <c r="I5" i="7" s="1"/>
  <c r="A5" i="9"/>
  <c r="H4" i="6"/>
  <c r="I4" i="6"/>
  <c r="N4" i="6" s="1"/>
  <c r="A4" i="7"/>
  <c r="I4" i="7" s="1"/>
  <c r="A4" i="9"/>
  <c r="H3" i="6"/>
  <c r="I3" i="6"/>
  <c r="N3" i="6" s="1"/>
  <c r="A3" i="7"/>
  <c r="I3" i="7" s="1"/>
  <c r="A3" i="9"/>
  <c r="H2" i="6"/>
  <c r="I2" i="6"/>
  <c r="A2" i="7"/>
  <c r="I2" i="7" s="1"/>
  <c r="A2" i="9"/>
  <c r="AK242" i="5"/>
  <c r="B242" i="6"/>
  <c r="H242" i="10"/>
  <c r="E242" i="17" s="1"/>
  <c r="B243" i="18" s="1"/>
  <c r="I242" i="10"/>
  <c r="F242" i="17" s="1"/>
  <c r="D243" i="18" s="1"/>
  <c r="L242" i="10"/>
  <c r="C242" i="6"/>
  <c r="M242" i="10"/>
  <c r="J242" i="10"/>
  <c r="G242" i="17" s="1"/>
  <c r="F243" i="18" s="1"/>
  <c r="I242" i="5"/>
  <c r="J242" i="5" s="1"/>
  <c r="AE242" i="5"/>
  <c r="AF242" i="5" s="1"/>
  <c r="C242" i="5"/>
  <c r="D242" i="5"/>
  <c r="Z242" i="5"/>
  <c r="AA242" i="5"/>
  <c r="D242" i="6"/>
  <c r="W242" i="10"/>
  <c r="AK241" i="5"/>
  <c r="B241" i="6"/>
  <c r="I241" i="10"/>
  <c r="F241" i="17" s="1"/>
  <c r="D242" i="18" s="1"/>
  <c r="L241" i="10"/>
  <c r="H241" i="10"/>
  <c r="E241" i="17" s="1"/>
  <c r="B242" i="18" s="1"/>
  <c r="C241" i="6"/>
  <c r="J241" i="10"/>
  <c r="G241" i="17" s="1"/>
  <c r="F242" i="18" s="1"/>
  <c r="M241" i="10"/>
  <c r="I241" i="5"/>
  <c r="J241" i="5" s="1"/>
  <c r="AE241" i="5"/>
  <c r="AF241" i="5" s="1"/>
  <c r="C241" i="5"/>
  <c r="D241" i="5"/>
  <c r="Z241" i="5"/>
  <c r="AA241" i="5"/>
  <c r="D241" i="6"/>
  <c r="W241" i="10"/>
  <c r="AK240" i="5"/>
  <c r="B240" i="6"/>
  <c r="I240" i="10"/>
  <c r="F240" i="17" s="1"/>
  <c r="D241" i="18" s="1"/>
  <c r="H240" i="10"/>
  <c r="E240" i="17" s="1"/>
  <c r="B241" i="18" s="1"/>
  <c r="L240" i="10"/>
  <c r="C240" i="6"/>
  <c r="M240" i="10"/>
  <c r="J240" i="10"/>
  <c r="G240" i="17" s="1"/>
  <c r="F241" i="18" s="1"/>
  <c r="I240" i="5"/>
  <c r="J240" i="5" s="1"/>
  <c r="AE240" i="5"/>
  <c r="AF240" i="5" s="1"/>
  <c r="C240" i="5"/>
  <c r="D240" i="5"/>
  <c r="Z240" i="5"/>
  <c r="AA240" i="5"/>
  <c r="D240" i="6"/>
  <c r="W240" i="10"/>
  <c r="AK239" i="5"/>
  <c r="B239" i="6"/>
  <c r="I239" i="10"/>
  <c r="F239" i="17" s="1"/>
  <c r="D240" i="18" s="1"/>
  <c r="L239" i="10"/>
  <c r="H239" i="10"/>
  <c r="E239" i="17" s="1"/>
  <c r="B240" i="18" s="1"/>
  <c r="C239" i="6"/>
  <c r="M239" i="10"/>
  <c r="J239" i="10"/>
  <c r="G239" i="17" s="1"/>
  <c r="F240" i="18" s="1"/>
  <c r="I239" i="5"/>
  <c r="J239" i="5" s="1"/>
  <c r="AE239" i="5"/>
  <c r="AF239" i="5" s="1"/>
  <c r="C239" i="5"/>
  <c r="D239" i="5"/>
  <c r="Z239" i="5"/>
  <c r="AA239" i="5"/>
  <c r="D239" i="6"/>
  <c r="W239" i="10"/>
  <c r="AK238" i="5"/>
  <c r="B238" i="6"/>
  <c r="I238" i="10"/>
  <c r="F238" i="17" s="1"/>
  <c r="D239" i="18" s="1"/>
  <c r="H238" i="10"/>
  <c r="E238" i="17" s="1"/>
  <c r="B239" i="18" s="1"/>
  <c r="L238" i="10"/>
  <c r="C238" i="6"/>
  <c r="J238" i="10"/>
  <c r="G238" i="17" s="1"/>
  <c r="F239" i="18" s="1"/>
  <c r="M238" i="10"/>
  <c r="I238" i="5"/>
  <c r="J238" i="5" s="1"/>
  <c r="AE238" i="5"/>
  <c r="AF238" i="5" s="1"/>
  <c r="C238" i="5"/>
  <c r="D238" i="5"/>
  <c r="Z238" i="5"/>
  <c r="AA238" i="5"/>
  <c r="D238" i="6"/>
  <c r="W238" i="10"/>
  <c r="AK237" i="5"/>
  <c r="B237" i="6"/>
  <c r="I237" i="10"/>
  <c r="F237" i="17" s="1"/>
  <c r="D238" i="18" s="1"/>
  <c r="H237" i="10"/>
  <c r="E237" i="17" s="1"/>
  <c r="B238" i="18" s="1"/>
  <c r="L237" i="10"/>
  <c r="C237" i="6"/>
  <c r="M237" i="10"/>
  <c r="J237" i="10"/>
  <c r="G237" i="17" s="1"/>
  <c r="F238" i="18" s="1"/>
  <c r="I237" i="5"/>
  <c r="J237" i="5" s="1"/>
  <c r="AE237" i="5"/>
  <c r="AF237" i="5" s="1"/>
  <c r="C237" i="5"/>
  <c r="D237" i="5"/>
  <c r="Z237" i="5"/>
  <c r="AA237" i="5"/>
  <c r="D237" i="6"/>
  <c r="W237" i="10"/>
  <c r="AK236" i="5"/>
  <c r="B236" i="6"/>
  <c r="I236" i="10"/>
  <c r="F236" i="17" s="1"/>
  <c r="D237" i="18" s="1"/>
  <c r="H236" i="10"/>
  <c r="E236" i="17" s="1"/>
  <c r="B237" i="18" s="1"/>
  <c r="L236" i="10"/>
  <c r="C236" i="6"/>
  <c r="M236" i="10"/>
  <c r="J236" i="10"/>
  <c r="G236" i="17" s="1"/>
  <c r="F237" i="18" s="1"/>
  <c r="I236" i="5"/>
  <c r="J236" i="5" s="1"/>
  <c r="AE236" i="5"/>
  <c r="AF236" i="5" s="1"/>
  <c r="C236" i="5"/>
  <c r="D236" i="5"/>
  <c r="Z236" i="5"/>
  <c r="AA236" i="5"/>
  <c r="D236" i="6"/>
  <c r="W236" i="10"/>
  <c r="AK235" i="5"/>
  <c r="B235" i="6"/>
  <c r="I235" i="10"/>
  <c r="F235" i="17" s="1"/>
  <c r="D236" i="18" s="1"/>
  <c r="L235" i="10"/>
  <c r="H235" i="10"/>
  <c r="E235" i="17" s="1"/>
  <c r="B236" i="18" s="1"/>
  <c r="C235" i="6"/>
  <c r="J235" i="10"/>
  <c r="G235" i="17" s="1"/>
  <c r="F236" i="18" s="1"/>
  <c r="M235" i="10"/>
  <c r="I235" i="5"/>
  <c r="J235" i="5" s="1"/>
  <c r="AE235" i="5"/>
  <c r="AF235" i="5" s="1"/>
  <c r="C235" i="5"/>
  <c r="D235" i="5"/>
  <c r="Z235" i="5"/>
  <c r="AA235" i="5"/>
  <c r="D235" i="6"/>
  <c r="W235" i="10"/>
  <c r="AK234" i="5"/>
  <c r="B234" i="6"/>
  <c r="H234" i="10"/>
  <c r="E234" i="17" s="1"/>
  <c r="B235" i="18" s="1"/>
  <c r="I234" i="10"/>
  <c r="F234" i="17" s="1"/>
  <c r="D235" i="18" s="1"/>
  <c r="L234" i="10"/>
  <c r="C234" i="6"/>
  <c r="M234" i="10"/>
  <c r="J234" i="10"/>
  <c r="G234" i="17" s="1"/>
  <c r="F235" i="18" s="1"/>
  <c r="I234" i="5"/>
  <c r="J234" i="5" s="1"/>
  <c r="AE234" i="5"/>
  <c r="AF234" i="5" s="1"/>
  <c r="C234" i="5"/>
  <c r="D234" i="5"/>
  <c r="Z234" i="5"/>
  <c r="AA234" i="5"/>
  <c r="D234" i="6"/>
  <c r="W234" i="10"/>
  <c r="AK233" i="5"/>
  <c r="B233" i="6"/>
  <c r="H233" i="10"/>
  <c r="E233" i="17" s="1"/>
  <c r="B234" i="18" s="1"/>
  <c r="L233" i="10"/>
  <c r="I233" i="10"/>
  <c r="F233" i="17" s="1"/>
  <c r="D234" i="18" s="1"/>
  <c r="C233" i="6"/>
  <c r="J233" i="10"/>
  <c r="G233" i="17" s="1"/>
  <c r="F234" i="18" s="1"/>
  <c r="M233" i="10"/>
  <c r="I233" i="5"/>
  <c r="J233" i="5" s="1"/>
  <c r="AE233" i="5"/>
  <c r="AF233" i="5" s="1"/>
  <c r="C233" i="5"/>
  <c r="D233" i="5"/>
  <c r="Z233" i="5"/>
  <c r="AA233" i="5"/>
  <c r="D233" i="6"/>
  <c r="W233" i="10"/>
  <c r="AK232" i="5"/>
  <c r="B232" i="6"/>
  <c r="I232" i="10"/>
  <c r="F232" i="17" s="1"/>
  <c r="D233" i="18" s="1"/>
  <c r="H232" i="10"/>
  <c r="E232" i="17" s="1"/>
  <c r="B233" i="18" s="1"/>
  <c r="L232" i="10"/>
  <c r="C232" i="6"/>
  <c r="J232" i="10"/>
  <c r="G232" i="17" s="1"/>
  <c r="F233" i="18" s="1"/>
  <c r="M232" i="10"/>
  <c r="I232" i="5"/>
  <c r="J232" i="5" s="1"/>
  <c r="AE232" i="5"/>
  <c r="AF232" i="5" s="1"/>
  <c r="C232" i="5"/>
  <c r="D232" i="5"/>
  <c r="Z232" i="5"/>
  <c r="AA232" i="5"/>
  <c r="D232" i="6"/>
  <c r="W232" i="10"/>
  <c r="AK231" i="5"/>
  <c r="B231" i="6"/>
  <c r="I231" i="10"/>
  <c r="F231" i="17" s="1"/>
  <c r="D232" i="18" s="1"/>
  <c r="L231" i="10"/>
  <c r="H231" i="10"/>
  <c r="E231" i="17" s="1"/>
  <c r="B232" i="18" s="1"/>
  <c r="C231" i="6"/>
  <c r="M231" i="10"/>
  <c r="J231" i="10"/>
  <c r="G231" i="17" s="1"/>
  <c r="F232" i="18" s="1"/>
  <c r="I231" i="5"/>
  <c r="J231" i="5" s="1"/>
  <c r="AE231" i="5"/>
  <c r="AF231" i="5" s="1"/>
  <c r="C231" i="5"/>
  <c r="D231" i="5"/>
  <c r="Z231" i="5"/>
  <c r="AA231" i="5"/>
  <c r="D231" i="6"/>
  <c r="W231" i="10"/>
  <c r="AK230" i="5"/>
  <c r="B230" i="6"/>
  <c r="I230" i="10"/>
  <c r="F230" i="17" s="1"/>
  <c r="D231" i="18" s="1"/>
  <c r="H230" i="10"/>
  <c r="E230" i="17" s="1"/>
  <c r="B231" i="18" s="1"/>
  <c r="L230" i="10"/>
  <c r="C230" i="6"/>
  <c r="J230" i="10"/>
  <c r="G230" i="17" s="1"/>
  <c r="F231" i="18" s="1"/>
  <c r="M230" i="10"/>
  <c r="I230" i="5"/>
  <c r="J230" i="5" s="1"/>
  <c r="AE230" i="5"/>
  <c r="AF230" i="5" s="1"/>
  <c r="C230" i="5"/>
  <c r="D230" i="5"/>
  <c r="Z230" i="5"/>
  <c r="AA230" i="5"/>
  <c r="D230" i="6"/>
  <c r="W230" i="10"/>
  <c r="AK229" i="5"/>
  <c r="B229" i="6"/>
  <c r="H229" i="10"/>
  <c r="E229" i="17" s="1"/>
  <c r="B230" i="18" s="1"/>
  <c r="L229" i="10"/>
  <c r="I229" i="10"/>
  <c r="F229" i="17" s="1"/>
  <c r="D230" i="18" s="1"/>
  <c r="C229" i="6"/>
  <c r="J229" i="10"/>
  <c r="G229" i="17" s="1"/>
  <c r="F230" i="18" s="1"/>
  <c r="M229" i="10"/>
  <c r="I229" i="5"/>
  <c r="J229" i="5" s="1"/>
  <c r="AE229" i="5"/>
  <c r="AF229" i="5" s="1"/>
  <c r="C229" i="5"/>
  <c r="D229" i="5"/>
  <c r="Z229" i="5"/>
  <c r="AA229" i="5"/>
  <c r="D229" i="6"/>
  <c r="W229" i="10"/>
  <c r="AK228" i="5"/>
  <c r="B228" i="6"/>
  <c r="I228" i="10"/>
  <c r="F228" i="17" s="1"/>
  <c r="D229" i="18" s="1"/>
  <c r="L228" i="10"/>
  <c r="H228" i="10"/>
  <c r="E228" i="17" s="1"/>
  <c r="B229" i="18" s="1"/>
  <c r="C228" i="6"/>
  <c r="J228" i="10"/>
  <c r="G228" i="17" s="1"/>
  <c r="F229" i="18" s="1"/>
  <c r="M228" i="10"/>
  <c r="I228" i="5"/>
  <c r="J228" i="5" s="1"/>
  <c r="AE228" i="5"/>
  <c r="AF228" i="5" s="1"/>
  <c r="C228" i="5"/>
  <c r="D228" i="5"/>
  <c r="Z228" i="5"/>
  <c r="AA228" i="5"/>
  <c r="D228" i="6"/>
  <c r="W228" i="10"/>
  <c r="AK227" i="5"/>
  <c r="B227" i="6"/>
  <c r="I227" i="10"/>
  <c r="F227" i="17" s="1"/>
  <c r="D228" i="18" s="1"/>
  <c r="L227" i="10"/>
  <c r="H227" i="10"/>
  <c r="E227" i="17" s="1"/>
  <c r="B228" i="18" s="1"/>
  <c r="C227" i="6"/>
  <c r="J227" i="10"/>
  <c r="G227" i="17" s="1"/>
  <c r="F228" i="18" s="1"/>
  <c r="M227" i="10"/>
  <c r="I227" i="5"/>
  <c r="J227" i="5" s="1"/>
  <c r="AE227" i="5"/>
  <c r="AF227" i="5" s="1"/>
  <c r="C227" i="5"/>
  <c r="D227" i="5"/>
  <c r="Z227" i="5"/>
  <c r="AA227" i="5"/>
  <c r="D227" i="6"/>
  <c r="W227" i="10"/>
  <c r="AK226" i="5"/>
  <c r="B226" i="6"/>
  <c r="H226" i="10"/>
  <c r="E226" i="17" s="1"/>
  <c r="B227" i="18" s="1"/>
  <c r="L226" i="10"/>
  <c r="I226" i="10"/>
  <c r="F226" i="17" s="1"/>
  <c r="D227" i="18" s="1"/>
  <c r="C226" i="6"/>
  <c r="J226" i="10"/>
  <c r="G226" i="17" s="1"/>
  <c r="F227" i="18" s="1"/>
  <c r="M226" i="10"/>
  <c r="I226" i="5"/>
  <c r="J226" i="5" s="1"/>
  <c r="AE226" i="5"/>
  <c r="AF226" i="5" s="1"/>
  <c r="C226" i="5"/>
  <c r="D226" i="5"/>
  <c r="Z226" i="5"/>
  <c r="AA226" i="5"/>
  <c r="D226" i="6"/>
  <c r="W226" i="10"/>
  <c r="AK225" i="5"/>
  <c r="B225" i="6"/>
  <c r="I225" i="10"/>
  <c r="F225" i="17" s="1"/>
  <c r="D226" i="18" s="1"/>
  <c r="L225" i="10"/>
  <c r="H225" i="10"/>
  <c r="E225" i="17" s="1"/>
  <c r="B226" i="18" s="1"/>
  <c r="C225" i="6"/>
  <c r="M225" i="10"/>
  <c r="J225" i="10"/>
  <c r="G225" i="17" s="1"/>
  <c r="F226" i="18" s="1"/>
  <c r="I225" i="5"/>
  <c r="J225" i="5" s="1"/>
  <c r="AE225" i="5"/>
  <c r="AF225" i="5" s="1"/>
  <c r="C225" i="5"/>
  <c r="D225" i="5"/>
  <c r="Z225" i="5"/>
  <c r="AA225" i="5"/>
  <c r="D225" i="6"/>
  <c r="W225" i="10"/>
  <c r="AK224" i="5"/>
  <c r="B224" i="6"/>
  <c r="H224" i="10"/>
  <c r="E224" i="17" s="1"/>
  <c r="B225" i="18" s="1"/>
  <c r="I224" i="10"/>
  <c r="F224" i="17" s="1"/>
  <c r="D225" i="18" s="1"/>
  <c r="L224" i="10"/>
  <c r="C224" i="6"/>
  <c r="J224" i="10"/>
  <c r="G224" i="17" s="1"/>
  <c r="F225" i="18" s="1"/>
  <c r="M224" i="10"/>
  <c r="I224" i="5"/>
  <c r="J224" i="5" s="1"/>
  <c r="AE224" i="5"/>
  <c r="AF224" i="5" s="1"/>
  <c r="AK192" i="5"/>
  <c r="B192" i="6"/>
  <c r="H192" i="10"/>
  <c r="E192" i="17" s="1"/>
  <c r="B193" i="18" s="1"/>
  <c r="I192" i="10"/>
  <c r="F192" i="17" s="1"/>
  <c r="D193" i="18" s="1"/>
  <c r="L192" i="10"/>
  <c r="C192" i="6"/>
  <c r="J192" i="10"/>
  <c r="G192" i="17" s="1"/>
  <c r="F193" i="18" s="1"/>
  <c r="M192" i="10"/>
  <c r="I192" i="5"/>
  <c r="J192" i="5" s="1"/>
  <c r="AE192" i="5"/>
  <c r="AF192" i="5" s="1"/>
  <c r="C192" i="5"/>
  <c r="D192" i="5"/>
  <c r="Z192" i="5"/>
  <c r="AA192" i="5"/>
  <c r="D192" i="6"/>
  <c r="W192" i="10"/>
  <c r="AK191" i="5"/>
  <c r="B191" i="6"/>
  <c r="H191" i="10"/>
  <c r="E191" i="17" s="1"/>
  <c r="B192" i="18" s="1"/>
  <c r="I191" i="10"/>
  <c r="F191" i="17" s="1"/>
  <c r="D192" i="18" s="1"/>
  <c r="L191" i="10"/>
  <c r="C191" i="6"/>
  <c r="J191" i="10"/>
  <c r="G191" i="17" s="1"/>
  <c r="F192" i="18" s="1"/>
  <c r="M191" i="10"/>
  <c r="I191" i="5"/>
  <c r="J191" i="5" s="1"/>
  <c r="AE191" i="5"/>
  <c r="AF191" i="5" s="1"/>
  <c r="C191" i="5"/>
  <c r="D191" i="5"/>
  <c r="Z191" i="5"/>
  <c r="AA191" i="5"/>
  <c r="D191" i="6"/>
  <c r="W191" i="10"/>
  <c r="B96" i="6"/>
  <c r="H96" i="10"/>
  <c r="E96" i="17" s="1"/>
  <c r="B97" i="18" s="1"/>
  <c r="I96" i="10"/>
  <c r="F96" i="17" s="1"/>
  <c r="D97" i="18" s="1"/>
  <c r="L96" i="10"/>
  <c r="AK96" i="5"/>
  <c r="C96" i="6"/>
  <c r="J96" i="10"/>
  <c r="G96" i="17" s="1"/>
  <c r="F97" i="18" s="1"/>
  <c r="M96" i="10"/>
  <c r="I96" i="5"/>
  <c r="J96" i="5" s="1"/>
  <c r="AE96" i="5"/>
  <c r="AF96" i="5" s="1"/>
  <c r="C96" i="5"/>
  <c r="D96" i="5"/>
  <c r="Z96" i="5"/>
  <c r="AA96" i="5"/>
  <c r="D96" i="6"/>
  <c r="W96" i="10"/>
  <c r="AK95" i="5"/>
  <c r="B95" i="6"/>
  <c r="H95" i="10"/>
  <c r="E95" i="17" s="1"/>
  <c r="B96" i="18" s="1"/>
  <c r="I95" i="10"/>
  <c r="F95" i="17" s="1"/>
  <c r="D96" i="18" s="1"/>
  <c r="L95" i="10"/>
  <c r="C95" i="6"/>
  <c r="J95" i="10"/>
  <c r="G95" i="17" s="1"/>
  <c r="F96" i="18" s="1"/>
  <c r="M95" i="10"/>
  <c r="I95" i="5"/>
  <c r="J95" i="5" s="1"/>
  <c r="AE95" i="5"/>
  <c r="AF95" i="5" s="1"/>
  <c r="C95" i="5"/>
  <c r="D95" i="5"/>
  <c r="Z95" i="5"/>
  <c r="AA95" i="5"/>
  <c r="D95" i="6"/>
  <c r="W95" i="10"/>
  <c r="AK94" i="5"/>
  <c r="B94" i="6"/>
  <c r="H94" i="10"/>
  <c r="E94" i="17" s="1"/>
  <c r="B95" i="18" s="1"/>
  <c r="I94" i="10"/>
  <c r="F94" i="17" s="1"/>
  <c r="D95" i="18" s="1"/>
  <c r="L94" i="10"/>
  <c r="C94" i="6"/>
  <c r="J94" i="10"/>
  <c r="G94" i="17" s="1"/>
  <c r="F95" i="18" s="1"/>
  <c r="M94" i="10"/>
  <c r="I94" i="5"/>
  <c r="J94" i="5" s="1"/>
  <c r="AE94" i="5"/>
  <c r="AF94" i="5" s="1"/>
  <c r="C94" i="5"/>
  <c r="D94" i="5"/>
  <c r="Z94" i="5"/>
  <c r="AA94" i="5"/>
  <c r="D94" i="6"/>
  <c r="W94" i="10"/>
  <c r="AK93" i="5"/>
  <c r="B93" i="6"/>
  <c r="H93" i="10"/>
  <c r="E93" i="17" s="1"/>
  <c r="B94" i="18" s="1"/>
  <c r="I93" i="10"/>
  <c r="F93" i="17" s="1"/>
  <c r="D94" i="18" s="1"/>
  <c r="L93" i="10"/>
  <c r="C93" i="6"/>
  <c r="J93" i="10"/>
  <c r="G93" i="17" s="1"/>
  <c r="F94" i="18" s="1"/>
  <c r="M93" i="10"/>
  <c r="I93" i="5"/>
  <c r="J93" i="5" s="1"/>
  <c r="AE93" i="5"/>
  <c r="AF93" i="5" s="1"/>
  <c r="C93" i="5"/>
  <c r="D93" i="5"/>
  <c r="Z93" i="5"/>
  <c r="AA93" i="5"/>
  <c r="D93" i="6"/>
  <c r="W93" i="10"/>
  <c r="AK92" i="5"/>
  <c r="B92" i="6"/>
  <c r="H92" i="10"/>
  <c r="E92" i="17" s="1"/>
  <c r="B93" i="18" s="1"/>
  <c r="I92" i="10"/>
  <c r="F92" i="17" s="1"/>
  <c r="D93" i="18" s="1"/>
  <c r="L92" i="10"/>
  <c r="C92" i="6"/>
  <c r="J92" i="10"/>
  <c r="G92" i="17" s="1"/>
  <c r="F93" i="18" s="1"/>
  <c r="M92" i="10"/>
  <c r="I92" i="5"/>
  <c r="J92" i="5" s="1"/>
  <c r="AE92" i="5"/>
  <c r="AF92" i="5" s="1"/>
  <c r="C92" i="5"/>
  <c r="D92" i="5"/>
  <c r="Z92" i="5"/>
  <c r="AA92" i="5"/>
  <c r="D92" i="6"/>
  <c r="W92" i="10"/>
  <c r="AK91" i="5"/>
  <c r="B91" i="6"/>
  <c r="H91" i="10"/>
  <c r="E91" i="17" s="1"/>
  <c r="B92" i="18" s="1"/>
  <c r="I91" i="10"/>
  <c r="F91" i="17" s="1"/>
  <c r="D92" i="18" s="1"/>
  <c r="L91" i="10"/>
  <c r="C91" i="6"/>
  <c r="J91" i="10"/>
  <c r="G91" i="17" s="1"/>
  <c r="F92" i="18" s="1"/>
  <c r="M91" i="10"/>
  <c r="I91" i="5"/>
  <c r="J91" i="5" s="1"/>
  <c r="AE91" i="5"/>
  <c r="AF91" i="5" s="1"/>
  <c r="C91" i="5"/>
  <c r="D91" i="5"/>
  <c r="Z91" i="5"/>
  <c r="AA91" i="5"/>
  <c r="D91" i="6"/>
  <c r="W91" i="10"/>
  <c r="AK90" i="5"/>
  <c r="B90" i="6"/>
  <c r="H90" i="10"/>
  <c r="E90" i="17" s="1"/>
  <c r="B91" i="18" s="1"/>
  <c r="I90" i="10"/>
  <c r="F90" i="17" s="1"/>
  <c r="D91" i="18" s="1"/>
  <c r="L90" i="10"/>
  <c r="C90" i="6"/>
  <c r="J90" i="10"/>
  <c r="G90" i="17" s="1"/>
  <c r="F91" i="18" s="1"/>
  <c r="M90" i="10"/>
  <c r="I90" i="5"/>
  <c r="J90" i="5" s="1"/>
  <c r="AE90" i="5"/>
  <c r="AF90" i="5" s="1"/>
  <c r="C90" i="5"/>
  <c r="D90" i="5"/>
  <c r="Z90" i="5"/>
  <c r="AA90" i="5"/>
  <c r="D90" i="6"/>
  <c r="W90" i="10"/>
  <c r="AK89" i="5"/>
  <c r="B89" i="6"/>
  <c r="H89" i="10"/>
  <c r="E89" i="17" s="1"/>
  <c r="B90" i="18" s="1"/>
  <c r="I89" i="10"/>
  <c r="F89" i="17" s="1"/>
  <c r="D90" i="18" s="1"/>
  <c r="L89" i="10"/>
  <c r="C89" i="6"/>
  <c r="J89" i="10"/>
  <c r="G89" i="17" s="1"/>
  <c r="F90" i="18" s="1"/>
  <c r="M89" i="10"/>
  <c r="I89" i="5"/>
  <c r="J89" i="5" s="1"/>
  <c r="AE89" i="5"/>
  <c r="AF89" i="5" s="1"/>
  <c r="C89" i="5"/>
  <c r="D89" i="5"/>
  <c r="Z89" i="5"/>
  <c r="AA89" i="5"/>
  <c r="D89" i="6"/>
  <c r="W89" i="10"/>
  <c r="AK88" i="5"/>
  <c r="B88" i="6"/>
  <c r="H88" i="10"/>
  <c r="E88" i="17" s="1"/>
  <c r="B89" i="18" s="1"/>
  <c r="I88" i="10"/>
  <c r="F88" i="17" s="1"/>
  <c r="D89" i="18" s="1"/>
  <c r="L88" i="10"/>
  <c r="C88" i="6"/>
  <c r="J88" i="10"/>
  <c r="G88" i="17" s="1"/>
  <c r="F89" i="18" s="1"/>
  <c r="M88" i="10"/>
  <c r="I88" i="5"/>
  <c r="J88" i="5" s="1"/>
  <c r="AE88" i="5"/>
  <c r="AF88" i="5" s="1"/>
  <c r="C88" i="5"/>
  <c r="D88" i="5"/>
  <c r="Z88" i="5"/>
  <c r="AA88" i="5"/>
  <c r="D88" i="6"/>
  <c r="W88" i="10"/>
  <c r="AK87" i="5"/>
  <c r="B87" i="6"/>
  <c r="H87" i="10"/>
  <c r="E87" i="17" s="1"/>
  <c r="B88" i="18" s="1"/>
  <c r="I87" i="10"/>
  <c r="F87" i="17" s="1"/>
  <c r="D88" i="18" s="1"/>
  <c r="L87" i="10"/>
  <c r="C87" i="6"/>
  <c r="J87" i="10"/>
  <c r="G87" i="17" s="1"/>
  <c r="F88" i="18" s="1"/>
  <c r="M87" i="10"/>
  <c r="I87" i="5"/>
  <c r="J87" i="5" s="1"/>
  <c r="AE87" i="5"/>
  <c r="AF87" i="5" s="1"/>
  <c r="C87" i="5"/>
  <c r="D87" i="5"/>
  <c r="Z87" i="5"/>
  <c r="AA87" i="5"/>
  <c r="D87" i="6"/>
  <c r="W87" i="10"/>
  <c r="AK86" i="5"/>
  <c r="B86" i="6"/>
  <c r="H86" i="10"/>
  <c r="E86" i="17" s="1"/>
  <c r="B87" i="18" s="1"/>
  <c r="I86" i="10"/>
  <c r="F86" i="17" s="1"/>
  <c r="D87" i="18" s="1"/>
  <c r="L86" i="10"/>
  <c r="C86" i="6"/>
  <c r="J86" i="10"/>
  <c r="G86" i="17" s="1"/>
  <c r="F87" i="18" s="1"/>
  <c r="M86" i="10"/>
  <c r="I86" i="5"/>
  <c r="J86" i="5" s="1"/>
  <c r="AE86" i="5"/>
  <c r="AF86" i="5" s="1"/>
  <c r="C86" i="5"/>
  <c r="D86" i="5"/>
  <c r="Z86" i="5"/>
  <c r="AA86" i="5"/>
  <c r="D86" i="6"/>
  <c r="W86" i="10"/>
  <c r="AK85" i="5"/>
  <c r="B85" i="6"/>
  <c r="H85" i="10"/>
  <c r="E85" i="17" s="1"/>
  <c r="B86" i="18" s="1"/>
  <c r="I85" i="10"/>
  <c r="F85" i="17" s="1"/>
  <c r="D86" i="18" s="1"/>
  <c r="L85" i="10"/>
  <c r="C85" i="6"/>
  <c r="J85" i="10"/>
  <c r="G85" i="17" s="1"/>
  <c r="F86" i="18" s="1"/>
  <c r="M85" i="10"/>
  <c r="I85" i="5"/>
  <c r="J85" i="5" s="1"/>
  <c r="AE85" i="5"/>
  <c r="AF85" i="5" s="1"/>
  <c r="C85" i="5"/>
  <c r="D85" i="5"/>
  <c r="Z85" i="5"/>
  <c r="AA85" i="5"/>
  <c r="D85" i="6"/>
  <c r="W85" i="10"/>
  <c r="AK84" i="5"/>
  <c r="B84" i="6"/>
  <c r="H84" i="10"/>
  <c r="E84" i="17" s="1"/>
  <c r="B85" i="18" s="1"/>
  <c r="I84" i="10"/>
  <c r="F84" i="17" s="1"/>
  <c r="D85" i="18" s="1"/>
  <c r="L84" i="10"/>
  <c r="C84" i="6"/>
  <c r="J84" i="10"/>
  <c r="G84" i="17" s="1"/>
  <c r="F85" i="18" s="1"/>
  <c r="M84" i="10"/>
  <c r="I84" i="5"/>
  <c r="J84" i="5" s="1"/>
  <c r="AE84" i="5"/>
  <c r="AF84" i="5" s="1"/>
  <c r="C84" i="5"/>
  <c r="D84" i="5"/>
  <c r="Z84" i="5"/>
  <c r="AA84" i="5"/>
  <c r="D84" i="6"/>
  <c r="W84" i="10"/>
  <c r="AK83" i="5"/>
  <c r="B83" i="6"/>
  <c r="H83" i="10"/>
  <c r="E83" i="17" s="1"/>
  <c r="B84" i="18" s="1"/>
  <c r="I83" i="10"/>
  <c r="F83" i="17" s="1"/>
  <c r="D84" i="18" s="1"/>
  <c r="L83" i="10"/>
  <c r="C83" i="6"/>
  <c r="J83" i="10"/>
  <c r="G83" i="17" s="1"/>
  <c r="F84" i="18" s="1"/>
  <c r="M83" i="10"/>
  <c r="I83" i="5"/>
  <c r="J83" i="5" s="1"/>
  <c r="AE83" i="5"/>
  <c r="AF83" i="5" s="1"/>
  <c r="C83" i="5"/>
  <c r="D83" i="5"/>
  <c r="Z83" i="5"/>
  <c r="AA83" i="5"/>
  <c r="D83" i="6"/>
  <c r="W83" i="10"/>
  <c r="AK82" i="5"/>
  <c r="B82" i="6"/>
  <c r="H82" i="10"/>
  <c r="E82" i="17" s="1"/>
  <c r="B83" i="18" s="1"/>
  <c r="I82" i="10"/>
  <c r="F82" i="17" s="1"/>
  <c r="D83" i="18" s="1"/>
  <c r="L82" i="10"/>
  <c r="C82" i="6"/>
  <c r="J82" i="10"/>
  <c r="G82" i="17" s="1"/>
  <c r="F83" i="18" s="1"/>
  <c r="M82" i="10"/>
  <c r="I82" i="5"/>
  <c r="J82" i="5" s="1"/>
  <c r="AE82" i="5"/>
  <c r="AF82" i="5" s="1"/>
  <c r="C82" i="5"/>
  <c r="D82" i="5"/>
  <c r="Z82" i="5"/>
  <c r="AA82" i="5"/>
  <c r="D82" i="6"/>
  <c r="W82" i="10"/>
  <c r="AK81" i="5"/>
  <c r="B81" i="6"/>
  <c r="H81" i="10"/>
  <c r="E81" i="17" s="1"/>
  <c r="B82" i="18" s="1"/>
  <c r="I81" i="10"/>
  <c r="F81" i="17" s="1"/>
  <c r="D82" i="18" s="1"/>
  <c r="L81" i="10"/>
  <c r="C81" i="6"/>
  <c r="J81" i="10"/>
  <c r="G81" i="17" s="1"/>
  <c r="F82" i="18" s="1"/>
  <c r="M81" i="10"/>
  <c r="I81" i="5"/>
  <c r="J81" i="5" s="1"/>
  <c r="AE81" i="5"/>
  <c r="AF81" i="5" s="1"/>
  <c r="C81" i="5"/>
  <c r="D81" i="5"/>
  <c r="Z81" i="5"/>
  <c r="AA81" i="5"/>
  <c r="D81" i="6"/>
  <c r="W81" i="10"/>
  <c r="AK80" i="5"/>
  <c r="B80" i="6"/>
  <c r="H80" i="10"/>
  <c r="E80" i="17" s="1"/>
  <c r="B81" i="18" s="1"/>
  <c r="I80" i="10"/>
  <c r="F80" i="17" s="1"/>
  <c r="D81" i="18" s="1"/>
  <c r="L80" i="10"/>
  <c r="C80" i="6"/>
  <c r="J80" i="10"/>
  <c r="G80" i="17" s="1"/>
  <c r="F81" i="18" s="1"/>
  <c r="M80" i="10"/>
  <c r="I80" i="5"/>
  <c r="J80" i="5" s="1"/>
  <c r="AE80" i="5"/>
  <c r="AF80" i="5" s="1"/>
  <c r="C80" i="5"/>
  <c r="D80" i="5"/>
  <c r="Z80" i="5"/>
  <c r="AA80" i="5"/>
  <c r="D80" i="6"/>
  <c r="W80" i="10"/>
  <c r="AK79" i="5"/>
  <c r="B79" i="6"/>
  <c r="H79" i="10"/>
  <c r="E79" i="17" s="1"/>
  <c r="B80" i="18" s="1"/>
  <c r="I79" i="10"/>
  <c r="F79" i="17" s="1"/>
  <c r="D80" i="18" s="1"/>
  <c r="L79" i="10"/>
  <c r="C79" i="6"/>
  <c r="J79" i="10"/>
  <c r="G79" i="17" s="1"/>
  <c r="F80" i="18" s="1"/>
  <c r="M79" i="10"/>
  <c r="I79" i="5"/>
  <c r="J79" i="5" s="1"/>
  <c r="AE79" i="5"/>
  <c r="AF79" i="5" s="1"/>
  <c r="C79" i="5"/>
  <c r="D79" i="5"/>
  <c r="Z79" i="5"/>
  <c r="AA79" i="5"/>
  <c r="D79" i="6"/>
  <c r="W79" i="10"/>
  <c r="AK78" i="5"/>
  <c r="B78" i="6"/>
  <c r="H78" i="10"/>
  <c r="E78" i="17" s="1"/>
  <c r="B79" i="18" s="1"/>
  <c r="I78" i="10"/>
  <c r="F78" i="17" s="1"/>
  <c r="D79" i="18" s="1"/>
  <c r="L78" i="10"/>
  <c r="C78" i="6"/>
  <c r="J78" i="10"/>
  <c r="G78" i="17" s="1"/>
  <c r="F79" i="18" s="1"/>
  <c r="M78" i="10"/>
  <c r="I78" i="5"/>
  <c r="J78" i="5" s="1"/>
  <c r="AE78" i="5"/>
  <c r="AF78" i="5" s="1"/>
  <c r="C78" i="5"/>
  <c r="D78" i="5"/>
  <c r="Z78" i="5"/>
  <c r="AA78" i="5"/>
  <c r="D78" i="6"/>
  <c r="W78" i="10"/>
  <c r="AK77" i="5"/>
  <c r="B77" i="6"/>
  <c r="H77" i="10"/>
  <c r="E77" i="17" s="1"/>
  <c r="B78" i="18" s="1"/>
  <c r="I77" i="10"/>
  <c r="F77" i="17" s="1"/>
  <c r="D78" i="18" s="1"/>
  <c r="L77" i="10"/>
  <c r="C77" i="6"/>
  <c r="J77" i="10"/>
  <c r="G77" i="17" s="1"/>
  <c r="F78" i="18" s="1"/>
  <c r="M77" i="10"/>
  <c r="I77" i="5"/>
  <c r="J77" i="5" s="1"/>
  <c r="AE77" i="5"/>
  <c r="AF77" i="5" s="1"/>
  <c r="C77" i="5"/>
  <c r="D77" i="5"/>
  <c r="Z77" i="5"/>
  <c r="AA77" i="5"/>
  <c r="D77" i="6"/>
  <c r="W77" i="10"/>
  <c r="AK76" i="5"/>
  <c r="B76" i="6"/>
  <c r="H76" i="10"/>
  <c r="E76" i="17" s="1"/>
  <c r="B77" i="18" s="1"/>
  <c r="I76" i="10"/>
  <c r="F76" i="17" s="1"/>
  <c r="D77" i="18" s="1"/>
  <c r="L76" i="10"/>
  <c r="C76" i="6"/>
  <c r="J76" i="10"/>
  <c r="G76" i="17" s="1"/>
  <c r="F77" i="18" s="1"/>
  <c r="M76" i="10"/>
  <c r="I76" i="5"/>
  <c r="J76" i="5" s="1"/>
  <c r="AE76" i="5"/>
  <c r="AF76" i="5" s="1"/>
  <c r="C76" i="5"/>
  <c r="D76" i="5"/>
  <c r="Z76" i="5"/>
  <c r="AA76" i="5"/>
  <c r="D76" i="6"/>
  <c r="W76" i="10"/>
  <c r="AK75" i="5"/>
  <c r="B75" i="6"/>
  <c r="H75" i="10"/>
  <c r="E75" i="17" s="1"/>
  <c r="B76" i="18" s="1"/>
  <c r="I75" i="10"/>
  <c r="F75" i="17" s="1"/>
  <c r="D76" i="18" s="1"/>
  <c r="L75" i="10"/>
  <c r="C75" i="6"/>
  <c r="J75" i="10"/>
  <c r="G75" i="17" s="1"/>
  <c r="F76" i="18" s="1"/>
  <c r="M75" i="10"/>
  <c r="I75" i="5"/>
  <c r="J75" i="5" s="1"/>
  <c r="AE75" i="5"/>
  <c r="AF75" i="5" s="1"/>
  <c r="C75" i="5"/>
  <c r="D75" i="5"/>
  <c r="Z75" i="5"/>
  <c r="AA75" i="5"/>
  <c r="D75" i="6"/>
  <c r="W75" i="10"/>
  <c r="AK74" i="5"/>
  <c r="B74" i="6"/>
  <c r="H74" i="10"/>
  <c r="E74" i="17" s="1"/>
  <c r="B75" i="18" s="1"/>
  <c r="I74" i="10"/>
  <c r="F74" i="17" s="1"/>
  <c r="D75" i="18" s="1"/>
  <c r="L74" i="10"/>
  <c r="C74" i="6"/>
  <c r="J74" i="10"/>
  <c r="G74" i="17" s="1"/>
  <c r="F75" i="18" s="1"/>
  <c r="M74" i="10"/>
  <c r="I74" i="5"/>
  <c r="J74" i="5" s="1"/>
  <c r="AE74" i="5"/>
  <c r="AF74" i="5" s="1"/>
  <c r="C74" i="5"/>
  <c r="D74" i="5"/>
  <c r="Z74" i="5"/>
  <c r="AA74" i="5"/>
  <c r="D74" i="6"/>
  <c r="W74" i="10"/>
  <c r="AK73" i="5"/>
  <c r="B73" i="6"/>
  <c r="H73" i="10"/>
  <c r="E73" i="17" s="1"/>
  <c r="B74" i="18" s="1"/>
  <c r="I73" i="10"/>
  <c r="F73" i="17" s="1"/>
  <c r="D74" i="18" s="1"/>
  <c r="L73" i="10"/>
  <c r="C73" i="6"/>
  <c r="J73" i="10"/>
  <c r="G73" i="17" s="1"/>
  <c r="F74" i="18" s="1"/>
  <c r="M73" i="10"/>
  <c r="I73" i="5"/>
  <c r="J73" i="5" s="1"/>
  <c r="AE73" i="5"/>
  <c r="AF73" i="5" s="1"/>
  <c r="C73" i="5"/>
  <c r="D73" i="5"/>
  <c r="Z73" i="5"/>
  <c r="AA73" i="5"/>
  <c r="D73" i="6"/>
  <c r="W73" i="10"/>
  <c r="AK72" i="5"/>
  <c r="B72" i="6"/>
  <c r="H72" i="10"/>
  <c r="E72" i="17" s="1"/>
  <c r="B73" i="18" s="1"/>
  <c r="I72" i="10"/>
  <c r="F72" i="17" s="1"/>
  <c r="D73" i="18" s="1"/>
  <c r="L72" i="10"/>
  <c r="C72" i="6"/>
  <c r="J72" i="10"/>
  <c r="G72" i="17" s="1"/>
  <c r="F73" i="18" s="1"/>
  <c r="M72" i="10"/>
  <c r="I72" i="5"/>
  <c r="J72" i="5" s="1"/>
  <c r="AE72" i="5"/>
  <c r="AF72" i="5" s="1"/>
  <c r="C72" i="5"/>
  <c r="D72" i="5"/>
  <c r="Z72" i="5"/>
  <c r="AA72" i="5"/>
  <c r="D72" i="6"/>
  <c r="W72" i="10"/>
  <c r="AK71" i="5"/>
  <c r="B71" i="6"/>
  <c r="H71" i="10"/>
  <c r="E71" i="17" s="1"/>
  <c r="B72" i="18" s="1"/>
  <c r="I71" i="10"/>
  <c r="F71" i="17" s="1"/>
  <c r="D72" i="18" s="1"/>
  <c r="L71" i="10"/>
  <c r="C71" i="6"/>
  <c r="J71" i="10"/>
  <c r="G71" i="17" s="1"/>
  <c r="F72" i="18" s="1"/>
  <c r="M71" i="10"/>
  <c r="I71" i="5"/>
  <c r="J71" i="5" s="1"/>
  <c r="AE71" i="5"/>
  <c r="AF71" i="5" s="1"/>
  <c r="C71" i="5"/>
  <c r="D71" i="5"/>
  <c r="Z71" i="5"/>
  <c r="AA71" i="5"/>
  <c r="D71" i="6"/>
  <c r="W71" i="10"/>
  <c r="AK70" i="5"/>
  <c r="B70" i="6"/>
  <c r="H70" i="10"/>
  <c r="E70" i="17" s="1"/>
  <c r="B71" i="18" s="1"/>
  <c r="I70" i="10"/>
  <c r="F70" i="17" s="1"/>
  <c r="D71" i="18" s="1"/>
  <c r="L70" i="10"/>
  <c r="C70" i="6"/>
  <c r="J70" i="10"/>
  <c r="G70" i="17" s="1"/>
  <c r="F71" i="18" s="1"/>
  <c r="M70" i="10"/>
  <c r="I70" i="5"/>
  <c r="J70" i="5" s="1"/>
  <c r="AE70" i="5"/>
  <c r="AF70" i="5" s="1"/>
  <c r="C70" i="5"/>
  <c r="D70" i="5"/>
  <c r="Z70" i="5"/>
  <c r="AA70" i="5"/>
  <c r="D70" i="6"/>
  <c r="W70" i="10"/>
  <c r="AK69" i="5"/>
  <c r="B69" i="6"/>
  <c r="H69" i="10"/>
  <c r="E69" i="17" s="1"/>
  <c r="B70" i="18" s="1"/>
  <c r="I69" i="10"/>
  <c r="F69" i="17" s="1"/>
  <c r="D70" i="18" s="1"/>
  <c r="L69" i="10"/>
  <c r="C69" i="6"/>
  <c r="J69" i="10"/>
  <c r="G69" i="17" s="1"/>
  <c r="F70" i="18" s="1"/>
  <c r="M69" i="10"/>
  <c r="I69" i="5"/>
  <c r="J69" i="5" s="1"/>
  <c r="AE69" i="5"/>
  <c r="AF69" i="5" s="1"/>
  <c r="C69" i="5"/>
  <c r="D69" i="5"/>
  <c r="Z69" i="5"/>
  <c r="AA69" i="5"/>
  <c r="D69" i="6"/>
  <c r="W69" i="10"/>
  <c r="AK68" i="5"/>
  <c r="B68" i="6"/>
  <c r="H68" i="10"/>
  <c r="E68" i="17" s="1"/>
  <c r="B69" i="18" s="1"/>
  <c r="I68" i="10"/>
  <c r="F68" i="17" s="1"/>
  <c r="D69" i="18" s="1"/>
  <c r="L68" i="10"/>
  <c r="C68" i="6"/>
  <c r="J68" i="10"/>
  <c r="G68" i="17" s="1"/>
  <c r="F69" i="18" s="1"/>
  <c r="M68" i="10"/>
  <c r="I68" i="5"/>
  <c r="J68" i="5" s="1"/>
  <c r="AE68" i="5"/>
  <c r="AF68" i="5" s="1"/>
  <c r="C68" i="5"/>
  <c r="D68" i="5"/>
  <c r="Z68" i="5"/>
  <c r="AA68" i="5"/>
  <c r="D68" i="6"/>
  <c r="W68" i="10"/>
  <c r="AK67" i="5"/>
  <c r="B67" i="6"/>
  <c r="H67" i="10"/>
  <c r="E67" i="17" s="1"/>
  <c r="B68" i="18" s="1"/>
  <c r="I67" i="10"/>
  <c r="F67" i="17" s="1"/>
  <c r="D68" i="18" s="1"/>
  <c r="L67" i="10"/>
  <c r="C67" i="6"/>
  <c r="J67" i="10"/>
  <c r="G67" i="17" s="1"/>
  <c r="F68" i="18" s="1"/>
  <c r="M67" i="10"/>
  <c r="I67" i="5"/>
  <c r="J67" i="5" s="1"/>
  <c r="AE67" i="5"/>
  <c r="AF67" i="5" s="1"/>
  <c r="C67" i="5"/>
  <c r="D67" i="5"/>
  <c r="Z67" i="5"/>
  <c r="AA67" i="5"/>
  <c r="D67" i="6"/>
  <c r="W67" i="10"/>
  <c r="AK66" i="5"/>
  <c r="B66" i="6"/>
  <c r="H66" i="10"/>
  <c r="E66" i="17" s="1"/>
  <c r="B67" i="18" s="1"/>
  <c r="I66" i="10"/>
  <c r="F66" i="17" s="1"/>
  <c r="D67" i="18" s="1"/>
  <c r="L66" i="10"/>
  <c r="C66" i="6"/>
  <c r="J66" i="10"/>
  <c r="G66" i="17" s="1"/>
  <c r="F67" i="18" s="1"/>
  <c r="M66" i="10"/>
  <c r="I66" i="5"/>
  <c r="J66" i="5" s="1"/>
  <c r="AE66" i="5"/>
  <c r="AF66" i="5" s="1"/>
  <c r="C66" i="5"/>
  <c r="D66" i="5"/>
  <c r="Z66" i="5"/>
  <c r="AA66" i="5"/>
  <c r="D66" i="6"/>
  <c r="W66" i="10"/>
  <c r="AK65" i="5"/>
  <c r="B65" i="6"/>
  <c r="H65" i="10"/>
  <c r="E65" i="17" s="1"/>
  <c r="B66" i="18" s="1"/>
  <c r="I65" i="10"/>
  <c r="F65" i="17" s="1"/>
  <c r="D66" i="18" s="1"/>
  <c r="L65" i="10"/>
  <c r="C65" i="6"/>
  <c r="J65" i="10"/>
  <c r="G65" i="17" s="1"/>
  <c r="F66" i="18" s="1"/>
  <c r="M65" i="10"/>
  <c r="I65" i="5"/>
  <c r="J65" i="5" s="1"/>
  <c r="AE65" i="5"/>
  <c r="AF65" i="5" s="1"/>
  <c r="C65" i="5"/>
  <c r="D65" i="5"/>
  <c r="Z65" i="5"/>
  <c r="AA65" i="5"/>
  <c r="D65" i="6"/>
  <c r="W65" i="10"/>
  <c r="AK64" i="5"/>
  <c r="B64" i="6"/>
  <c r="H64" i="10"/>
  <c r="E64" i="17" s="1"/>
  <c r="B65" i="18" s="1"/>
  <c r="I64" i="10"/>
  <c r="F64" i="17" s="1"/>
  <c r="D65" i="18" s="1"/>
  <c r="L64" i="10"/>
  <c r="C64" i="6"/>
  <c r="J64" i="10"/>
  <c r="G64" i="17" s="1"/>
  <c r="F65" i="18" s="1"/>
  <c r="M64" i="10"/>
  <c r="I64" i="5"/>
  <c r="J64" i="5" s="1"/>
  <c r="AE64" i="5"/>
  <c r="AF64" i="5" s="1"/>
  <c r="C64" i="5"/>
  <c r="D64" i="5"/>
  <c r="Z64" i="5"/>
  <c r="AA64" i="5"/>
  <c r="D64" i="6"/>
  <c r="W64" i="10"/>
  <c r="AK63" i="5"/>
  <c r="B63" i="6"/>
  <c r="H63" i="10"/>
  <c r="E63" i="17" s="1"/>
  <c r="B64" i="18" s="1"/>
  <c r="I63" i="10"/>
  <c r="F63" i="17" s="1"/>
  <c r="D64" i="18" s="1"/>
  <c r="L63" i="10"/>
  <c r="C63" i="6"/>
  <c r="J63" i="10"/>
  <c r="G63" i="17" s="1"/>
  <c r="F64" i="18" s="1"/>
  <c r="M63" i="10"/>
  <c r="I63" i="5"/>
  <c r="J63" i="5" s="1"/>
  <c r="AE63" i="5"/>
  <c r="AF63" i="5" s="1"/>
  <c r="C63" i="5"/>
  <c r="D63" i="5"/>
  <c r="Z63" i="5"/>
  <c r="AA63" i="5"/>
  <c r="D63" i="6"/>
  <c r="W63" i="10"/>
  <c r="AK62" i="5"/>
  <c r="B62" i="6"/>
  <c r="H62" i="10"/>
  <c r="E62" i="17" s="1"/>
  <c r="B63" i="18" s="1"/>
  <c r="I62" i="10"/>
  <c r="F62" i="17" s="1"/>
  <c r="D63" i="18" s="1"/>
  <c r="L62" i="10"/>
  <c r="C62" i="6"/>
  <c r="J62" i="10"/>
  <c r="G62" i="17" s="1"/>
  <c r="F63" i="18" s="1"/>
  <c r="M62" i="10"/>
  <c r="I62" i="5"/>
  <c r="J62" i="5" s="1"/>
  <c r="AE62" i="5"/>
  <c r="AF62" i="5" s="1"/>
  <c r="C62" i="5"/>
  <c r="D62" i="5"/>
  <c r="Z62" i="5"/>
  <c r="AA62" i="5"/>
  <c r="D62" i="6"/>
  <c r="W62" i="10"/>
  <c r="AK61" i="5"/>
  <c r="B61" i="6"/>
  <c r="H61" i="10"/>
  <c r="E61" i="17" s="1"/>
  <c r="B62" i="18" s="1"/>
  <c r="I61" i="10"/>
  <c r="F61" i="17" s="1"/>
  <c r="D62" i="18" s="1"/>
  <c r="L61" i="10"/>
  <c r="C61" i="6"/>
  <c r="J61" i="10"/>
  <c r="G61" i="17" s="1"/>
  <c r="F62" i="18" s="1"/>
  <c r="M61" i="10"/>
  <c r="I61" i="5"/>
  <c r="J61" i="5" s="1"/>
  <c r="AE61" i="5"/>
  <c r="AF61" i="5" s="1"/>
  <c r="C61" i="5"/>
  <c r="D61" i="5"/>
  <c r="Z61" i="5"/>
  <c r="AA61" i="5"/>
  <c r="D61" i="6"/>
  <c r="W61" i="10"/>
  <c r="AK60" i="5"/>
  <c r="B60" i="6"/>
  <c r="H60" i="10"/>
  <c r="E60" i="17" s="1"/>
  <c r="B61" i="18" s="1"/>
  <c r="I60" i="10"/>
  <c r="F60" i="17" s="1"/>
  <c r="D61" i="18" s="1"/>
  <c r="L60" i="10"/>
  <c r="C60" i="6"/>
  <c r="J60" i="10"/>
  <c r="G60" i="17" s="1"/>
  <c r="F61" i="18" s="1"/>
  <c r="M60" i="10"/>
  <c r="I60" i="5"/>
  <c r="J60" i="5" s="1"/>
  <c r="AE60" i="5"/>
  <c r="AF60" i="5" s="1"/>
  <c r="C60" i="5"/>
  <c r="D60" i="5"/>
  <c r="Z60" i="5"/>
  <c r="AA60" i="5"/>
  <c r="D60" i="6"/>
  <c r="W60" i="10"/>
  <c r="AK59" i="5"/>
  <c r="B59" i="6"/>
  <c r="H59" i="10"/>
  <c r="E59" i="17" s="1"/>
  <c r="B60" i="18" s="1"/>
  <c r="I59" i="10"/>
  <c r="F59" i="17" s="1"/>
  <c r="D60" i="18" s="1"/>
  <c r="L59" i="10"/>
  <c r="C59" i="6"/>
  <c r="J59" i="10"/>
  <c r="G59" i="17" s="1"/>
  <c r="F60" i="18" s="1"/>
  <c r="M59" i="10"/>
  <c r="I59" i="5"/>
  <c r="J59" i="5" s="1"/>
  <c r="AE59" i="5"/>
  <c r="AF59" i="5" s="1"/>
  <c r="C59" i="5"/>
  <c r="D59" i="5"/>
  <c r="Z59" i="5"/>
  <c r="AA59" i="5"/>
  <c r="D59" i="6"/>
  <c r="W59" i="10"/>
  <c r="AK58" i="5"/>
  <c r="B58" i="6"/>
  <c r="H58" i="10"/>
  <c r="E58" i="17" s="1"/>
  <c r="B59" i="18" s="1"/>
  <c r="I58" i="10"/>
  <c r="F58" i="17" s="1"/>
  <c r="D59" i="18" s="1"/>
  <c r="L58" i="10"/>
  <c r="C58" i="6"/>
  <c r="J58" i="10"/>
  <c r="G58" i="17" s="1"/>
  <c r="F59" i="18" s="1"/>
  <c r="M58" i="10"/>
  <c r="I58" i="5"/>
  <c r="J58" i="5" s="1"/>
  <c r="AE58" i="5"/>
  <c r="AF58" i="5" s="1"/>
  <c r="C58" i="5"/>
  <c r="D58" i="5"/>
  <c r="Z58" i="5"/>
  <c r="AA58" i="5"/>
  <c r="D58" i="6"/>
  <c r="W58" i="10"/>
  <c r="AK57" i="5"/>
  <c r="B57" i="6"/>
  <c r="H57" i="10"/>
  <c r="E57" i="17" s="1"/>
  <c r="B58" i="18" s="1"/>
  <c r="I57" i="10"/>
  <c r="F57" i="17" s="1"/>
  <c r="D58" i="18" s="1"/>
  <c r="L57" i="10"/>
  <c r="C57" i="6"/>
  <c r="J57" i="10"/>
  <c r="G57" i="17" s="1"/>
  <c r="F58" i="18" s="1"/>
  <c r="M57" i="10"/>
  <c r="I57" i="5"/>
  <c r="J57" i="5" s="1"/>
  <c r="AE57" i="5"/>
  <c r="AF57" i="5" s="1"/>
  <c r="C57" i="5"/>
  <c r="D57" i="5"/>
  <c r="Z57" i="5"/>
  <c r="AA57" i="5"/>
  <c r="D57" i="6"/>
  <c r="W57" i="10"/>
  <c r="AK56" i="5"/>
  <c r="B56" i="6"/>
  <c r="H56" i="10"/>
  <c r="E56" i="17" s="1"/>
  <c r="B57" i="18" s="1"/>
  <c r="I56" i="10"/>
  <c r="F56" i="17" s="1"/>
  <c r="D57" i="18" s="1"/>
  <c r="L56" i="10"/>
  <c r="C56" i="6"/>
  <c r="J56" i="10"/>
  <c r="G56" i="17" s="1"/>
  <c r="F57" i="18" s="1"/>
  <c r="M56" i="10"/>
  <c r="I56" i="5"/>
  <c r="J56" i="5" s="1"/>
  <c r="AE56" i="5"/>
  <c r="AF56" i="5" s="1"/>
  <c r="C56" i="5"/>
  <c r="D56" i="5"/>
  <c r="Z56" i="5"/>
  <c r="AA56" i="5"/>
  <c r="D56" i="6"/>
  <c r="W56" i="10"/>
  <c r="AK55" i="5"/>
  <c r="B55" i="6"/>
  <c r="H55" i="10"/>
  <c r="E55" i="17" s="1"/>
  <c r="B56" i="18" s="1"/>
  <c r="I55" i="10"/>
  <c r="F55" i="17" s="1"/>
  <c r="D56" i="18" s="1"/>
  <c r="L55" i="10"/>
  <c r="C55" i="6"/>
  <c r="J55" i="10"/>
  <c r="G55" i="17" s="1"/>
  <c r="F56" i="18" s="1"/>
  <c r="M55" i="10"/>
  <c r="I55" i="5"/>
  <c r="J55" i="5" s="1"/>
  <c r="AE55" i="5"/>
  <c r="AF55" i="5" s="1"/>
  <c r="C55" i="5"/>
  <c r="D55" i="5"/>
  <c r="Z55" i="5"/>
  <c r="AA55" i="5"/>
  <c r="D55" i="6"/>
  <c r="W55" i="10"/>
  <c r="AK54" i="5"/>
  <c r="B54" i="6"/>
  <c r="H54" i="10"/>
  <c r="E54" i="17" s="1"/>
  <c r="B55" i="18" s="1"/>
  <c r="I54" i="10"/>
  <c r="F54" i="17" s="1"/>
  <c r="D55" i="18" s="1"/>
  <c r="L54" i="10"/>
  <c r="C54" i="6"/>
  <c r="J54" i="10"/>
  <c r="G54" i="17" s="1"/>
  <c r="F55" i="18" s="1"/>
  <c r="M54" i="10"/>
  <c r="I54" i="5"/>
  <c r="J54" i="5" s="1"/>
  <c r="AE54" i="5"/>
  <c r="AF54" i="5" s="1"/>
  <c r="C54" i="5"/>
  <c r="D54" i="5"/>
  <c r="Z54" i="5"/>
  <c r="AA54" i="5"/>
  <c r="D54" i="6"/>
  <c r="W54" i="10"/>
  <c r="AK53" i="5"/>
  <c r="B53" i="6"/>
  <c r="H53" i="10"/>
  <c r="E53" i="17" s="1"/>
  <c r="B54" i="18" s="1"/>
  <c r="I53" i="10"/>
  <c r="F53" i="17" s="1"/>
  <c r="D54" i="18" s="1"/>
  <c r="L53" i="10"/>
  <c r="C53" i="6"/>
  <c r="J53" i="10"/>
  <c r="G53" i="17" s="1"/>
  <c r="F54" i="18" s="1"/>
  <c r="M53" i="10"/>
  <c r="I53" i="5"/>
  <c r="J53" i="5" s="1"/>
  <c r="AE53" i="5"/>
  <c r="AF53" i="5" s="1"/>
  <c r="C53" i="5"/>
  <c r="D53" i="5"/>
  <c r="Z53" i="5"/>
  <c r="AA53" i="5"/>
  <c r="D53" i="6"/>
  <c r="W53" i="10"/>
  <c r="AK52" i="5"/>
  <c r="B52" i="6"/>
  <c r="H52" i="10"/>
  <c r="E52" i="17" s="1"/>
  <c r="B53" i="18" s="1"/>
  <c r="I52" i="10"/>
  <c r="F52" i="17" s="1"/>
  <c r="D53" i="18" s="1"/>
  <c r="L52" i="10"/>
  <c r="C52" i="6"/>
  <c r="J52" i="10"/>
  <c r="G52" i="17" s="1"/>
  <c r="F53" i="18" s="1"/>
  <c r="M52" i="10"/>
  <c r="I52" i="5"/>
  <c r="J52" i="5" s="1"/>
  <c r="AE52" i="5"/>
  <c r="AF52" i="5" s="1"/>
  <c r="C52" i="5"/>
  <c r="D52" i="5"/>
  <c r="Z52" i="5"/>
  <c r="AA52" i="5"/>
  <c r="D52" i="6"/>
  <c r="W52" i="10"/>
  <c r="AK51" i="5"/>
  <c r="B51" i="6"/>
  <c r="H51" i="10"/>
  <c r="E51" i="17" s="1"/>
  <c r="B52" i="18" s="1"/>
  <c r="I51" i="10"/>
  <c r="F51" i="17" s="1"/>
  <c r="D52" i="18" s="1"/>
  <c r="L51" i="10"/>
  <c r="C51" i="6"/>
  <c r="J51" i="10"/>
  <c r="G51" i="17" s="1"/>
  <c r="F52" i="18" s="1"/>
  <c r="M51" i="10"/>
  <c r="I51" i="5"/>
  <c r="J51" i="5" s="1"/>
  <c r="AE51" i="5"/>
  <c r="AF51" i="5" s="1"/>
  <c r="C51" i="5"/>
  <c r="D51" i="5"/>
  <c r="Z51" i="5"/>
  <c r="AA51" i="5"/>
  <c r="D51" i="6"/>
  <c r="W51" i="10"/>
  <c r="AK50" i="5"/>
  <c r="B50" i="6"/>
  <c r="H50" i="10"/>
  <c r="E50" i="17" s="1"/>
  <c r="B51" i="18" s="1"/>
  <c r="I50" i="10"/>
  <c r="F50" i="17" s="1"/>
  <c r="D51" i="18" s="1"/>
  <c r="L50" i="10"/>
  <c r="C50" i="6"/>
  <c r="J50" i="10"/>
  <c r="G50" i="17" s="1"/>
  <c r="F51" i="18" s="1"/>
  <c r="M50" i="10"/>
  <c r="I50" i="5"/>
  <c r="J50" i="5" s="1"/>
  <c r="AE50" i="5"/>
  <c r="AF50" i="5" s="1"/>
  <c r="C50" i="5"/>
  <c r="D50" i="5"/>
  <c r="Z50" i="5"/>
  <c r="AA50" i="5"/>
  <c r="D50" i="6"/>
  <c r="W50" i="10"/>
  <c r="AK49" i="5"/>
  <c r="B49" i="6"/>
  <c r="H49" i="10"/>
  <c r="E49" i="17" s="1"/>
  <c r="B50" i="18" s="1"/>
  <c r="I49" i="10"/>
  <c r="F49" i="17" s="1"/>
  <c r="D50" i="18" s="1"/>
  <c r="L49" i="10"/>
  <c r="C49" i="6"/>
  <c r="J49" i="10"/>
  <c r="G49" i="17" s="1"/>
  <c r="F50" i="18" s="1"/>
  <c r="M49" i="10"/>
  <c r="I49" i="5"/>
  <c r="J49" i="5" s="1"/>
  <c r="AE49" i="5"/>
  <c r="AF49" i="5" s="1"/>
  <c r="C49" i="5"/>
  <c r="D49" i="5"/>
  <c r="Z49" i="5"/>
  <c r="AA49" i="5"/>
  <c r="D49" i="6"/>
  <c r="W49" i="10"/>
  <c r="AK48" i="5"/>
  <c r="B48" i="6"/>
  <c r="H48" i="10"/>
  <c r="E48" i="17" s="1"/>
  <c r="B49" i="18" s="1"/>
  <c r="I48" i="10"/>
  <c r="F48" i="17" s="1"/>
  <c r="D49" i="18" s="1"/>
  <c r="L48" i="10"/>
  <c r="C48" i="6"/>
  <c r="J48" i="10"/>
  <c r="G48" i="17" s="1"/>
  <c r="F49" i="18" s="1"/>
  <c r="M48" i="10"/>
  <c r="I48" i="5"/>
  <c r="J48" i="5" s="1"/>
  <c r="AE48" i="5"/>
  <c r="AF48" i="5" s="1"/>
  <c r="C48" i="5"/>
  <c r="D48" i="5"/>
  <c r="Z48" i="5"/>
  <c r="AA48" i="5"/>
  <c r="D48" i="6"/>
  <c r="W48" i="10"/>
  <c r="AK47" i="5"/>
  <c r="B47" i="6"/>
  <c r="H47" i="10"/>
  <c r="E47" i="17" s="1"/>
  <c r="B48" i="18" s="1"/>
  <c r="I47" i="10"/>
  <c r="F47" i="17" s="1"/>
  <c r="D48" i="18" s="1"/>
  <c r="L47" i="10"/>
  <c r="C47" i="6"/>
  <c r="J47" i="10"/>
  <c r="G47" i="17" s="1"/>
  <c r="F48" i="18" s="1"/>
  <c r="M47" i="10"/>
  <c r="I47" i="5"/>
  <c r="J47" i="5" s="1"/>
  <c r="AE47" i="5"/>
  <c r="AF47" i="5" s="1"/>
  <c r="C47" i="5"/>
  <c r="D47" i="5"/>
  <c r="Z47" i="5"/>
  <c r="AA47" i="5"/>
  <c r="D47" i="6"/>
  <c r="W47" i="10"/>
  <c r="AK46" i="5"/>
  <c r="B46" i="6"/>
  <c r="H46" i="10"/>
  <c r="E46" i="17" s="1"/>
  <c r="B47" i="18" s="1"/>
  <c r="I46" i="10"/>
  <c r="F46" i="17" s="1"/>
  <c r="D47" i="18" s="1"/>
  <c r="L46" i="10"/>
  <c r="C46" i="6"/>
  <c r="J46" i="10"/>
  <c r="G46" i="17" s="1"/>
  <c r="F47" i="18" s="1"/>
  <c r="M46" i="10"/>
  <c r="I46" i="5"/>
  <c r="J46" i="5" s="1"/>
  <c r="AE46" i="5"/>
  <c r="AF46" i="5" s="1"/>
  <c r="C46" i="5"/>
  <c r="D46" i="5"/>
  <c r="Z46" i="5"/>
  <c r="AA46" i="5"/>
  <c r="D46" i="6"/>
  <c r="W46" i="10"/>
  <c r="AK45" i="5"/>
  <c r="B45" i="6"/>
  <c r="H45" i="10"/>
  <c r="E45" i="17" s="1"/>
  <c r="B46" i="18" s="1"/>
  <c r="I45" i="10"/>
  <c r="F45" i="17" s="1"/>
  <c r="D46" i="18" s="1"/>
  <c r="L45" i="10"/>
  <c r="C45" i="6"/>
  <c r="J45" i="10"/>
  <c r="G45" i="17" s="1"/>
  <c r="F46" i="18" s="1"/>
  <c r="M45" i="10"/>
  <c r="I45" i="5"/>
  <c r="J45" i="5" s="1"/>
  <c r="AE45" i="5"/>
  <c r="AF45" i="5" s="1"/>
  <c r="C45" i="5"/>
  <c r="D45" i="5"/>
  <c r="Z45" i="5"/>
  <c r="AA45" i="5"/>
  <c r="D45" i="6"/>
  <c r="W45" i="10"/>
  <c r="AK44" i="5"/>
  <c r="B44" i="6"/>
  <c r="H44" i="10"/>
  <c r="E44" i="17" s="1"/>
  <c r="B45" i="18" s="1"/>
  <c r="I44" i="10"/>
  <c r="F44" i="17" s="1"/>
  <c r="D45" i="18" s="1"/>
  <c r="L44" i="10"/>
  <c r="C44" i="6"/>
  <c r="J44" i="10"/>
  <c r="G44" i="17" s="1"/>
  <c r="F45" i="18" s="1"/>
  <c r="M44" i="10"/>
  <c r="I44" i="5"/>
  <c r="J44" i="5" s="1"/>
  <c r="AE44" i="5"/>
  <c r="AF44" i="5" s="1"/>
  <c r="C44" i="5"/>
  <c r="D44" i="5"/>
  <c r="Z44" i="5"/>
  <c r="AA44" i="5"/>
  <c r="D44" i="6"/>
  <c r="W44" i="10"/>
  <c r="AK43" i="5"/>
  <c r="B43" i="6"/>
  <c r="H43" i="10"/>
  <c r="E43" i="17" s="1"/>
  <c r="B44" i="18" s="1"/>
  <c r="I43" i="10"/>
  <c r="F43" i="17" s="1"/>
  <c r="D44" i="18" s="1"/>
  <c r="L43" i="10"/>
  <c r="C43" i="6"/>
  <c r="J43" i="10"/>
  <c r="G43" i="17" s="1"/>
  <c r="F44" i="18" s="1"/>
  <c r="M43" i="10"/>
  <c r="I43" i="5"/>
  <c r="J43" i="5" s="1"/>
  <c r="AE43" i="5"/>
  <c r="AF43" i="5" s="1"/>
  <c r="C43" i="5"/>
  <c r="D43" i="5"/>
  <c r="Z43" i="5"/>
  <c r="AA43" i="5"/>
  <c r="D43" i="6"/>
  <c r="W43" i="10"/>
  <c r="AK42" i="5"/>
  <c r="B42" i="6"/>
  <c r="H42" i="10"/>
  <c r="E42" i="17" s="1"/>
  <c r="B43" i="18" s="1"/>
  <c r="I42" i="10"/>
  <c r="F42" i="17" s="1"/>
  <c r="D43" i="18" s="1"/>
  <c r="L42" i="10"/>
  <c r="C42" i="6"/>
  <c r="J42" i="10"/>
  <c r="G42" i="17" s="1"/>
  <c r="F43" i="18" s="1"/>
  <c r="M42" i="10"/>
  <c r="I42" i="5"/>
  <c r="J42" i="5" s="1"/>
  <c r="AE42" i="5"/>
  <c r="AF42" i="5" s="1"/>
  <c r="C42" i="5"/>
  <c r="D42" i="5"/>
  <c r="Z42" i="5"/>
  <c r="AA42" i="5"/>
  <c r="D42" i="6"/>
  <c r="W42" i="10"/>
  <c r="AK41" i="5"/>
  <c r="B41" i="6"/>
  <c r="H41" i="10"/>
  <c r="E41" i="17" s="1"/>
  <c r="B42" i="18" s="1"/>
  <c r="I41" i="10"/>
  <c r="F41" i="17" s="1"/>
  <c r="D42" i="18" s="1"/>
  <c r="L41" i="10"/>
  <c r="C41" i="6"/>
  <c r="J41" i="10"/>
  <c r="G41" i="17" s="1"/>
  <c r="F42" i="18" s="1"/>
  <c r="M41" i="10"/>
  <c r="I41" i="5"/>
  <c r="J41" i="5" s="1"/>
  <c r="AE41" i="5"/>
  <c r="AF41" i="5" s="1"/>
  <c r="C41" i="5"/>
  <c r="D41" i="5"/>
  <c r="Z41" i="5"/>
  <c r="AA41" i="5"/>
  <c r="D41" i="6"/>
  <c r="W41" i="10"/>
  <c r="AK40" i="5"/>
  <c r="B40" i="6"/>
  <c r="H40" i="10"/>
  <c r="E40" i="17" s="1"/>
  <c r="B41" i="18" s="1"/>
  <c r="I40" i="10"/>
  <c r="F40" i="17" s="1"/>
  <c r="D41" i="18" s="1"/>
  <c r="L40" i="10"/>
  <c r="C40" i="6"/>
  <c r="J40" i="10"/>
  <c r="G40" i="17" s="1"/>
  <c r="F41" i="18" s="1"/>
  <c r="M40" i="10"/>
  <c r="I40" i="5"/>
  <c r="J40" i="5" s="1"/>
  <c r="AE40" i="5"/>
  <c r="AF40" i="5" s="1"/>
  <c r="C40" i="5"/>
  <c r="D40" i="5"/>
  <c r="Z40" i="5"/>
  <c r="AA40" i="5"/>
  <c r="D40" i="6"/>
  <c r="W40" i="10"/>
  <c r="AK39" i="5"/>
  <c r="B39" i="6"/>
  <c r="H39" i="10"/>
  <c r="E39" i="17" s="1"/>
  <c r="B40" i="18" s="1"/>
  <c r="I39" i="10"/>
  <c r="F39" i="17" s="1"/>
  <c r="D40" i="18" s="1"/>
  <c r="L39" i="10"/>
  <c r="C39" i="6"/>
  <c r="J39" i="10"/>
  <c r="G39" i="17" s="1"/>
  <c r="F40" i="18" s="1"/>
  <c r="M39" i="10"/>
  <c r="I39" i="5"/>
  <c r="J39" i="5" s="1"/>
  <c r="AE39" i="5"/>
  <c r="AF39" i="5" s="1"/>
  <c r="C39" i="5"/>
  <c r="D39" i="5"/>
  <c r="Z39" i="5"/>
  <c r="AA39" i="5"/>
  <c r="D39" i="6"/>
  <c r="W39" i="10"/>
  <c r="AK38" i="5"/>
  <c r="B38" i="6"/>
  <c r="H38" i="10"/>
  <c r="E38" i="17" s="1"/>
  <c r="B39" i="18" s="1"/>
  <c r="I38" i="10"/>
  <c r="F38" i="17" s="1"/>
  <c r="D39" i="18" s="1"/>
  <c r="L38" i="10"/>
  <c r="C38" i="6"/>
  <c r="J38" i="10"/>
  <c r="G38" i="17" s="1"/>
  <c r="F39" i="18" s="1"/>
  <c r="M38" i="10"/>
  <c r="I38" i="5"/>
  <c r="J38" i="5" s="1"/>
  <c r="AE38" i="5"/>
  <c r="AF38" i="5" s="1"/>
  <c r="C38" i="5"/>
  <c r="D38" i="5"/>
  <c r="Z38" i="5"/>
  <c r="AA38" i="5"/>
  <c r="D38" i="6"/>
  <c r="W38" i="10"/>
  <c r="AK37" i="5"/>
  <c r="B37" i="6"/>
  <c r="H37" i="10"/>
  <c r="E37" i="17" s="1"/>
  <c r="B38" i="18" s="1"/>
  <c r="I37" i="10"/>
  <c r="F37" i="17" s="1"/>
  <c r="D38" i="18" s="1"/>
  <c r="L37" i="10"/>
  <c r="C37" i="6"/>
  <c r="J37" i="10"/>
  <c r="G37" i="17" s="1"/>
  <c r="F38" i="18" s="1"/>
  <c r="M37" i="10"/>
  <c r="I37" i="5"/>
  <c r="J37" i="5" s="1"/>
  <c r="AE37" i="5"/>
  <c r="AF37" i="5" s="1"/>
  <c r="C37" i="5"/>
  <c r="D37" i="5"/>
  <c r="Z37" i="5"/>
  <c r="AA37" i="5"/>
  <c r="D37" i="6"/>
  <c r="W37" i="10"/>
  <c r="AK36" i="5"/>
  <c r="B36" i="6"/>
  <c r="H36" i="10"/>
  <c r="E36" i="17" s="1"/>
  <c r="B37" i="18" s="1"/>
  <c r="I36" i="10"/>
  <c r="F36" i="17" s="1"/>
  <c r="D37" i="18" s="1"/>
  <c r="L36" i="10"/>
  <c r="C36" i="6"/>
  <c r="J36" i="10"/>
  <c r="G36" i="17" s="1"/>
  <c r="F37" i="18" s="1"/>
  <c r="M36" i="10"/>
  <c r="I36" i="5"/>
  <c r="J36" i="5" s="1"/>
  <c r="AE36" i="5"/>
  <c r="AF36" i="5" s="1"/>
  <c r="C36" i="5"/>
  <c r="D36" i="5"/>
  <c r="Z36" i="5"/>
  <c r="AA36" i="5"/>
  <c r="D36" i="6"/>
  <c r="W36" i="10"/>
  <c r="AK35" i="5"/>
  <c r="B35" i="6"/>
  <c r="H35" i="10"/>
  <c r="E35" i="17" s="1"/>
  <c r="B36" i="18" s="1"/>
  <c r="I35" i="10"/>
  <c r="F35" i="17" s="1"/>
  <c r="D36" i="18" s="1"/>
  <c r="L35" i="10"/>
  <c r="C35" i="6"/>
  <c r="J35" i="10"/>
  <c r="G35" i="17" s="1"/>
  <c r="F36" i="18" s="1"/>
  <c r="M35" i="10"/>
  <c r="I35" i="5"/>
  <c r="J35" i="5" s="1"/>
  <c r="AE35" i="5"/>
  <c r="AF35" i="5" s="1"/>
  <c r="C35" i="5"/>
  <c r="D35" i="5"/>
  <c r="Z35" i="5"/>
  <c r="AA35" i="5"/>
  <c r="D35" i="6"/>
  <c r="W35" i="10"/>
  <c r="AK34" i="5"/>
  <c r="B34" i="6"/>
  <c r="H34" i="10"/>
  <c r="E34" i="17" s="1"/>
  <c r="B35" i="18" s="1"/>
  <c r="I34" i="10"/>
  <c r="F34" i="17" s="1"/>
  <c r="D35" i="18" s="1"/>
  <c r="L34" i="10"/>
  <c r="C34" i="6"/>
  <c r="J34" i="10"/>
  <c r="G34" i="17" s="1"/>
  <c r="F35" i="18" s="1"/>
  <c r="M34" i="10"/>
  <c r="I34" i="5"/>
  <c r="J34" i="5" s="1"/>
  <c r="AE34" i="5"/>
  <c r="AF34" i="5" s="1"/>
  <c r="C34" i="5"/>
  <c r="D34" i="5"/>
  <c r="Z34" i="5"/>
  <c r="AA34" i="5"/>
  <c r="D34" i="6"/>
  <c r="W34" i="10"/>
  <c r="AK33" i="5"/>
  <c r="B33" i="6"/>
  <c r="H33" i="10"/>
  <c r="E33" i="17" s="1"/>
  <c r="B34" i="18" s="1"/>
  <c r="I33" i="10"/>
  <c r="F33" i="17" s="1"/>
  <c r="D34" i="18" s="1"/>
  <c r="L33" i="10"/>
  <c r="C33" i="6"/>
  <c r="J33" i="10"/>
  <c r="G33" i="17" s="1"/>
  <c r="F34" i="18" s="1"/>
  <c r="M33" i="10"/>
  <c r="I33" i="5"/>
  <c r="J33" i="5" s="1"/>
  <c r="AE33" i="5"/>
  <c r="AF33" i="5" s="1"/>
  <c r="C33" i="5"/>
  <c r="D33" i="5"/>
  <c r="Z33" i="5"/>
  <c r="AA33" i="5"/>
  <c r="D33" i="6"/>
  <c r="W33" i="10"/>
  <c r="AK32" i="5"/>
  <c r="B32" i="6"/>
  <c r="H32" i="10"/>
  <c r="E32" i="17" s="1"/>
  <c r="B33" i="18" s="1"/>
  <c r="I32" i="10"/>
  <c r="F32" i="17" s="1"/>
  <c r="D33" i="18" s="1"/>
  <c r="L32" i="10"/>
  <c r="C32" i="6"/>
  <c r="J32" i="10"/>
  <c r="G32" i="17" s="1"/>
  <c r="F33" i="18" s="1"/>
  <c r="M32" i="10"/>
  <c r="I32" i="5"/>
  <c r="J32" i="5" s="1"/>
  <c r="AE32" i="5"/>
  <c r="AF32" i="5" s="1"/>
  <c r="C32" i="5"/>
  <c r="D32" i="5"/>
  <c r="Z32" i="5"/>
  <c r="AA32" i="5"/>
  <c r="D32" i="6"/>
  <c r="W32" i="10"/>
  <c r="AK31" i="5"/>
  <c r="B31" i="6"/>
  <c r="H31" i="10"/>
  <c r="E31" i="17" s="1"/>
  <c r="B32" i="18" s="1"/>
  <c r="I31" i="10"/>
  <c r="F31" i="17" s="1"/>
  <c r="D32" i="18" s="1"/>
  <c r="L31" i="10"/>
  <c r="C31" i="6"/>
  <c r="J31" i="10"/>
  <c r="G31" i="17" s="1"/>
  <c r="F32" i="18" s="1"/>
  <c r="M31" i="10"/>
  <c r="I31" i="5"/>
  <c r="J31" i="5" s="1"/>
  <c r="AE31" i="5"/>
  <c r="AF31" i="5" s="1"/>
  <c r="C31" i="5"/>
  <c r="D31" i="5"/>
  <c r="Z31" i="5"/>
  <c r="AA31" i="5"/>
  <c r="D31" i="6"/>
  <c r="W31" i="10"/>
  <c r="AK30" i="5"/>
  <c r="B30" i="6"/>
  <c r="H30" i="10"/>
  <c r="E30" i="17" s="1"/>
  <c r="B31" i="18" s="1"/>
  <c r="I30" i="10"/>
  <c r="F30" i="17" s="1"/>
  <c r="D31" i="18" s="1"/>
  <c r="L30" i="10"/>
  <c r="C30" i="6"/>
  <c r="J30" i="10"/>
  <c r="G30" i="17" s="1"/>
  <c r="F31" i="18" s="1"/>
  <c r="M30" i="10"/>
  <c r="I30" i="5"/>
  <c r="J30" i="5" s="1"/>
  <c r="AE30" i="5"/>
  <c r="AF30" i="5" s="1"/>
  <c r="C30" i="5"/>
  <c r="D30" i="5"/>
  <c r="Z30" i="5"/>
  <c r="AA30" i="5"/>
  <c r="D30" i="6"/>
  <c r="W30" i="10"/>
  <c r="AK29" i="5"/>
  <c r="B29" i="6"/>
  <c r="H29" i="10"/>
  <c r="E29" i="17" s="1"/>
  <c r="B30" i="18" s="1"/>
  <c r="I29" i="10"/>
  <c r="F29" i="17" s="1"/>
  <c r="D30" i="18" s="1"/>
  <c r="L29" i="10"/>
  <c r="C29" i="6"/>
  <c r="J29" i="10"/>
  <c r="G29" i="17" s="1"/>
  <c r="F30" i="18" s="1"/>
  <c r="M29" i="10"/>
  <c r="I29" i="5"/>
  <c r="J29" i="5" s="1"/>
  <c r="AE29" i="5"/>
  <c r="AF29" i="5" s="1"/>
  <c r="C29" i="5"/>
  <c r="D29" i="5"/>
  <c r="Z29" i="5"/>
  <c r="AA29" i="5"/>
  <c r="D29" i="6"/>
  <c r="W29" i="10"/>
  <c r="AK28" i="5"/>
  <c r="B28" i="6"/>
  <c r="H28" i="10"/>
  <c r="E28" i="17" s="1"/>
  <c r="B29" i="18" s="1"/>
  <c r="I28" i="10"/>
  <c r="F28" i="17" s="1"/>
  <c r="D29" i="18" s="1"/>
  <c r="L28" i="10"/>
  <c r="C28" i="6"/>
  <c r="J28" i="10"/>
  <c r="G28" i="17" s="1"/>
  <c r="F29" i="18" s="1"/>
  <c r="M28" i="10"/>
  <c r="I28" i="5"/>
  <c r="J28" i="5" s="1"/>
  <c r="AE28" i="5"/>
  <c r="AF28" i="5" s="1"/>
  <c r="C28" i="5"/>
  <c r="D28" i="5"/>
  <c r="Z28" i="5"/>
  <c r="AA28" i="5"/>
  <c r="D28" i="6"/>
  <c r="W28" i="10"/>
  <c r="AK27" i="5"/>
  <c r="B27" i="6"/>
  <c r="H27" i="10"/>
  <c r="E27" i="17" s="1"/>
  <c r="B28" i="18" s="1"/>
  <c r="I27" i="10"/>
  <c r="F27" i="17" s="1"/>
  <c r="D28" i="18" s="1"/>
  <c r="L27" i="10"/>
  <c r="C27" i="6"/>
  <c r="J27" i="10"/>
  <c r="G27" i="17" s="1"/>
  <c r="F28" i="18" s="1"/>
  <c r="M27" i="10"/>
  <c r="I27" i="5"/>
  <c r="J27" i="5" s="1"/>
  <c r="AE27" i="5"/>
  <c r="AF27" i="5" s="1"/>
  <c r="C27" i="5"/>
  <c r="D27" i="5"/>
  <c r="Z27" i="5"/>
  <c r="AA27" i="5"/>
  <c r="D27" i="6"/>
  <c r="W27" i="10"/>
  <c r="AK26" i="5"/>
  <c r="B26" i="6"/>
  <c r="H26" i="10"/>
  <c r="E26" i="17" s="1"/>
  <c r="B27" i="18" s="1"/>
  <c r="I26" i="10"/>
  <c r="F26" i="17" s="1"/>
  <c r="D27" i="18" s="1"/>
  <c r="L26" i="10"/>
  <c r="C26" i="6"/>
  <c r="J26" i="10"/>
  <c r="G26" i="17" s="1"/>
  <c r="F27" i="18" s="1"/>
  <c r="M26" i="10"/>
  <c r="I26" i="5"/>
  <c r="J26" i="5" s="1"/>
  <c r="AE26" i="5"/>
  <c r="AF26" i="5" s="1"/>
  <c r="C26" i="5"/>
  <c r="D26" i="5"/>
  <c r="Z26" i="5"/>
  <c r="AA26" i="5"/>
  <c r="D26" i="6"/>
  <c r="W26" i="10"/>
  <c r="AK25" i="5"/>
  <c r="B25" i="6"/>
  <c r="H25" i="10"/>
  <c r="E25" i="17" s="1"/>
  <c r="B26" i="18" s="1"/>
  <c r="I25" i="10"/>
  <c r="F25" i="17" s="1"/>
  <c r="D26" i="18" s="1"/>
  <c r="L25" i="10"/>
  <c r="C25" i="6"/>
  <c r="J25" i="10"/>
  <c r="G25" i="17" s="1"/>
  <c r="F26" i="18" s="1"/>
  <c r="M25" i="10"/>
  <c r="I25" i="5"/>
  <c r="J25" i="5" s="1"/>
  <c r="AE25" i="5"/>
  <c r="AF25" i="5" s="1"/>
  <c r="C25" i="5"/>
  <c r="D25" i="5"/>
  <c r="Z25" i="5"/>
  <c r="AA25" i="5"/>
  <c r="D25" i="6"/>
  <c r="W25" i="10"/>
  <c r="AK24" i="5"/>
  <c r="B24" i="6"/>
  <c r="H24" i="10"/>
  <c r="E24" i="17" s="1"/>
  <c r="B25" i="18" s="1"/>
  <c r="I24" i="10"/>
  <c r="F24" i="17" s="1"/>
  <c r="D25" i="18" s="1"/>
  <c r="L24" i="10"/>
  <c r="C24" i="6"/>
  <c r="J24" i="10"/>
  <c r="G24" i="17" s="1"/>
  <c r="F25" i="18" s="1"/>
  <c r="M24" i="10"/>
  <c r="I24" i="5"/>
  <c r="J24" i="5" s="1"/>
  <c r="AE24" i="5"/>
  <c r="AF24" i="5" s="1"/>
  <c r="C24" i="5"/>
  <c r="D24" i="5"/>
  <c r="Z24" i="5"/>
  <c r="AA24" i="5"/>
  <c r="D24" i="6"/>
  <c r="W24" i="10"/>
  <c r="AK23" i="5"/>
  <c r="B23" i="6"/>
  <c r="H23" i="10"/>
  <c r="E23" i="17" s="1"/>
  <c r="B24" i="18" s="1"/>
  <c r="I23" i="10"/>
  <c r="F23" i="17" s="1"/>
  <c r="D24" i="18" s="1"/>
  <c r="L23" i="10"/>
  <c r="C23" i="6"/>
  <c r="J23" i="10"/>
  <c r="G23" i="17" s="1"/>
  <c r="F24" i="18" s="1"/>
  <c r="M23" i="10"/>
  <c r="I23" i="5"/>
  <c r="J23" i="5" s="1"/>
  <c r="AE23" i="5"/>
  <c r="AF23" i="5" s="1"/>
  <c r="C23" i="5"/>
  <c r="D23" i="5"/>
  <c r="Z23" i="5"/>
  <c r="AA23" i="5"/>
  <c r="D23" i="6"/>
  <c r="W23" i="10"/>
  <c r="AK22" i="5"/>
  <c r="B22" i="6"/>
  <c r="H22" i="10"/>
  <c r="E22" i="17" s="1"/>
  <c r="B23" i="18" s="1"/>
  <c r="I22" i="10"/>
  <c r="F22" i="17" s="1"/>
  <c r="D23" i="18" s="1"/>
  <c r="L22" i="10"/>
  <c r="C22" i="6"/>
  <c r="J22" i="10"/>
  <c r="G22" i="17" s="1"/>
  <c r="F23" i="18" s="1"/>
  <c r="M22" i="10"/>
  <c r="I22" i="5"/>
  <c r="J22" i="5" s="1"/>
  <c r="AE22" i="5"/>
  <c r="AF22" i="5" s="1"/>
  <c r="C22" i="5"/>
  <c r="D22" i="5"/>
  <c r="Z22" i="5"/>
  <c r="AA22" i="5"/>
  <c r="D22" i="6"/>
  <c r="W22" i="10"/>
  <c r="AK21" i="5"/>
  <c r="B21" i="6"/>
  <c r="H21" i="10"/>
  <c r="E21" i="17" s="1"/>
  <c r="B22" i="18" s="1"/>
  <c r="I21" i="10"/>
  <c r="F21" i="17" s="1"/>
  <c r="D22" i="18" s="1"/>
  <c r="L21" i="10"/>
  <c r="C21" i="6"/>
  <c r="J21" i="10"/>
  <c r="G21" i="17" s="1"/>
  <c r="F22" i="18" s="1"/>
  <c r="M21" i="10"/>
  <c r="I21" i="5"/>
  <c r="J21" i="5" s="1"/>
  <c r="AE21" i="5"/>
  <c r="AF21" i="5" s="1"/>
  <c r="C21" i="5"/>
  <c r="D21" i="5"/>
  <c r="Z21" i="5"/>
  <c r="AA21" i="5"/>
  <c r="D21" i="6"/>
  <c r="W21" i="10"/>
  <c r="AK20" i="5"/>
  <c r="B20" i="6"/>
  <c r="H20" i="10"/>
  <c r="E20" i="17" s="1"/>
  <c r="B21" i="18" s="1"/>
  <c r="I20" i="10"/>
  <c r="F20" i="17" s="1"/>
  <c r="D21" i="18" s="1"/>
  <c r="L20" i="10"/>
  <c r="C20" i="6"/>
  <c r="J20" i="10"/>
  <c r="G20" i="17" s="1"/>
  <c r="F21" i="18" s="1"/>
  <c r="M20" i="10"/>
  <c r="I20" i="5"/>
  <c r="J20" i="5" s="1"/>
  <c r="AE20" i="5"/>
  <c r="AF20" i="5" s="1"/>
  <c r="C20" i="5"/>
  <c r="D20" i="5"/>
  <c r="Z20" i="5"/>
  <c r="AA20" i="5"/>
  <c r="D20" i="6"/>
  <c r="W20" i="10"/>
  <c r="AK19" i="5"/>
  <c r="B19" i="6"/>
  <c r="H19" i="10"/>
  <c r="E19" i="17" s="1"/>
  <c r="B20" i="18" s="1"/>
  <c r="I19" i="10"/>
  <c r="F19" i="17" s="1"/>
  <c r="D20" i="18" s="1"/>
  <c r="L19" i="10"/>
  <c r="C19" i="6"/>
  <c r="J19" i="10"/>
  <c r="G19" i="17" s="1"/>
  <c r="F20" i="18" s="1"/>
  <c r="M19" i="10"/>
  <c r="I19" i="5"/>
  <c r="J19" i="5" s="1"/>
  <c r="AE19" i="5"/>
  <c r="AF19" i="5" s="1"/>
  <c r="C19" i="5"/>
  <c r="D19" i="5"/>
  <c r="Z19" i="5"/>
  <c r="AA19" i="5"/>
  <c r="D19" i="6"/>
  <c r="W19" i="10"/>
  <c r="AK18" i="5"/>
  <c r="B18" i="6"/>
  <c r="H18" i="10"/>
  <c r="E18" i="17" s="1"/>
  <c r="B19" i="18" s="1"/>
  <c r="I18" i="10"/>
  <c r="F18" i="17" s="1"/>
  <c r="D19" i="18" s="1"/>
  <c r="L18" i="10"/>
  <c r="C18" i="6"/>
  <c r="J18" i="10"/>
  <c r="G18" i="17" s="1"/>
  <c r="F19" i="18" s="1"/>
  <c r="M18" i="10"/>
  <c r="I18" i="5"/>
  <c r="J18" i="5" s="1"/>
  <c r="AE18" i="5"/>
  <c r="AF18" i="5" s="1"/>
  <c r="C18" i="5"/>
  <c r="D18" i="5"/>
  <c r="Z18" i="5"/>
  <c r="AA18" i="5"/>
  <c r="D18" i="6"/>
  <c r="W18" i="10"/>
  <c r="AK17" i="5"/>
  <c r="B17" i="6"/>
  <c r="H17" i="10"/>
  <c r="E17" i="17" s="1"/>
  <c r="B18" i="18" s="1"/>
  <c r="I17" i="10"/>
  <c r="F17" i="17" s="1"/>
  <c r="D18" i="18" s="1"/>
  <c r="L17" i="10"/>
  <c r="C17" i="6"/>
  <c r="J17" i="10"/>
  <c r="G17" i="17" s="1"/>
  <c r="F18" i="18" s="1"/>
  <c r="M17" i="10"/>
  <c r="I17" i="5"/>
  <c r="J17" i="5" s="1"/>
  <c r="AE17" i="5"/>
  <c r="AF17" i="5" s="1"/>
  <c r="C17" i="5"/>
  <c r="D17" i="5"/>
  <c r="Z17" i="5"/>
  <c r="AA17" i="5"/>
  <c r="D17" i="6"/>
  <c r="W17" i="10"/>
  <c r="AK16" i="5"/>
  <c r="B16" i="6"/>
  <c r="H16" i="10"/>
  <c r="E16" i="17" s="1"/>
  <c r="B17" i="18" s="1"/>
  <c r="I16" i="10"/>
  <c r="F16" i="17" s="1"/>
  <c r="D17" i="18" s="1"/>
  <c r="L16" i="10"/>
  <c r="C16" i="6"/>
  <c r="J16" i="10"/>
  <c r="G16" i="17" s="1"/>
  <c r="F17" i="18" s="1"/>
  <c r="M16" i="10"/>
  <c r="I16" i="5"/>
  <c r="J16" i="5" s="1"/>
  <c r="AE16" i="5"/>
  <c r="AF16" i="5" s="1"/>
  <c r="C16" i="5"/>
  <c r="D16" i="5"/>
  <c r="Z16" i="5"/>
  <c r="AA16" i="5"/>
  <c r="D16" i="6"/>
  <c r="W16" i="10"/>
  <c r="AK15" i="5"/>
  <c r="B15" i="6"/>
  <c r="H15" i="10"/>
  <c r="E15" i="17" s="1"/>
  <c r="B16" i="18" s="1"/>
  <c r="I15" i="10"/>
  <c r="F15" i="17" s="1"/>
  <c r="D16" i="18" s="1"/>
  <c r="L15" i="10"/>
  <c r="C15" i="6"/>
  <c r="J15" i="10"/>
  <c r="G15" i="17" s="1"/>
  <c r="F16" i="18" s="1"/>
  <c r="M15" i="10"/>
  <c r="I15" i="5"/>
  <c r="J15" i="5" s="1"/>
  <c r="AE15" i="5"/>
  <c r="AF15" i="5" s="1"/>
  <c r="C15" i="5"/>
  <c r="D15" i="5"/>
  <c r="Z15" i="5"/>
  <c r="AA15" i="5"/>
  <c r="D15" i="6"/>
  <c r="W15" i="10"/>
  <c r="AK14" i="5"/>
  <c r="B14" i="6"/>
  <c r="H14" i="10"/>
  <c r="E14" i="17" s="1"/>
  <c r="B15" i="18" s="1"/>
  <c r="I14" i="10"/>
  <c r="F14" i="17" s="1"/>
  <c r="D15" i="18" s="1"/>
  <c r="L14" i="10"/>
  <c r="C14" i="6"/>
  <c r="J14" i="10"/>
  <c r="G14" i="17" s="1"/>
  <c r="F15" i="18" s="1"/>
  <c r="M14" i="10"/>
  <c r="I14" i="5"/>
  <c r="J14" i="5" s="1"/>
  <c r="AE14" i="5"/>
  <c r="AF14" i="5" s="1"/>
  <c r="C14" i="5"/>
  <c r="D14" i="5"/>
  <c r="Z14" i="5"/>
  <c r="AA14" i="5"/>
  <c r="D14" i="6"/>
  <c r="W14" i="10"/>
  <c r="AK13" i="5"/>
  <c r="B13" i="6"/>
  <c r="H13" i="10"/>
  <c r="E13" i="17" s="1"/>
  <c r="B14" i="18" s="1"/>
  <c r="I13" i="10"/>
  <c r="F13" i="17" s="1"/>
  <c r="D14" i="18" s="1"/>
  <c r="L13" i="10"/>
  <c r="C13" i="6"/>
  <c r="J13" i="10"/>
  <c r="G13" i="17" s="1"/>
  <c r="F14" i="18" s="1"/>
  <c r="M13" i="10"/>
  <c r="I13" i="5"/>
  <c r="J13" i="5" s="1"/>
  <c r="AE13" i="5"/>
  <c r="AF13" i="5" s="1"/>
  <c r="C13" i="5"/>
  <c r="D13" i="5"/>
  <c r="Z13" i="5"/>
  <c r="AA13" i="5"/>
  <c r="D13" i="6"/>
  <c r="W13" i="10"/>
  <c r="AK12" i="5"/>
  <c r="B12" i="6"/>
  <c r="H12" i="10"/>
  <c r="E12" i="17" s="1"/>
  <c r="B13" i="18" s="1"/>
  <c r="I12" i="10"/>
  <c r="F12" i="17" s="1"/>
  <c r="D13" i="18" s="1"/>
  <c r="L12" i="10"/>
  <c r="C12" i="6"/>
  <c r="J12" i="10"/>
  <c r="G12" i="17" s="1"/>
  <c r="F13" i="18" s="1"/>
  <c r="M12" i="10"/>
  <c r="I12" i="5"/>
  <c r="J12" i="5" s="1"/>
  <c r="AE12" i="5"/>
  <c r="AF12" i="5" s="1"/>
  <c r="C12" i="5"/>
  <c r="D12" i="5"/>
  <c r="Z12" i="5"/>
  <c r="AA12" i="5"/>
  <c r="D12" i="6"/>
  <c r="W12" i="10"/>
  <c r="AK11" i="5"/>
  <c r="B11" i="6"/>
  <c r="H11" i="10"/>
  <c r="E11" i="17" s="1"/>
  <c r="B12" i="18" s="1"/>
  <c r="I11" i="10"/>
  <c r="F11" i="17" s="1"/>
  <c r="D12" i="18" s="1"/>
  <c r="L11" i="10"/>
  <c r="C11" i="6"/>
  <c r="J11" i="10"/>
  <c r="G11" i="17" s="1"/>
  <c r="F12" i="18" s="1"/>
  <c r="M11" i="10"/>
  <c r="I11" i="5"/>
  <c r="J11" i="5" s="1"/>
  <c r="AE11" i="5"/>
  <c r="AF11" i="5" s="1"/>
  <c r="C11" i="5"/>
  <c r="D11" i="5"/>
  <c r="Z11" i="5"/>
  <c r="AA11" i="5"/>
  <c r="D11" i="6"/>
  <c r="W11" i="10"/>
  <c r="AK10" i="5"/>
  <c r="B10" i="6"/>
  <c r="H10" i="10"/>
  <c r="E10" i="17" s="1"/>
  <c r="B11" i="18" s="1"/>
  <c r="I10" i="10"/>
  <c r="F10" i="17" s="1"/>
  <c r="D11" i="18" s="1"/>
  <c r="L10" i="10"/>
  <c r="C10" i="6"/>
  <c r="J10" i="10"/>
  <c r="G10" i="17" s="1"/>
  <c r="F11" i="18" s="1"/>
  <c r="M10" i="10"/>
  <c r="I10" i="5"/>
  <c r="J10" i="5" s="1"/>
  <c r="AE10" i="5"/>
  <c r="AF10" i="5" s="1"/>
  <c r="C10" i="5"/>
  <c r="D10" i="5"/>
  <c r="Z10" i="5"/>
  <c r="AA10" i="5"/>
  <c r="D10" i="6"/>
  <c r="W10" i="10"/>
  <c r="AK9" i="5"/>
  <c r="B9" i="6"/>
  <c r="H9" i="10"/>
  <c r="E9" i="17" s="1"/>
  <c r="B10" i="18" s="1"/>
  <c r="I9" i="10"/>
  <c r="F9" i="17" s="1"/>
  <c r="D10" i="18" s="1"/>
  <c r="L9" i="10"/>
  <c r="C9" i="6"/>
  <c r="J9" i="10"/>
  <c r="G9" i="17" s="1"/>
  <c r="F10" i="18" s="1"/>
  <c r="M9" i="10"/>
  <c r="I9" i="5"/>
  <c r="J9" i="5" s="1"/>
  <c r="AE9" i="5"/>
  <c r="AF9" i="5" s="1"/>
  <c r="C9" i="5"/>
  <c r="D9" i="5"/>
  <c r="Z9" i="5"/>
  <c r="AA9" i="5"/>
  <c r="D9" i="6"/>
  <c r="W9" i="10"/>
  <c r="AK8" i="5"/>
  <c r="B8" i="6"/>
  <c r="H8" i="10"/>
  <c r="E8" i="17" s="1"/>
  <c r="B9" i="18" s="1"/>
  <c r="I8" i="10"/>
  <c r="F8" i="17" s="1"/>
  <c r="D9" i="18" s="1"/>
  <c r="L8" i="10"/>
  <c r="C8" i="6"/>
  <c r="J8" i="10"/>
  <c r="G8" i="17" s="1"/>
  <c r="F9" i="18" s="1"/>
  <c r="M8" i="10"/>
  <c r="I8" i="5"/>
  <c r="J8" i="5" s="1"/>
  <c r="AE8" i="5"/>
  <c r="AF8" i="5" s="1"/>
  <c r="C8" i="5"/>
  <c r="D8" i="5"/>
  <c r="Z8" i="5"/>
  <c r="AA8" i="5"/>
  <c r="D8" i="6"/>
  <c r="W8" i="10"/>
  <c r="AK7" i="5"/>
  <c r="B7" i="6"/>
  <c r="H7" i="10"/>
  <c r="E7" i="17" s="1"/>
  <c r="B8" i="18" s="1"/>
  <c r="I7" i="10"/>
  <c r="F7" i="17" s="1"/>
  <c r="D8" i="18" s="1"/>
  <c r="L7" i="10"/>
  <c r="C7" i="6"/>
  <c r="J7" i="10"/>
  <c r="G7" i="17" s="1"/>
  <c r="F8" i="18" s="1"/>
  <c r="M7" i="10"/>
  <c r="I7" i="5"/>
  <c r="J7" i="5" s="1"/>
  <c r="AE7" i="5"/>
  <c r="AF7" i="5" s="1"/>
  <c r="C7" i="5"/>
  <c r="D7" i="5"/>
  <c r="Z7" i="5"/>
  <c r="AA7" i="5"/>
  <c r="D7" i="6"/>
  <c r="W7" i="10"/>
  <c r="AK6" i="5"/>
  <c r="B6" i="6"/>
  <c r="H6" i="10"/>
  <c r="E6" i="17" s="1"/>
  <c r="B7" i="18" s="1"/>
  <c r="I6" i="10"/>
  <c r="F6" i="17" s="1"/>
  <c r="D7" i="18" s="1"/>
  <c r="L6" i="10"/>
  <c r="C6" i="6"/>
  <c r="J6" i="10"/>
  <c r="G6" i="17" s="1"/>
  <c r="F7" i="18" s="1"/>
  <c r="M6" i="10"/>
  <c r="I6" i="5"/>
  <c r="J6" i="5" s="1"/>
  <c r="AE6" i="5"/>
  <c r="AF6" i="5" s="1"/>
  <c r="C6" i="5"/>
  <c r="D6" i="5"/>
  <c r="Z6" i="5"/>
  <c r="AA6" i="5"/>
  <c r="D6" i="6"/>
  <c r="W6" i="10"/>
  <c r="AK5" i="5"/>
  <c r="B5" i="6"/>
  <c r="H5" i="10"/>
  <c r="E5" i="17" s="1"/>
  <c r="B6" i="18" s="1"/>
  <c r="I5" i="10"/>
  <c r="F5" i="17" s="1"/>
  <c r="D6" i="18" s="1"/>
  <c r="L5" i="10"/>
  <c r="C5" i="6"/>
  <c r="J5" i="10"/>
  <c r="G5" i="17" s="1"/>
  <c r="F6" i="18" s="1"/>
  <c r="M5" i="10"/>
  <c r="I5" i="5"/>
  <c r="J5" i="5" s="1"/>
  <c r="AE5" i="5"/>
  <c r="AF5" i="5" s="1"/>
  <c r="C5" i="5"/>
  <c r="D5" i="5"/>
  <c r="Z5" i="5"/>
  <c r="AA5" i="5"/>
  <c r="D5" i="6"/>
  <c r="W5" i="10"/>
  <c r="AK4" i="5"/>
  <c r="B4" i="6"/>
  <c r="H4" i="10"/>
  <c r="E4" i="17" s="1"/>
  <c r="B5" i="18" s="1"/>
  <c r="I4" i="10"/>
  <c r="F4" i="17" s="1"/>
  <c r="D5" i="18" s="1"/>
  <c r="L4" i="10"/>
  <c r="C4" i="6"/>
  <c r="J4" i="10"/>
  <c r="G4" i="17" s="1"/>
  <c r="F5" i="18" s="1"/>
  <c r="M4" i="10"/>
  <c r="I4" i="5"/>
  <c r="J4" i="5" s="1"/>
  <c r="AE4" i="5"/>
  <c r="AF4" i="5" s="1"/>
  <c r="C4" i="5"/>
  <c r="D4" i="5"/>
  <c r="Z4" i="5"/>
  <c r="AA4" i="5"/>
  <c r="D4" i="6"/>
  <c r="W4" i="10"/>
  <c r="AK3" i="5"/>
  <c r="B3" i="6"/>
  <c r="H3" i="10"/>
  <c r="E3" i="17" s="1"/>
  <c r="B4" i="18" s="1"/>
  <c r="I3" i="10"/>
  <c r="F3" i="17" s="1"/>
  <c r="D4" i="18" s="1"/>
  <c r="L3" i="10"/>
  <c r="C3" i="6"/>
  <c r="J3" i="10"/>
  <c r="G3" i="17" s="1"/>
  <c r="F4" i="18" s="1"/>
  <c r="M3" i="10"/>
  <c r="I3" i="5"/>
  <c r="J3" i="5" s="1"/>
  <c r="AE3" i="5"/>
  <c r="AF3" i="5" s="1"/>
  <c r="C3" i="5"/>
  <c r="D3" i="5"/>
  <c r="Z3" i="5"/>
  <c r="AA3" i="5"/>
  <c r="D3" i="6"/>
  <c r="W3" i="10"/>
  <c r="AK2" i="5"/>
  <c r="B2" i="6"/>
  <c r="H2" i="10"/>
  <c r="E2" i="17" s="1"/>
  <c r="B3" i="18" s="1"/>
  <c r="I2" i="10"/>
  <c r="F2" i="17" s="1"/>
  <c r="D3" i="18" s="1"/>
  <c r="L2" i="10"/>
  <c r="B12" i="1"/>
  <c r="B13" i="1"/>
  <c r="C2" i="6"/>
  <c r="J2" i="10"/>
  <c r="G2" i="17" s="1"/>
  <c r="F3" i="18" s="1"/>
  <c r="M2" i="10"/>
  <c r="I2" i="5"/>
  <c r="J2" i="5" s="1"/>
  <c r="AE2" i="5"/>
  <c r="AF2" i="5" s="1"/>
  <c r="C2" i="5"/>
  <c r="D2" i="5"/>
  <c r="E2" i="5" s="1"/>
  <c r="Z2" i="5"/>
  <c r="AA2" i="5"/>
  <c r="AB2" i="5" s="1"/>
  <c r="D2" i="6"/>
  <c r="W2" i="10"/>
  <c r="O89" i="17"/>
  <c r="A1070" i="18" s="1"/>
  <c r="X89" i="17"/>
  <c r="A1315" i="18" s="1"/>
  <c r="AG89" i="17"/>
  <c r="A1560" i="18" s="1"/>
  <c r="AP89" i="17"/>
  <c r="A1805" i="18" s="1"/>
  <c r="T87" i="17"/>
  <c r="AC87" i="17"/>
  <c r="AL87" i="17"/>
  <c r="AU87" i="17"/>
  <c r="U85" i="17"/>
  <c r="G1066" i="18" s="1"/>
  <c r="AD85" i="17"/>
  <c r="G1311" i="18" s="1"/>
  <c r="AM85" i="17"/>
  <c r="G1556" i="18" s="1"/>
  <c r="AV85" i="17"/>
  <c r="G1801" i="18" s="1"/>
  <c r="V82" i="17"/>
  <c r="AE82" i="17"/>
  <c r="AN82" i="17"/>
  <c r="AW82" i="17"/>
  <c r="U80" i="17"/>
  <c r="G1061" i="18" s="1"/>
  <c r="AD80" i="17"/>
  <c r="G1306" i="18" s="1"/>
  <c r="AM80" i="17"/>
  <c r="G1551" i="18" s="1"/>
  <c r="AV80" i="17"/>
  <c r="G1796" i="18" s="1"/>
  <c r="Q74" i="17"/>
  <c r="C1055" i="18" s="1"/>
  <c r="Z74" i="17"/>
  <c r="C1300" i="18" s="1"/>
  <c r="AI74" i="17"/>
  <c r="C1545" i="18" s="1"/>
  <c r="AR74" i="17"/>
  <c r="C1790" i="18" s="1"/>
  <c r="P73" i="17"/>
  <c r="Y73" i="17"/>
  <c r="AH73" i="17"/>
  <c r="AQ73" i="17"/>
  <c r="O26" i="17"/>
  <c r="A1007" i="18" s="1"/>
  <c r="X26" i="17"/>
  <c r="A1252" i="18" s="1"/>
  <c r="AG26" i="17"/>
  <c r="A1497" i="18" s="1"/>
  <c r="AP26" i="17"/>
  <c r="A1742" i="18" s="1"/>
  <c r="U25" i="17"/>
  <c r="G1006" i="18" s="1"/>
  <c r="AD25" i="17"/>
  <c r="G1251" i="18" s="1"/>
  <c r="AM25" i="17"/>
  <c r="G1496" i="18" s="1"/>
  <c r="AV25" i="17"/>
  <c r="G1741" i="18" s="1"/>
  <c r="T24" i="17"/>
  <c r="AC24" i="17"/>
  <c r="AL24" i="17"/>
  <c r="AU24" i="17"/>
  <c r="O22" i="17"/>
  <c r="A1003" i="18" s="1"/>
  <c r="X22" i="17"/>
  <c r="A1248" i="18" s="1"/>
  <c r="AG22" i="17"/>
  <c r="A1493" i="18" s="1"/>
  <c r="AP22" i="17"/>
  <c r="A1738" i="18" s="1"/>
  <c r="S21" i="17"/>
  <c r="E1002" i="18" s="1"/>
  <c r="AB21" i="17"/>
  <c r="E1247" i="18" s="1"/>
  <c r="AK21" i="17"/>
  <c r="E1492" i="18" s="1"/>
  <c r="AT21" i="17"/>
  <c r="E1737" i="18" s="1"/>
  <c r="P21" i="17"/>
  <c r="Y21" i="17"/>
  <c r="AH21" i="17"/>
  <c r="AQ21" i="17"/>
  <c r="R20" i="17"/>
  <c r="AA20" i="17"/>
  <c r="AJ20" i="17"/>
  <c r="AS20" i="17"/>
  <c r="T19" i="17"/>
  <c r="AC19" i="17"/>
  <c r="AL19" i="17"/>
  <c r="AU19" i="17"/>
  <c r="O18" i="17"/>
  <c r="A999" i="18" s="1"/>
  <c r="X18" i="17"/>
  <c r="A1244" i="18" s="1"/>
  <c r="AG18" i="17"/>
  <c r="A1489" i="18" s="1"/>
  <c r="AP18" i="17"/>
  <c r="A1734" i="18" s="1"/>
  <c r="O17" i="17"/>
  <c r="A998" i="18" s="1"/>
  <c r="X17" i="17"/>
  <c r="A1243" i="18" s="1"/>
  <c r="AG17" i="17"/>
  <c r="A1488" i="18" s="1"/>
  <c r="AP17" i="17"/>
  <c r="A1733" i="18" s="1"/>
  <c r="T17" i="17"/>
  <c r="AC17" i="17"/>
  <c r="AL17" i="17"/>
  <c r="AU17" i="17"/>
  <c r="O15" i="17"/>
  <c r="A996" i="18" s="1"/>
  <c r="X15" i="17"/>
  <c r="A1241" i="18" s="1"/>
  <c r="AG15" i="17"/>
  <c r="A1486" i="18" s="1"/>
  <c r="AP15" i="17"/>
  <c r="A1731" i="18" s="1"/>
  <c r="V15" i="17"/>
  <c r="AE15" i="17"/>
  <c r="AN15" i="17"/>
  <c r="AW15" i="17"/>
  <c r="V14" i="17"/>
  <c r="AE14" i="17"/>
  <c r="AN14" i="17"/>
  <c r="AW14" i="17"/>
  <c r="U13" i="17"/>
  <c r="G994" i="18" s="1"/>
  <c r="AD13" i="17"/>
  <c r="G1239" i="18" s="1"/>
  <c r="AM13" i="17"/>
  <c r="G1484" i="18" s="1"/>
  <c r="AV13" i="17"/>
  <c r="G1729" i="18" s="1"/>
  <c r="S12" i="17"/>
  <c r="E993" i="18" s="1"/>
  <c r="AB12" i="17"/>
  <c r="E1238" i="18" s="1"/>
  <c r="AK12" i="17"/>
  <c r="E1483" i="18" s="1"/>
  <c r="AT12" i="17"/>
  <c r="E1728" i="18" s="1"/>
  <c r="P11" i="17"/>
  <c r="Y11" i="17"/>
  <c r="AH11" i="17"/>
  <c r="AQ11" i="17"/>
  <c r="O7" i="17"/>
  <c r="A988" i="18" s="1"/>
  <c r="X7" i="17"/>
  <c r="A1233" i="18" s="1"/>
  <c r="AG7" i="17"/>
  <c r="A1478" i="18" s="1"/>
  <c r="AP7" i="17"/>
  <c r="A1723" i="18" s="1"/>
  <c r="B250" i="17"/>
  <c r="B253" i="18"/>
  <c r="T6" i="17"/>
  <c r="AC6" i="17"/>
  <c r="AL6" i="17"/>
  <c r="AU6" i="17"/>
  <c r="AG5" i="17"/>
  <c r="A1476" i="18" s="1"/>
  <c r="AP5" i="17"/>
  <c r="A1721" i="18" s="1"/>
  <c r="O5" i="17"/>
  <c r="A986" i="18" s="1"/>
  <c r="X5" i="17"/>
  <c r="A1231" i="18" s="1"/>
  <c r="AE5" i="17"/>
  <c r="V5" i="17"/>
  <c r="AN5" i="17"/>
  <c r="AW5" i="17"/>
  <c r="Z4" i="17"/>
  <c r="C1230" i="18" s="1"/>
  <c r="AR4" i="17"/>
  <c r="C1720" i="18" s="1"/>
  <c r="Q4" i="17"/>
  <c r="C985" i="18" s="1"/>
  <c r="AI4" i="17"/>
  <c r="C1475" i="18" s="1"/>
  <c r="R4" i="17"/>
  <c r="AJ4" i="17"/>
  <c r="AA4" i="17"/>
  <c r="AS4" i="17"/>
  <c r="AD3" i="17"/>
  <c r="G1229" i="18" s="1"/>
  <c r="AV3" i="17"/>
  <c r="G1719" i="18" s="1"/>
  <c r="U3" i="17"/>
  <c r="G984" i="18" s="1"/>
  <c r="AM3" i="17"/>
  <c r="G1474" i="18" s="1"/>
  <c r="AE141" i="5"/>
  <c r="AF141" i="5" s="1"/>
  <c r="I141" i="5"/>
  <c r="J141" i="5" s="1"/>
  <c r="C138" i="6"/>
  <c r="J138" i="10"/>
  <c r="G138" i="17" s="1"/>
  <c r="F139" i="18" s="1"/>
  <c r="M138" i="10"/>
  <c r="B128" i="6"/>
  <c r="H128" i="10"/>
  <c r="E128" i="17" s="1"/>
  <c r="B129" i="18" s="1"/>
  <c r="I128" i="10"/>
  <c r="F128" i="17" s="1"/>
  <c r="D129" i="18" s="1"/>
  <c r="L128" i="10"/>
  <c r="AK128" i="5"/>
  <c r="B121" i="6"/>
  <c r="AK121" i="5"/>
  <c r="H121" i="10"/>
  <c r="E121" i="17" s="1"/>
  <c r="B122" i="18" s="1"/>
  <c r="I121" i="10"/>
  <c r="F121" i="17" s="1"/>
  <c r="D122" i="18" s="1"/>
  <c r="L121" i="10"/>
  <c r="D121" i="6"/>
  <c r="AA121" i="5"/>
  <c r="W121" i="10"/>
  <c r="C121" i="5"/>
  <c r="Z121" i="5"/>
  <c r="D121" i="5"/>
  <c r="AE120" i="5"/>
  <c r="AF120" i="5" s="1"/>
  <c r="I120" i="5"/>
  <c r="J120" i="5" s="1"/>
  <c r="B119" i="6"/>
  <c r="H119" i="10"/>
  <c r="E119" i="17" s="1"/>
  <c r="B120" i="18" s="1"/>
  <c r="I119" i="10"/>
  <c r="F119" i="17" s="1"/>
  <c r="D120" i="18" s="1"/>
  <c r="L119" i="10"/>
  <c r="AK119" i="5"/>
  <c r="B117" i="6"/>
  <c r="H117" i="10"/>
  <c r="E117" i="17" s="1"/>
  <c r="B118" i="18" s="1"/>
  <c r="I117" i="10"/>
  <c r="F117" i="17" s="1"/>
  <c r="D118" i="18" s="1"/>
  <c r="L117" i="10"/>
  <c r="AK117" i="5"/>
  <c r="D111" i="6"/>
  <c r="W111" i="10"/>
  <c r="C111" i="5"/>
  <c r="AA111" i="5"/>
  <c r="D111" i="5"/>
  <c r="Z111" i="5"/>
  <c r="D108" i="6"/>
  <c r="W108" i="10"/>
  <c r="AA108" i="5"/>
  <c r="C108" i="5"/>
  <c r="Z108" i="5"/>
  <c r="D108" i="5"/>
  <c r="I107" i="5"/>
  <c r="J107" i="5" s="1"/>
  <c r="AE107" i="5"/>
  <c r="AF107" i="5" s="1"/>
  <c r="C106" i="6"/>
  <c r="J106" i="10"/>
  <c r="G106" i="17" s="1"/>
  <c r="F107" i="18" s="1"/>
  <c r="M106" i="10"/>
  <c r="AA105" i="5"/>
  <c r="D105" i="6"/>
  <c r="W105" i="10"/>
  <c r="Z105" i="5"/>
  <c r="AG105" i="5" s="1"/>
  <c r="AH105" i="5" s="1"/>
  <c r="C105" i="5"/>
  <c r="D105" i="5"/>
  <c r="I104" i="5"/>
  <c r="J104" i="5" s="1"/>
  <c r="AE104" i="5"/>
  <c r="AF104" i="5" s="1"/>
  <c r="C103" i="6"/>
  <c r="J103" i="10"/>
  <c r="G103" i="17" s="1"/>
  <c r="F104" i="18" s="1"/>
  <c r="M103" i="10"/>
  <c r="AA109" i="17"/>
  <c r="AS107" i="17"/>
  <c r="AC107" i="17"/>
  <c r="AN106" i="17"/>
  <c r="AJ105" i="17"/>
  <c r="AA105" i="17"/>
  <c r="AE102" i="17"/>
  <c r="AQ101" i="17"/>
  <c r="AE101" i="17"/>
  <c r="AA97" i="17"/>
  <c r="AU95" i="17"/>
  <c r="AJ95" i="17"/>
  <c r="AA95" i="17"/>
  <c r="AA94" i="17"/>
  <c r="AQ92" i="17"/>
  <c r="AJ5" i="17"/>
  <c r="AA5" i="17"/>
  <c r="K5" i="17"/>
  <c r="AJ2" i="17"/>
  <c r="K241" i="17"/>
  <c r="L240" i="17"/>
  <c r="M237" i="17"/>
  <c r="M236" i="17"/>
  <c r="J209" i="17"/>
  <c r="L201" i="17"/>
  <c r="L200" i="17"/>
  <c r="M198" i="17"/>
  <c r="M194" i="17"/>
  <c r="M193" i="17"/>
  <c r="M192" i="17"/>
  <c r="L187" i="17"/>
  <c r="K185" i="17"/>
  <c r="M182" i="17"/>
  <c r="J181" i="17"/>
  <c r="K179" i="17"/>
  <c r="L178" i="17"/>
  <c r="M174" i="17"/>
  <c r="J170" i="17"/>
  <c r="J162" i="17"/>
  <c r="K158" i="17"/>
  <c r="M154" i="17"/>
  <c r="J113" i="17"/>
  <c r="K110" i="17"/>
  <c r="J98" i="17"/>
  <c r="M96" i="17"/>
  <c r="L93" i="17"/>
  <c r="K88" i="17"/>
  <c r="M19" i="17"/>
  <c r="AA112" i="17"/>
  <c r="AE106" i="17"/>
  <c r="AW103" i="17"/>
  <c r="AA100" i="17"/>
  <c r="L173" i="17"/>
  <c r="K188" i="17"/>
  <c r="J187" i="17"/>
  <c r="J184" i="17"/>
  <c r="J180" i="17"/>
  <c r="J179" i="17"/>
  <c r="K178" i="17"/>
  <c r="K173" i="17"/>
  <c r="J172" i="17"/>
  <c r="J167" i="17"/>
  <c r="L166" i="17"/>
  <c r="K165" i="17"/>
  <c r="K164" i="17"/>
  <c r="K161" i="17"/>
  <c r="J159" i="17"/>
  <c r="K157" i="17"/>
  <c r="J156" i="17"/>
  <c r="M115" i="17"/>
  <c r="K115" i="17"/>
  <c r="K114" i="17"/>
  <c r="J111" i="17"/>
  <c r="M109" i="17"/>
  <c r="L108" i="17"/>
  <c r="M106" i="17"/>
  <c r="K105" i="17"/>
  <c r="L103" i="17"/>
  <c r="J101" i="17"/>
  <c r="L100" i="17"/>
  <c r="L97" i="17"/>
  <c r="L96" i="17"/>
  <c r="J93" i="17"/>
  <c r="K92" i="17"/>
  <c r="J91" i="17"/>
  <c r="J89" i="17"/>
  <c r="M73" i="17"/>
  <c r="K27" i="17"/>
  <c r="M26" i="17"/>
  <c r="M23" i="17"/>
  <c r="M14" i="17"/>
  <c r="L10" i="17"/>
  <c r="L8" i="17"/>
  <c r="G117" i="1"/>
  <c r="H117" i="1" s="1"/>
  <c r="AA193" i="17"/>
  <c r="J205" i="17"/>
  <c r="M204" i="17"/>
  <c r="L199" i="17"/>
  <c r="K197" i="17"/>
  <c r="K196" i="17"/>
  <c r="K193" i="17"/>
  <c r="J192" i="17"/>
  <c r="M191" i="17"/>
  <c r="K190" i="17"/>
  <c r="L189" i="17"/>
  <c r="M187" i="17"/>
  <c r="K186" i="17"/>
  <c r="K177" i="17"/>
  <c r="K175" i="17"/>
  <c r="J174" i="17"/>
  <c r="K171" i="17"/>
  <c r="K168" i="17"/>
  <c r="K163" i="17"/>
  <c r="L161" i="17"/>
  <c r="K154" i="17"/>
  <c r="M108" i="17"/>
  <c r="L106" i="17"/>
  <c r="J104" i="17"/>
  <c r="K98" i="17"/>
  <c r="J96" i="17"/>
  <c r="J92" i="17"/>
  <c r="K91" i="17"/>
  <c r="L88" i="17"/>
  <c r="J8" i="17"/>
  <c r="J6" i="17"/>
  <c r="G118" i="1"/>
  <c r="H118" i="1" s="1"/>
  <c r="AU206" i="17"/>
  <c r="AL206" i="17"/>
  <c r="AN205" i="17"/>
  <c r="AS193" i="17"/>
  <c r="AS112" i="17"/>
  <c r="AC112" i="17"/>
  <c r="AS111" i="17"/>
  <c r="AU110" i="17"/>
  <c r="AL110" i="17"/>
  <c r="AW106" i="17"/>
  <c r="AA106" i="17"/>
  <c r="AH101" i="17"/>
  <c r="AH99" i="17"/>
  <c r="AL95" i="17"/>
  <c r="Y95" i="17"/>
  <c r="AU92" i="17"/>
  <c r="AL5" i="17"/>
  <c r="AQ4" i="17"/>
  <c r="Y4" i="17"/>
  <c r="AA2" i="17"/>
  <c r="K106" i="17"/>
  <c r="M8" i="17"/>
  <c r="J155" i="17"/>
  <c r="J154" i="17"/>
  <c r="L114" i="17"/>
  <c r="J112" i="17"/>
  <c r="J82" i="17"/>
  <c r="M80" i="17"/>
  <c r="L79" i="17"/>
  <c r="M74" i="17"/>
  <c r="K73" i="17"/>
  <c r="L27" i="17"/>
  <c r="J26" i="17"/>
  <c r="K22" i="17"/>
  <c r="L21" i="17"/>
  <c r="L17" i="17"/>
  <c r="J16" i="17"/>
  <c r="L7" i="17"/>
  <c r="G119" i="1"/>
  <c r="H119" i="1" s="1"/>
  <c r="C485" i="17"/>
  <c r="B485" i="17"/>
  <c r="B484" i="17"/>
  <c r="E483" i="17"/>
  <c r="C483" i="17"/>
  <c r="B482" i="17"/>
  <c r="C481" i="17"/>
  <c r="C480" i="17"/>
  <c r="E452" i="17"/>
  <c r="D452" i="17"/>
  <c r="E451" i="17"/>
  <c r="B451" i="17"/>
  <c r="E450" i="17"/>
  <c r="B450" i="17"/>
  <c r="E449" i="17"/>
  <c r="C449" i="17"/>
  <c r="B446" i="17"/>
  <c r="B445" i="17"/>
  <c r="C444" i="17"/>
  <c r="E443" i="17"/>
  <c r="D436" i="17"/>
  <c r="C434" i="17"/>
  <c r="E433" i="17"/>
  <c r="C430" i="17"/>
  <c r="E429" i="17"/>
  <c r="C427" i="17"/>
  <c r="C425" i="17"/>
  <c r="C415" i="17"/>
  <c r="E414" i="17"/>
  <c r="D413" i="17"/>
  <c r="E412" i="17"/>
  <c r="D411" i="17"/>
  <c r="B411" i="17"/>
  <c r="D410" i="17"/>
  <c r="C409" i="17"/>
  <c r="B408" i="17"/>
  <c r="E407" i="17"/>
  <c r="D406" i="17"/>
  <c r="B404" i="17"/>
  <c r="C403" i="17"/>
  <c r="E402" i="17"/>
  <c r="B401" i="17"/>
  <c r="C356" i="17"/>
  <c r="C350" i="17"/>
  <c r="E333" i="17"/>
  <c r="D333" i="17"/>
  <c r="C330" i="17"/>
  <c r="E329" i="17"/>
  <c r="E326" i="17"/>
  <c r="E325" i="17"/>
  <c r="C325" i="17"/>
  <c r="E324" i="17"/>
  <c r="C324" i="17"/>
  <c r="C323" i="17"/>
  <c r="C322" i="17"/>
  <c r="B321" i="17"/>
  <c r="E268" i="17"/>
  <c r="C267" i="17"/>
  <c r="E263" i="17"/>
  <c r="B261" i="17"/>
  <c r="D258" i="17"/>
  <c r="E256" i="17"/>
  <c r="D255" i="17"/>
  <c r="D252" i="17"/>
  <c r="D248" i="17"/>
  <c r="E246" i="17"/>
  <c r="AS238" i="17"/>
  <c r="AJ238" i="17"/>
  <c r="AA238" i="17"/>
  <c r="AW208" i="17"/>
  <c r="AN208" i="17"/>
  <c r="AE208" i="17"/>
  <c r="AS207" i="17"/>
  <c r="AJ207" i="17"/>
  <c r="AA207" i="17"/>
  <c r="AS206" i="17"/>
  <c r="AC206" i="17"/>
  <c r="AA206" i="17"/>
  <c r="AW205" i="17"/>
  <c r="AE205" i="17"/>
  <c r="AL200" i="17"/>
  <c r="AC200" i="17"/>
  <c r="AJ193" i="17"/>
  <c r="AL113" i="17"/>
  <c r="AJ112" i="17"/>
  <c r="AS110" i="17"/>
  <c r="AS106" i="17"/>
  <c r="AJ104" i="17"/>
  <c r="AE103" i="17"/>
  <c r="AS101" i="17"/>
  <c r="AA101" i="17"/>
  <c r="AA98" i="17"/>
  <c r="AH97" i="17"/>
  <c r="AQ95" i="17"/>
  <c r="AS94" i="17"/>
  <c r="AH94" i="17"/>
  <c r="Y94" i="17"/>
  <c r="AC5" i="17"/>
  <c r="K2" i="17"/>
  <c r="L241" i="17"/>
  <c r="L238" i="17"/>
  <c r="K202" i="17"/>
  <c r="J105" i="17"/>
  <c r="L104" i="17"/>
  <c r="M103" i="17"/>
  <c r="M102" i="17"/>
  <c r="L101" i="17"/>
  <c r="M99" i="17"/>
  <c r="M98" i="17"/>
  <c r="K97" i="17"/>
  <c r="L95" i="17"/>
  <c r="K93" i="17"/>
  <c r="L92" i="17"/>
  <c r="M91" i="17"/>
  <c r="K89" i="17"/>
  <c r="L85" i="17"/>
  <c r="K83" i="17"/>
  <c r="L82" i="17"/>
  <c r="J75" i="17"/>
  <c r="K74" i="17"/>
  <c r="J73" i="17"/>
  <c r="K19" i="17"/>
  <c r="J17" i="17"/>
  <c r="K15" i="17"/>
  <c r="K13" i="17"/>
  <c r="L11" i="17"/>
  <c r="M4" i="17"/>
  <c r="AU192" i="17"/>
  <c r="AL192" i="17"/>
  <c r="AC192" i="17"/>
  <c r="AU191" i="17"/>
  <c r="AS191" i="17"/>
  <c r="AL191" i="17"/>
  <c r="AJ191" i="17"/>
  <c r="AC191" i="17"/>
  <c r="AA191" i="17"/>
  <c r="AW190" i="17"/>
  <c r="AS190" i="17"/>
  <c r="AN190" i="17"/>
  <c r="AJ190" i="17"/>
  <c r="AE190" i="17"/>
  <c r="AA190" i="17"/>
  <c r="AS186" i="17"/>
  <c r="AJ186" i="17"/>
  <c r="AA186" i="17"/>
  <c r="AS184" i="17"/>
  <c r="AJ184" i="17"/>
  <c r="AA184" i="17"/>
  <c r="AU178" i="17"/>
  <c r="AS178" i="17"/>
  <c r="AL178" i="17"/>
  <c r="AJ178" i="17"/>
  <c r="AC178" i="17"/>
  <c r="AA178" i="17"/>
  <c r="AU177" i="17"/>
  <c r="AL177" i="17"/>
  <c r="AC177" i="17"/>
  <c r="AW175" i="17"/>
  <c r="AN175" i="17"/>
  <c r="AE175" i="17"/>
  <c r="AW167" i="17"/>
  <c r="AN167" i="17"/>
  <c r="AE167" i="17"/>
  <c r="AU161" i="17"/>
  <c r="AL161" i="17"/>
  <c r="AC161" i="17"/>
  <c r="AS158" i="17"/>
  <c r="AJ158" i="17"/>
  <c r="AA158" i="17"/>
  <c r="AU155" i="17"/>
  <c r="AL155" i="17"/>
  <c r="AC155" i="17"/>
  <c r="AU112" i="17"/>
  <c r="AJ111" i="17"/>
  <c r="AA110" i="17"/>
  <c r="AS109" i="17"/>
  <c r="AJ109" i="17"/>
  <c r="AU106" i="17"/>
  <c r="AJ106" i="17"/>
  <c r="AC106" i="17"/>
  <c r="AJ102" i="17"/>
  <c r="AA102" i="17"/>
  <c r="Y101" i="17"/>
  <c r="AS100" i="17"/>
  <c r="AW99" i="17"/>
  <c r="AN99" i="17"/>
  <c r="AE99" i="17"/>
  <c r="AQ97" i="17"/>
  <c r="Y97" i="17"/>
  <c r="AH95" i="17"/>
  <c r="AJ94" i="17"/>
  <c r="AS5" i="17"/>
  <c r="J5" i="17"/>
  <c r="AH4" i="17"/>
  <c r="M87" i="17"/>
  <c r="J24" i="17"/>
  <c r="M79" i="17"/>
  <c r="G116" i="1"/>
  <c r="H116" i="1" s="1"/>
  <c r="J23" i="17"/>
  <c r="L18" i="17"/>
  <c r="J15" i="17"/>
  <c r="L13" i="17"/>
  <c r="J9" i="17"/>
  <c r="K7" i="17"/>
  <c r="AH92" i="17"/>
  <c r="AC92" i="17"/>
  <c r="Y92" i="17"/>
  <c r="AS91" i="17"/>
  <c r="AQ91" i="17"/>
  <c r="AJ91" i="17"/>
  <c r="AH91" i="17"/>
  <c r="AA91" i="17"/>
  <c r="Y91" i="17"/>
  <c r="AQ86" i="17"/>
  <c r="AH86" i="17"/>
  <c r="Y86" i="17"/>
  <c r="AQ85" i="17"/>
  <c r="AH85" i="17"/>
  <c r="Y85" i="17"/>
  <c r="K85" i="17"/>
  <c r="AU84" i="17"/>
  <c r="AQ84" i="17"/>
  <c r="AL84" i="17"/>
  <c r="AH84" i="17"/>
  <c r="AC84" i="17"/>
  <c r="Y84" i="17"/>
  <c r="M84" i="17"/>
  <c r="AQ82" i="17"/>
  <c r="AH82" i="17"/>
  <c r="Y82" i="17"/>
  <c r="AU80" i="17"/>
  <c r="AS80" i="17"/>
  <c r="AQ80" i="17"/>
  <c r="AL80" i="17"/>
  <c r="AJ80" i="17"/>
  <c r="AH80" i="17"/>
  <c r="AC80" i="17"/>
  <c r="AA80" i="17"/>
  <c r="Y80" i="17"/>
  <c r="AS79" i="17"/>
  <c r="AQ79" i="17"/>
  <c r="AJ79" i="17"/>
  <c r="AH79" i="17"/>
  <c r="AA79" i="17"/>
  <c r="Y79" i="17"/>
  <c r="AS78" i="17"/>
  <c r="AQ78" i="17"/>
  <c r="AJ78" i="17"/>
  <c r="AH78" i="17"/>
  <c r="AA78" i="17"/>
  <c r="Y78" i="17"/>
  <c r="AU77" i="17"/>
  <c r="AQ77" i="17"/>
  <c r="AL77" i="17"/>
  <c r="AH77" i="17"/>
  <c r="AC77" i="17"/>
  <c r="Y77" i="17"/>
  <c r="AU76" i="17"/>
  <c r="AQ76" i="17"/>
  <c r="AL76" i="17"/>
  <c r="AH76" i="17"/>
  <c r="AC76" i="17"/>
  <c r="Y76" i="17"/>
  <c r="AU75" i="17"/>
  <c r="AS75" i="17"/>
  <c r="AQ75" i="17"/>
  <c r="AL75" i="17"/>
  <c r="AJ75" i="17"/>
  <c r="AH75" i="17"/>
  <c r="AC75" i="17"/>
  <c r="AA75" i="17"/>
  <c r="Y75" i="17"/>
  <c r="AS26" i="17"/>
  <c r="AJ26" i="17"/>
  <c r="AA26" i="17"/>
  <c r="AQ25" i="17"/>
  <c r="AH25" i="17"/>
  <c r="Y25" i="17"/>
  <c r="AQ24" i="17"/>
  <c r="AH24" i="17"/>
  <c r="Y24" i="17"/>
  <c r="AQ20" i="17"/>
  <c r="AH20" i="17"/>
  <c r="Y20" i="17"/>
  <c r="AQ18" i="17"/>
  <c r="AH18" i="17"/>
  <c r="Y18" i="17"/>
  <c r="AQ15" i="17"/>
  <c r="AH15" i="17"/>
  <c r="Y15" i="17"/>
  <c r="AS13" i="17"/>
  <c r="AQ13" i="17"/>
  <c r="AJ13" i="17"/>
  <c r="AH13" i="17"/>
  <c r="AA13" i="17"/>
  <c r="Y13" i="17"/>
  <c r="AS10" i="17"/>
  <c r="AJ10" i="17"/>
  <c r="AA10" i="17"/>
  <c r="M5" i="17"/>
  <c r="M242" i="17"/>
  <c r="L237" i="17"/>
  <c r="K208" i="17"/>
  <c r="M205" i="17"/>
  <c r="K204" i="17"/>
  <c r="K203" i="17"/>
  <c r="L202" i="17"/>
  <c r="J200" i="17"/>
  <c r="L194" i="17"/>
  <c r="J193" i="17"/>
  <c r="K192" i="17"/>
  <c r="L191" i="17"/>
  <c r="J190" i="17"/>
  <c r="L171" i="17"/>
  <c r="K170" i="17"/>
  <c r="M167" i="17"/>
  <c r="M165" i="17"/>
  <c r="K100" i="17"/>
  <c r="M95" i="17"/>
  <c r="J94" i="17"/>
  <c r="M93" i="17"/>
  <c r="K90" i="17"/>
  <c r="J87" i="17"/>
  <c r="K207" i="17"/>
  <c r="K199" i="17"/>
  <c r="J188" i="17"/>
  <c r="J186" i="17"/>
  <c r="M184" i="17"/>
  <c r="L183" i="17"/>
  <c r="M179" i="17"/>
  <c r="L177" i="17"/>
  <c r="M166" i="17"/>
  <c r="M162" i="17"/>
  <c r="J157" i="17"/>
  <c r="K112" i="17"/>
  <c r="M111" i="17"/>
  <c r="K108" i="17"/>
  <c r="J99" i="17"/>
  <c r="L98" i="17"/>
  <c r="M97" i="17"/>
  <c r="L94" i="17"/>
  <c r="J27" i="17"/>
  <c r="M114" i="17"/>
  <c r="K103" i="17"/>
  <c r="J20" i="17"/>
  <c r="L16" i="17"/>
  <c r="K84" i="17"/>
  <c r="K75" i="17"/>
  <c r="L26" i="17"/>
  <c r="K8" i="17"/>
  <c r="J3" i="17"/>
  <c r="M76" i="17"/>
  <c r="AU113" i="17"/>
  <c r="AL106" i="17"/>
  <c r="AC102" i="17"/>
  <c r="AW95" i="17"/>
  <c r="I192" i="6"/>
  <c r="N192" i="6" s="1"/>
  <c r="I191" i="6"/>
  <c r="N191" i="6" s="1"/>
  <c r="M89" i="17"/>
  <c r="J97" i="17"/>
  <c r="L23" i="17"/>
  <c r="K10" i="17"/>
  <c r="AC110" i="17"/>
  <c r="AN103" i="17"/>
  <c r="AJ100" i="17"/>
  <c r="Y99" i="17"/>
  <c r="AC95" i="17"/>
  <c r="AQ94" i="17"/>
  <c r="AU5" i="17"/>
  <c r="AS2" i="17"/>
  <c r="AS105" i="17"/>
  <c r="AS104" i="17"/>
  <c r="AA104" i="17"/>
  <c r="AU102" i="17"/>
  <c r="AL102" i="17"/>
  <c r="AJ101" i="17"/>
  <c r="AQ99" i="17"/>
  <c r="AN95" i="17"/>
  <c r="K174" i="17"/>
  <c r="I96" i="6"/>
  <c r="N96" i="6" s="1"/>
  <c r="I95" i="6"/>
  <c r="N95" i="6" s="1"/>
  <c r="I94" i="6"/>
  <c r="N94" i="6" s="1"/>
  <c r="I93" i="6"/>
  <c r="N93" i="6" s="1"/>
  <c r="I92" i="6"/>
  <c r="N92" i="6" s="1"/>
  <c r="I91" i="6"/>
  <c r="N91" i="6" s="1"/>
  <c r="I90" i="6"/>
  <c r="N90" i="6" s="1"/>
  <c r="I89" i="6"/>
  <c r="N89" i="6" s="1"/>
  <c r="I88" i="6"/>
  <c r="N88" i="6" s="1"/>
  <c r="I87" i="6"/>
  <c r="N87" i="6" s="1"/>
  <c r="I86" i="6"/>
  <c r="N86" i="6" s="1"/>
  <c r="I85" i="6"/>
  <c r="N85" i="6" s="1"/>
  <c r="I84" i="6"/>
  <c r="N84" i="6" s="1"/>
  <c r="I83" i="6"/>
  <c r="N83" i="6" s="1"/>
  <c r="I82" i="6"/>
  <c r="N82" i="6" s="1"/>
  <c r="L81" i="17"/>
  <c r="J74" i="17"/>
  <c r="L25" i="17"/>
  <c r="L2" i="17"/>
  <c r="AL112" i="17"/>
  <c r="J88" i="17"/>
  <c r="J86" i="17"/>
  <c r="L76" i="17"/>
  <c r="K18" i="17"/>
  <c r="L80" i="17"/>
  <c r="AC113" i="17"/>
  <c r="M239" i="17"/>
  <c r="AE95" i="17"/>
  <c r="AL92" i="17"/>
  <c r="B1228" i="18" l="1"/>
  <c r="B735" i="17"/>
  <c r="E400" i="17"/>
  <c r="H403" i="18"/>
  <c r="D419" i="17"/>
  <c r="F422" i="18"/>
  <c r="E328" i="17"/>
  <c r="H331" i="18"/>
  <c r="B392" i="18"/>
  <c r="B389" i="17"/>
  <c r="E309" i="17"/>
  <c r="H312" i="18"/>
  <c r="D309" i="17"/>
  <c r="F312" i="18"/>
  <c r="C309" i="17"/>
  <c r="D312" i="18"/>
  <c r="B309" i="17"/>
  <c r="B312" i="18"/>
  <c r="U192" i="6"/>
  <c r="I198" i="6"/>
  <c r="N198" i="6" s="1"/>
  <c r="C1184" i="17"/>
  <c r="D1677" i="18"/>
  <c r="AG124" i="5"/>
  <c r="AH124" i="5" s="1"/>
  <c r="AG125" i="5"/>
  <c r="AH125" i="5" s="1"/>
  <c r="K130" i="5"/>
  <c r="L130" i="5" s="1"/>
  <c r="E481" i="17"/>
  <c r="H484" i="18"/>
  <c r="K117" i="5"/>
  <c r="L117" i="5" s="1"/>
  <c r="K106" i="5"/>
  <c r="L106" i="5" s="1"/>
  <c r="AG109" i="5"/>
  <c r="AH109" i="5" s="1"/>
  <c r="F444" i="18"/>
  <c r="D441" i="17"/>
  <c r="E440" i="17"/>
  <c r="H443" i="18"/>
  <c r="D422" i="17"/>
  <c r="F425" i="18"/>
  <c r="B418" i="17"/>
  <c r="B421" i="18"/>
  <c r="H257" i="18"/>
  <c r="E259" i="17"/>
  <c r="H262" i="18"/>
  <c r="E254" i="17"/>
  <c r="C252" i="17"/>
  <c r="D255" i="18"/>
  <c r="C191" i="9"/>
  <c r="G191" i="9"/>
  <c r="C192" i="9"/>
  <c r="G192" i="9"/>
  <c r="B253" i="17"/>
  <c r="B256" i="18"/>
  <c r="D250" i="18"/>
  <c r="C247" i="17"/>
  <c r="E428" i="17"/>
  <c r="H431" i="18"/>
  <c r="B403" i="17"/>
  <c r="B406" i="18"/>
  <c r="E399" i="17"/>
  <c r="H402" i="18"/>
  <c r="E1091" i="17"/>
  <c r="H1584" i="18"/>
  <c r="B980" i="17"/>
  <c r="B1473" i="18"/>
  <c r="D423" i="17"/>
  <c r="F426" i="18"/>
  <c r="B416" i="17"/>
  <c r="B419" i="18"/>
  <c r="D415" i="17"/>
  <c r="F418" i="18"/>
  <c r="B412" i="17"/>
  <c r="B415" i="18"/>
  <c r="AG134" i="5"/>
  <c r="AH134" i="5" s="1"/>
  <c r="D408" i="17"/>
  <c r="F411" i="18"/>
  <c r="D402" i="17"/>
  <c r="F405" i="18"/>
  <c r="E356" i="17"/>
  <c r="H359" i="18"/>
  <c r="D431" i="17"/>
  <c r="F434" i="18"/>
  <c r="D427" i="17"/>
  <c r="F430" i="18"/>
  <c r="B425" i="17"/>
  <c r="B428" i="18"/>
  <c r="D418" i="17"/>
  <c r="F421" i="18"/>
  <c r="E416" i="17"/>
  <c r="H419" i="18"/>
  <c r="E406" i="17"/>
  <c r="H409" i="18"/>
  <c r="F357" i="18"/>
  <c r="D354" i="17"/>
  <c r="AG122" i="5"/>
  <c r="AH122" i="5" s="1"/>
  <c r="AG111" i="5"/>
  <c r="AH111" i="5" s="1"/>
  <c r="AG108" i="5"/>
  <c r="AH108" i="5" s="1"/>
  <c r="AG121" i="5"/>
  <c r="AH121" i="5" s="1"/>
  <c r="K119" i="5"/>
  <c r="L119" i="5" s="1"/>
  <c r="AG106" i="5"/>
  <c r="AH106" i="5" s="1"/>
  <c r="E730" i="17"/>
  <c r="H1223" i="18"/>
  <c r="E975" i="17"/>
  <c r="H1468" i="18"/>
  <c r="E1220" i="17"/>
  <c r="H1713" i="18"/>
  <c r="E1465" i="17"/>
  <c r="H1958" i="18"/>
  <c r="B729" i="17"/>
  <c r="B1222" i="18"/>
  <c r="B974" i="17"/>
  <c r="B1467" i="18"/>
  <c r="B1219" i="17"/>
  <c r="B1712" i="18"/>
  <c r="B1464" i="17"/>
  <c r="B1957" i="18"/>
  <c r="B728" i="17"/>
  <c r="B1221" i="18"/>
  <c r="B973" i="17"/>
  <c r="B1466" i="18"/>
  <c r="B1218" i="17"/>
  <c r="B1711" i="18"/>
  <c r="B1463" i="17"/>
  <c r="B1956" i="18"/>
  <c r="C727" i="17"/>
  <c r="D1220" i="18"/>
  <c r="C972" i="17"/>
  <c r="D1465" i="18"/>
  <c r="C1217" i="17"/>
  <c r="D1710" i="18"/>
  <c r="C1462" i="17"/>
  <c r="D1955" i="18"/>
  <c r="B726" i="17"/>
  <c r="B1219" i="18"/>
  <c r="B971" i="17"/>
  <c r="B1464" i="18"/>
  <c r="B1216" i="17"/>
  <c r="B1709" i="18"/>
  <c r="B1461" i="17"/>
  <c r="B1954" i="18"/>
  <c r="D725" i="17"/>
  <c r="F1218" i="18"/>
  <c r="D970" i="17"/>
  <c r="F1463" i="18"/>
  <c r="D1215" i="17"/>
  <c r="F1708" i="18"/>
  <c r="D1460" i="17"/>
  <c r="F1953" i="18"/>
  <c r="C697" i="17"/>
  <c r="D1190" i="18"/>
  <c r="C942" i="17"/>
  <c r="D1435" i="18"/>
  <c r="C1187" i="17"/>
  <c r="D1680" i="18"/>
  <c r="C1432" i="17"/>
  <c r="D1925" i="18"/>
  <c r="E1184" i="17"/>
  <c r="H1677" i="18"/>
  <c r="E694" i="17"/>
  <c r="H1187" i="18"/>
  <c r="E939" i="17"/>
  <c r="H1432" i="18"/>
  <c r="E1429" i="17"/>
  <c r="H1922" i="18"/>
  <c r="C693" i="17"/>
  <c r="D1186" i="18"/>
  <c r="C938" i="17"/>
  <c r="D1431" i="18"/>
  <c r="C1428" i="17"/>
  <c r="D1921" i="18"/>
  <c r="C1183" i="17"/>
  <c r="D1676" i="18"/>
  <c r="B692" i="17"/>
  <c r="B1185" i="18"/>
  <c r="B1182" i="17"/>
  <c r="B1675" i="18"/>
  <c r="B1427" i="17"/>
  <c r="B1920" i="18"/>
  <c r="B937" i="17"/>
  <c r="B1430" i="18"/>
  <c r="D691" i="17"/>
  <c r="F1184" i="18"/>
  <c r="D1181" i="17"/>
  <c r="F1674" i="18"/>
  <c r="D936" i="17"/>
  <c r="F1429" i="18"/>
  <c r="D1426" i="17"/>
  <c r="F1919" i="18"/>
  <c r="D932" i="17"/>
  <c r="F1425" i="18"/>
  <c r="D1422" i="17"/>
  <c r="F1915" i="18"/>
  <c r="F1180" i="18"/>
  <c r="D687" i="17"/>
  <c r="F1670" i="18"/>
  <c r="D1177" i="17"/>
  <c r="C685" i="17"/>
  <c r="D1178" i="18"/>
  <c r="C1420" i="17"/>
  <c r="D1913" i="18"/>
  <c r="D1423" i="18"/>
  <c r="C930" i="17"/>
  <c r="D1668" i="18"/>
  <c r="C1175" i="17"/>
  <c r="D1174" i="17"/>
  <c r="F1667" i="18"/>
  <c r="D1419" i="17"/>
  <c r="F1912" i="18"/>
  <c r="F1177" i="18"/>
  <c r="D684" i="17"/>
  <c r="F1422" i="18"/>
  <c r="D929" i="17"/>
  <c r="B681" i="17"/>
  <c r="B1174" i="18"/>
  <c r="B1416" i="17"/>
  <c r="B1909" i="18"/>
  <c r="B926" i="17"/>
  <c r="B1419" i="18"/>
  <c r="B1664" i="18"/>
  <c r="B1171" i="17"/>
  <c r="B680" i="17"/>
  <c r="B1173" i="18"/>
  <c r="B925" i="17"/>
  <c r="B1418" i="18"/>
  <c r="B1170" i="17"/>
  <c r="B1663" i="18"/>
  <c r="B1415" i="17"/>
  <c r="B1908" i="18"/>
  <c r="E677" i="17"/>
  <c r="H1170" i="18"/>
  <c r="E922" i="17"/>
  <c r="H1415" i="18"/>
  <c r="E1167" i="17"/>
  <c r="H1660" i="18"/>
  <c r="E1412" i="17"/>
  <c r="H1905" i="18"/>
  <c r="C676" i="17"/>
  <c r="D1169" i="18"/>
  <c r="C921" i="17"/>
  <c r="D1414" i="18"/>
  <c r="C1166" i="17"/>
  <c r="D1659" i="18"/>
  <c r="C1411" i="17"/>
  <c r="D1904" i="18"/>
  <c r="E674" i="17"/>
  <c r="H1167" i="18"/>
  <c r="E919" i="17"/>
  <c r="H1412" i="18"/>
  <c r="E1164" i="17"/>
  <c r="H1657" i="18"/>
  <c r="E1409" i="17"/>
  <c r="H1902" i="18"/>
  <c r="D672" i="17"/>
  <c r="F1165" i="18"/>
  <c r="D917" i="17"/>
  <c r="F1410" i="18"/>
  <c r="D1162" i="17"/>
  <c r="F1655" i="18"/>
  <c r="D1407" i="17"/>
  <c r="F1900" i="18"/>
  <c r="B670" i="17"/>
  <c r="B1163" i="18"/>
  <c r="B915" i="17"/>
  <c r="B1408" i="18"/>
  <c r="B1160" i="17"/>
  <c r="B1653" i="18"/>
  <c r="B1405" i="17"/>
  <c r="B1898" i="18"/>
  <c r="B668" i="17"/>
  <c r="B1161" i="18"/>
  <c r="B913" i="17"/>
  <c r="B1406" i="18"/>
  <c r="B1158" i="17"/>
  <c r="B1651" i="18"/>
  <c r="B1403" i="17"/>
  <c r="B1896" i="18"/>
  <c r="B666" i="17"/>
  <c r="B1159" i="18"/>
  <c r="B911" i="17"/>
  <c r="B1404" i="18"/>
  <c r="B1156" i="17"/>
  <c r="B1649" i="18"/>
  <c r="B1401" i="17"/>
  <c r="B1894" i="18"/>
  <c r="E664" i="17"/>
  <c r="H1157" i="18"/>
  <c r="E909" i="17"/>
  <c r="H1402" i="18"/>
  <c r="E1154" i="17"/>
  <c r="H1647" i="18"/>
  <c r="E1399" i="17"/>
  <c r="H1892" i="18"/>
  <c r="B663" i="17"/>
  <c r="B1156" i="18"/>
  <c r="B908" i="17"/>
  <c r="B1401" i="18"/>
  <c r="B1153" i="17"/>
  <c r="B1646" i="18"/>
  <c r="B1398" i="17"/>
  <c r="B1891" i="18"/>
  <c r="B661" i="17"/>
  <c r="B1154" i="18"/>
  <c r="B906" i="17"/>
  <c r="B1399" i="18"/>
  <c r="B1151" i="17"/>
  <c r="B1644" i="18"/>
  <c r="B1396" i="17"/>
  <c r="B1889" i="18"/>
  <c r="C660" i="17"/>
  <c r="D1153" i="18"/>
  <c r="C905" i="17"/>
  <c r="D1398" i="18"/>
  <c r="C1150" i="17"/>
  <c r="D1643" i="18"/>
  <c r="C1395" i="17"/>
  <c r="D1888" i="18"/>
  <c r="D659" i="17"/>
  <c r="F1152" i="18"/>
  <c r="D904" i="17"/>
  <c r="F1397" i="18"/>
  <c r="D1149" i="17"/>
  <c r="F1642" i="18"/>
  <c r="D1394" i="17"/>
  <c r="F1887" i="18"/>
  <c r="B656" i="17"/>
  <c r="B1149" i="18"/>
  <c r="B901" i="17"/>
  <c r="B1394" i="18"/>
  <c r="B1146" i="17"/>
  <c r="B1639" i="18"/>
  <c r="B1391" i="17"/>
  <c r="B1884" i="18"/>
  <c r="E654" i="17"/>
  <c r="H1147" i="18"/>
  <c r="E899" i="17"/>
  <c r="H1392" i="18"/>
  <c r="E1144" i="17"/>
  <c r="H1637" i="18"/>
  <c r="E1389" i="17"/>
  <c r="H1882" i="18"/>
  <c r="D648" i="17"/>
  <c r="F1141" i="18"/>
  <c r="D893" i="17"/>
  <c r="F1386" i="18"/>
  <c r="D1138" i="17"/>
  <c r="F1631" i="18"/>
  <c r="D1383" i="17"/>
  <c r="F1876" i="18"/>
  <c r="E647" i="17"/>
  <c r="H1140" i="18"/>
  <c r="E892" i="17"/>
  <c r="H1385" i="18"/>
  <c r="E1137" i="17"/>
  <c r="H1630" i="18"/>
  <c r="E1382" i="17"/>
  <c r="H1875" i="18"/>
  <c r="E645" i="17"/>
  <c r="H1138" i="18"/>
  <c r="E890" i="17"/>
  <c r="H1383" i="18"/>
  <c r="E1135" i="17"/>
  <c r="H1628" i="18"/>
  <c r="E1380" i="17"/>
  <c r="H1873" i="18"/>
  <c r="E592" i="17"/>
  <c r="H1085" i="18"/>
  <c r="E1327" i="17"/>
  <c r="H1820" i="18"/>
  <c r="E837" i="17"/>
  <c r="H1330" i="18"/>
  <c r="H1575" i="18"/>
  <c r="E1082" i="17"/>
  <c r="B590" i="17"/>
  <c r="B1083" i="18"/>
  <c r="B1080" i="17"/>
  <c r="B1573" i="18"/>
  <c r="B1325" i="17"/>
  <c r="B1818" i="18"/>
  <c r="B1328" i="18"/>
  <c r="B835" i="17"/>
  <c r="B584" i="17"/>
  <c r="B1077" i="18"/>
  <c r="B829" i="17"/>
  <c r="B1322" i="18"/>
  <c r="B1319" i="17"/>
  <c r="B1812" i="18"/>
  <c r="B1074" i="17"/>
  <c r="B1567" i="18"/>
  <c r="D579" i="17"/>
  <c r="F1072" i="18"/>
  <c r="D824" i="17"/>
  <c r="F1317" i="18"/>
  <c r="D1069" i="17"/>
  <c r="F1562" i="18"/>
  <c r="D1314" i="17"/>
  <c r="F1807" i="18"/>
  <c r="C578" i="17"/>
  <c r="D1071" i="18"/>
  <c r="C823" i="17"/>
  <c r="D1316" i="18"/>
  <c r="C1068" i="17"/>
  <c r="D1561" i="18"/>
  <c r="C1313" i="17"/>
  <c r="D1806" i="18"/>
  <c r="B577" i="17"/>
  <c r="B1070" i="18"/>
  <c r="B822" i="17"/>
  <c r="B1315" i="18"/>
  <c r="B1067" i="17"/>
  <c r="B1560" i="18"/>
  <c r="B1312" i="17"/>
  <c r="B1805" i="18"/>
  <c r="E573" i="17"/>
  <c r="H1066" i="18"/>
  <c r="E818" i="17"/>
  <c r="H1311" i="18"/>
  <c r="E1063" i="17"/>
  <c r="H1556" i="18"/>
  <c r="E1308" i="17"/>
  <c r="H1801" i="18"/>
  <c r="B571" i="17"/>
  <c r="B1064" i="18"/>
  <c r="B816" i="17"/>
  <c r="B1309" i="18"/>
  <c r="B1061" i="17"/>
  <c r="B1554" i="18"/>
  <c r="B1306" i="17"/>
  <c r="B1799" i="18"/>
  <c r="D570" i="17"/>
  <c r="F1063" i="18"/>
  <c r="D815" i="17"/>
  <c r="F1308" i="18"/>
  <c r="D1060" i="17"/>
  <c r="F1553" i="18"/>
  <c r="D1305" i="17"/>
  <c r="F1798" i="18"/>
  <c r="E566" i="17"/>
  <c r="H1059" i="18"/>
  <c r="E811" i="17"/>
  <c r="H1304" i="18"/>
  <c r="E1056" i="17"/>
  <c r="H1549" i="18"/>
  <c r="E1301" i="17"/>
  <c r="H1794" i="18"/>
  <c r="D562" i="17"/>
  <c r="F1055" i="18"/>
  <c r="D807" i="17"/>
  <c r="F1300" i="18"/>
  <c r="D1052" i="17"/>
  <c r="F1545" i="18"/>
  <c r="D1297" i="17"/>
  <c r="F1790" i="18"/>
  <c r="C561" i="17"/>
  <c r="D1054" i="18"/>
  <c r="C806" i="17"/>
  <c r="D1299" i="18"/>
  <c r="C1051" i="17"/>
  <c r="D1544" i="18"/>
  <c r="C1296" i="17"/>
  <c r="D1789" i="18"/>
  <c r="E514" i="17"/>
  <c r="H1007" i="18"/>
  <c r="E759" i="17"/>
  <c r="H1252" i="18"/>
  <c r="E1004" i="17"/>
  <c r="H1497" i="18"/>
  <c r="E1249" i="17"/>
  <c r="H1742" i="18"/>
  <c r="C513" i="17"/>
  <c r="D1006" i="18"/>
  <c r="C758" i="17"/>
  <c r="D1251" i="18"/>
  <c r="C1003" i="17"/>
  <c r="D1496" i="18"/>
  <c r="C1248" i="17"/>
  <c r="D1741" i="18"/>
  <c r="B510" i="17"/>
  <c r="B1003" i="18"/>
  <c r="B755" i="17"/>
  <c r="B1248" i="18"/>
  <c r="B1000" i="17"/>
  <c r="B1493" i="18"/>
  <c r="B1245" i="17"/>
  <c r="B1738" i="18"/>
  <c r="C507" i="17"/>
  <c r="D1000" i="18"/>
  <c r="C752" i="17"/>
  <c r="D1245" i="18"/>
  <c r="C997" i="17"/>
  <c r="D1490" i="18"/>
  <c r="C1242" i="17"/>
  <c r="D1735" i="18"/>
  <c r="E505" i="17"/>
  <c r="H998" i="18"/>
  <c r="E750" i="17"/>
  <c r="H1243" i="18"/>
  <c r="E995" i="17"/>
  <c r="H1488" i="18"/>
  <c r="E1240" i="17"/>
  <c r="H1733" i="18"/>
  <c r="D504" i="17"/>
  <c r="F997" i="18"/>
  <c r="D749" i="17"/>
  <c r="F1242" i="18"/>
  <c r="D994" i="17"/>
  <c r="F1487" i="18"/>
  <c r="D1239" i="17"/>
  <c r="F1732" i="18"/>
  <c r="E496" i="17"/>
  <c r="H989" i="18"/>
  <c r="E741" i="17"/>
  <c r="H1234" i="18"/>
  <c r="E986" i="17"/>
  <c r="H1479" i="18"/>
  <c r="E1231" i="17"/>
  <c r="H1724" i="18"/>
  <c r="E494" i="17"/>
  <c r="H987" i="18"/>
  <c r="E739" i="17"/>
  <c r="H1232" i="18"/>
  <c r="E984" i="17"/>
  <c r="H1477" i="18"/>
  <c r="E1229" i="17"/>
  <c r="H1722" i="18"/>
  <c r="D492" i="17"/>
  <c r="F985" i="18"/>
  <c r="D1227" i="17"/>
  <c r="F1720" i="18"/>
  <c r="D737" i="17"/>
  <c r="F1230" i="18"/>
  <c r="D982" i="17"/>
  <c r="F1475" i="18"/>
  <c r="O143" i="5"/>
  <c r="E144" i="5"/>
  <c r="AB144" i="5"/>
  <c r="AL143" i="5"/>
  <c r="E127" i="5"/>
  <c r="O126" i="5"/>
  <c r="AL126" i="5"/>
  <c r="AB127" i="5"/>
  <c r="J123" i="6"/>
  <c r="J120" i="6"/>
  <c r="AB119" i="5"/>
  <c r="AL118" i="5"/>
  <c r="E119" i="5"/>
  <c r="O118" i="5"/>
  <c r="AL111" i="5"/>
  <c r="AB112" i="5"/>
  <c r="E112" i="5"/>
  <c r="O111" i="5"/>
  <c r="D729" i="17"/>
  <c r="F1222" i="18"/>
  <c r="D974" i="17"/>
  <c r="F1467" i="18"/>
  <c r="D1219" i="17"/>
  <c r="F1712" i="18"/>
  <c r="D1464" i="17"/>
  <c r="F1957" i="18"/>
  <c r="D726" i="17"/>
  <c r="F1219" i="18"/>
  <c r="D971" i="17"/>
  <c r="F1464" i="18"/>
  <c r="D1216" i="17"/>
  <c r="F1709" i="18"/>
  <c r="D1461" i="17"/>
  <c r="F1954" i="18"/>
  <c r="E724" i="17"/>
  <c r="H1217" i="18"/>
  <c r="E969" i="17"/>
  <c r="H1462" i="18"/>
  <c r="E1214" i="17"/>
  <c r="H1707" i="18"/>
  <c r="E1459" i="17"/>
  <c r="H1952" i="18"/>
  <c r="E698" i="17"/>
  <c r="H1191" i="18"/>
  <c r="E943" i="17"/>
  <c r="H1436" i="18"/>
  <c r="E1188" i="17"/>
  <c r="H1681" i="18"/>
  <c r="E1433" i="17"/>
  <c r="H1926" i="18"/>
  <c r="C698" i="17"/>
  <c r="D1191" i="18"/>
  <c r="C943" i="17"/>
  <c r="D1436" i="18"/>
  <c r="C1188" i="17"/>
  <c r="D1681" i="18"/>
  <c r="C1433" i="17"/>
  <c r="D1926" i="18"/>
  <c r="E697" i="17"/>
  <c r="H1190" i="18"/>
  <c r="E942" i="17"/>
  <c r="H1435" i="18"/>
  <c r="E1187" i="17"/>
  <c r="H1680" i="18"/>
  <c r="E1432" i="17"/>
  <c r="H1925" i="18"/>
  <c r="B696" i="17"/>
  <c r="B1189" i="18"/>
  <c r="B941" i="17"/>
  <c r="B1434" i="18"/>
  <c r="B1186" i="17"/>
  <c r="B1679" i="18"/>
  <c r="B1431" i="17"/>
  <c r="B1924" i="18"/>
  <c r="B695" i="17"/>
  <c r="B1188" i="18"/>
  <c r="B940" i="17"/>
  <c r="B1433" i="18"/>
  <c r="B1185" i="17"/>
  <c r="B1678" i="18"/>
  <c r="B1430" i="17"/>
  <c r="B1923" i="18"/>
  <c r="C692" i="17"/>
  <c r="D1185" i="18"/>
  <c r="C937" i="17"/>
  <c r="D1430" i="18"/>
  <c r="C1427" i="17"/>
  <c r="D1920" i="18"/>
  <c r="C1182" i="17"/>
  <c r="D1675" i="18"/>
  <c r="B935" i="17"/>
  <c r="B1428" i="18"/>
  <c r="B690" i="17"/>
  <c r="B1183" i="18"/>
  <c r="B1180" i="17"/>
  <c r="B1673" i="18"/>
  <c r="B1425" i="17"/>
  <c r="B1918" i="18"/>
  <c r="B1421" i="17"/>
  <c r="B1914" i="18"/>
  <c r="B1179" i="18"/>
  <c r="B686" i="17"/>
  <c r="B1176" i="17"/>
  <c r="B1669" i="18"/>
  <c r="B1424" i="18"/>
  <c r="B931" i="17"/>
  <c r="E929" i="17"/>
  <c r="H1422" i="18"/>
  <c r="E1174" i="17"/>
  <c r="H1667" i="18"/>
  <c r="E1419" i="17"/>
  <c r="H1912" i="18"/>
  <c r="H1177" i="18"/>
  <c r="E684" i="17"/>
  <c r="C1172" i="17"/>
  <c r="D1665" i="18"/>
  <c r="C1417" i="17"/>
  <c r="D1910" i="18"/>
  <c r="D1175" i="18"/>
  <c r="C682" i="17"/>
  <c r="D1420" i="18"/>
  <c r="C927" i="17"/>
  <c r="C677" i="17"/>
  <c r="D1170" i="18"/>
  <c r="C922" i="17"/>
  <c r="D1415" i="18"/>
  <c r="C1167" i="17"/>
  <c r="D1660" i="18"/>
  <c r="C1412" i="17"/>
  <c r="D1905" i="18"/>
  <c r="B675" i="17"/>
  <c r="B1168" i="18"/>
  <c r="B920" i="17"/>
  <c r="B1413" i="18"/>
  <c r="B1165" i="17"/>
  <c r="B1658" i="18"/>
  <c r="B1410" i="17"/>
  <c r="B1903" i="18"/>
  <c r="D674" i="17"/>
  <c r="F1167" i="18"/>
  <c r="D919" i="17"/>
  <c r="F1412" i="18"/>
  <c r="D1164" i="17"/>
  <c r="F1657" i="18"/>
  <c r="D1409" i="17"/>
  <c r="F1902" i="18"/>
  <c r="C673" i="17"/>
  <c r="D1166" i="18"/>
  <c r="C918" i="17"/>
  <c r="D1411" i="18"/>
  <c r="C1163" i="17"/>
  <c r="D1656" i="18"/>
  <c r="C1408" i="17"/>
  <c r="D1901" i="18"/>
  <c r="B672" i="17"/>
  <c r="B1165" i="18"/>
  <c r="B917" i="17"/>
  <c r="B1410" i="18"/>
  <c r="B1162" i="17"/>
  <c r="B1655" i="18"/>
  <c r="B1407" i="17"/>
  <c r="B1900" i="18"/>
  <c r="C670" i="17"/>
  <c r="D1163" i="18"/>
  <c r="C915" i="17"/>
  <c r="D1408" i="18"/>
  <c r="C1160" i="17"/>
  <c r="D1653" i="18"/>
  <c r="C1405" i="17"/>
  <c r="D1898" i="18"/>
  <c r="C658" i="17"/>
  <c r="D1151" i="18"/>
  <c r="C903" i="17"/>
  <c r="D1396" i="18"/>
  <c r="C1148" i="17"/>
  <c r="D1641" i="18"/>
  <c r="C1393" i="17"/>
  <c r="D1886" i="18"/>
  <c r="C657" i="17"/>
  <c r="D1150" i="18"/>
  <c r="C902" i="17"/>
  <c r="D1395" i="18"/>
  <c r="C1147" i="17"/>
  <c r="D1640" i="18"/>
  <c r="C1392" i="17"/>
  <c r="D1885" i="18"/>
  <c r="C656" i="17"/>
  <c r="D1149" i="18"/>
  <c r="C901" i="17"/>
  <c r="D1394" i="18"/>
  <c r="C1146" i="17"/>
  <c r="D1639" i="18"/>
  <c r="C1391" i="17"/>
  <c r="D1884" i="18"/>
  <c r="D650" i="17"/>
  <c r="F1143" i="18"/>
  <c r="D895" i="17"/>
  <c r="F1388" i="18"/>
  <c r="D1140" i="17"/>
  <c r="F1633" i="18"/>
  <c r="D1385" i="17"/>
  <c r="F1878" i="18"/>
  <c r="B647" i="17"/>
  <c r="B1140" i="18"/>
  <c r="B892" i="17"/>
  <c r="B1385" i="18"/>
  <c r="B1137" i="17"/>
  <c r="B1630" i="18"/>
  <c r="B1382" i="17"/>
  <c r="B1875" i="18"/>
  <c r="C643" i="17"/>
  <c r="D1136" i="18"/>
  <c r="C888" i="17"/>
  <c r="D1381" i="18"/>
  <c r="C1133" i="17"/>
  <c r="D1626" i="18"/>
  <c r="C1378" i="17"/>
  <c r="D1871" i="18"/>
  <c r="B642" i="17"/>
  <c r="B1135" i="18"/>
  <c r="B887" i="17"/>
  <c r="B1380" i="18"/>
  <c r="B1132" i="17"/>
  <c r="B1625" i="18"/>
  <c r="B1377" i="17"/>
  <c r="B1870" i="18"/>
  <c r="B1095" i="18"/>
  <c r="B602" i="17"/>
  <c r="B1340" i="18"/>
  <c r="B847" i="17"/>
  <c r="B1092" i="17"/>
  <c r="B1585" i="18"/>
  <c r="B1830" i="18"/>
  <c r="B1337" i="17"/>
  <c r="B598" i="17"/>
  <c r="B1091" i="18"/>
  <c r="B1333" i="17"/>
  <c r="B1826" i="18"/>
  <c r="B843" i="17"/>
  <c r="B1336" i="18"/>
  <c r="B1088" i="17"/>
  <c r="B1581" i="18"/>
  <c r="H1090" i="18"/>
  <c r="E597" i="17"/>
  <c r="E842" i="17"/>
  <c r="H1335" i="18"/>
  <c r="E1087" i="17"/>
  <c r="H1580" i="18"/>
  <c r="E1332" i="17"/>
  <c r="H1825" i="18"/>
  <c r="D1084" i="18"/>
  <c r="C591" i="17"/>
  <c r="C1081" i="17"/>
  <c r="D1574" i="18"/>
  <c r="C1326" i="17"/>
  <c r="D1819" i="18"/>
  <c r="C836" i="17"/>
  <c r="D1329" i="18"/>
  <c r="C1322" i="17"/>
  <c r="D1815" i="18"/>
  <c r="D1080" i="18"/>
  <c r="C587" i="17"/>
  <c r="D1325" i="18"/>
  <c r="C832" i="17"/>
  <c r="D1570" i="18"/>
  <c r="C1077" i="17"/>
  <c r="B1321" i="17"/>
  <c r="B1814" i="18"/>
  <c r="B1076" i="17"/>
  <c r="B1569" i="18"/>
  <c r="B1079" i="18"/>
  <c r="B586" i="17"/>
  <c r="B831" i="17"/>
  <c r="B1324" i="18"/>
  <c r="E576" i="17"/>
  <c r="H1069" i="18"/>
  <c r="E821" i="17"/>
  <c r="H1314" i="18"/>
  <c r="E1066" i="17"/>
  <c r="H1559" i="18"/>
  <c r="E1311" i="17"/>
  <c r="H1804" i="18"/>
  <c r="D573" i="17"/>
  <c r="F1066" i="18"/>
  <c r="D818" i="17"/>
  <c r="F1311" i="18"/>
  <c r="D1063" i="17"/>
  <c r="F1556" i="18"/>
  <c r="D1308" i="17"/>
  <c r="F1801" i="18"/>
  <c r="E572" i="17"/>
  <c r="H1065" i="18"/>
  <c r="E817" i="17"/>
  <c r="H1310" i="18"/>
  <c r="E1062" i="17"/>
  <c r="H1555" i="18"/>
  <c r="E1307" i="17"/>
  <c r="H1800" i="18"/>
  <c r="C571" i="17"/>
  <c r="D1064" i="18"/>
  <c r="C816" i="17"/>
  <c r="D1309" i="18"/>
  <c r="C1061" i="17"/>
  <c r="D1554" i="18"/>
  <c r="C1306" i="17"/>
  <c r="D1799" i="18"/>
  <c r="D567" i="17"/>
  <c r="F1060" i="18"/>
  <c r="D812" i="17"/>
  <c r="F1305" i="18"/>
  <c r="D1057" i="17"/>
  <c r="F1550" i="18"/>
  <c r="D1302" i="17"/>
  <c r="F1795" i="18"/>
  <c r="B515" i="17"/>
  <c r="B1008" i="18"/>
  <c r="B760" i="17"/>
  <c r="B1253" i="18"/>
  <c r="B1005" i="17"/>
  <c r="B1498" i="18"/>
  <c r="B1250" i="17"/>
  <c r="B1743" i="18"/>
  <c r="E512" i="17"/>
  <c r="H1005" i="18"/>
  <c r="E757" i="17"/>
  <c r="H1250" i="18"/>
  <c r="E1002" i="17"/>
  <c r="H1495" i="18"/>
  <c r="E1247" i="17"/>
  <c r="H1740" i="18"/>
  <c r="E510" i="17"/>
  <c r="H1003" i="18"/>
  <c r="E755" i="17"/>
  <c r="H1248" i="18"/>
  <c r="E1000" i="17"/>
  <c r="H1493" i="18"/>
  <c r="E1245" i="17"/>
  <c r="H1738" i="18"/>
  <c r="E507" i="17"/>
  <c r="H1000" i="18"/>
  <c r="E752" i="17"/>
  <c r="H1245" i="18"/>
  <c r="E997" i="17"/>
  <c r="H1490" i="18"/>
  <c r="E1242" i="17"/>
  <c r="H1735" i="18"/>
  <c r="E506" i="17"/>
  <c r="H999" i="18"/>
  <c r="E751" i="17"/>
  <c r="H1244" i="18"/>
  <c r="E996" i="17"/>
  <c r="H1489" i="18"/>
  <c r="E1241" i="17"/>
  <c r="H1734" i="18"/>
  <c r="B505" i="17"/>
  <c r="B998" i="18"/>
  <c r="B750" i="17"/>
  <c r="B1243" i="18"/>
  <c r="B995" i="17"/>
  <c r="B1488" i="18"/>
  <c r="B1240" i="17"/>
  <c r="B1733" i="18"/>
  <c r="B502" i="17"/>
  <c r="B995" i="18"/>
  <c r="B747" i="17"/>
  <c r="B1240" i="18"/>
  <c r="B992" i="17"/>
  <c r="B1485" i="18"/>
  <c r="B1237" i="17"/>
  <c r="B1730" i="18"/>
  <c r="E500" i="17"/>
  <c r="H993" i="18"/>
  <c r="E745" i="17"/>
  <c r="H1238" i="18"/>
  <c r="E990" i="17"/>
  <c r="H1483" i="18"/>
  <c r="E1235" i="17"/>
  <c r="H1728" i="18"/>
  <c r="E499" i="17"/>
  <c r="H992" i="18"/>
  <c r="E744" i="17"/>
  <c r="H1237" i="18"/>
  <c r="E989" i="17"/>
  <c r="H1482" i="18"/>
  <c r="E1234" i="17"/>
  <c r="H1727" i="18"/>
  <c r="D495" i="17"/>
  <c r="F988" i="18"/>
  <c r="D740" i="17"/>
  <c r="F1233" i="18"/>
  <c r="D985" i="17"/>
  <c r="F1478" i="18"/>
  <c r="D1230" i="17"/>
  <c r="F1723" i="18"/>
  <c r="F984" i="18"/>
  <c r="D491" i="17"/>
  <c r="D981" i="17"/>
  <c r="F1474" i="18"/>
  <c r="D1226" i="17"/>
  <c r="F1719" i="18"/>
  <c r="D736" i="17"/>
  <c r="F1229" i="18"/>
  <c r="J144" i="6"/>
  <c r="J142" i="6"/>
  <c r="E138" i="5"/>
  <c r="O137" i="5"/>
  <c r="AB138" i="5"/>
  <c r="AL137" i="5"/>
  <c r="O135" i="5"/>
  <c r="E136" i="5"/>
  <c r="AB136" i="5"/>
  <c r="AL135" i="5"/>
  <c r="J135" i="6"/>
  <c r="O134" i="5"/>
  <c r="E135" i="5"/>
  <c r="AL134" i="5"/>
  <c r="AB135" i="5"/>
  <c r="AL129" i="5"/>
  <c r="AB130" i="5"/>
  <c r="E130" i="5"/>
  <c r="O129" i="5"/>
  <c r="J129" i="6"/>
  <c r="AB110" i="5"/>
  <c r="AL109" i="5"/>
  <c r="E110" i="5"/>
  <c r="O109" i="5"/>
  <c r="D1183" i="18"/>
  <c r="C690" i="17"/>
  <c r="C935" i="17"/>
  <c r="D1428" i="18"/>
  <c r="C1180" i="17"/>
  <c r="D1673" i="18"/>
  <c r="C1425" i="17"/>
  <c r="D1918" i="18"/>
  <c r="B1915" i="18"/>
  <c r="B1422" i="17"/>
  <c r="B687" i="17"/>
  <c r="B1180" i="18"/>
  <c r="B932" i="17"/>
  <c r="B1425" i="18"/>
  <c r="B1177" i="17"/>
  <c r="B1670" i="18"/>
  <c r="D1914" i="18"/>
  <c r="C1421" i="17"/>
  <c r="C1176" i="17"/>
  <c r="D1669" i="18"/>
  <c r="D1179" i="18"/>
  <c r="C686" i="17"/>
  <c r="C931" i="17"/>
  <c r="D1424" i="18"/>
  <c r="D670" i="17"/>
  <c r="F1163" i="18"/>
  <c r="D915" i="17"/>
  <c r="F1408" i="18"/>
  <c r="D1160" i="17"/>
  <c r="F1653" i="18"/>
  <c r="D1405" i="17"/>
  <c r="F1898" i="18"/>
  <c r="E669" i="17"/>
  <c r="H1162" i="18"/>
  <c r="E914" i="17"/>
  <c r="H1407" i="18"/>
  <c r="E1159" i="17"/>
  <c r="H1652" i="18"/>
  <c r="E1404" i="17"/>
  <c r="H1897" i="18"/>
  <c r="D668" i="17"/>
  <c r="F1161" i="18"/>
  <c r="D913" i="17"/>
  <c r="F1406" i="18"/>
  <c r="D1158" i="17"/>
  <c r="F1651" i="18"/>
  <c r="D1403" i="17"/>
  <c r="F1896" i="18"/>
  <c r="B667" i="17"/>
  <c r="B1160" i="18"/>
  <c r="B912" i="17"/>
  <c r="B1405" i="18"/>
  <c r="B1157" i="17"/>
  <c r="B1650" i="18"/>
  <c r="B1402" i="17"/>
  <c r="B1895" i="18"/>
  <c r="C661" i="17"/>
  <c r="D1154" i="18"/>
  <c r="C906" i="17"/>
  <c r="D1399" i="18"/>
  <c r="C1151" i="17"/>
  <c r="D1644" i="18"/>
  <c r="C1396" i="17"/>
  <c r="D1889" i="18"/>
  <c r="D660" i="17"/>
  <c r="F1153" i="18"/>
  <c r="D905" i="17"/>
  <c r="F1398" i="18"/>
  <c r="D1150" i="17"/>
  <c r="F1643" i="18"/>
  <c r="D1395" i="17"/>
  <c r="F1888" i="18"/>
  <c r="C659" i="17"/>
  <c r="D1152" i="18"/>
  <c r="C904" i="17"/>
  <c r="D1397" i="18"/>
  <c r="C1149" i="17"/>
  <c r="D1642" i="18"/>
  <c r="C1394" i="17"/>
  <c r="D1887" i="18"/>
  <c r="E658" i="17"/>
  <c r="H1151" i="18"/>
  <c r="E903" i="17"/>
  <c r="H1396" i="18"/>
  <c r="E1148" i="17"/>
  <c r="H1641" i="18"/>
  <c r="E1393" i="17"/>
  <c r="H1886" i="18"/>
  <c r="B655" i="17"/>
  <c r="B1148" i="18"/>
  <c r="B900" i="17"/>
  <c r="B1393" i="18"/>
  <c r="B1145" i="17"/>
  <c r="B1638" i="18"/>
  <c r="B1390" i="17"/>
  <c r="B1883" i="18"/>
  <c r="C654" i="17"/>
  <c r="D1147" i="18"/>
  <c r="C899" i="17"/>
  <c r="D1392" i="18"/>
  <c r="C1144" i="17"/>
  <c r="D1637" i="18"/>
  <c r="C1389" i="17"/>
  <c r="D1882" i="18"/>
  <c r="B653" i="17"/>
  <c r="B1146" i="18"/>
  <c r="B898" i="17"/>
  <c r="B1391" i="18"/>
  <c r="B1143" i="17"/>
  <c r="B1636" i="18"/>
  <c r="B1388" i="17"/>
  <c r="B1881" i="18"/>
  <c r="D652" i="17"/>
  <c r="F1145" i="18"/>
  <c r="D897" i="17"/>
  <c r="F1390" i="18"/>
  <c r="D1142" i="17"/>
  <c r="F1635" i="18"/>
  <c r="D1387" i="17"/>
  <c r="F1880" i="18"/>
  <c r="B651" i="17"/>
  <c r="B1144" i="18"/>
  <c r="B896" i="17"/>
  <c r="B1389" i="18"/>
  <c r="B1141" i="17"/>
  <c r="B1634" i="18"/>
  <c r="B1386" i="17"/>
  <c r="B1879" i="18"/>
  <c r="E650" i="17"/>
  <c r="H1143" i="18"/>
  <c r="E895" i="17"/>
  <c r="H1388" i="18"/>
  <c r="E1140" i="17"/>
  <c r="H1633" i="18"/>
  <c r="E1385" i="17"/>
  <c r="H1878" i="18"/>
  <c r="D646" i="17"/>
  <c r="F1139" i="18"/>
  <c r="D891" i="17"/>
  <c r="F1384" i="18"/>
  <c r="D1136" i="17"/>
  <c r="F1629" i="18"/>
  <c r="D1381" i="17"/>
  <c r="F1874" i="18"/>
  <c r="B645" i="17"/>
  <c r="B1138" i="18"/>
  <c r="B890" i="17"/>
  <c r="B1383" i="18"/>
  <c r="B1135" i="17"/>
  <c r="B1628" i="18"/>
  <c r="B1380" i="17"/>
  <c r="B1873" i="18"/>
  <c r="B643" i="17"/>
  <c r="B1136" i="18"/>
  <c r="B888" i="17"/>
  <c r="B1381" i="18"/>
  <c r="B1133" i="17"/>
  <c r="B1626" i="18"/>
  <c r="B1378" i="17"/>
  <c r="B1871" i="18"/>
  <c r="H1340" i="18"/>
  <c r="E847" i="17"/>
  <c r="H1585" i="18"/>
  <c r="E1092" i="17"/>
  <c r="H1830" i="18"/>
  <c r="E1337" i="17"/>
  <c r="H1095" i="18"/>
  <c r="E602" i="17"/>
  <c r="H1337" i="18"/>
  <c r="E844" i="17"/>
  <c r="H1092" i="18"/>
  <c r="E599" i="17"/>
  <c r="E1089" i="17"/>
  <c r="H1582" i="18"/>
  <c r="E1334" i="17"/>
  <c r="H1827" i="18"/>
  <c r="H1826" i="18"/>
  <c r="E1333" i="17"/>
  <c r="H1091" i="18"/>
  <c r="E598" i="17"/>
  <c r="H1581" i="18"/>
  <c r="E1088" i="17"/>
  <c r="E843" i="17"/>
  <c r="H1336" i="18"/>
  <c r="B1579" i="18"/>
  <c r="B1086" i="17"/>
  <c r="B596" i="17"/>
  <c r="B1089" i="18"/>
  <c r="B841" i="17"/>
  <c r="B1334" i="18"/>
  <c r="B1331" i="17"/>
  <c r="B1824" i="18"/>
  <c r="D1809" i="18"/>
  <c r="C1316" i="17"/>
  <c r="D1564" i="18"/>
  <c r="C1071" i="17"/>
  <c r="C581" i="17"/>
  <c r="D1074" i="18"/>
  <c r="C826" i="17"/>
  <c r="D1319" i="18"/>
  <c r="C575" i="17"/>
  <c r="D1068" i="18"/>
  <c r="C820" i="17"/>
  <c r="D1313" i="18"/>
  <c r="C1065" i="17"/>
  <c r="D1558" i="18"/>
  <c r="C1310" i="17"/>
  <c r="D1803" i="18"/>
  <c r="D569" i="17"/>
  <c r="F1062" i="18"/>
  <c r="D814" i="17"/>
  <c r="F1307" i="18"/>
  <c r="D1059" i="17"/>
  <c r="F1552" i="18"/>
  <c r="D1304" i="17"/>
  <c r="F1797" i="18"/>
  <c r="D497" i="17"/>
  <c r="F990" i="18"/>
  <c r="D742" i="17"/>
  <c r="F1235" i="18"/>
  <c r="D987" i="17"/>
  <c r="F1480" i="18"/>
  <c r="D1232" i="17"/>
  <c r="F1725" i="18"/>
  <c r="AL140" i="5"/>
  <c r="AB141" i="5"/>
  <c r="O140" i="5"/>
  <c r="E141" i="5"/>
  <c r="J139" i="6"/>
  <c r="J118" i="6"/>
  <c r="E114" i="5"/>
  <c r="O113" i="5"/>
  <c r="AB114" i="5"/>
  <c r="AL113" i="5"/>
  <c r="AB106" i="5"/>
  <c r="AL105" i="5"/>
  <c r="E106" i="5"/>
  <c r="O105" i="5"/>
  <c r="D728" i="17"/>
  <c r="F1221" i="18"/>
  <c r="D973" i="17"/>
  <c r="F1466" i="18"/>
  <c r="D1218" i="17"/>
  <c r="F1711" i="18"/>
  <c r="D1463" i="17"/>
  <c r="F1956" i="18"/>
  <c r="D727" i="17"/>
  <c r="F1220" i="18"/>
  <c r="D972" i="17"/>
  <c r="F1465" i="18"/>
  <c r="D1217" i="17"/>
  <c r="F1710" i="18"/>
  <c r="D1462" i="17"/>
  <c r="F1955" i="18"/>
  <c r="E725" i="17"/>
  <c r="H1218" i="18"/>
  <c r="E970" i="17"/>
  <c r="H1463" i="18"/>
  <c r="E1215" i="17"/>
  <c r="H1708" i="18"/>
  <c r="E1460" i="17"/>
  <c r="H1953" i="18"/>
  <c r="B698" i="17"/>
  <c r="B1191" i="18"/>
  <c r="B943" i="17"/>
  <c r="B1436" i="18"/>
  <c r="B1188" i="17"/>
  <c r="B1681" i="18"/>
  <c r="B1433" i="17"/>
  <c r="B1926" i="18"/>
  <c r="D697" i="17"/>
  <c r="F1190" i="18"/>
  <c r="D942" i="17"/>
  <c r="F1435" i="18"/>
  <c r="D1187" i="17"/>
  <c r="F1680" i="18"/>
  <c r="D1432" i="17"/>
  <c r="F1925" i="18"/>
  <c r="E1181" i="17"/>
  <c r="H1674" i="18"/>
  <c r="E1426" i="17"/>
  <c r="H1919" i="18"/>
  <c r="E691" i="17"/>
  <c r="H1184" i="18"/>
  <c r="E936" i="17"/>
  <c r="H1429" i="18"/>
  <c r="D1180" i="18"/>
  <c r="C687" i="17"/>
  <c r="C932" i="17"/>
  <c r="D1425" i="18"/>
  <c r="C1177" i="17"/>
  <c r="D1670" i="18"/>
  <c r="C1422" i="17"/>
  <c r="D1915" i="18"/>
  <c r="E931" i="17"/>
  <c r="H1424" i="18"/>
  <c r="H1914" i="18"/>
  <c r="E1421" i="17"/>
  <c r="E686" i="17"/>
  <c r="H1179" i="18"/>
  <c r="E1176" i="17"/>
  <c r="H1669" i="18"/>
  <c r="B1178" i="18"/>
  <c r="B685" i="17"/>
  <c r="B1175" i="17"/>
  <c r="B1668" i="18"/>
  <c r="B930" i="17"/>
  <c r="B1423" i="18"/>
  <c r="B1420" i="17"/>
  <c r="B1913" i="18"/>
  <c r="E927" i="17"/>
  <c r="H1420" i="18"/>
  <c r="H1175" i="18"/>
  <c r="E682" i="17"/>
  <c r="H1910" i="18"/>
  <c r="E1417" i="17"/>
  <c r="E1172" i="17"/>
  <c r="H1665" i="18"/>
  <c r="E680" i="17"/>
  <c r="H1173" i="18"/>
  <c r="E925" i="17"/>
  <c r="H1418" i="18"/>
  <c r="E1170" i="17"/>
  <c r="H1663" i="18"/>
  <c r="E1415" i="17"/>
  <c r="H1908" i="18"/>
  <c r="B679" i="17"/>
  <c r="B1172" i="18"/>
  <c r="B924" i="17"/>
  <c r="B1417" i="18"/>
  <c r="B1169" i="17"/>
  <c r="B1662" i="18"/>
  <c r="B1414" i="17"/>
  <c r="B1907" i="18"/>
  <c r="B677" i="17"/>
  <c r="B1170" i="18"/>
  <c r="B922" i="17"/>
  <c r="B1415" i="18"/>
  <c r="B1167" i="17"/>
  <c r="B1660" i="18"/>
  <c r="B1412" i="17"/>
  <c r="B1905" i="18"/>
  <c r="E676" i="17"/>
  <c r="H1169" i="18"/>
  <c r="E921" i="17"/>
  <c r="H1414" i="18"/>
  <c r="E1166" i="17"/>
  <c r="H1659" i="18"/>
  <c r="E1411" i="17"/>
  <c r="H1904" i="18"/>
  <c r="E673" i="17"/>
  <c r="H1166" i="18"/>
  <c r="E918" i="17"/>
  <c r="H1411" i="18"/>
  <c r="E1163" i="17"/>
  <c r="H1656" i="18"/>
  <c r="E1408" i="17"/>
  <c r="H1901" i="18"/>
  <c r="D667" i="17"/>
  <c r="F1160" i="18"/>
  <c r="D912" i="17"/>
  <c r="F1405" i="18"/>
  <c r="D1157" i="17"/>
  <c r="F1650" i="18"/>
  <c r="D1402" i="17"/>
  <c r="F1895" i="18"/>
  <c r="C664" i="17"/>
  <c r="D1157" i="18"/>
  <c r="C909" i="17"/>
  <c r="D1402" i="18"/>
  <c r="C1154" i="17"/>
  <c r="D1647" i="18"/>
  <c r="C1399" i="17"/>
  <c r="D1892" i="18"/>
  <c r="C662" i="17"/>
  <c r="D1155" i="18"/>
  <c r="C907" i="17"/>
  <c r="D1400" i="18"/>
  <c r="C1152" i="17"/>
  <c r="D1645" i="18"/>
  <c r="C1397" i="17"/>
  <c r="D1890" i="18"/>
  <c r="D661" i="17"/>
  <c r="F1154" i="18"/>
  <c r="D906" i="17"/>
  <c r="F1399" i="18"/>
  <c r="D1151" i="17"/>
  <c r="F1644" i="18"/>
  <c r="D1396" i="17"/>
  <c r="F1889" i="18"/>
  <c r="B660" i="17"/>
  <c r="B1153" i="18"/>
  <c r="B905" i="17"/>
  <c r="B1398" i="18"/>
  <c r="B1150" i="17"/>
  <c r="B1643" i="18"/>
  <c r="B1395" i="17"/>
  <c r="B1888" i="18"/>
  <c r="B658" i="17"/>
  <c r="B1151" i="18"/>
  <c r="B903" i="17"/>
  <c r="B1396" i="18"/>
  <c r="B1148" i="17"/>
  <c r="B1641" i="18"/>
  <c r="B1393" i="17"/>
  <c r="B1886" i="18"/>
  <c r="C653" i="17"/>
  <c r="D1146" i="18"/>
  <c r="C898" i="17"/>
  <c r="D1391" i="18"/>
  <c r="C1143" i="17"/>
  <c r="D1636" i="18"/>
  <c r="C1388" i="17"/>
  <c r="D1881" i="18"/>
  <c r="E652" i="17"/>
  <c r="H1145" i="18"/>
  <c r="E897" i="17"/>
  <c r="H1390" i="18"/>
  <c r="E1142" i="17"/>
  <c r="H1635" i="18"/>
  <c r="E1387" i="17"/>
  <c r="H1880" i="18"/>
  <c r="C651" i="17"/>
  <c r="D1144" i="18"/>
  <c r="C896" i="17"/>
  <c r="D1389" i="18"/>
  <c r="C1141" i="17"/>
  <c r="D1634" i="18"/>
  <c r="C1386" i="17"/>
  <c r="D1879" i="18"/>
  <c r="B650" i="17"/>
  <c r="B1143" i="18"/>
  <c r="B895" i="17"/>
  <c r="B1388" i="18"/>
  <c r="B1140" i="17"/>
  <c r="B1633" i="18"/>
  <c r="B1385" i="17"/>
  <c r="B1878" i="18"/>
  <c r="D647" i="17"/>
  <c r="F1140" i="18"/>
  <c r="D892" i="17"/>
  <c r="F1385" i="18"/>
  <c r="D1137" i="17"/>
  <c r="F1630" i="18"/>
  <c r="D1382" i="17"/>
  <c r="F1875" i="18"/>
  <c r="D645" i="17"/>
  <c r="F1138" i="18"/>
  <c r="D890" i="17"/>
  <c r="F1383" i="18"/>
  <c r="D1135" i="17"/>
  <c r="F1628" i="18"/>
  <c r="D1380" i="17"/>
  <c r="F1873" i="18"/>
  <c r="E644" i="17"/>
  <c r="H1137" i="18"/>
  <c r="E889" i="17"/>
  <c r="H1382" i="18"/>
  <c r="E1134" i="17"/>
  <c r="H1627" i="18"/>
  <c r="E1379" i="17"/>
  <c r="H1872" i="18"/>
  <c r="D1831" i="18"/>
  <c r="C1338" i="17"/>
  <c r="C603" i="17"/>
  <c r="D1096" i="18"/>
  <c r="C848" i="17"/>
  <c r="D1341" i="18"/>
  <c r="C1093" i="17"/>
  <c r="D1586" i="18"/>
  <c r="C1336" i="17"/>
  <c r="D1829" i="18"/>
  <c r="D1584" i="18"/>
  <c r="C1091" i="17"/>
  <c r="C601" i="17"/>
  <c r="D1094" i="18"/>
  <c r="C846" i="17"/>
  <c r="D1339" i="18"/>
  <c r="B1089" i="17"/>
  <c r="B1582" i="18"/>
  <c r="B599" i="17"/>
  <c r="B1092" i="18"/>
  <c r="B844" i="17"/>
  <c r="B1337" i="18"/>
  <c r="B1334" i="17"/>
  <c r="B1827" i="18"/>
  <c r="E574" i="17"/>
  <c r="H1067" i="18"/>
  <c r="E819" i="17"/>
  <c r="H1312" i="18"/>
  <c r="E1064" i="17"/>
  <c r="H1557" i="18"/>
  <c r="E1309" i="17"/>
  <c r="H1802" i="18"/>
  <c r="C572" i="17"/>
  <c r="D1065" i="18"/>
  <c r="C817" i="17"/>
  <c r="D1310" i="18"/>
  <c r="C1062" i="17"/>
  <c r="D1555" i="18"/>
  <c r="C1307" i="17"/>
  <c r="D1800" i="18"/>
  <c r="D571" i="17"/>
  <c r="F1064" i="18"/>
  <c r="D816" i="17"/>
  <c r="F1309" i="18"/>
  <c r="D1061" i="17"/>
  <c r="F1554" i="18"/>
  <c r="D1306" i="17"/>
  <c r="F1799" i="18"/>
  <c r="D566" i="17"/>
  <c r="F1059" i="18"/>
  <c r="D811" i="17"/>
  <c r="F1304" i="18"/>
  <c r="D1056" i="17"/>
  <c r="F1549" i="18"/>
  <c r="D1301" i="17"/>
  <c r="F1794" i="18"/>
  <c r="E563" i="17"/>
  <c r="H1056" i="18"/>
  <c r="E808" i="17"/>
  <c r="H1301" i="18"/>
  <c r="E1053" i="17"/>
  <c r="H1546" i="18"/>
  <c r="E1298" i="17"/>
  <c r="H1791" i="18"/>
  <c r="B562" i="17"/>
  <c r="B1055" i="18"/>
  <c r="B807" i="17"/>
  <c r="B1300" i="18"/>
  <c r="B1052" i="17"/>
  <c r="B1545" i="18"/>
  <c r="B1297" i="17"/>
  <c r="B1790" i="18"/>
  <c r="E515" i="17"/>
  <c r="H1008" i="18"/>
  <c r="E760" i="17"/>
  <c r="H1253" i="18"/>
  <c r="E1005" i="17"/>
  <c r="H1498" i="18"/>
  <c r="E1250" i="17"/>
  <c r="H1743" i="18"/>
  <c r="C511" i="17"/>
  <c r="D1004" i="18"/>
  <c r="C756" i="17"/>
  <c r="D1249" i="18"/>
  <c r="C1001" i="17"/>
  <c r="D1494" i="18"/>
  <c r="C1246" i="17"/>
  <c r="D1739" i="18"/>
  <c r="E508" i="17"/>
  <c r="H1001" i="18"/>
  <c r="E753" i="17"/>
  <c r="H1246" i="18"/>
  <c r="E998" i="17"/>
  <c r="H1491" i="18"/>
  <c r="E1243" i="17"/>
  <c r="H1736" i="18"/>
  <c r="E501" i="17"/>
  <c r="H994" i="18"/>
  <c r="E746" i="17"/>
  <c r="H1239" i="18"/>
  <c r="E991" i="17"/>
  <c r="H1484" i="18"/>
  <c r="E1236" i="17"/>
  <c r="H1729" i="18"/>
  <c r="B500" i="17"/>
  <c r="B993" i="18"/>
  <c r="B745" i="17"/>
  <c r="B1238" i="18"/>
  <c r="B990" i="17"/>
  <c r="B1483" i="18"/>
  <c r="B1235" i="17"/>
  <c r="B1728" i="18"/>
  <c r="B495" i="17"/>
  <c r="B988" i="18"/>
  <c r="B740" i="17"/>
  <c r="B1233" i="18"/>
  <c r="B985" i="17"/>
  <c r="B1478" i="18"/>
  <c r="B1230" i="17"/>
  <c r="B1723" i="18"/>
  <c r="C739" i="17"/>
  <c r="D1232" i="18"/>
  <c r="C984" i="17"/>
  <c r="D1477" i="18"/>
  <c r="C1229" i="17"/>
  <c r="D1722" i="18"/>
  <c r="C494" i="17"/>
  <c r="D987" i="18"/>
  <c r="C1226" i="17"/>
  <c r="D1719" i="18"/>
  <c r="C491" i="17"/>
  <c r="D984" i="18"/>
  <c r="C736" i="17"/>
  <c r="D1229" i="18"/>
  <c r="C981" i="17"/>
  <c r="D1474" i="18"/>
  <c r="AL124" i="5"/>
  <c r="AB125" i="5"/>
  <c r="E125" i="5"/>
  <c r="O124" i="5"/>
  <c r="E117" i="5"/>
  <c r="O116" i="5"/>
  <c r="AB117" i="5"/>
  <c r="AL116" i="5"/>
  <c r="J116" i="6"/>
  <c r="B730" i="17"/>
  <c r="B1223" i="18"/>
  <c r="B975" i="17"/>
  <c r="B1468" i="18"/>
  <c r="B1220" i="17"/>
  <c r="B1713" i="18"/>
  <c r="B1465" i="17"/>
  <c r="B1958" i="18"/>
  <c r="E729" i="17"/>
  <c r="H1222" i="18"/>
  <c r="E974" i="17"/>
  <c r="H1467" i="18"/>
  <c r="E1219" i="17"/>
  <c r="H1712" i="18"/>
  <c r="E1464" i="17"/>
  <c r="H1957" i="18"/>
  <c r="E728" i="17"/>
  <c r="H1221" i="18"/>
  <c r="E973" i="17"/>
  <c r="H1466" i="18"/>
  <c r="E1218" i="17"/>
  <c r="H1711" i="18"/>
  <c r="E1463" i="17"/>
  <c r="H1956" i="18"/>
  <c r="B727" i="17"/>
  <c r="B1220" i="18"/>
  <c r="B972" i="17"/>
  <c r="B1465" i="18"/>
  <c r="B1217" i="17"/>
  <c r="B1710" i="18"/>
  <c r="B1462" i="17"/>
  <c r="B1955" i="18"/>
  <c r="E726" i="17"/>
  <c r="H1219" i="18"/>
  <c r="E971" i="17"/>
  <c r="H1464" i="18"/>
  <c r="E1216" i="17"/>
  <c r="H1709" i="18"/>
  <c r="E1461" i="17"/>
  <c r="H1954" i="18"/>
  <c r="B725" i="17"/>
  <c r="B1218" i="18"/>
  <c r="B970" i="17"/>
  <c r="B1463" i="18"/>
  <c r="B1215" i="17"/>
  <c r="B1708" i="18"/>
  <c r="B1460" i="17"/>
  <c r="B1953" i="18"/>
  <c r="B724" i="17"/>
  <c r="B1217" i="18"/>
  <c r="B969" i="17"/>
  <c r="B1462" i="18"/>
  <c r="B1214" i="17"/>
  <c r="B1707" i="18"/>
  <c r="B1459" i="17"/>
  <c r="B1952" i="18"/>
  <c r="E937" i="17"/>
  <c r="H1430" i="18"/>
  <c r="E1427" i="17"/>
  <c r="H1920" i="18"/>
  <c r="E692" i="17"/>
  <c r="H1185" i="18"/>
  <c r="E1182" i="17"/>
  <c r="H1675" i="18"/>
  <c r="C691" i="17"/>
  <c r="D1184" i="18"/>
  <c r="C936" i="17"/>
  <c r="D1429" i="18"/>
  <c r="C1181" i="17"/>
  <c r="D1674" i="18"/>
  <c r="C1426" i="17"/>
  <c r="D1919" i="18"/>
  <c r="B689" i="17"/>
  <c r="B1182" i="18"/>
  <c r="B1179" i="17"/>
  <c r="B1672" i="18"/>
  <c r="B1427" i="18"/>
  <c r="B934" i="17"/>
  <c r="B1917" i="18"/>
  <c r="B1424" i="17"/>
  <c r="E1423" i="17"/>
  <c r="H1916" i="18"/>
  <c r="E1178" i="17"/>
  <c r="H1671" i="18"/>
  <c r="H1181" i="18"/>
  <c r="E688" i="17"/>
  <c r="H1426" i="18"/>
  <c r="E933" i="17"/>
  <c r="B929" i="17"/>
  <c r="B1422" i="18"/>
  <c r="B1419" i="17"/>
  <c r="B1912" i="18"/>
  <c r="B1177" i="18"/>
  <c r="B684" i="17"/>
  <c r="B1667" i="18"/>
  <c r="B1174" i="17"/>
  <c r="C1418" i="17"/>
  <c r="D1911" i="18"/>
  <c r="D1176" i="18"/>
  <c r="C683" i="17"/>
  <c r="D1421" i="18"/>
  <c r="C928" i="17"/>
  <c r="D1666" i="18"/>
  <c r="C1173" i="17"/>
  <c r="D682" i="17"/>
  <c r="F1175" i="18"/>
  <c r="D927" i="17"/>
  <c r="F1420" i="18"/>
  <c r="D1417" i="17"/>
  <c r="F1910" i="18"/>
  <c r="F1665" i="18"/>
  <c r="D1172" i="17"/>
  <c r="E1171" i="17"/>
  <c r="H1664" i="18"/>
  <c r="E1416" i="17"/>
  <c r="H1909" i="18"/>
  <c r="E926" i="17"/>
  <c r="H1419" i="18"/>
  <c r="E681" i="17"/>
  <c r="H1174" i="18"/>
  <c r="C680" i="17"/>
  <c r="D1173" i="18"/>
  <c r="C925" i="17"/>
  <c r="D1418" i="18"/>
  <c r="C1170" i="17"/>
  <c r="D1663" i="18"/>
  <c r="C1415" i="17"/>
  <c r="D1908" i="18"/>
  <c r="E679" i="17"/>
  <c r="H1172" i="18"/>
  <c r="E924" i="17"/>
  <c r="H1417" i="18"/>
  <c r="E1169" i="17"/>
  <c r="H1662" i="18"/>
  <c r="E1414" i="17"/>
  <c r="H1907" i="18"/>
  <c r="B678" i="17"/>
  <c r="B1171" i="18"/>
  <c r="B923" i="17"/>
  <c r="B1416" i="18"/>
  <c r="B1168" i="17"/>
  <c r="B1661" i="18"/>
  <c r="B1413" i="17"/>
  <c r="B1906" i="18"/>
  <c r="D676" i="17"/>
  <c r="F1169" i="18"/>
  <c r="D921" i="17"/>
  <c r="F1414" i="18"/>
  <c r="D1166" i="17"/>
  <c r="F1659" i="18"/>
  <c r="D1411" i="17"/>
  <c r="F1904" i="18"/>
  <c r="C671" i="17"/>
  <c r="D1164" i="18"/>
  <c r="C916" i="17"/>
  <c r="D1409" i="18"/>
  <c r="C1161" i="17"/>
  <c r="D1654" i="18"/>
  <c r="C1406" i="17"/>
  <c r="D1899" i="18"/>
  <c r="C669" i="17"/>
  <c r="D1162" i="18"/>
  <c r="C914" i="17"/>
  <c r="D1407" i="18"/>
  <c r="C1159" i="17"/>
  <c r="D1652" i="18"/>
  <c r="C1404" i="17"/>
  <c r="D1897" i="18"/>
  <c r="C667" i="17"/>
  <c r="D1160" i="18"/>
  <c r="C912" i="17"/>
  <c r="D1405" i="18"/>
  <c r="C1157" i="17"/>
  <c r="D1650" i="18"/>
  <c r="C1402" i="17"/>
  <c r="D1895" i="18"/>
  <c r="E665" i="17"/>
  <c r="H1158" i="18"/>
  <c r="E910" i="17"/>
  <c r="H1403" i="18"/>
  <c r="E1155" i="17"/>
  <c r="H1648" i="18"/>
  <c r="E1400" i="17"/>
  <c r="H1893" i="18"/>
  <c r="B664" i="17"/>
  <c r="B1157" i="18"/>
  <c r="B909" i="17"/>
  <c r="B1402" i="18"/>
  <c r="B1154" i="17"/>
  <c r="B1647" i="18"/>
  <c r="B1399" i="17"/>
  <c r="B1892" i="18"/>
  <c r="B659" i="17"/>
  <c r="B1152" i="18"/>
  <c r="B904" i="17"/>
  <c r="B1397" i="18"/>
  <c r="B1149" i="17"/>
  <c r="B1642" i="18"/>
  <c r="B1394" i="17"/>
  <c r="B1887" i="18"/>
  <c r="E656" i="17"/>
  <c r="H1149" i="18"/>
  <c r="E901" i="17"/>
  <c r="H1394" i="18"/>
  <c r="E1146" i="17"/>
  <c r="H1639" i="18"/>
  <c r="E1391" i="17"/>
  <c r="H1884" i="18"/>
  <c r="D654" i="17"/>
  <c r="F1147" i="18"/>
  <c r="D899" i="17"/>
  <c r="F1392" i="18"/>
  <c r="D1144" i="17"/>
  <c r="F1637" i="18"/>
  <c r="D1389" i="17"/>
  <c r="F1882" i="18"/>
  <c r="D653" i="17"/>
  <c r="F1146" i="18"/>
  <c r="D898" i="17"/>
  <c r="F1391" i="18"/>
  <c r="D1143" i="17"/>
  <c r="F1636" i="18"/>
  <c r="D1388" i="17"/>
  <c r="F1881" i="18"/>
  <c r="D651" i="17"/>
  <c r="F1144" i="18"/>
  <c r="D896" i="17"/>
  <c r="F1389" i="18"/>
  <c r="D1141" i="17"/>
  <c r="F1634" i="18"/>
  <c r="D1386" i="17"/>
  <c r="F1879" i="18"/>
  <c r="C650" i="17"/>
  <c r="D1143" i="18"/>
  <c r="C895" i="17"/>
  <c r="D1388" i="18"/>
  <c r="C1140" i="17"/>
  <c r="D1633" i="18"/>
  <c r="C1385" i="17"/>
  <c r="D1878" i="18"/>
  <c r="B648" i="17"/>
  <c r="B1141" i="18"/>
  <c r="B893" i="17"/>
  <c r="B1386" i="18"/>
  <c r="B1138" i="17"/>
  <c r="B1631" i="18"/>
  <c r="B1383" i="17"/>
  <c r="B1876" i="18"/>
  <c r="D644" i="17"/>
  <c r="F1137" i="18"/>
  <c r="D889" i="17"/>
  <c r="F1382" i="18"/>
  <c r="D1134" i="17"/>
  <c r="F1627" i="18"/>
  <c r="D1379" i="17"/>
  <c r="F1872" i="18"/>
  <c r="E643" i="17"/>
  <c r="H1136" i="18"/>
  <c r="E888" i="17"/>
  <c r="H1381" i="18"/>
  <c r="E1133" i="17"/>
  <c r="H1626" i="18"/>
  <c r="E1378" i="17"/>
  <c r="H1871" i="18"/>
  <c r="C642" i="17"/>
  <c r="D1135" i="18"/>
  <c r="C887" i="17"/>
  <c r="D1380" i="18"/>
  <c r="C1132" i="17"/>
  <c r="D1625" i="18"/>
  <c r="C1377" i="17"/>
  <c r="D1870" i="18"/>
  <c r="C1092" i="17"/>
  <c r="D1585" i="18"/>
  <c r="C1337" i="17"/>
  <c r="D1830" i="18"/>
  <c r="D1095" i="18"/>
  <c r="C602" i="17"/>
  <c r="D1340" i="18"/>
  <c r="C847" i="17"/>
  <c r="D1086" i="17"/>
  <c r="F1579" i="18"/>
  <c r="F1089" i="18"/>
  <c r="D596" i="17"/>
  <c r="F1334" i="18"/>
  <c r="D841" i="17"/>
  <c r="D1331" i="17"/>
  <c r="F1824" i="18"/>
  <c r="H1086" i="18"/>
  <c r="E593" i="17"/>
  <c r="E838" i="17"/>
  <c r="H1331" i="18"/>
  <c r="H1821" i="18"/>
  <c r="E1328" i="17"/>
  <c r="E1083" i="17"/>
  <c r="H1576" i="18"/>
  <c r="F1569" i="18"/>
  <c r="D1076" i="17"/>
  <c r="F1814" i="18"/>
  <c r="D1321" i="17"/>
  <c r="D586" i="17"/>
  <c r="F1079" i="18"/>
  <c r="D831" i="17"/>
  <c r="F1324" i="18"/>
  <c r="H1812" i="18"/>
  <c r="E1319" i="17"/>
  <c r="H1567" i="18"/>
  <c r="E1074" i="17"/>
  <c r="E584" i="17"/>
  <c r="H1077" i="18"/>
  <c r="E829" i="17"/>
  <c r="H1322" i="18"/>
  <c r="C1070" i="17"/>
  <c r="D1563" i="18"/>
  <c r="D1808" i="18"/>
  <c r="C1315" i="17"/>
  <c r="C580" i="17"/>
  <c r="D1073" i="18"/>
  <c r="C825" i="17"/>
  <c r="D1318" i="18"/>
  <c r="E578" i="17"/>
  <c r="H1071" i="18"/>
  <c r="E823" i="17"/>
  <c r="H1316" i="18"/>
  <c r="E1068" i="17"/>
  <c r="H1561" i="18"/>
  <c r="E1313" i="17"/>
  <c r="H1806" i="18"/>
  <c r="C577" i="17"/>
  <c r="D1070" i="18"/>
  <c r="C822" i="17"/>
  <c r="D1315" i="18"/>
  <c r="C1067" i="17"/>
  <c r="D1560" i="18"/>
  <c r="C1312" i="17"/>
  <c r="D1805" i="18"/>
  <c r="B576" i="17"/>
  <c r="B1069" i="18"/>
  <c r="B821" i="17"/>
  <c r="B1314" i="18"/>
  <c r="B1066" i="17"/>
  <c r="B1559" i="18"/>
  <c r="B1311" i="17"/>
  <c r="B1804" i="18"/>
  <c r="B569" i="17"/>
  <c r="B1062" i="18"/>
  <c r="B814" i="17"/>
  <c r="B1307" i="18"/>
  <c r="B1059" i="17"/>
  <c r="B1552" i="18"/>
  <c r="B1304" i="17"/>
  <c r="B1797" i="18"/>
  <c r="E565" i="17"/>
  <c r="H1058" i="18"/>
  <c r="E810" i="17"/>
  <c r="H1303" i="18"/>
  <c r="E1055" i="17"/>
  <c r="H1548" i="18"/>
  <c r="E1300" i="17"/>
  <c r="H1793" i="18"/>
  <c r="D513" i="17"/>
  <c r="F1006" i="18"/>
  <c r="D758" i="17"/>
  <c r="F1251" i="18"/>
  <c r="D1003" i="17"/>
  <c r="F1496" i="18"/>
  <c r="D1248" i="17"/>
  <c r="F1741" i="18"/>
  <c r="E511" i="17"/>
  <c r="H1004" i="18"/>
  <c r="E756" i="17"/>
  <c r="H1249" i="18"/>
  <c r="E1001" i="17"/>
  <c r="H1494" i="18"/>
  <c r="E1246" i="17"/>
  <c r="H1739" i="18"/>
  <c r="D509" i="17"/>
  <c r="F1002" i="18"/>
  <c r="D754" i="17"/>
  <c r="F1247" i="18"/>
  <c r="D999" i="17"/>
  <c r="F1492" i="18"/>
  <c r="D1244" i="17"/>
  <c r="F1737" i="18"/>
  <c r="B507" i="17"/>
  <c r="B1000" i="18"/>
  <c r="B752" i="17"/>
  <c r="B1245" i="18"/>
  <c r="B997" i="17"/>
  <c r="B1490" i="18"/>
  <c r="B1242" i="17"/>
  <c r="B1735" i="18"/>
  <c r="D502" i="17"/>
  <c r="F995" i="18"/>
  <c r="D747" i="17"/>
  <c r="F1240" i="18"/>
  <c r="D992" i="17"/>
  <c r="F1485" i="18"/>
  <c r="D1237" i="17"/>
  <c r="F1730" i="18"/>
  <c r="E498" i="17"/>
  <c r="H991" i="18"/>
  <c r="E743" i="17"/>
  <c r="H1236" i="18"/>
  <c r="E988" i="17"/>
  <c r="H1481" i="18"/>
  <c r="E1233" i="17"/>
  <c r="H1726" i="18"/>
  <c r="E497" i="17"/>
  <c r="H990" i="18"/>
  <c r="E742" i="17"/>
  <c r="H1235" i="18"/>
  <c r="E987" i="17"/>
  <c r="H1480" i="18"/>
  <c r="E1232" i="17"/>
  <c r="H1725" i="18"/>
  <c r="E495" i="17"/>
  <c r="H988" i="18"/>
  <c r="E740" i="17"/>
  <c r="H1233" i="18"/>
  <c r="E985" i="17"/>
  <c r="H1478" i="18"/>
  <c r="E1230" i="17"/>
  <c r="H1723" i="18"/>
  <c r="B494" i="17"/>
  <c r="B987" i="18"/>
  <c r="B739" i="17"/>
  <c r="B1232" i="18"/>
  <c r="B984" i="17"/>
  <c r="B1477" i="18"/>
  <c r="B1229" i="17"/>
  <c r="B1722" i="18"/>
  <c r="F1228" i="18"/>
  <c r="D735" i="17"/>
  <c r="D490" i="17"/>
  <c r="F983" i="18"/>
  <c r="D1225" i="17"/>
  <c r="F1718" i="18"/>
  <c r="D980" i="17"/>
  <c r="F1473" i="18"/>
  <c r="J136" i="6"/>
  <c r="O133" i="5"/>
  <c r="E134" i="5"/>
  <c r="AB134" i="5"/>
  <c r="AL133" i="5"/>
  <c r="J131" i="6"/>
  <c r="J130" i="6"/>
  <c r="J112" i="6"/>
  <c r="J107" i="6"/>
  <c r="J104" i="6"/>
  <c r="J103" i="6"/>
  <c r="AL98" i="5"/>
  <c r="AB99" i="5"/>
  <c r="E99" i="5"/>
  <c r="O98" i="5"/>
  <c r="J98" i="6"/>
  <c r="AL97" i="5"/>
  <c r="AB98" i="5"/>
  <c r="O97" i="5"/>
  <c r="E98" i="5"/>
  <c r="O96" i="5"/>
  <c r="E97" i="5"/>
  <c r="AB97" i="5"/>
  <c r="AL96" i="5"/>
  <c r="C730" i="17"/>
  <c r="D1223" i="18"/>
  <c r="C975" i="17"/>
  <c r="D1468" i="18"/>
  <c r="C1220" i="17"/>
  <c r="D1713" i="18"/>
  <c r="C1465" i="17"/>
  <c r="D1958" i="18"/>
  <c r="C729" i="17"/>
  <c r="D1222" i="18"/>
  <c r="C974" i="17"/>
  <c r="D1467" i="18"/>
  <c r="C1219" i="17"/>
  <c r="D1712" i="18"/>
  <c r="C1464" i="17"/>
  <c r="D1957" i="18"/>
  <c r="C728" i="17"/>
  <c r="D1221" i="18"/>
  <c r="C973" i="17"/>
  <c r="D1466" i="18"/>
  <c r="C1218" i="17"/>
  <c r="D1711" i="18"/>
  <c r="C1463" i="17"/>
  <c r="D1956" i="18"/>
  <c r="C724" i="17"/>
  <c r="D1217" i="18"/>
  <c r="C969" i="17"/>
  <c r="D1462" i="18"/>
  <c r="C1214" i="17"/>
  <c r="D1707" i="18"/>
  <c r="C1459" i="17"/>
  <c r="D1952" i="18"/>
  <c r="C696" i="17"/>
  <c r="D1189" i="18"/>
  <c r="C941" i="17"/>
  <c r="D1434" i="18"/>
  <c r="C1186" i="17"/>
  <c r="D1679" i="18"/>
  <c r="C1431" i="17"/>
  <c r="D1924" i="18"/>
  <c r="B1184" i="17"/>
  <c r="B1677" i="18"/>
  <c r="B694" i="17"/>
  <c r="B1187" i="18"/>
  <c r="B939" i="17"/>
  <c r="B1432" i="18"/>
  <c r="B1429" i="17"/>
  <c r="B1922" i="18"/>
  <c r="D692" i="17"/>
  <c r="F1185" i="18"/>
  <c r="D937" i="17"/>
  <c r="F1430" i="18"/>
  <c r="D1182" i="17"/>
  <c r="F1675" i="18"/>
  <c r="D1427" i="17"/>
  <c r="F1920" i="18"/>
  <c r="E935" i="17"/>
  <c r="H1428" i="18"/>
  <c r="E1180" i="17"/>
  <c r="H1673" i="18"/>
  <c r="E1425" i="17"/>
  <c r="H1918" i="18"/>
  <c r="E690" i="17"/>
  <c r="H1183" i="18"/>
  <c r="D689" i="17"/>
  <c r="F1182" i="18"/>
  <c r="D1179" i="17"/>
  <c r="F1672" i="18"/>
  <c r="D1424" i="17"/>
  <c r="F1917" i="18"/>
  <c r="F1427" i="18"/>
  <c r="D934" i="17"/>
  <c r="D683" i="17"/>
  <c r="F1176" i="18"/>
  <c r="D1173" i="17"/>
  <c r="F1666" i="18"/>
  <c r="D928" i="17"/>
  <c r="F1421" i="18"/>
  <c r="F1911" i="18"/>
  <c r="D1418" i="17"/>
  <c r="B682" i="17"/>
  <c r="B1175" i="18"/>
  <c r="B927" i="17"/>
  <c r="B1420" i="18"/>
  <c r="B1665" i="18"/>
  <c r="B1172" i="17"/>
  <c r="B1910" i="18"/>
  <c r="B1417" i="17"/>
  <c r="D678" i="17"/>
  <c r="F1171" i="18"/>
  <c r="D923" i="17"/>
  <c r="F1416" i="18"/>
  <c r="D1168" i="17"/>
  <c r="F1661" i="18"/>
  <c r="D1413" i="17"/>
  <c r="F1906" i="18"/>
  <c r="B676" i="17"/>
  <c r="B1169" i="18"/>
  <c r="B921" i="17"/>
  <c r="B1414" i="18"/>
  <c r="B1166" i="17"/>
  <c r="B1659" i="18"/>
  <c r="B1411" i="17"/>
  <c r="B1904" i="18"/>
  <c r="C675" i="17"/>
  <c r="D1168" i="18"/>
  <c r="C920" i="17"/>
  <c r="D1413" i="18"/>
  <c r="C1165" i="17"/>
  <c r="D1658" i="18"/>
  <c r="C1410" i="17"/>
  <c r="D1903" i="18"/>
  <c r="E672" i="17"/>
  <c r="H1165" i="18"/>
  <c r="E917" i="17"/>
  <c r="H1410" i="18"/>
  <c r="E1162" i="17"/>
  <c r="H1655" i="18"/>
  <c r="E1407" i="17"/>
  <c r="H1900" i="18"/>
  <c r="B671" i="17"/>
  <c r="B1164" i="18"/>
  <c r="B916" i="17"/>
  <c r="B1409" i="18"/>
  <c r="B1161" i="17"/>
  <c r="B1654" i="18"/>
  <c r="B1406" i="17"/>
  <c r="B1899" i="18"/>
  <c r="E670" i="17"/>
  <c r="H1163" i="18"/>
  <c r="E915" i="17"/>
  <c r="H1408" i="18"/>
  <c r="E1160" i="17"/>
  <c r="H1653" i="18"/>
  <c r="E1405" i="17"/>
  <c r="H1898" i="18"/>
  <c r="D669" i="17"/>
  <c r="F1162" i="18"/>
  <c r="D914" i="17"/>
  <c r="F1407" i="18"/>
  <c r="D1159" i="17"/>
  <c r="F1652" i="18"/>
  <c r="D1404" i="17"/>
  <c r="F1897" i="18"/>
  <c r="E668" i="17"/>
  <c r="H1161" i="18"/>
  <c r="E913" i="17"/>
  <c r="H1406" i="18"/>
  <c r="E1158" i="17"/>
  <c r="H1651" i="18"/>
  <c r="E1403" i="17"/>
  <c r="H1896" i="18"/>
  <c r="E666" i="17"/>
  <c r="H1159" i="18"/>
  <c r="E911" i="17"/>
  <c r="H1404" i="18"/>
  <c r="E1156" i="17"/>
  <c r="H1649" i="18"/>
  <c r="E1401" i="17"/>
  <c r="H1894" i="18"/>
  <c r="B662" i="17"/>
  <c r="B1155" i="18"/>
  <c r="B907" i="17"/>
  <c r="B1400" i="18"/>
  <c r="B1152" i="17"/>
  <c r="B1645" i="18"/>
  <c r="B1397" i="17"/>
  <c r="B1890" i="18"/>
  <c r="C652" i="17"/>
  <c r="D1145" i="18"/>
  <c r="C897" i="17"/>
  <c r="D1390" i="18"/>
  <c r="C1142" i="17"/>
  <c r="D1635" i="18"/>
  <c r="C1387" i="17"/>
  <c r="D1880" i="18"/>
  <c r="E651" i="17"/>
  <c r="H1144" i="18"/>
  <c r="E896" i="17"/>
  <c r="H1389" i="18"/>
  <c r="E1141" i="17"/>
  <c r="H1634" i="18"/>
  <c r="E1386" i="17"/>
  <c r="H1879" i="18"/>
  <c r="E649" i="17"/>
  <c r="H1142" i="18"/>
  <c r="E894" i="17"/>
  <c r="H1387" i="18"/>
  <c r="E1139" i="17"/>
  <c r="H1632" i="18"/>
  <c r="E1384" i="17"/>
  <c r="H1877" i="18"/>
  <c r="C648" i="17"/>
  <c r="D1141" i="18"/>
  <c r="C893" i="17"/>
  <c r="D1386" i="18"/>
  <c r="C1138" i="17"/>
  <c r="D1631" i="18"/>
  <c r="C1383" i="17"/>
  <c r="D1876" i="18"/>
  <c r="E646" i="17"/>
  <c r="H1139" i="18"/>
  <c r="E891" i="17"/>
  <c r="H1384" i="18"/>
  <c r="E1136" i="17"/>
  <c r="H1629" i="18"/>
  <c r="E1381" i="17"/>
  <c r="H1874" i="18"/>
  <c r="C644" i="17"/>
  <c r="D1137" i="18"/>
  <c r="C889" i="17"/>
  <c r="D1382" i="18"/>
  <c r="C1134" i="17"/>
  <c r="D1627" i="18"/>
  <c r="C1379" i="17"/>
  <c r="D1872" i="18"/>
  <c r="E642" i="17"/>
  <c r="H1135" i="18"/>
  <c r="E887" i="17"/>
  <c r="H1380" i="18"/>
  <c r="E1132" i="17"/>
  <c r="H1625" i="18"/>
  <c r="E1377" i="17"/>
  <c r="H1870" i="18"/>
  <c r="E1338" i="17"/>
  <c r="H1831" i="18"/>
  <c r="E1093" i="17"/>
  <c r="H1586" i="18"/>
  <c r="H1096" i="18"/>
  <c r="E603" i="17"/>
  <c r="H1341" i="18"/>
  <c r="E848" i="17"/>
  <c r="E600" i="17"/>
  <c r="H1093" i="18"/>
  <c r="H1338" i="18"/>
  <c r="E845" i="17"/>
  <c r="H1583" i="18"/>
  <c r="E1090" i="17"/>
  <c r="H1828" i="18"/>
  <c r="E1335" i="17"/>
  <c r="D1332" i="17"/>
  <c r="F1825" i="18"/>
  <c r="D842" i="17"/>
  <c r="F1335" i="18"/>
  <c r="F1090" i="18"/>
  <c r="D597" i="17"/>
  <c r="F1580" i="18"/>
  <c r="D1087" i="17"/>
  <c r="B1822" i="18"/>
  <c r="B1329" i="17"/>
  <c r="B1087" i="18"/>
  <c r="B594" i="17"/>
  <c r="B1332" i="18"/>
  <c r="B839" i="17"/>
  <c r="B1577" i="18"/>
  <c r="B1084" i="17"/>
  <c r="B1086" i="18"/>
  <c r="B593" i="17"/>
  <c r="B1328" i="17"/>
  <c r="B1821" i="18"/>
  <c r="B1331" i="18"/>
  <c r="B838" i="17"/>
  <c r="B1576" i="18"/>
  <c r="B1083" i="17"/>
  <c r="D1327" i="17"/>
  <c r="F1820" i="18"/>
  <c r="F1085" i="18"/>
  <c r="D592" i="17"/>
  <c r="D837" i="17"/>
  <c r="F1330" i="18"/>
  <c r="F1575" i="18"/>
  <c r="D1082" i="17"/>
  <c r="B833" i="17"/>
  <c r="B1326" i="18"/>
  <c r="B1078" i="17"/>
  <c r="B1571" i="18"/>
  <c r="B588" i="17"/>
  <c r="B1081" i="18"/>
  <c r="B1816" i="18"/>
  <c r="B1323" i="17"/>
  <c r="D1077" i="17"/>
  <c r="F1570" i="18"/>
  <c r="F1080" i="18"/>
  <c r="D587" i="17"/>
  <c r="D1322" i="17"/>
  <c r="F1815" i="18"/>
  <c r="D832" i="17"/>
  <c r="F1325" i="18"/>
  <c r="C584" i="17"/>
  <c r="D1077" i="18"/>
  <c r="C829" i="17"/>
  <c r="D1322" i="18"/>
  <c r="C1074" i="17"/>
  <c r="D1567" i="18"/>
  <c r="C1319" i="17"/>
  <c r="D1812" i="18"/>
  <c r="E1317" i="17"/>
  <c r="H1810" i="18"/>
  <c r="E1072" i="17"/>
  <c r="H1565" i="18"/>
  <c r="E582" i="17"/>
  <c r="H1075" i="18"/>
  <c r="E827" i="17"/>
  <c r="H1320" i="18"/>
  <c r="E1316" i="17"/>
  <c r="H1809" i="18"/>
  <c r="H1564" i="18"/>
  <c r="E1071" i="17"/>
  <c r="H1074" i="18"/>
  <c r="E581" i="17"/>
  <c r="E826" i="17"/>
  <c r="H1319" i="18"/>
  <c r="D577" i="17"/>
  <c r="F1070" i="18"/>
  <c r="D822" i="17"/>
  <c r="F1315" i="18"/>
  <c r="D1067" i="17"/>
  <c r="F1560" i="18"/>
  <c r="D1312" i="17"/>
  <c r="F1805" i="18"/>
  <c r="C570" i="17"/>
  <c r="D1063" i="18"/>
  <c r="C815" i="17"/>
  <c r="D1308" i="18"/>
  <c r="C1060" i="17"/>
  <c r="D1553" i="18"/>
  <c r="C1305" i="17"/>
  <c r="D1798" i="18"/>
  <c r="E568" i="17"/>
  <c r="H1061" i="18"/>
  <c r="E813" i="17"/>
  <c r="H1306" i="18"/>
  <c r="E1058" i="17"/>
  <c r="H1551" i="18"/>
  <c r="E1303" i="17"/>
  <c r="H1796" i="18"/>
  <c r="E562" i="17"/>
  <c r="H1055" i="18"/>
  <c r="E807" i="17"/>
  <c r="H1300" i="18"/>
  <c r="E1052" i="17"/>
  <c r="H1545" i="18"/>
  <c r="E1297" i="17"/>
  <c r="H1790" i="18"/>
  <c r="C515" i="17"/>
  <c r="D1008" i="18"/>
  <c r="C760" i="17"/>
  <c r="D1253" i="18"/>
  <c r="C1005" i="17"/>
  <c r="D1498" i="18"/>
  <c r="C1250" i="17"/>
  <c r="D1743" i="18"/>
  <c r="D514" i="17"/>
  <c r="F1007" i="18"/>
  <c r="D759" i="17"/>
  <c r="F1252" i="18"/>
  <c r="D1004" i="17"/>
  <c r="F1497" i="18"/>
  <c r="D1249" i="17"/>
  <c r="F1742" i="18"/>
  <c r="D510" i="17"/>
  <c r="F1003" i="18"/>
  <c r="D755" i="17"/>
  <c r="F1248" i="18"/>
  <c r="D1000" i="17"/>
  <c r="F1493" i="18"/>
  <c r="D1245" i="17"/>
  <c r="F1738" i="18"/>
  <c r="C509" i="17"/>
  <c r="D1002" i="18"/>
  <c r="C754" i="17"/>
  <c r="D1247" i="18"/>
  <c r="C999" i="17"/>
  <c r="D1492" i="18"/>
  <c r="C1244" i="17"/>
  <c r="D1737" i="18"/>
  <c r="E504" i="17"/>
  <c r="H997" i="18"/>
  <c r="E749" i="17"/>
  <c r="H1242" i="18"/>
  <c r="E994" i="17"/>
  <c r="H1487" i="18"/>
  <c r="E1239" i="17"/>
  <c r="H1732" i="18"/>
  <c r="C502" i="17"/>
  <c r="D995" i="18"/>
  <c r="C747" i="17"/>
  <c r="D1240" i="18"/>
  <c r="C992" i="17"/>
  <c r="D1485" i="18"/>
  <c r="C1237" i="17"/>
  <c r="D1730" i="18"/>
  <c r="D500" i="17"/>
  <c r="F993" i="18"/>
  <c r="D745" i="17"/>
  <c r="F1238" i="18"/>
  <c r="D990" i="17"/>
  <c r="F1483" i="18"/>
  <c r="D1235" i="17"/>
  <c r="F1728" i="18"/>
  <c r="D498" i="17"/>
  <c r="F991" i="18"/>
  <c r="D743" i="17"/>
  <c r="F1236" i="18"/>
  <c r="D988" i="17"/>
  <c r="F1481" i="18"/>
  <c r="D1233" i="17"/>
  <c r="F1726" i="18"/>
  <c r="D496" i="17"/>
  <c r="F989" i="18"/>
  <c r="D741" i="17"/>
  <c r="F1234" i="18"/>
  <c r="D986" i="17"/>
  <c r="F1479" i="18"/>
  <c r="D1231" i="17"/>
  <c r="F1724" i="18"/>
  <c r="E492" i="17"/>
  <c r="H985" i="18"/>
  <c r="E982" i="17"/>
  <c r="H1475" i="18"/>
  <c r="H1720" i="18"/>
  <c r="E1227" i="17"/>
  <c r="E737" i="17"/>
  <c r="H1230" i="18"/>
  <c r="J122" i="6"/>
  <c r="J110" i="6"/>
  <c r="D730" i="17"/>
  <c r="F1223" i="18"/>
  <c r="D975" i="17"/>
  <c r="F1468" i="18"/>
  <c r="D1220" i="17"/>
  <c r="F1713" i="18"/>
  <c r="D1465" i="17"/>
  <c r="F1958" i="18"/>
  <c r="E727" i="17"/>
  <c r="H1220" i="18"/>
  <c r="E972" i="17"/>
  <c r="H1465" i="18"/>
  <c r="E1217" i="17"/>
  <c r="H1710" i="18"/>
  <c r="E1462" i="17"/>
  <c r="H1955" i="18"/>
  <c r="C725" i="17"/>
  <c r="D1218" i="18"/>
  <c r="C970" i="17"/>
  <c r="D1463" i="18"/>
  <c r="C1215" i="17"/>
  <c r="D1708" i="18"/>
  <c r="C1460" i="17"/>
  <c r="D1953" i="18"/>
  <c r="D724" i="17"/>
  <c r="F1217" i="18"/>
  <c r="D969" i="17"/>
  <c r="F1462" i="18"/>
  <c r="D1214" i="17"/>
  <c r="F1707" i="18"/>
  <c r="D1459" i="17"/>
  <c r="F1952" i="18"/>
  <c r="B693" i="17"/>
  <c r="B1186" i="18"/>
  <c r="B1183" i="17"/>
  <c r="B1676" i="18"/>
  <c r="B1428" i="17"/>
  <c r="B1921" i="18"/>
  <c r="B938" i="17"/>
  <c r="B1431" i="18"/>
  <c r="B688" i="17"/>
  <c r="B1181" i="18"/>
  <c r="B933" i="17"/>
  <c r="B1426" i="18"/>
  <c r="B1178" i="17"/>
  <c r="B1671" i="18"/>
  <c r="B1916" i="18"/>
  <c r="B1423" i="17"/>
  <c r="E687" i="17"/>
  <c r="H1180" i="18"/>
  <c r="E1177" i="17"/>
  <c r="H1670" i="18"/>
  <c r="H1425" i="18"/>
  <c r="E932" i="17"/>
  <c r="H1915" i="18"/>
  <c r="E1422" i="17"/>
  <c r="D1175" i="17"/>
  <c r="F1668" i="18"/>
  <c r="F1178" i="18"/>
  <c r="D685" i="17"/>
  <c r="D930" i="17"/>
  <c r="F1423" i="18"/>
  <c r="F1913" i="18"/>
  <c r="D1420" i="17"/>
  <c r="C684" i="17"/>
  <c r="D1177" i="18"/>
  <c r="C1174" i="17"/>
  <c r="D1667" i="18"/>
  <c r="C929" i="17"/>
  <c r="D1422" i="18"/>
  <c r="D1912" i="18"/>
  <c r="C1419" i="17"/>
  <c r="B683" i="17"/>
  <c r="B1176" i="18"/>
  <c r="B1173" i="17"/>
  <c r="B1666" i="18"/>
  <c r="B928" i="17"/>
  <c r="B1421" i="18"/>
  <c r="B1911" i="18"/>
  <c r="B1418" i="17"/>
  <c r="D677" i="17"/>
  <c r="F1170" i="18"/>
  <c r="D922" i="17"/>
  <c r="F1415" i="18"/>
  <c r="D1167" i="17"/>
  <c r="F1660" i="18"/>
  <c r="D1412" i="17"/>
  <c r="F1905" i="18"/>
  <c r="D675" i="17"/>
  <c r="F1168" i="18"/>
  <c r="D920" i="17"/>
  <c r="F1413" i="18"/>
  <c r="D1165" i="17"/>
  <c r="F1658" i="18"/>
  <c r="D1410" i="17"/>
  <c r="F1903" i="18"/>
  <c r="B674" i="17"/>
  <c r="B1167" i="18"/>
  <c r="B919" i="17"/>
  <c r="B1412" i="18"/>
  <c r="B1164" i="17"/>
  <c r="B1657" i="18"/>
  <c r="B1409" i="17"/>
  <c r="B1902" i="18"/>
  <c r="D673" i="17"/>
  <c r="F1166" i="18"/>
  <c r="D918" i="17"/>
  <c r="F1411" i="18"/>
  <c r="D1163" i="17"/>
  <c r="F1656" i="18"/>
  <c r="D1408" i="17"/>
  <c r="F1901" i="18"/>
  <c r="D671" i="17"/>
  <c r="F1164" i="18"/>
  <c r="D916" i="17"/>
  <c r="F1409" i="18"/>
  <c r="D1161" i="17"/>
  <c r="F1654" i="18"/>
  <c r="D1406" i="17"/>
  <c r="F1899" i="18"/>
  <c r="E667" i="17"/>
  <c r="H1160" i="18"/>
  <c r="E912" i="17"/>
  <c r="H1405" i="18"/>
  <c r="E1157" i="17"/>
  <c r="H1650" i="18"/>
  <c r="E1402" i="17"/>
  <c r="H1895" i="18"/>
  <c r="C665" i="17"/>
  <c r="D1158" i="18"/>
  <c r="C910" i="17"/>
  <c r="D1403" i="18"/>
  <c r="C1155" i="17"/>
  <c r="D1648" i="18"/>
  <c r="C1400" i="17"/>
  <c r="D1893" i="18"/>
  <c r="D664" i="17"/>
  <c r="F1157" i="18"/>
  <c r="D909" i="17"/>
  <c r="F1402" i="18"/>
  <c r="D1154" i="17"/>
  <c r="F1647" i="18"/>
  <c r="D1399" i="17"/>
  <c r="F1892" i="18"/>
  <c r="B657" i="17"/>
  <c r="B1150" i="18"/>
  <c r="B902" i="17"/>
  <c r="B1395" i="18"/>
  <c r="B1147" i="17"/>
  <c r="B1640" i="18"/>
  <c r="B1392" i="17"/>
  <c r="B1885" i="18"/>
  <c r="C645" i="17"/>
  <c r="D1138" i="18"/>
  <c r="C890" i="17"/>
  <c r="D1383" i="18"/>
  <c r="C1135" i="17"/>
  <c r="D1628" i="18"/>
  <c r="C1380" i="17"/>
  <c r="D1873" i="18"/>
  <c r="E841" i="17"/>
  <c r="H1334" i="18"/>
  <c r="H1824" i="18"/>
  <c r="E1331" i="17"/>
  <c r="H1089" i="18"/>
  <c r="E596" i="17"/>
  <c r="H1579" i="18"/>
  <c r="E1086" i="17"/>
  <c r="B1330" i="17"/>
  <c r="B1823" i="18"/>
  <c r="B840" i="17"/>
  <c r="B1333" i="18"/>
  <c r="B1088" i="18"/>
  <c r="B595" i="17"/>
  <c r="B1578" i="18"/>
  <c r="B1085" i="17"/>
  <c r="B592" i="17"/>
  <c r="B1085" i="18"/>
  <c r="B837" i="17"/>
  <c r="B1330" i="18"/>
  <c r="B1820" i="18"/>
  <c r="B1327" i="17"/>
  <c r="B1575" i="18"/>
  <c r="B1082" i="17"/>
  <c r="B1326" i="17"/>
  <c r="B1819" i="18"/>
  <c r="B1084" i="18"/>
  <c r="B591" i="17"/>
  <c r="B1329" i="18"/>
  <c r="B836" i="17"/>
  <c r="B1574" i="18"/>
  <c r="B1081" i="17"/>
  <c r="D1079" i="17"/>
  <c r="F1572" i="18"/>
  <c r="D589" i="17"/>
  <c r="F1082" i="18"/>
  <c r="F1817" i="18"/>
  <c r="D1324" i="17"/>
  <c r="F1327" i="18"/>
  <c r="D834" i="17"/>
  <c r="D829" i="17"/>
  <c r="F1322" i="18"/>
  <c r="D1319" i="17"/>
  <c r="F1812" i="18"/>
  <c r="F1077" i="18"/>
  <c r="D584" i="17"/>
  <c r="F1567" i="18"/>
  <c r="D1074" i="17"/>
  <c r="E579" i="17"/>
  <c r="H1072" i="18"/>
  <c r="E824" i="17"/>
  <c r="H1317" i="18"/>
  <c r="E1069" i="17"/>
  <c r="H1562" i="18"/>
  <c r="E1314" i="17"/>
  <c r="H1807" i="18"/>
  <c r="B575" i="17"/>
  <c r="B1068" i="18"/>
  <c r="B820" i="17"/>
  <c r="B1313" i="18"/>
  <c r="B1065" i="17"/>
  <c r="B1558" i="18"/>
  <c r="B1310" i="17"/>
  <c r="B1803" i="18"/>
  <c r="D574" i="17"/>
  <c r="F1067" i="18"/>
  <c r="D819" i="17"/>
  <c r="F1312" i="18"/>
  <c r="D1064" i="17"/>
  <c r="F1557" i="18"/>
  <c r="D1309" i="17"/>
  <c r="F1802" i="18"/>
  <c r="C573" i="17"/>
  <c r="D1066" i="18"/>
  <c r="C818" i="17"/>
  <c r="D1311" i="18"/>
  <c r="C1063" i="17"/>
  <c r="D1556" i="18"/>
  <c r="C1308" i="17"/>
  <c r="D1801" i="18"/>
  <c r="C569" i="17"/>
  <c r="D1062" i="18"/>
  <c r="C814" i="17"/>
  <c r="D1307" i="18"/>
  <c r="C1059" i="17"/>
  <c r="D1552" i="18"/>
  <c r="C1304" i="17"/>
  <c r="D1797" i="18"/>
  <c r="D508" i="17"/>
  <c r="F1001" i="18"/>
  <c r="D753" i="17"/>
  <c r="F1246" i="18"/>
  <c r="D998" i="17"/>
  <c r="F1491" i="18"/>
  <c r="D1243" i="17"/>
  <c r="F1736" i="18"/>
  <c r="D506" i="17"/>
  <c r="F999" i="18"/>
  <c r="D751" i="17"/>
  <c r="F1244" i="18"/>
  <c r="D996" i="17"/>
  <c r="F1489" i="18"/>
  <c r="D1241" i="17"/>
  <c r="F1734" i="18"/>
  <c r="C497" i="17"/>
  <c r="D990" i="18"/>
  <c r="C742" i="17"/>
  <c r="D1235" i="18"/>
  <c r="C987" i="17"/>
  <c r="D1480" i="18"/>
  <c r="C1232" i="17"/>
  <c r="D1725" i="18"/>
  <c r="H984" i="18"/>
  <c r="E491" i="17"/>
  <c r="E736" i="17"/>
  <c r="H1229" i="18"/>
  <c r="H1474" i="18"/>
  <c r="E981" i="17"/>
  <c r="H1719" i="18"/>
  <c r="E1226" i="17"/>
  <c r="AL138" i="5"/>
  <c r="AB139" i="5"/>
  <c r="O138" i="5"/>
  <c r="E139" i="5"/>
  <c r="AB132" i="5"/>
  <c r="AL131" i="5"/>
  <c r="O131" i="5"/>
  <c r="E132" i="5"/>
  <c r="J126" i="6"/>
  <c r="AL123" i="5"/>
  <c r="AB124" i="5"/>
  <c r="E124" i="5"/>
  <c r="O123" i="5"/>
  <c r="AL122" i="5"/>
  <c r="AB123" i="5"/>
  <c r="E123" i="5"/>
  <c r="O122" i="5"/>
  <c r="AL112" i="5"/>
  <c r="AB113" i="5"/>
  <c r="E113" i="5"/>
  <c r="O112" i="5"/>
  <c r="J102" i="6"/>
  <c r="E723" i="17"/>
  <c r="H1216" i="18"/>
  <c r="E968" i="17"/>
  <c r="H1461" i="18"/>
  <c r="E1213" i="17"/>
  <c r="H1706" i="18"/>
  <c r="E1458" i="17"/>
  <c r="H1951" i="18"/>
  <c r="D723" i="17"/>
  <c r="F1216" i="18"/>
  <c r="D968" i="17"/>
  <c r="F1461" i="18"/>
  <c r="D1213" i="17"/>
  <c r="F1706" i="18"/>
  <c r="D1458" i="17"/>
  <c r="F1951" i="18"/>
  <c r="C723" i="17"/>
  <c r="D1216" i="18"/>
  <c r="C968" i="17"/>
  <c r="D1461" i="18"/>
  <c r="C1213" i="17"/>
  <c r="D1706" i="18"/>
  <c r="C1458" i="17"/>
  <c r="D1951" i="18"/>
  <c r="B723" i="17"/>
  <c r="B1216" i="18"/>
  <c r="B968" i="17"/>
  <c r="B1461" i="18"/>
  <c r="B1213" i="17"/>
  <c r="B1706" i="18"/>
  <c r="B1458" i="17"/>
  <c r="B1951" i="18"/>
  <c r="E722" i="17"/>
  <c r="H1215" i="18"/>
  <c r="E967" i="17"/>
  <c r="H1460" i="18"/>
  <c r="E1212" i="17"/>
  <c r="H1705" i="18"/>
  <c r="E1457" i="17"/>
  <c r="H1950" i="18"/>
  <c r="D722" i="17"/>
  <c r="F1215" i="18"/>
  <c r="D967" i="17"/>
  <c r="F1460" i="18"/>
  <c r="D1212" i="17"/>
  <c r="F1705" i="18"/>
  <c r="D1457" i="17"/>
  <c r="F1950" i="18"/>
  <c r="C722" i="17"/>
  <c r="D1215" i="18"/>
  <c r="C967" i="17"/>
  <c r="D1460" i="18"/>
  <c r="C1212" i="17"/>
  <c r="D1705" i="18"/>
  <c r="C1457" i="17"/>
  <c r="D1950" i="18"/>
  <c r="B722" i="17"/>
  <c r="B1215" i="18"/>
  <c r="B967" i="17"/>
  <c r="B1460" i="18"/>
  <c r="B1212" i="17"/>
  <c r="B1705" i="18"/>
  <c r="B1457" i="17"/>
  <c r="B1950" i="18"/>
  <c r="E721" i="17"/>
  <c r="H1214" i="18"/>
  <c r="E966" i="17"/>
  <c r="H1459" i="18"/>
  <c r="E1211" i="17"/>
  <c r="H1704" i="18"/>
  <c r="E1456" i="17"/>
  <c r="H1949" i="18"/>
  <c r="D721" i="17"/>
  <c r="F1214" i="18"/>
  <c r="D966" i="17"/>
  <c r="F1459" i="18"/>
  <c r="D1211" i="17"/>
  <c r="F1704" i="18"/>
  <c r="D1456" i="17"/>
  <c r="F1949" i="18"/>
  <c r="C721" i="17"/>
  <c r="D1214" i="18"/>
  <c r="C966" i="17"/>
  <c r="D1459" i="18"/>
  <c r="C1211" i="17"/>
  <c r="D1704" i="18"/>
  <c r="C1456" i="17"/>
  <c r="D1949" i="18"/>
  <c r="B721" i="17"/>
  <c r="B1214" i="18"/>
  <c r="B966" i="17"/>
  <c r="B1459" i="18"/>
  <c r="B1211" i="17"/>
  <c r="B1704" i="18"/>
  <c r="B1456" i="17"/>
  <c r="B1949" i="18"/>
  <c r="E720" i="17"/>
  <c r="H1213" i="18"/>
  <c r="E965" i="17"/>
  <c r="H1458" i="18"/>
  <c r="E1210" i="17"/>
  <c r="H1703" i="18"/>
  <c r="E1455" i="17"/>
  <c r="H1948" i="18"/>
  <c r="D720" i="17"/>
  <c r="F1213" i="18"/>
  <c r="D965" i="17"/>
  <c r="F1458" i="18"/>
  <c r="D1210" i="17"/>
  <c r="F1703" i="18"/>
  <c r="D1455" i="17"/>
  <c r="F1948" i="18"/>
  <c r="C720" i="17"/>
  <c r="D1213" i="18"/>
  <c r="C965" i="17"/>
  <c r="D1458" i="18"/>
  <c r="C1210" i="17"/>
  <c r="D1703" i="18"/>
  <c r="C1455" i="17"/>
  <c r="D1948" i="18"/>
  <c r="B720" i="17"/>
  <c r="B1213" i="18"/>
  <c r="B965" i="17"/>
  <c r="B1458" i="18"/>
  <c r="B1210" i="17"/>
  <c r="B1703" i="18"/>
  <c r="B1455" i="17"/>
  <c r="B1948" i="18"/>
  <c r="E719" i="17"/>
  <c r="H1212" i="18"/>
  <c r="E964" i="17"/>
  <c r="H1457" i="18"/>
  <c r="E1209" i="17"/>
  <c r="H1702" i="18"/>
  <c r="E1454" i="17"/>
  <c r="H1947" i="18"/>
  <c r="D719" i="17"/>
  <c r="F1212" i="18"/>
  <c r="D964" i="17"/>
  <c r="F1457" i="18"/>
  <c r="D1209" i="17"/>
  <c r="F1702" i="18"/>
  <c r="D1454" i="17"/>
  <c r="F1947" i="18"/>
  <c r="C719" i="17"/>
  <c r="D1212" i="18"/>
  <c r="C964" i="17"/>
  <c r="D1457" i="18"/>
  <c r="C1209" i="17"/>
  <c r="D1702" i="18"/>
  <c r="C1454" i="17"/>
  <c r="D1947" i="18"/>
  <c r="B719" i="17"/>
  <c r="B1212" i="18"/>
  <c r="B964" i="17"/>
  <c r="B1457" i="18"/>
  <c r="B1209" i="17"/>
  <c r="B1702" i="18"/>
  <c r="B1454" i="17"/>
  <c r="B1947" i="18"/>
  <c r="E718" i="17"/>
  <c r="H1211" i="18"/>
  <c r="E963" i="17"/>
  <c r="H1456" i="18"/>
  <c r="E1208" i="17"/>
  <c r="H1701" i="18"/>
  <c r="E1453" i="17"/>
  <c r="H1946" i="18"/>
  <c r="D718" i="17"/>
  <c r="F1211" i="18"/>
  <c r="D963" i="17"/>
  <c r="F1456" i="18"/>
  <c r="D1208" i="17"/>
  <c r="F1701" i="18"/>
  <c r="D1453" i="17"/>
  <c r="F1946" i="18"/>
  <c r="C718" i="17"/>
  <c r="D1211" i="18"/>
  <c r="C963" i="17"/>
  <c r="D1456" i="18"/>
  <c r="C1208" i="17"/>
  <c r="D1701" i="18"/>
  <c r="C1453" i="17"/>
  <c r="D1946" i="18"/>
  <c r="B718" i="17"/>
  <c r="B1211" i="18"/>
  <c r="B963" i="17"/>
  <c r="B1456" i="18"/>
  <c r="B1208" i="17"/>
  <c r="B1701" i="18"/>
  <c r="B1453" i="17"/>
  <c r="B1946" i="18"/>
  <c r="E717" i="17"/>
  <c r="H1210" i="18"/>
  <c r="E962" i="17"/>
  <c r="H1455" i="18"/>
  <c r="E1207" i="17"/>
  <c r="H1700" i="18"/>
  <c r="E1452" i="17"/>
  <c r="H1945" i="18"/>
  <c r="D717" i="17"/>
  <c r="F1210" i="18"/>
  <c r="D962" i="17"/>
  <c r="F1455" i="18"/>
  <c r="D1207" i="17"/>
  <c r="F1700" i="18"/>
  <c r="D1452" i="17"/>
  <c r="F1945" i="18"/>
  <c r="C717" i="17"/>
  <c r="D1210" i="18"/>
  <c r="C962" i="17"/>
  <c r="D1455" i="18"/>
  <c r="C1207" i="17"/>
  <c r="D1700" i="18"/>
  <c r="C1452" i="17"/>
  <c r="D1945" i="18"/>
  <c r="B717" i="17"/>
  <c r="B1210" i="18"/>
  <c r="B962" i="17"/>
  <c r="B1455" i="18"/>
  <c r="B1207" i="17"/>
  <c r="B1700" i="18"/>
  <c r="B1452" i="17"/>
  <c r="B1945" i="18"/>
  <c r="E716" i="17"/>
  <c r="H1209" i="18"/>
  <c r="E961" i="17"/>
  <c r="H1454" i="18"/>
  <c r="E1206" i="17"/>
  <c r="H1699" i="18"/>
  <c r="E1451" i="17"/>
  <c r="H1944" i="18"/>
  <c r="D716" i="17"/>
  <c r="F1209" i="18"/>
  <c r="D961" i="17"/>
  <c r="F1454" i="18"/>
  <c r="D1206" i="17"/>
  <c r="F1699" i="18"/>
  <c r="D1451" i="17"/>
  <c r="F1944" i="18"/>
  <c r="C716" i="17"/>
  <c r="D1209" i="18"/>
  <c r="C961" i="17"/>
  <c r="D1454" i="18"/>
  <c r="C1206" i="17"/>
  <c r="D1699" i="18"/>
  <c r="C1451" i="17"/>
  <c r="D1944" i="18"/>
  <c r="B716" i="17"/>
  <c r="B1209" i="18"/>
  <c r="B961" i="17"/>
  <c r="B1454" i="18"/>
  <c r="B1206" i="17"/>
  <c r="B1699" i="18"/>
  <c r="B1451" i="17"/>
  <c r="B1944" i="18"/>
  <c r="E715" i="17"/>
  <c r="H1208" i="18"/>
  <c r="E960" i="17"/>
  <c r="H1453" i="18"/>
  <c r="E1205" i="17"/>
  <c r="H1698" i="18"/>
  <c r="E1450" i="17"/>
  <c r="H1943" i="18"/>
  <c r="D715" i="17"/>
  <c r="F1208" i="18"/>
  <c r="D960" i="17"/>
  <c r="F1453" i="18"/>
  <c r="D1205" i="17"/>
  <c r="F1698" i="18"/>
  <c r="D1450" i="17"/>
  <c r="F1943" i="18"/>
  <c r="C715" i="17"/>
  <c r="D1208" i="18"/>
  <c r="C960" i="17"/>
  <c r="D1453" i="18"/>
  <c r="C1205" i="17"/>
  <c r="D1698" i="18"/>
  <c r="C1450" i="17"/>
  <c r="D1943" i="18"/>
  <c r="B715" i="17"/>
  <c r="B1208" i="18"/>
  <c r="B960" i="17"/>
  <c r="B1453" i="18"/>
  <c r="B1205" i="17"/>
  <c r="B1698" i="18"/>
  <c r="B1450" i="17"/>
  <c r="B1943" i="18"/>
  <c r="E714" i="17"/>
  <c r="H1207" i="18"/>
  <c r="E959" i="17"/>
  <c r="H1452" i="18"/>
  <c r="E1204" i="17"/>
  <c r="H1697" i="18"/>
  <c r="E1449" i="17"/>
  <c r="H1942" i="18"/>
  <c r="D714" i="17"/>
  <c r="F1207" i="18"/>
  <c r="D959" i="17"/>
  <c r="F1452" i="18"/>
  <c r="D1204" i="17"/>
  <c r="F1697" i="18"/>
  <c r="D1449" i="17"/>
  <c r="F1942" i="18"/>
  <c r="C714" i="17"/>
  <c r="D1207" i="18"/>
  <c r="C959" i="17"/>
  <c r="D1452" i="18"/>
  <c r="C1204" i="17"/>
  <c r="D1697" i="18"/>
  <c r="C1449" i="17"/>
  <c r="D1942" i="18"/>
  <c r="B714" i="17"/>
  <c r="B1207" i="18"/>
  <c r="B959" i="17"/>
  <c r="B1452" i="18"/>
  <c r="B1204" i="17"/>
  <c r="B1697" i="18"/>
  <c r="B1449" i="17"/>
  <c r="B1942" i="18"/>
  <c r="E713" i="17"/>
  <c r="H1206" i="18"/>
  <c r="E958" i="17"/>
  <c r="H1451" i="18"/>
  <c r="E1203" i="17"/>
  <c r="H1696" i="18"/>
  <c r="E1448" i="17"/>
  <c r="H1941" i="18"/>
  <c r="D713" i="17"/>
  <c r="F1206" i="18"/>
  <c r="D958" i="17"/>
  <c r="F1451" i="18"/>
  <c r="D1203" i="17"/>
  <c r="F1696" i="18"/>
  <c r="D1448" i="17"/>
  <c r="F1941" i="18"/>
  <c r="C713" i="17"/>
  <c r="D1206" i="18"/>
  <c r="C958" i="17"/>
  <c r="D1451" i="18"/>
  <c r="C1203" i="17"/>
  <c r="D1696" i="18"/>
  <c r="C1448" i="17"/>
  <c r="D1941" i="18"/>
  <c r="B713" i="17"/>
  <c r="B1206" i="18"/>
  <c r="B958" i="17"/>
  <c r="B1451" i="18"/>
  <c r="B1203" i="17"/>
  <c r="B1696" i="18"/>
  <c r="B1448" i="17"/>
  <c r="B1941" i="18"/>
  <c r="E712" i="17"/>
  <c r="H1205" i="18"/>
  <c r="E957" i="17"/>
  <c r="H1450" i="18"/>
  <c r="E1202" i="17"/>
  <c r="H1695" i="18"/>
  <c r="E1447" i="17"/>
  <c r="H1940" i="18"/>
  <c r="D712" i="17"/>
  <c r="F1205" i="18"/>
  <c r="D957" i="17"/>
  <c r="F1450" i="18"/>
  <c r="D1202" i="17"/>
  <c r="F1695" i="18"/>
  <c r="D1447" i="17"/>
  <c r="F1940" i="18"/>
  <c r="C712" i="17"/>
  <c r="D1205" i="18"/>
  <c r="C957" i="17"/>
  <c r="D1450" i="18"/>
  <c r="C1202" i="17"/>
  <c r="D1695" i="18"/>
  <c r="C1447" i="17"/>
  <c r="D1940" i="18"/>
  <c r="B712" i="17"/>
  <c r="B1205" i="18"/>
  <c r="B957" i="17"/>
  <c r="B1450" i="18"/>
  <c r="B1202" i="17"/>
  <c r="B1695" i="18"/>
  <c r="B1447" i="17"/>
  <c r="B1940" i="18"/>
  <c r="E711" i="17"/>
  <c r="H1204" i="18"/>
  <c r="E956" i="17"/>
  <c r="H1449" i="18"/>
  <c r="E1201" i="17"/>
  <c r="H1694" i="18"/>
  <c r="E1446" i="17"/>
  <c r="H1939" i="18"/>
  <c r="D711" i="17"/>
  <c r="F1204" i="18"/>
  <c r="D956" i="17"/>
  <c r="F1449" i="18"/>
  <c r="D1201" i="17"/>
  <c r="F1694" i="18"/>
  <c r="D1446" i="17"/>
  <c r="F1939" i="18"/>
  <c r="C711" i="17"/>
  <c r="D1204" i="18"/>
  <c r="C956" i="17"/>
  <c r="D1449" i="18"/>
  <c r="C1201" i="17"/>
  <c r="D1694" i="18"/>
  <c r="C1446" i="17"/>
  <c r="D1939" i="18"/>
  <c r="B711" i="17"/>
  <c r="B1204" i="18"/>
  <c r="B956" i="17"/>
  <c r="B1449" i="18"/>
  <c r="B1201" i="17"/>
  <c r="B1694" i="18"/>
  <c r="B1446" i="17"/>
  <c r="B1939" i="18"/>
  <c r="E710" i="17"/>
  <c r="H1203" i="18"/>
  <c r="E955" i="17"/>
  <c r="H1448" i="18"/>
  <c r="E1200" i="17"/>
  <c r="H1693" i="18"/>
  <c r="E1445" i="17"/>
  <c r="H1938" i="18"/>
  <c r="D710" i="17"/>
  <c r="F1203" i="18"/>
  <c r="D955" i="17"/>
  <c r="F1448" i="18"/>
  <c r="D1200" i="17"/>
  <c r="F1693" i="18"/>
  <c r="D1445" i="17"/>
  <c r="F1938" i="18"/>
  <c r="C710" i="17"/>
  <c r="D1203" i="18"/>
  <c r="C955" i="17"/>
  <c r="D1448" i="18"/>
  <c r="C1200" i="17"/>
  <c r="D1693" i="18"/>
  <c r="C1445" i="17"/>
  <c r="D1938" i="18"/>
  <c r="B710" i="17"/>
  <c r="B1203" i="18"/>
  <c r="B955" i="17"/>
  <c r="B1448" i="18"/>
  <c r="B1200" i="17"/>
  <c r="B1693" i="18"/>
  <c r="B1445" i="17"/>
  <c r="B1938" i="18"/>
  <c r="E709" i="17"/>
  <c r="H1202" i="18"/>
  <c r="E954" i="17"/>
  <c r="H1447" i="18"/>
  <c r="E1199" i="17"/>
  <c r="H1692" i="18"/>
  <c r="E1444" i="17"/>
  <c r="H1937" i="18"/>
  <c r="D709" i="17"/>
  <c r="F1202" i="18"/>
  <c r="D954" i="17"/>
  <c r="F1447" i="18"/>
  <c r="D1199" i="17"/>
  <c r="F1692" i="18"/>
  <c r="D1444" i="17"/>
  <c r="F1937" i="18"/>
  <c r="C709" i="17"/>
  <c r="D1202" i="18"/>
  <c r="C954" i="17"/>
  <c r="D1447" i="18"/>
  <c r="C1199" i="17"/>
  <c r="D1692" i="18"/>
  <c r="C1444" i="17"/>
  <c r="D1937" i="18"/>
  <c r="B709" i="17"/>
  <c r="B1202" i="18"/>
  <c r="B954" i="17"/>
  <c r="B1447" i="18"/>
  <c r="B1199" i="17"/>
  <c r="B1692" i="18"/>
  <c r="B1444" i="17"/>
  <c r="B1937" i="18"/>
  <c r="E708" i="17"/>
  <c r="H1201" i="18"/>
  <c r="E953" i="17"/>
  <c r="H1446" i="18"/>
  <c r="E1198" i="17"/>
  <c r="H1691" i="18"/>
  <c r="E1443" i="17"/>
  <c r="H1936" i="18"/>
  <c r="D708" i="17"/>
  <c r="F1201" i="18"/>
  <c r="D953" i="17"/>
  <c r="F1446" i="18"/>
  <c r="D1198" i="17"/>
  <c r="F1691" i="18"/>
  <c r="D1443" i="17"/>
  <c r="F1936" i="18"/>
  <c r="C708" i="17"/>
  <c r="D1201" i="18"/>
  <c r="C953" i="17"/>
  <c r="D1446" i="18"/>
  <c r="C1198" i="17"/>
  <c r="D1691" i="18"/>
  <c r="C1443" i="17"/>
  <c r="D1936" i="18"/>
  <c r="B708" i="17"/>
  <c r="B1201" i="18"/>
  <c r="B953" i="17"/>
  <c r="B1446" i="18"/>
  <c r="B1198" i="17"/>
  <c r="B1691" i="18"/>
  <c r="B1443" i="17"/>
  <c r="B1936" i="18"/>
  <c r="E707" i="17"/>
  <c r="H1200" i="18"/>
  <c r="E952" i="17"/>
  <c r="H1445" i="18"/>
  <c r="E1197" i="17"/>
  <c r="H1690" i="18"/>
  <c r="E1442" i="17"/>
  <c r="H1935" i="18"/>
  <c r="D707" i="17"/>
  <c r="F1200" i="18"/>
  <c r="D952" i="17"/>
  <c r="F1445" i="18"/>
  <c r="D1197" i="17"/>
  <c r="F1690" i="18"/>
  <c r="D1442" i="17"/>
  <c r="F1935" i="18"/>
  <c r="C707" i="17"/>
  <c r="D1200" i="18"/>
  <c r="C952" i="17"/>
  <c r="D1445" i="18"/>
  <c r="C1197" i="17"/>
  <c r="D1690" i="18"/>
  <c r="C1442" i="17"/>
  <c r="D1935" i="18"/>
  <c r="B707" i="17"/>
  <c r="B1200" i="18"/>
  <c r="B952" i="17"/>
  <c r="B1445" i="18"/>
  <c r="B1197" i="17"/>
  <c r="B1690" i="18"/>
  <c r="B1442" i="17"/>
  <c r="B1935" i="18"/>
  <c r="E706" i="17"/>
  <c r="H1199" i="18"/>
  <c r="E951" i="17"/>
  <c r="H1444" i="18"/>
  <c r="E1196" i="17"/>
  <c r="H1689" i="18"/>
  <c r="E1441" i="17"/>
  <c r="H1934" i="18"/>
  <c r="D706" i="17"/>
  <c r="F1199" i="18"/>
  <c r="D951" i="17"/>
  <c r="F1444" i="18"/>
  <c r="D1196" i="17"/>
  <c r="F1689" i="18"/>
  <c r="D1441" i="17"/>
  <c r="F1934" i="18"/>
  <c r="C706" i="17"/>
  <c r="D1199" i="18"/>
  <c r="C951" i="17"/>
  <c r="D1444" i="18"/>
  <c r="C1196" i="17"/>
  <c r="D1689" i="18"/>
  <c r="C1441" i="17"/>
  <c r="D1934" i="18"/>
  <c r="B706" i="17"/>
  <c r="B1199" i="18"/>
  <c r="B951" i="17"/>
  <c r="B1444" i="18"/>
  <c r="B1196" i="17"/>
  <c r="B1689" i="18"/>
  <c r="B1441" i="17"/>
  <c r="B1934" i="18"/>
  <c r="E705" i="17"/>
  <c r="H1198" i="18"/>
  <c r="E950" i="17"/>
  <c r="H1443" i="18"/>
  <c r="E1195" i="17"/>
  <c r="H1688" i="18"/>
  <c r="E1440" i="17"/>
  <c r="H1933" i="18"/>
  <c r="D705" i="17"/>
  <c r="F1198" i="18"/>
  <c r="D950" i="17"/>
  <c r="F1443" i="18"/>
  <c r="D1195" i="17"/>
  <c r="F1688" i="18"/>
  <c r="D1440" i="17"/>
  <c r="F1933" i="18"/>
  <c r="C705" i="17"/>
  <c r="D1198" i="18"/>
  <c r="C950" i="17"/>
  <c r="D1443" i="18"/>
  <c r="C1195" i="17"/>
  <c r="D1688" i="18"/>
  <c r="C1440" i="17"/>
  <c r="D1933" i="18"/>
  <c r="B705" i="17"/>
  <c r="B1198" i="18"/>
  <c r="B950" i="17"/>
  <c r="B1443" i="18"/>
  <c r="B1195" i="17"/>
  <c r="B1688" i="18"/>
  <c r="B1440" i="17"/>
  <c r="B1933" i="18"/>
  <c r="E704" i="17"/>
  <c r="H1197" i="18"/>
  <c r="E949" i="17"/>
  <c r="H1442" i="18"/>
  <c r="E1194" i="17"/>
  <c r="H1687" i="18"/>
  <c r="E1439" i="17"/>
  <c r="H1932" i="18"/>
  <c r="D704" i="17"/>
  <c r="F1197" i="18"/>
  <c r="D949" i="17"/>
  <c r="F1442" i="18"/>
  <c r="D1194" i="17"/>
  <c r="F1687" i="18"/>
  <c r="D1439" i="17"/>
  <c r="F1932" i="18"/>
  <c r="C704" i="17"/>
  <c r="D1197" i="18"/>
  <c r="C949" i="17"/>
  <c r="D1442" i="18"/>
  <c r="C1194" i="17"/>
  <c r="D1687" i="18"/>
  <c r="C1439" i="17"/>
  <c r="D1932" i="18"/>
  <c r="B704" i="17"/>
  <c r="B1197" i="18"/>
  <c r="B949" i="17"/>
  <c r="B1442" i="18"/>
  <c r="B1194" i="17"/>
  <c r="B1687" i="18"/>
  <c r="B1439" i="17"/>
  <c r="B1932" i="18"/>
  <c r="E703" i="17"/>
  <c r="H1196" i="18"/>
  <c r="E948" i="17"/>
  <c r="H1441" i="18"/>
  <c r="E1193" i="17"/>
  <c r="H1686" i="18"/>
  <c r="E1438" i="17"/>
  <c r="H1931" i="18"/>
  <c r="D703" i="17"/>
  <c r="F1196" i="18"/>
  <c r="D948" i="17"/>
  <c r="F1441" i="18"/>
  <c r="D1193" i="17"/>
  <c r="F1686" i="18"/>
  <c r="D1438" i="17"/>
  <c r="F1931" i="18"/>
  <c r="C703" i="17"/>
  <c r="D1196" i="18"/>
  <c r="C948" i="17"/>
  <c r="D1441" i="18"/>
  <c r="C1193" i="17"/>
  <c r="D1686" i="18"/>
  <c r="C1438" i="17"/>
  <c r="D1931" i="18"/>
  <c r="B703" i="17"/>
  <c r="B1196" i="18"/>
  <c r="B948" i="17"/>
  <c r="B1441" i="18"/>
  <c r="B1193" i="17"/>
  <c r="B1686" i="18"/>
  <c r="B1438" i="17"/>
  <c r="B1931" i="18"/>
  <c r="E702" i="17"/>
  <c r="H1195" i="18"/>
  <c r="E947" i="17"/>
  <c r="H1440" i="18"/>
  <c r="E1192" i="17"/>
  <c r="H1685" i="18"/>
  <c r="E1437" i="17"/>
  <c r="H1930" i="18"/>
  <c r="D702" i="17"/>
  <c r="F1195" i="18"/>
  <c r="D947" i="17"/>
  <c r="F1440" i="18"/>
  <c r="D1192" i="17"/>
  <c r="F1685" i="18"/>
  <c r="D1437" i="17"/>
  <c r="F1930" i="18"/>
  <c r="C702" i="17"/>
  <c r="D1195" i="18"/>
  <c r="C947" i="17"/>
  <c r="D1440" i="18"/>
  <c r="C1192" i="17"/>
  <c r="D1685" i="18"/>
  <c r="C1437" i="17"/>
  <c r="D1930" i="18"/>
  <c r="B702" i="17"/>
  <c r="B1195" i="18"/>
  <c r="B947" i="17"/>
  <c r="B1440" i="18"/>
  <c r="B1192" i="17"/>
  <c r="B1685" i="18"/>
  <c r="B1437" i="17"/>
  <c r="B1930" i="18"/>
  <c r="E701" i="17"/>
  <c r="H1194" i="18"/>
  <c r="E946" i="17"/>
  <c r="H1439" i="18"/>
  <c r="E1191" i="17"/>
  <c r="H1684" i="18"/>
  <c r="E1436" i="17"/>
  <c r="H1929" i="18"/>
  <c r="D701" i="17"/>
  <c r="F1194" i="18"/>
  <c r="D946" i="17"/>
  <c r="F1439" i="18"/>
  <c r="D1191" i="17"/>
  <c r="F1684" i="18"/>
  <c r="D1436" i="17"/>
  <c r="F1929" i="18"/>
  <c r="C701" i="17"/>
  <c r="D1194" i="18"/>
  <c r="C946" i="17"/>
  <c r="D1439" i="18"/>
  <c r="C1191" i="17"/>
  <c r="D1684" i="18"/>
  <c r="C1436" i="17"/>
  <c r="D1929" i="18"/>
  <c r="B701" i="17"/>
  <c r="B1194" i="18"/>
  <c r="B946" i="17"/>
  <c r="B1439" i="18"/>
  <c r="B1191" i="17"/>
  <c r="B1684" i="18"/>
  <c r="B1436" i="17"/>
  <c r="B1929" i="18"/>
  <c r="E700" i="17"/>
  <c r="H1193" i="18"/>
  <c r="E945" i="17"/>
  <c r="H1438" i="18"/>
  <c r="E1190" i="17"/>
  <c r="H1683" i="18"/>
  <c r="E1435" i="17"/>
  <c r="H1928" i="18"/>
  <c r="D700" i="17"/>
  <c r="F1193" i="18"/>
  <c r="D945" i="17"/>
  <c r="F1438" i="18"/>
  <c r="D1190" i="17"/>
  <c r="F1683" i="18"/>
  <c r="D1435" i="17"/>
  <c r="F1928" i="18"/>
  <c r="C700" i="17"/>
  <c r="D1193" i="18"/>
  <c r="C945" i="17"/>
  <c r="D1438" i="18"/>
  <c r="C1190" i="17"/>
  <c r="D1683" i="18"/>
  <c r="C1435" i="17"/>
  <c r="D1928" i="18"/>
  <c r="B700" i="17"/>
  <c r="B1193" i="18"/>
  <c r="B945" i="17"/>
  <c r="B1438" i="18"/>
  <c r="B1190" i="17"/>
  <c r="B1683" i="18"/>
  <c r="B1435" i="17"/>
  <c r="B1928" i="18"/>
  <c r="E699" i="17"/>
  <c r="H1192" i="18"/>
  <c r="E944" i="17"/>
  <c r="H1437" i="18"/>
  <c r="E1189" i="17"/>
  <c r="H1682" i="18"/>
  <c r="E1434" i="17"/>
  <c r="H1927" i="18"/>
  <c r="D699" i="17"/>
  <c r="F1192" i="18"/>
  <c r="D944" i="17"/>
  <c r="F1437" i="18"/>
  <c r="D1189" i="17"/>
  <c r="F1682" i="18"/>
  <c r="D1434" i="17"/>
  <c r="F1927" i="18"/>
  <c r="C699" i="17"/>
  <c r="D1192" i="18"/>
  <c r="C944" i="17"/>
  <c r="D1437" i="18"/>
  <c r="C1189" i="17"/>
  <c r="D1682" i="18"/>
  <c r="C1434" i="17"/>
  <c r="D1927" i="18"/>
  <c r="B699" i="17"/>
  <c r="B1192" i="18"/>
  <c r="B944" i="17"/>
  <c r="B1437" i="18"/>
  <c r="B1189" i="17"/>
  <c r="B1682" i="18"/>
  <c r="B1434" i="17"/>
  <c r="B1927" i="18"/>
  <c r="D698" i="17"/>
  <c r="F1191" i="18"/>
  <c r="D943" i="17"/>
  <c r="F1436" i="18"/>
  <c r="D1188" i="17"/>
  <c r="F1681" i="18"/>
  <c r="D1433" i="17"/>
  <c r="F1926" i="18"/>
  <c r="B697" i="17"/>
  <c r="B1190" i="18"/>
  <c r="B942" i="17"/>
  <c r="B1435" i="18"/>
  <c r="B1187" i="17"/>
  <c r="B1680" i="18"/>
  <c r="B1432" i="17"/>
  <c r="B1925" i="18"/>
  <c r="D938" i="17"/>
  <c r="F1431" i="18"/>
  <c r="D1428" i="17"/>
  <c r="F1921" i="18"/>
  <c r="D693" i="17"/>
  <c r="F1186" i="18"/>
  <c r="D1183" i="17"/>
  <c r="F1676" i="18"/>
  <c r="B936" i="17"/>
  <c r="B1429" i="18"/>
  <c r="B691" i="17"/>
  <c r="B1184" i="18"/>
  <c r="B1181" i="17"/>
  <c r="B1674" i="18"/>
  <c r="B1426" i="17"/>
  <c r="B1919" i="18"/>
  <c r="D690" i="17"/>
  <c r="F1183" i="18"/>
  <c r="D935" i="17"/>
  <c r="F1428" i="18"/>
  <c r="D1180" i="17"/>
  <c r="F1673" i="18"/>
  <c r="F1918" i="18"/>
  <c r="D1425" i="17"/>
  <c r="C934" i="17"/>
  <c r="D1427" i="18"/>
  <c r="C1179" i="17"/>
  <c r="D1672" i="18"/>
  <c r="C1424" i="17"/>
  <c r="D1917" i="18"/>
  <c r="C689" i="17"/>
  <c r="D1182" i="18"/>
  <c r="D1421" i="17"/>
  <c r="F1914" i="18"/>
  <c r="F1179" i="18"/>
  <c r="D686" i="17"/>
  <c r="F1424" i="18"/>
  <c r="D931" i="17"/>
  <c r="F1669" i="18"/>
  <c r="D1176" i="17"/>
  <c r="E1420" i="17"/>
  <c r="H1913" i="18"/>
  <c r="H1178" i="18"/>
  <c r="E685" i="17"/>
  <c r="E930" i="17"/>
  <c r="H1423" i="18"/>
  <c r="E1175" i="17"/>
  <c r="H1668" i="18"/>
  <c r="E1418" i="17"/>
  <c r="H1911" i="18"/>
  <c r="E1173" i="17"/>
  <c r="H1666" i="18"/>
  <c r="H1176" i="18"/>
  <c r="E683" i="17"/>
  <c r="H1421" i="18"/>
  <c r="E928" i="17"/>
  <c r="E675" i="17"/>
  <c r="H1168" i="18"/>
  <c r="E920" i="17"/>
  <c r="H1413" i="18"/>
  <c r="E1165" i="17"/>
  <c r="H1658" i="18"/>
  <c r="E1410" i="17"/>
  <c r="H1903" i="18"/>
  <c r="B673" i="17"/>
  <c r="B1166" i="18"/>
  <c r="B918" i="17"/>
  <c r="B1411" i="18"/>
  <c r="B1163" i="17"/>
  <c r="B1656" i="18"/>
  <c r="B1408" i="17"/>
  <c r="B1901" i="18"/>
  <c r="B669" i="17"/>
  <c r="B1162" i="18"/>
  <c r="B914" i="17"/>
  <c r="B1407" i="18"/>
  <c r="B1159" i="17"/>
  <c r="B1652" i="18"/>
  <c r="B1404" i="17"/>
  <c r="B1897" i="18"/>
  <c r="C668" i="17"/>
  <c r="D1161" i="18"/>
  <c r="C913" i="17"/>
  <c r="D1406" i="18"/>
  <c r="C1158" i="17"/>
  <c r="D1651" i="18"/>
  <c r="C1403" i="17"/>
  <c r="D1896" i="18"/>
  <c r="B665" i="17"/>
  <c r="B1158" i="18"/>
  <c r="B910" i="17"/>
  <c r="B1403" i="18"/>
  <c r="B1155" i="17"/>
  <c r="B1648" i="18"/>
  <c r="B1400" i="17"/>
  <c r="B1893" i="18"/>
  <c r="E662" i="17"/>
  <c r="H1155" i="18"/>
  <c r="E907" i="17"/>
  <c r="H1400" i="18"/>
  <c r="E1152" i="17"/>
  <c r="H1645" i="18"/>
  <c r="E1397" i="17"/>
  <c r="H1890" i="18"/>
  <c r="E661" i="17"/>
  <c r="H1154" i="18"/>
  <c r="E906" i="17"/>
  <c r="H1399" i="18"/>
  <c r="E1151" i="17"/>
  <c r="H1644" i="18"/>
  <c r="E1396" i="17"/>
  <c r="H1889" i="18"/>
  <c r="E660" i="17"/>
  <c r="H1153" i="18"/>
  <c r="E905" i="17"/>
  <c r="H1398" i="18"/>
  <c r="E1150" i="17"/>
  <c r="H1643" i="18"/>
  <c r="E1395" i="17"/>
  <c r="H1888" i="18"/>
  <c r="E659" i="17"/>
  <c r="H1152" i="18"/>
  <c r="E904" i="17"/>
  <c r="H1397" i="18"/>
  <c r="E1149" i="17"/>
  <c r="H1642" i="18"/>
  <c r="E1394" i="17"/>
  <c r="H1887" i="18"/>
  <c r="D656" i="17"/>
  <c r="F1149" i="18"/>
  <c r="D901" i="17"/>
  <c r="F1394" i="18"/>
  <c r="D1146" i="17"/>
  <c r="F1639" i="18"/>
  <c r="D1391" i="17"/>
  <c r="F1884" i="18"/>
  <c r="B654" i="17"/>
  <c r="B1147" i="18"/>
  <c r="B899" i="17"/>
  <c r="B1392" i="18"/>
  <c r="B1144" i="17"/>
  <c r="B1637" i="18"/>
  <c r="B1389" i="17"/>
  <c r="B1882" i="18"/>
  <c r="E653" i="17"/>
  <c r="H1146" i="18"/>
  <c r="E898" i="17"/>
  <c r="H1391" i="18"/>
  <c r="E1143" i="17"/>
  <c r="H1636" i="18"/>
  <c r="E1388" i="17"/>
  <c r="H1881" i="18"/>
  <c r="B652" i="17"/>
  <c r="B1145" i="18"/>
  <c r="B897" i="17"/>
  <c r="B1390" i="18"/>
  <c r="B1142" i="17"/>
  <c r="B1635" i="18"/>
  <c r="B1387" i="17"/>
  <c r="B1880" i="18"/>
  <c r="B649" i="17"/>
  <c r="B1142" i="18"/>
  <c r="B894" i="17"/>
  <c r="B1387" i="18"/>
  <c r="B1139" i="17"/>
  <c r="B1632" i="18"/>
  <c r="B1384" i="17"/>
  <c r="B1877" i="18"/>
  <c r="E648" i="17"/>
  <c r="H1141" i="18"/>
  <c r="E893" i="17"/>
  <c r="H1386" i="18"/>
  <c r="E1138" i="17"/>
  <c r="H1631" i="18"/>
  <c r="E1383" i="17"/>
  <c r="H1876" i="18"/>
  <c r="B646" i="17"/>
  <c r="B1139" i="18"/>
  <c r="B891" i="17"/>
  <c r="B1384" i="18"/>
  <c r="B1136" i="17"/>
  <c r="B1629" i="18"/>
  <c r="B1381" i="17"/>
  <c r="B1874" i="18"/>
  <c r="B644" i="17"/>
  <c r="B1137" i="18"/>
  <c r="B889" i="17"/>
  <c r="B1382" i="18"/>
  <c r="B1134" i="17"/>
  <c r="B1627" i="18"/>
  <c r="B1379" i="17"/>
  <c r="B1872" i="18"/>
  <c r="D642" i="17"/>
  <c r="F1135" i="18"/>
  <c r="D887" i="17"/>
  <c r="F1380" i="18"/>
  <c r="D1132" i="17"/>
  <c r="F1625" i="18"/>
  <c r="D1377" i="17"/>
  <c r="F1870" i="18"/>
  <c r="D1338" i="17"/>
  <c r="F1831" i="18"/>
  <c r="F1096" i="18"/>
  <c r="D603" i="17"/>
  <c r="F1341" i="18"/>
  <c r="D848" i="17"/>
  <c r="F1586" i="18"/>
  <c r="D1093" i="17"/>
  <c r="B600" i="17"/>
  <c r="B1093" i="18"/>
  <c r="B1090" i="17"/>
  <c r="B1583" i="18"/>
  <c r="B1335" i="17"/>
  <c r="B1828" i="18"/>
  <c r="B1338" i="18"/>
  <c r="B845" i="17"/>
  <c r="F1081" i="18"/>
  <c r="D588" i="17"/>
  <c r="F1571" i="18"/>
  <c r="D1078" i="17"/>
  <c r="F1816" i="18"/>
  <c r="D1323" i="17"/>
  <c r="D833" i="17"/>
  <c r="F1326" i="18"/>
  <c r="H1079" i="18"/>
  <c r="E586" i="17"/>
  <c r="H1569" i="18"/>
  <c r="E1076" i="17"/>
  <c r="H1814" i="18"/>
  <c r="E1321" i="17"/>
  <c r="E831" i="17"/>
  <c r="H1324" i="18"/>
  <c r="E1320" i="17"/>
  <c r="H1813" i="18"/>
  <c r="E585" i="17"/>
  <c r="H1078" i="18"/>
  <c r="E1075" i="17"/>
  <c r="H1568" i="18"/>
  <c r="E830" i="17"/>
  <c r="H1323" i="18"/>
  <c r="D582" i="17"/>
  <c r="F1075" i="18"/>
  <c r="D827" i="17"/>
  <c r="F1320" i="18"/>
  <c r="F1565" i="18"/>
  <c r="D1072" i="17"/>
  <c r="F1810" i="18"/>
  <c r="D1317" i="17"/>
  <c r="D826" i="17"/>
  <c r="F1319" i="18"/>
  <c r="D1071" i="17"/>
  <c r="F1564" i="18"/>
  <c r="D581" i="17"/>
  <c r="F1074" i="18"/>
  <c r="D1316" i="17"/>
  <c r="F1809" i="18"/>
  <c r="B578" i="17"/>
  <c r="B1071" i="18"/>
  <c r="B823" i="17"/>
  <c r="B1316" i="18"/>
  <c r="B1068" i="17"/>
  <c r="B1561" i="18"/>
  <c r="B1313" i="17"/>
  <c r="B1806" i="18"/>
  <c r="D576" i="17"/>
  <c r="F1069" i="18"/>
  <c r="D821" i="17"/>
  <c r="F1314" i="18"/>
  <c r="D1066" i="17"/>
  <c r="F1559" i="18"/>
  <c r="D1311" i="17"/>
  <c r="F1804" i="18"/>
  <c r="E575" i="17"/>
  <c r="H1068" i="18"/>
  <c r="E820" i="17"/>
  <c r="H1313" i="18"/>
  <c r="E1065" i="17"/>
  <c r="H1558" i="18"/>
  <c r="E1310" i="17"/>
  <c r="H1803" i="18"/>
  <c r="E569" i="17"/>
  <c r="H1062" i="18"/>
  <c r="E814" i="17"/>
  <c r="H1307" i="18"/>
  <c r="E1059" i="17"/>
  <c r="H1552" i="18"/>
  <c r="E1304" i="17"/>
  <c r="H1797" i="18"/>
  <c r="E564" i="17"/>
  <c r="H1057" i="18"/>
  <c r="E809" i="17"/>
  <c r="H1302" i="18"/>
  <c r="E1054" i="17"/>
  <c r="H1547" i="18"/>
  <c r="E1299" i="17"/>
  <c r="H1792" i="18"/>
  <c r="C562" i="17"/>
  <c r="D1055" i="18"/>
  <c r="C807" i="17"/>
  <c r="D1300" i="18"/>
  <c r="C1052" i="17"/>
  <c r="D1545" i="18"/>
  <c r="C1297" i="17"/>
  <c r="D1790" i="18"/>
  <c r="D561" i="17"/>
  <c r="F1054" i="18"/>
  <c r="D806" i="17"/>
  <c r="F1299" i="18"/>
  <c r="D1051" i="17"/>
  <c r="F1544" i="18"/>
  <c r="D1296" i="17"/>
  <c r="F1789" i="18"/>
  <c r="B514" i="17"/>
  <c r="B1007" i="18"/>
  <c r="B759" i="17"/>
  <c r="B1252" i="18"/>
  <c r="B1004" i="17"/>
  <c r="B1497" i="18"/>
  <c r="B1249" i="17"/>
  <c r="B1742" i="18"/>
  <c r="E513" i="17"/>
  <c r="H1006" i="18"/>
  <c r="E758" i="17"/>
  <c r="H1251" i="18"/>
  <c r="E1003" i="17"/>
  <c r="H1496" i="18"/>
  <c r="E1248" i="17"/>
  <c r="H1741" i="18"/>
  <c r="C510" i="17"/>
  <c r="D1003" i="18"/>
  <c r="C755" i="17"/>
  <c r="D1248" i="18"/>
  <c r="C1000" i="17"/>
  <c r="D1493" i="18"/>
  <c r="C1245" i="17"/>
  <c r="D1738" i="18"/>
  <c r="C506" i="17"/>
  <c r="D999" i="18"/>
  <c r="C751" i="17"/>
  <c r="D1244" i="18"/>
  <c r="C996" i="17"/>
  <c r="D1489" i="18"/>
  <c r="C1241" i="17"/>
  <c r="D1734" i="18"/>
  <c r="C505" i="17"/>
  <c r="D998" i="18"/>
  <c r="C750" i="17"/>
  <c r="D1243" i="18"/>
  <c r="C995" i="17"/>
  <c r="D1488" i="18"/>
  <c r="C1240" i="17"/>
  <c r="D1733" i="18"/>
  <c r="B504" i="17"/>
  <c r="B997" i="18"/>
  <c r="B749" i="17"/>
  <c r="B1242" i="18"/>
  <c r="B994" i="17"/>
  <c r="B1487" i="18"/>
  <c r="B1239" i="17"/>
  <c r="B1732" i="18"/>
  <c r="D503" i="17"/>
  <c r="F996" i="18"/>
  <c r="D748" i="17"/>
  <c r="F1241" i="18"/>
  <c r="D993" i="17"/>
  <c r="F1486" i="18"/>
  <c r="D1238" i="17"/>
  <c r="F1731" i="18"/>
  <c r="D501" i="17"/>
  <c r="F994" i="18"/>
  <c r="D746" i="17"/>
  <c r="F1239" i="18"/>
  <c r="D991" i="17"/>
  <c r="F1484" i="18"/>
  <c r="D1236" i="17"/>
  <c r="F1729" i="18"/>
  <c r="D499" i="17"/>
  <c r="F992" i="18"/>
  <c r="D744" i="17"/>
  <c r="F1237" i="18"/>
  <c r="D989" i="17"/>
  <c r="F1482" i="18"/>
  <c r="D1234" i="17"/>
  <c r="F1727" i="18"/>
  <c r="B497" i="17"/>
  <c r="B990" i="18"/>
  <c r="B742" i="17"/>
  <c r="B1235" i="18"/>
  <c r="B987" i="17"/>
  <c r="B1480" i="18"/>
  <c r="B1232" i="17"/>
  <c r="B1725" i="18"/>
  <c r="B496" i="17"/>
  <c r="B989" i="18"/>
  <c r="B741" i="17"/>
  <c r="B1234" i="18"/>
  <c r="B986" i="17"/>
  <c r="B1479" i="18"/>
  <c r="B1231" i="17"/>
  <c r="B1724" i="18"/>
  <c r="E490" i="17"/>
  <c r="H983" i="18"/>
  <c r="E980" i="17"/>
  <c r="H1473" i="18"/>
  <c r="E1225" i="17"/>
  <c r="H1718" i="18"/>
  <c r="H1228" i="18"/>
  <c r="E735" i="17"/>
  <c r="AB122" i="5"/>
  <c r="AL121" i="5"/>
  <c r="E122" i="5"/>
  <c r="O121" i="5"/>
  <c r="AB115" i="5"/>
  <c r="AL114" i="5"/>
  <c r="O114" i="5"/>
  <c r="E115" i="5"/>
  <c r="J114" i="6"/>
  <c r="J109" i="6"/>
  <c r="E102" i="5"/>
  <c r="O101" i="5"/>
  <c r="AL101" i="5"/>
  <c r="AB102" i="5"/>
  <c r="AL100" i="5"/>
  <c r="AB101" i="5"/>
  <c r="O100" i="5"/>
  <c r="E101" i="5"/>
  <c r="J97" i="6"/>
  <c r="E641" i="17"/>
  <c r="H1134" i="18"/>
  <c r="E886" i="17"/>
  <c r="H1379" i="18"/>
  <c r="E1131" i="17"/>
  <c r="H1624" i="18"/>
  <c r="E1376" i="17"/>
  <c r="H1869" i="18"/>
  <c r="D641" i="17"/>
  <c r="F1134" i="18"/>
  <c r="D886" i="17"/>
  <c r="F1379" i="18"/>
  <c r="D1131" i="17"/>
  <c r="F1624" i="18"/>
  <c r="D1376" i="17"/>
  <c r="F1869" i="18"/>
  <c r="C641" i="17"/>
  <c r="D1134" i="18"/>
  <c r="C886" i="17"/>
  <c r="D1379" i="18"/>
  <c r="C1131" i="17"/>
  <c r="D1624" i="18"/>
  <c r="C1376" i="17"/>
  <c r="D1869" i="18"/>
  <c r="B641" i="17"/>
  <c r="B1134" i="18"/>
  <c r="B886" i="17"/>
  <c r="B1379" i="18"/>
  <c r="B1131" i="17"/>
  <c r="B1624" i="18"/>
  <c r="B1376" i="17"/>
  <c r="B1869" i="18"/>
  <c r="E640" i="17"/>
  <c r="H1133" i="18"/>
  <c r="E885" i="17"/>
  <c r="H1378" i="18"/>
  <c r="E1130" i="17"/>
  <c r="H1623" i="18"/>
  <c r="E1375" i="17"/>
  <c r="H1868" i="18"/>
  <c r="D640" i="17"/>
  <c r="F1133" i="18"/>
  <c r="D885" i="17"/>
  <c r="F1378" i="18"/>
  <c r="D1130" i="17"/>
  <c r="F1623" i="18"/>
  <c r="D1375" i="17"/>
  <c r="F1868" i="18"/>
  <c r="C640" i="17"/>
  <c r="D1133" i="18"/>
  <c r="C885" i="17"/>
  <c r="D1378" i="18"/>
  <c r="C1130" i="17"/>
  <c r="D1623" i="18"/>
  <c r="C1375" i="17"/>
  <c r="D1868" i="18"/>
  <c r="B640" i="17"/>
  <c r="B1133" i="18"/>
  <c r="B885" i="17"/>
  <c r="B1378" i="18"/>
  <c r="B1130" i="17"/>
  <c r="B1623" i="18"/>
  <c r="B1375" i="17"/>
  <c r="B1868" i="18"/>
  <c r="E639" i="17"/>
  <c r="H1132" i="18"/>
  <c r="E884" i="17"/>
  <c r="H1377" i="18"/>
  <c r="E1129" i="17"/>
  <c r="H1622" i="18"/>
  <c r="E1374" i="17"/>
  <c r="H1867" i="18"/>
  <c r="D639" i="17"/>
  <c r="F1132" i="18"/>
  <c r="D884" i="17"/>
  <c r="F1377" i="18"/>
  <c r="D1129" i="17"/>
  <c r="F1622" i="18"/>
  <c r="D1374" i="17"/>
  <c r="F1867" i="18"/>
  <c r="C639" i="17"/>
  <c r="D1132" i="18"/>
  <c r="C884" i="17"/>
  <c r="D1377" i="18"/>
  <c r="C1129" i="17"/>
  <c r="D1622" i="18"/>
  <c r="C1374" i="17"/>
  <c r="D1867" i="18"/>
  <c r="B639" i="17"/>
  <c r="B1132" i="18"/>
  <c r="B884" i="17"/>
  <c r="B1377" i="18"/>
  <c r="B1129" i="17"/>
  <c r="B1622" i="18"/>
  <c r="B1374" i="17"/>
  <c r="B1867" i="18"/>
  <c r="E638" i="17"/>
  <c r="H1131" i="18"/>
  <c r="E883" i="17"/>
  <c r="H1376" i="18"/>
  <c r="E1128" i="17"/>
  <c r="H1621" i="18"/>
  <c r="E1373" i="17"/>
  <c r="H1866" i="18"/>
  <c r="D638" i="17"/>
  <c r="F1131" i="18"/>
  <c r="D883" i="17"/>
  <c r="F1376" i="18"/>
  <c r="D1128" i="17"/>
  <c r="F1621" i="18"/>
  <c r="D1373" i="17"/>
  <c r="F1866" i="18"/>
  <c r="C638" i="17"/>
  <c r="D1131" i="18"/>
  <c r="C883" i="17"/>
  <c r="D1376" i="18"/>
  <c r="C1128" i="17"/>
  <c r="D1621" i="18"/>
  <c r="C1373" i="17"/>
  <c r="D1866" i="18"/>
  <c r="B638" i="17"/>
  <c r="B1131" i="18"/>
  <c r="B883" i="17"/>
  <c r="B1376" i="18"/>
  <c r="B1128" i="17"/>
  <c r="B1621" i="18"/>
  <c r="B1373" i="17"/>
  <c r="B1866" i="18"/>
  <c r="E637" i="17"/>
  <c r="H1130" i="18"/>
  <c r="E882" i="17"/>
  <c r="H1375" i="18"/>
  <c r="E1127" i="17"/>
  <c r="H1620" i="18"/>
  <c r="E1372" i="17"/>
  <c r="H1865" i="18"/>
  <c r="D637" i="17"/>
  <c r="F1130" i="18"/>
  <c r="D882" i="17"/>
  <c r="F1375" i="18"/>
  <c r="D1127" i="17"/>
  <c r="F1620" i="18"/>
  <c r="D1372" i="17"/>
  <c r="F1865" i="18"/>
  <c r="C637" i="17"/>
  <c r="D1130" i="18"/>
  <c r="C882" i="17"/>
  <c r="D1375" i="18"/>
  <c r="C1127" i="17"/>
  <c r="D1620" i="18"/>
  <c r="C1372" i="17"/>
  <c r="D1865" i="18"/>
  <c r="B637" i="17"/>
  <c r="B1130" i="18"/>
  <c r="B882" i="17"/>
  <c r="B1375" i="18"/>
  <c r="B1127" i="17"/>
  <c r="B1620" i="18"/>
  <c r="B1372" i="17"/>
  <c r="B1865" i="18"/>
  <c r="E636" i="17"/>
  <c r="H1129" i="18"/>
  <c r="E881" i="17"/>
  <c r="H1374" i="18"/>
  <c r="E1126" i="17"/>
  <c r="H1619" i="18"/>
  <c r="E1371" i="17"/>
  <c r="H1864" i="18"/>
  <c r="D881" i="17"/>
  <c r="F1374" i="18"/>
  <c r="D1126" i="17"/>
  <c r="F1619" i="18"/>
  <c r="D1371" i="17"/>
  <c r="F1864" i="18"/>
  <c r="D636" i="17"/>
  <c r="F1129" i="18"/>
  <c r="C636" i="17"/>
  <c r="D1129" i="18"/>
  <c r="C881" i="17"/>
  <c r="D1374" i="18"/>
  <c r="C1126" i="17"/>
  <c r="D1619" i="18"/>
  <c r="C1371" i="17"/>
  <c r="D1864" i="18"/>
  <c r="B881" i="17"/>
  <c r="B1374" i="18"/>
  <c r="B1126" i="17"/>
  <c r="B1619" i="18"/>
  <c r="B1371" i="17"/>
  <c r="B1864" i="18"/>
  <c r="B1129" i="18"/>
  <c r="B636" i="17"/>
  <c r="E1370" i="17"/>
  <c r="H1863" i="18"/>
  <c r="H1128" i="18"/>
  <c r="E635" i="17"/>
  <c r="E880" i="17"/>
  <c r="H1373" i="18"/>
  <c r="H1618" i="18"/>
  <c r="E1125" i="17"/>
  <c r="D1125" i="17"/>
  <c r="F1618" i="18"/>
  <c r="D635" i="17"/>
  <c r="F1128" i="18"/>
  <c r="D1370" i="17"/>
  <c r="F1863" i="18"/>
  <c r="F1373" i="18"/>
  <c r="D880" i="17"/>
  <c r="C1370" i="17"/>
  <c r="D1863" i="18"/>
  <c r="C880" i="17"/>
  <c r="D1373" i="18"/>
  <c r="D1128" i="18"/>
  <c r="C635" i="17"/>
  <c r="D1618" i="18"/>
  <c r="C1125" i="17"/>
  <c r="B1125" i="17"/>
  <c r="B1618" i="18"/>
  <c r="B1370" i="17"/>
  <c r="B1863" i="18"/>
  <c r="B1128" i="18"/>
  <c r="B635" i="17"/>
  <c r="B1373" i="18"/>
  <c r="B880" i="17"/>
  <c r="E634" i="17"/>
  <c r="H1127" i="18"/>
  <c r="E879" i="17"/>
  <c r="H1372" i="18"/>
  <c r="E1369" i="17"/>
  <c r="H1862" i="18"/>
  <c r="E1124" i="17"/>
  <c r="H1617" i="18"/>
  <c r="D1369" i="17"/>
  <c r="F1862" i="18"/>
  <c r="D1124" i="17"/>
  <c r="F1617" i="18"/>
  <c r="D879" i="17"/>
  <c r="F1372" i="18"/>
  <c r="F1127" i="18"/>
  <c r="D634" i="17"/>
  <c r="C1124" i="17"/>
  <c r="D1617" i="18"/>
  <c r="C634" i="17"/>
  <c r="D1127" i="18"/>
  <c r="C879" i="17"/>
  <c r="D1372" i="18"/>
  <c r="D1862" i="18"/>
  <c r="C1369" i="17"/>
  <c r="B1369" i="17"/>
  <c r="B1862" i="18"/>
  <c r="B1127" i="18"/>
  <c r="B634" i="17"/>
  <c r="B879" i="17"/>
  <c r="B1372" i="18"/>
  <c r="B1124" i="17"/>
  <c r="B1617" i="18"/>
  <c r="E633" i="17"/>
  <c r="H1126" i="18"/>
  <c r="E878" i="17"/>
  <c r="H1371" i="18"/>
  <c r="E1123" i="17"/>
  <c r="H1616" i="18"/>
  <c r="H1861" i="18"/>
  <c r="E1368" i="17"/>
  <c r="D633" i="17"/>
  <c r="F1126" i="18"/>
  <c r="D1123" i="17"/>
  <c r="F1616" i="18"/>
  <c r="D1368" i="17"/>
  <c r="F1861" i="18"/>
  <c r="F1371" i="18"/>
  <c r="D878" i="17"/>
  <c r="C1368" i="17"/>
  <c r="D1861" i="18"/>
  <c r="C878" i="17"/>
  <c r="D1371" i="18"/>
  <c r="D1126" i="18"/>
  <c r="C633" i="17"/>
  <c r="D1616" i="18"/>
  <c r="C1123" i="17"/>
  <c r="B878" i="17"/>
  <c r="B1371" i="18"/>
  <c r="B1123" i="17"/>
  <c r="B1616" i="18"/>
  <c r="B1126" i="18"/>
  <c r="B633" i="17"/>
  <c r="B1861" i="18"/>
  <c r="B1368" i="17"/>
  <c r="E877" i="17"/>
  <c r="H1370" i="18"/>
  <c r="E1367" i="17"/>
  <c r="H1860" i="18"/>
  <c r="H1125" i="18"/>
  <c r="E632" i="17"/>
  <c r="H1615" i="18"/>
  <c r="E1122" i="17"/>
  <c r="D1367" i="17"/>
  <c r="F1860" i="18"/>
  <c r="D1122" i="17"/>
  <c r="F1615" i="18"/>
  <c r="F1125" i="18"/>
  <c r="D632" i="17"/>
  <c r="F1370" i="18"/>
  <c r="D877" i="17"/>
  <c r="C632" i="17"/>
  <c r="D1125" i="18"/>
  <c r="C1122" i="17"/>
  <c r="D1615" i="18"/>
  <c r="C877" i="17"/>
  <c r="D1370" i="18"/>
  <c r="C1367" i="17"/>
  <c r="D1860" i="18"/>
  <c r="B877" i="17"/>
  <c r="B1370" i="18"/>
  <c r="B1367" i="17"/>
  <c r="B1860" i="18"/>
  <c r="B1125" i="18"/>
  <c r="B632" i="17"/>
  <c r="B1615" i="18"/>
  <c r="B1122" i="17"/>
  <c r="E631" i="17"/>
  <c r="H1124" i="18"/>
  <c r="E1366" i="17"/>
  <c r="H1859" i="18"/>
  <c r="E876" i="17"/>
  <c r="H1369" i="18"/>
  <c r="E1121" i="17"/>
  <c r="H1614" i="18"/>
  <c r="D876" i="17"/>
  <c r="F1369" i="18"/>
  <c r="D1121" i="17"/>
  <c r="F1614" i="18"/>
  <c r="F1124" i="18"/>
  <c r="D631" i="17"/>
  <c r="D1366" i="17"/>
  <c r="F1859" i="18"/>
  <c r="C631" i="17"/>
  <c r="D1124" i="18"/>
  <c r="C876" i="17"/>
  <c r="D1369" i="18"/>
  <c r="C1366" i="17"/>
  <c r="D1859" i="18"/>
  <c r="C1121" i="17"/>
  <c r="D1614" i="18"/>
  <c r="B1121" i="17"/>
  <c r="B1614" i="18"/>
  <c r="B1124" i="18"/>
  <c r="B631" i="17"/>
  <c r="B876" i="17"/>
  <c r="B1369" i="18"/>
  <c r="B1859" i="18"/>
  <c r="B1366" i="17"/>
  <c r="E1365" i="17"/>
  <c r="H1858" i="18"/>
  <c r="E630" i="17"/>
  <c r="H1123" i="18"/>
  <c r="E1120" i="17"/>
  <c r="H1613" i="18"/>
  <c r="E875" i="17"/>
  <c r="H1368" i="18"/>
  <c r="D1120" i="17"/>
  <c r="F1613" i="18"/>
  <c r="F1123" i="18"/>
  <c r="D630" i="17"/>
  <c r="F1368" i="18"/>
  <c r="D875" i="17"/>
  <c r="F1858" i="18"/>
  <c r="D1365" i="17"/>
  <c r="C875" i="17"/>
  <c r="D1368" i="18"/>
  <c r="D1123" i="18"/>
  <c r="C630" i="17"/>
  <c r="C1120" i="17"/>
  <c r="D1613" i="18"/>
  <c r="C1365" i="17"/>
  <c r="D1858" i="18"/>
  <c r="B875" i="17"/>
  <c r="B1368" i="18"/>
  <c r="B630" i="17"/>
  <c r="B1123" i="18"/>
  <c r="B1120" i="17"/>
  <c r="B1613" i="18"/>
  <c r="B1858" i="18"/>
  <c r="B1365" i="17"/>
  <c r="E629" i="17"/>
  <c r="H1122" i="18"/>
  <c r="E874" i="17"/>
  <c r="H1367" i="18"/>
  <c r="E1119" i="17"/>
  <c r="H1612" i="18"/>
  <c r="E1364" i="17"/>
  <c r="H1857" i="18"/>
  <c r="D1119" i="17"/>
  <c r="F1612" i="18"/>
  <c r="D1364" i="17"/>
  <c r="F1857" i="18"/>
  <c r="F1122" i="18"/>
  <c r="D629" i="17"/>
  <c r="F1367" i="18"/>
  <c r="D874" i="17"/>
  <c r="C874" i="17"/>
  <c r="D1367" i="18"/>
  <c r="C629" i="17"/>
  <c r="D1122" i="18"/>
  <c r="C1364" i="17"/>
  <c r="D1857" i="18"/>
  <c r="C1119" i="17"/>
  <c r="D1612" i="18"/>
  <c r="B1122" i="18"/>
  <c r="B629" i="17"/>
  <c r="B1367" i="18"/>
  <c r="B874" i="17"/>
  <c r="B1612" i="18"/>
  <c r="B1119" i="17"/>
  <c r="B1857" i="18"/>
  <c r="B1364" i="17"/>
  <c r="E873" i="17"/>
  <c r="H1366" i="18"/>
  <c r="H1121" i="18"/>
  <c r="E628" i="17"/>
  <c r="E1118" i="17"/>
  <c r="H1611" i="18"/>
  <c r="E1363" i="17"/>
  <c r="H1856" i="18"/>
  <c r="D628" i="17"/>
  <c r="F1121" i="18"/>
  <c r="D1118" i="17"/>
  <c r="F1611" i="18"/>
  <c r="D1363" i="17"/>
  <c r="F1856" i="18"/>
  <c r="D873" i="17"/>
  <c r="F1366" i="18"/>
  <c r="C1363" i="17"/>
  <c r="D1856" i="18"/>
  <c r="C873" i="17"/>
  <c r="D1366" i="18"/>
  <c r="D1121" i="18"/>
  <c r="C628" i="17"/>
  <c r="D1611" i="18"/>
  <c r="C1118" i="17"/>
  <c r="B628" i="17"/>
  <c r="B1121" i="18"/>
  <c r="B1118" i="17"/>
  <c r="B1611" i="18"/>
  <c r="B1366" i="18"/>
  <c r="B873" i="17"/>
  <c r="B1856" i="18"/>
  <c r="B1363" i="17"/>
  <c r="E872" i="17"/>
  <c r="H1365" i="18"/>
  <c r="E1117" i="17"/>
  <c r="H1610" i="18"/>
  <c r="E1362" i="17"/>
  <c r="H1855" i="18"/>
  <c r="H1120" i="18"/>
  <c r="E627" i="17"/>
  <c r="D1362" i="17"/>
  <c r="F1855" i="18"/>
  <c r="D627" i="17"/>
  <c r="F1120" i="18"/>
  <c r="D872" i="17"/>
  <c r="F1365" i="18"/>
  <c r="F1610" i="18"/>
  <c r="D1117" i="17"/>
  <c r="C872" i="17"/>
  <c r="D1365" i="18"/>
  <c r="D1120" i="18"/>
  <c r="C627" i="17"/>
  <c r="C1117" i="17"/>
  <c r="D1610" i="18"/>
  <c r="C1362" i="17"/>
  <c r="D1855" i="18"/>
  <c r="B872" i="17"/>
  <c r="B1365" i="18"/>
  <c r="B627" i="17"/>
  <c r="B1120" i="18"/>
  <c r="B1117" i="17"/>
  <c r="B1610" i="18"/>
  <c r="B1362" i="17"/>
  <c r="B1855" i="18"/>
  <c r="E871" i="17"/>
  <c r="H1364" i="18"/>
  <c r="H1119" i="18"/>
  <c r="E626" i="17"/>
  <c r="H1609" i="18"/>
  <c r="E1116" i="17"/>
  <c r="H1854" i="18"/>
  <c r="E1361" i="17"/>
  <c r="D1116" i="17"/>
  <c r="F1609" i="18"/>
  <c r="D1361" i="17"/>
  <c r="F1854" i="18"/>
  <c r="F1119" i="18"/>
  <c r="D626" i="17"/>
  <c r="F1364" i="18"/>
  <c r="D871" i="17"/>
  <c r="C626" i="17"/>
  <c r="D1119" i="18"/>
  <c r="C871" i="17"/>
  <c r="D1364" i="18"/>
  <c r="D1609" i="18"/>
  <c r="C1116" i="17"/>
  <c r="D1854" i="18"/>
  <c r="C1361" i="17"/>
  <c r="B626" i="17"/>
  <c r="B1119" i="18"/>
  <c r="B1116" i="17"/>
  <c r="B1609" i="18"/>
  <c r="B871" i="17"/>
  <c r="B1364" i="18"/>
  <c r="B1361" i="17"/>
  <c r="B1854" i="18"/>
  <c r="E625" i="17"/>
  <c r="H1118" i="18"/>
  <c r="E870" i="17"/>
  <c r="H1363" i="18"/>
  <c r="E1360" i="17"/>
  <c r="H1853" i="18"/>
  <c r="H1608" i="18"/>
  <c r="E1115" i="17"/>
  <c r="D870" i="17"/>
  <c r="F1363" i="18"/>
  <c r="D1115" i="17"/>
  <c r="F1608" i="18"/>
  <c r="D1360" i="17"/>
  <c r="F1853" i="18"/>
  <c r="F1118" i="18"/>
  <c r="D625" i="17"/>
  <c r="C1115" i="17"/>
  <c r="D1608" i="18"/>
  <c r="D1118" i="18"/>
  <c r="C625" i="17"/>
  <c r="C870" i="17"/>
  <c r="D1363" i="18"/>
  <c r="D1853" i="18"/>
  <c r="C1360" i="17"/>
  <c r="B625" i="17"/>
  <c r="B1118" i="18"/>
  <c r="B1360" i="17"/>
  <c r="B1853" i="18"/>
  <c r="B870" i="17"/>
  <c r="B1363" i="18"/>
  <c r="B1115" i="17"/>
  <c r="B1608" i="18"/>
  <c r="E869" i="17"/>
  <c r="H1362" i="18"/>
  <c r="E1114" i="17"/>
  <c r="H1607" i="18"/>
  <c r="E1359" i="17"/>
  <c r="H1852" i="18"/>
  <c r="H1117" i="18"/>
  <c r="E624" i="17"/>
  <c r="D624" i="17"/>
  <c r="F1117" i="18"/>
  <c r="D1359" i="17"/>
  <c r="F1852" i="18"/>
  <c r="D869" i="17"/>
  <c r="F1362" i="18"/>
  <c r="D1114" i="17"/>
  <c r="F1607" i="18"/>
  <c r="C1114" i="17"/>
  <c r="D1607" i="18"/>
  <c r="C1359" i="17"/>
  <c r="D1852" i="18"/>
  <c r="D1117" i="18"/>
  <c r="C624" i="17"/>
  <c r="C869" i="17"/>
  <c r="D1362" i="18"/>
  <c r="B624" i="17"/>
  <c r="B1117" i="18"/>
  <c r="B869" i="17"/>
  <c r="B1362" i="18"/>
  <c r="B1359" i="17"/>
  <c r="B1852" i="18"/>
  <c r="B1114" i="17"/>
  <c r="B1607" i="18"/>
  <c r="E1358" i="17"/>
  <c r="H1851" i="18"/>
  <c r="E623" i="17"/>
  <c r="H1116" i="18"/>
  <c r="E868" i="17"/>
  <c r="H1361" i="18"/>
  <c r="E1113" i="17"/>
  <c r="H1606" i="18"/>
  <c r="D623" i="17"/>
  <c r="F1116" i="18"/>
  <c r="D868" i="17"/>
  <c r="F1361" i="18"/>
  <c r="D1358" i="17"/>
  <c r="F1851" i="18"/>
  <c r="F1606" i="18"/>
  <c r="D1113" i="17"/>
  <c r="C868" i="17"/>
  <c r="D1361" i="18"/>
  <c r="C1113" i="17"/>
  <c r="D1606" i="18"/>
  <c r="D1116" i="18"/>
  <c r="C623" i="17"/>
  <c r="D1851" i="18"/>
  <c r="C1358" i="17"/>
  <c r="B623" i="17"/>
  <c r="B1116" i="18"/>
  <c r="B1358" i="17"/>
  <c r="B1851" i="18"/>
  <c r="B1361" i="18"/>
  <c r="B868" i="17"/>
  <c r="B1606" i="18"/>
  <c r="B1113" i="17"/>
  <c r="E622" i="17"/>
  <c r="H1115" i="18"/>
  <c r="E1112" i="17"/>
  <c r="H1605" i="18"/>
  <c r="E1357" i="17"/>
  <c r="H1850" i="18"/>
  <c r="H1360" i="18"/>
  <c r="E867" i="17"/>
  <c r="D622" i="17"/>
  <c r="F1115" i="18"/>
  <c r="D867" i="17"/>
  <c r="F1360" i="18"/>
  <c r="D1112" i="17"/>
  <c r="F1605" i="18"/>
  <c r="F1850" i="18"/>
  <c r="D1357" i="17"/>
  <c r="C1357" i="17"/>
  <c r="D1850" i="18"/>
  <c r="C622" i="17"/>
  <c r="D1115" i="18"/>
  <c r="C867" i="17"/>
  <c r="D1360" i="18"/>
  <c r="D1605" i="18"/>
  <c r="C1112" i="17"/>
  <c r="B622" i="17"/>
  <c r="B1115" i="18"/>
  <c r="B1112" i="17"/>
  <c r="B1605" i="18"/>
  <c r="B1357" i="17"/>
  <c r="B1850" i="18"/>
  <c r="B1360" i="18"/>
  <c r="B867" i="17"/>
  <c r="E1356" i="17"/>
  <c r="H1849" i="18"/>
  <c r="H1114" i="18"/>
  <c r="E621" i="17"/>
  <c r="H1359" i="18"/>
  <c r="E866" i="17"/>
  <c r="H1604" i="18"/>
  <c r="E1111" i="17"/>
  <c r="D1111" i="17"/>
  <c r="F1604" i="18"/>
  <c r="D866" i="17"/>
  <c r="F1359" i="18"/>
  <c r="D1356" i="17"/>
  <c r="F1849" i="18"/>
  <c r="F1114" i="18"/>
  <c r="D621" i="17"/>
  <c r="C866" i="17"/>
  <c r="D1359" i="18"/>
  <c r="C1111" i="17"/>
  <c r="D1604" i="18"/>
  <c r="C1356" i="17"/>
  <c r="D1849" i="18"/>
  <c r="D1114" i="18"/>
  <c r="C621" i="17"/>
  <c r="B1356" i="17"/>
  <c r="B1849" i="18"/>
  <c r="B621" i="17"/>
  <c r="B1114" i="18"/>
  <c r="B1111" i="17"/>
  <c r="B1604" i="18"/>
  <c r="B1359" i="18"/>
  <c r="B866" i="17"/>
  <c r="E620" i="17"/>
  <c r="H1113" i="18"/>
  <c r="E865" i="17"/>
  <c r="H1358" i="18"/>
  <c r="E1110" i="17"/>
  <c r="H1603" i="18"/>
  <c r="E1355" i="17"/>
  <c r="H1848" i="18"/>
  <c r="D1355" i="17"/>
  <c r="F1848" i="18"/>
  <c r="D865" i="17"/>
  <c r="F1358" i="18"/>
  <c r="D1110" i="17"/>
  <c r="F1603" i="18"/>
  <c r="F1113" i="18"/>
  <c r="D620" i="17"/>
  <c r="C865" i="17"/>
  <c r="D1358" i="18"/>
  <c r="C1355" i="17"/>
  <c r="D1848" i="18"/>
  <c r="D1113" i="18"/>
  <c r="C620" i="17"/>
  <c r="D1603" i="18"/>
  <c r="C1110" i="17"/>
  <c r="B620" i="17"/>
  <c r="B1113" i="18"/>
  <c r="B1110" i="17"/>
  <c r="B1603" i="18"/>
  <c r="B865" i="17"/>
  <c r="B1358" i="18"/>
  <c r="B1848" i="18"/>
  <c r="B1355" i="17"/>
  <c r="E1354" i="17"/>
  <c r="H1847" i="18"/>
  <c r="H1112" i="18"/>
  <c r="E619" i="17"/>
  <c r="H1357" i="18"/>
  <c r="E864" i="17"/>
  <c r="H1602" i="18"/>
  <c r="E1109" i="17"/>
  <c r="D864" i="17"/>
  <c r="F1357" i="18"/>
  <c r="D1109" i="17"/>
  <c r="F1602" i="18"/>
  <c r="F1112" i="18"/>
  <c r="D619" i="17"/>
  <c r="F1847" i="18"/>
  <c r="D1354" i="17"/>
  <c r="C1109" i="17"/>
  <c r="D1602" i="18"/>
  <c r="C1354" i="17"/>
  <c r="D1847" i="18"/>
  <c r="D1112" i="18"/>
  <c r="C619" i="17"/>
  <c r="C864" i="17"/>
  <c r="D1357" i="18"/>
  <c r="B864" i="17"/>
  <c r="B1357" i="18"/>
  <c r="B619" i="17"/>
  <c r="B1112" i="18"/>
  <c r="B1109" i="17"/>
  <c r="B1602" i="18"/>
  <c r="B1354" i="17"/>
  <c r="B1847" i="18"/>
  <c r="E863" i="17"/>
  <c r="H1356" i="18"/>
  <c r="E1353" i="17"/>
  <c r="H1846" i="18"/>
  <c r="H1111" i="18"/>
  <c r="E618" i="17"/>
  <c r="H1601" i="18"/>
  <c r="E1108" i="17"/>
  <c r="D618" i="17"/>
  <c r="F1111" i="18"/>
  <c r="D1353" i="17"/>
  <c r="F1846" i="18"/>
  <c r="D1108" i="17"/>
  <c r="F1601" i="18"/>
  <c r="F1356" i="18"/>
  <c r="D863" i="17"/>
  <c r="C1353" i="17"/>
  <c r="D1846" i="18"/>
  <c r="C863" i="17"/>
  <c r="D1356" i="18"/>
  <c r="D1111" i="18"/>
  <c r="C618" i="17"/>
  <c r="D1601" i="18"/>
  <c r="C1108" i="17"/>
  <c r="B1353" i="17"/>
  <c r="B1846" i="18"/>
  <c r="B618" i="17"/>
  <c r="B1111" i="18"/>
  <c r="B863" i="17"/>
  <c r="B1356" i="18"/>
  <c r="B1108" i="17"/>
  <c r="B1601" i="18"/>
  <c r="E1352" i="17"/>
  <c r="H1845" i="18"/>
  <c r="E1107" i="17"/>
  <c r="H1600" i="18"/>
  <c r="H1110" i="18"/>
  <c r="E617" i="17"/>
  <c r="H1355" i="18"/>
  <c r="E862" i="17"/>
  <c r="D617" i="17"/>
  <c r="F1110" i="18"/>
  <c r="D862" i="17"/>
  <c r="F1355" i="18"/>
  <c r="D1352" i="17"/>
  <c r="F1845" i="18"/>
  <c r="F1600" i="18"/>
  <c r="D1107" i="17"/>
  <c r="C1107" i="17"/>
  <c r="D1600" i="18"/>
  <c r="D1110" i="18"/>
  <c r="C617" i="17"/>
  <c r="D1355" i="18"/>
  <c r="C862" i="17"/>
  <c r="D1845" i="18"/>
  <c r="C1352" i="17"/>
  <c r="B1352" i="17"/>
  <c r="B1845" i="18"/>
  <c r="B862" i="17"/>
  <c r="B1355" i="18"/>
  <c r="B1107" i="17"/>
  <c r="B1600" i="18"/>
  <c r="B1110" i="18"/>
  <c r="B617" i="17"/>
  <c r="E616" i="17"/>
  <c r="H1109" i="18"/>
  <c r="E1351" i="17"/>
  <c r="H1844" i="18"/>
  <c r="E1106" i="17"/>
  <c r="H1599" i="18"/>
  <c r="E861" i="17"/>
  <c r="H1354" i="18"/>
  <c r="D1106" i="17"/>
  <c r="F1599" i="18"/>
  <c r="D1351" i="17"/>
  <c r="F1844" i="18"/>
  <c r="D861" i="17"/>
  <c r="F1354" i="18"/>
  <c r="F1109" i="18"/>
  <c r="D616" i="17"/>
  <c r="C616" i="17"/>
  <c r="D1109" i="18"/>
  <c r="C861" i="17"/>
  <c r="D1354" i="18"/>
  <c r="D1599" i="18"/>
  <c r="C1106" i="17"/>
  <c r="D1844" i="18"/>
  <c r="C1351" i="17"/>
  <c r="B1106" i="17"/>
  <c r="B1599" i="18"/>
  <c r="B1109" i="18"/>
  <c r="B616" i="17"/>
  <c r="B861" i="17"/>
  <c r="B1354" i="18"/>
  <c r="B1351" i="17"/>
  <c r="B1844" i="18"/>
  <c r="E1350" i="17"/>
  <c r="H1843" i="18"/>
  <c r="H1108" i="18"/>
  <c r="E615" i="17"/>
  <c r="E860" i="17"/>
  <c r="H1353" i="18"/>
  <c r="H1598" i="18"/>
  <c r="E1105" i="17"/>
  <c r="D1350" i="17"/>
  <c r="F1843" i="18"/>
  <c r="D1105" i="17"/>
  <c r="F1598" i="18"/>
  <c r="F1108" i="18"/>
  <c r="D615" i="17"/>
  <c r="F1353" i="18"/>
  <c r="D860" i="17"/>
  <c r="C615" i="17"/>
  <c r="D1108" i="18"/>
  <c r="C860" i="17"/>
  <c r="D1353" i="18"/>
  <c r="D1598" i="18"/>
  <c r="C1105" i="17"/>
  <c r="D1843" i="18"/>
  <c r="C1350" i="17"/>
  <c r="B1105" i="17"/>
  <c r="B1598" i="18"/>
  <c r="B615" i="17"/>
  <c r="B1108" i="18"/>
  <c r="B860" i="17"/>
  <c r="B1353" i="18"/>
  <c r="B1350" i="17"/>
  <c r="B1843" i="18"/>
  <c r="E859" i="17"/>
  <c r="H1352" i="18"/>
  <c r="H1107" i="18"/>
  <c r="E614" i="17"/>
  <c r="H1597" i="18"/>
  <c r="E1104" i="17"/>
  <c r="H1842" i="18"/>
  <c r="E1349" i="17"/>
  <c r="D1349" i="17"/>
  <c r="F1842" i="18"/>
  <c r="F1107" i="18"/>
  <c r="D614" i="17"/>
  <c r="D1104" i="17"/>
  <c r="F1597" i="18"/>
  <c r="F1352" i="18"/>
  <c r="D859" i="17"/>
  <c r="C859" i="17"/>
  <c r="D1352" i="18"/>
  <c r="C1349" i="17"/>
  <c r="D1842" i="18"/>
  <c r="D1107" i="18"/>
  <c r="C614" i="17"/>
  <c r="D1597" i="18"/>
  <c r="C1104" i="17"/>
  <c r="B614" i="17"/>
  <c r="B1107" i="18"/>
  <c r="B859" i="17"/>
  <c r="B1352" i="18"/>
  <c r="B1104" i="17"/>
  <c r="B1597" i="18"/>
  <c r="B1349" i="17"/>
  <c r="B1842" i="18"/>
  <c r="E1103" i="17"/>
  <c r="H1596" i="18"/>
  <c r="E858" i="17"/>
  <c r="H1351" i="18"/>
  <c r="E1348" i="17"/>
  <c r="H1841" i="18"/>
  <c r="H1106" i="18"/>
  <c r="E613" i="17"/>
  <c r="D613" i="17"/>
  <c r="F1106" i="18"/>
  <c r="D1103" i="17"/>
  <c r="F1596" i="18"/>
  <c r="D858" i="17"/>
  <c r="F1351" i="18"/>
  <c r="D1348" i="17"/>
  <c r="F1841" i="18"/>
  <c r="C1103" i="17"/>
  <c r="D1596" i="18"/>
  <c r="D1106" i="18"/>
  <c r="C613" i="17"/>
  <c r="D1351" i="18"/>
  <c r="C858" i="17"/>
  <c r="D1841" i="18"/>
  <c r="C1348" i="17"/>
  <c r="B858" i="17"/>
  <c r="B1351" i="18"/>
  <c r="B613" i="17"/>
  <c r="B1106" i="18"/>
  <c r="B1596" i="18"/>
  <c r="B1103" i="17"/>
  <c r="B1841" i="18"/>
  <c r="B1348" i="17"/>
  <c r="E857" i="17"/>
  <c r="H1350" i="18"/>
  <c r="E612" i="17"/>
  <c r="H1105" i="18"/>
  <c r="E1347" i="17"/>
  <c r="H1840" i="18"/>
  <c r="H1595" i="18"/>
  <c r="E1102" i="17"/>
  <c r="D1347" i="17"/>
  <c r="F1840" i="18"/>
  <c r="D612" i="17"/>
  <c r="F1105" i="18"/>
  <c r="F1350" i="18"/>
  <c r="D857" i="17"/>
  <c r="F1595" i="18"/>
  <c r="D1102" i="17"/>
  <c r="C857" i="17"/>
  <c r="D1350" i="18"/>
  <c r="C1102" i="17"/>
  <c r="D1595" i="18"/>
  <c r="D1105" i="18"/>
  <c r="C612" i="17"/>
  <c r="D1840" i="18"/>
  <c r="C1347" i="17"/>
  <c r="B1347" i="17"/>
  <c r="B1840" i="18"/>
  <c r="B1105" i="18"/>
  <c r="B612" i="17"/>
  <c r="B857" i="17"/>
  <c r="B1350" i="18"/>
  <c r="B1595" i="18"/>
  <c r="B1102" i="17"/>
  <c r="E611" i="17"/>
  <c r="H1104" i="18"/>
  <c r="E856" i="17"/>
  <c r="H1349" i="18"/>
  <c r="E1101" i="17"/>
  <c r="H1594" i="18"/>
  <c r="E1346" i="17"/>
  <c r="H1839" i="18"/>
  <c r="D1101" i="17"/>
  <c r="F1594" i="18"/>
  <c r="F1104" i="18"/>
  <c r="D611" i="17"/>
  <c r="F1349" i="18"/>
  <c r="D856" i="17"/>
  <c r="F1839" i="18"/>
  <c r="D1346" i="17"/>
  <c r="C856" i="17"/>
  <c r="D1349" i="18"/>
  <c r="C1346" i="17"/>
  <c r="D1839" i="18"/>
  <c r="D1104" i="18"/>
  <c r="C611" i="17"/>
  <c r="D1594" i="18"/>
  <c r="C1101" i="17"/>
  <c r="B1101" i="17"/>
  <c r="B1594" i="18"/>
  <c r="B611" i="17"/>
  <c r="B1104" i="18"/>
  <c r="B856" i="17"/>
  <c r="B1349" i="18"/>
  <c r="B1839" i="18"/>
  <c r="B1346" i="17"/>
  <c r="E855" i="17"/>
  <c r="H1348" i="18"/>
  <c r="E1100" i="17"/>
  <c r="H1593" i="18"/>
  <c r="E1345" i="17"/>
  <c r="H1838" i="18"/>
  <c r="H1103" i="18"/>
  <c r="E610" i="17"/>
  <c r="D610" i="17"/>
  <c r="F1103" i="18"/>
  <c r="D1345" i="17"/>
  <c r="F1838" i="18"/>
  <c r="F1348" i="18"/>
  <c r="D855" i="17"/>
  <c r="F1593" i="18"/>
  <c r="D1100" i="17"/>
  <c r="C855" i="17"/>
  <c r="D1348" i="18"/>
  <c r="D1103" i="18"/>
  <c r="C610" i="17"/>
  <c r="D1593" i="18"/>
  <c r="C1100" i="17"/>
  <c r="D1838" i="18"/>
  <c r="C1345" i="17"/>
  <c r="B1345" i="17"/>
  <c r="B1838" i="18"/>
  <c r="B1103" i="18"/>
  <c r="B610" i="17"/>
  <c r="B855" i="17"/>
  <c r="B1348" i="18"/>
  <c r="B1593" i="18"/>
  <c r="B1100" i="17"/>
  <c r="E609" i="17"/>
  <c r="H1102" i="18"/>
  <c r="E854" i="17"/>
  <c r="H1347" i="18"/>
  <c r="H1592" i="18"/>
  <c r="E1099" i="17"/>
  <c r="H1837" i="18"/>
  <c r="E1344" i="17"/>
  <c r="D1099" i="17"/>
  <c r="F1592" i="18"/>
  <c r="D1344" i="17"/>
  <c r="F1837" i="18"/>
  <c r="D854" i="17"/>
  <c r="F1347" i="18"/>
  <c r="F1102" i="18"/>
  <c r="D609" i="17"/>
  <c r="C1099" i="17"/>
  <c r="D1592" i="18"/>
  <c r="D1102" i="18"/>
  <c r="C609" i="17"/>
  <c r="D1347" i="18"/>
  <c r="C854" i="17"/>
  <c r="D1837" i="18"/>
  <c r="C1344" i="17"/>
  <c r="B609" i="17"/>
  <c r="B1102" i="18"/>
  <c r="B854" i="17"/>
  <c r="B1347" i="18"/>
  <c r="B1592" i="18"/>
  <c r="B1099" i="17"/>
  <c r="B1837" i="18"/>
  <c r="B1344" i="17"/>
  <c r="E1343" i="17"/>
  <c r="H1836" i="18"/>
  <c r="H1346" i="18"/>
  <c r="E853" i="17"/>
  <c r="H1591" i="18"/>
  <c r="E1098" i="17"/>
  <c r="H1101" i="18"/>
  <c r="E608" i="17"/>
  <c r="D608" i="17"/>
  <c r="F1101" i="18"/>
  <c r="F1346" i="18"/>
  <c r="D853" i="17"/>
  <c r="F1836" i="18"/>
  <c r="D1343" i="17"/>
  <c r="F1591" i="18"/>
  <c r="D1098" i="17"/>
  <c r="C1343" i="17"/>
  <c r="D1836" i="18"/>
  <c r="C1098" i="17"/>
  <c r="D1591" i="18"/>
  <c r="D1101" i="18"/>
  <c r="C608" i="17"/>
  <c r="D1346" i="18"/>
  <c r="C853" i="17"/>
  <c r="B1098" i="17"/>
  <c r="B1591" i="18"/>
  <c r="B1343" i="17"/>
  <c r="B1836" i="18"/>
  <c r="B608" i="17"/>
  <c r="B1101" i="18"/>
  <c r="B853" i="17"/>
  <c r="B1346" i="18"/>
  <c r="E852" i="17"/>
  <c r="H1345" i="18"/>
  <c r="H1100" i="18"/>
  <c r="E607" i="17"/>
  <c r="E1342" i="17"/>
  <c r="H1835" i="18"/>
  <c r="H1590" i="18"/>
  <c r="E1097" i="17"/>
  <c r="D1342" i="17"/>
  <c r="F1835" i="18"/>
  <c r="D607" i="17"/>
  <c r="F1100" i="18"/>
  <c r="D852" i="17"/>
  <c r="F1345" i="18"/>
  <c r="F1590" i="18"/>
  <c r="D1097" i="17"/>
  <c r="C607" i="17"/>
  <c r="D1100" i="18"/>
  <c r="C1097" i="17"/>
  <c r="D1590" i="18"/>
  <c r="D1345" i="18"/>
  <c r="C852" i="17"/>
  <c r="D1835" i="18"/>
  <c r="C1342" i="17"/>
  <c r="B1097" i="17"/>
  <c r="B1590" i="18"/>
  <c r="B1342" i="17"/>
  <c r="B1835" i="18"/>
  <c r="B1345" i="18"/>
  <c r="B852" i="17"/>
  <c r="B1100" i="18"/>
  <c r="B607" i="17"/>
  <c r="E851" i="17"/>
  <c r="H1344" i="18"/>
  <c r="E1096" i="17"/>
  <c r="H1589" i="18"/>
  <c r="H1099" i="18"/>
  <c r="E606" i="17"/>
  <c r="H1834" i="18"/>
  <c r="E1341" i="17"/>
  <c r="D1341" i="17"/>
  <c r="F1834" i="18"/>
  <c r="D1096" i="17"/>
  <c r="F1589" i="18"/>
  <c r="D851" i="17"/>
  <c r="F1344" i="18"/>
  <c r="F1099" i="18"/>
  <c r="D606" i="17"/>
  <c r="C606" i="17"/>
  <c r="D1099" i="18"/>
  <c r="C1096" i="17"/>
  <c r="D1589" i="18"/>
  <c r="C1341" i="17"/>
  <c r="D1834" i="18"/>
  <c r="D1344" i="18"/>
  <c r="C851" i="17"/>
  <c r="B1096" i="17"/>
  <c r="B1589" i="18"/>
  <c r="B1341" i="17"/>
  <c r="B1834" i="18"/>
  <c r="B851" i="17"/>
  <c r="B1344" i="18"/>
  <c r="B1099" i="18"/>
  <c r="B606" i="17"/>
  <c r="E850" i="17"/>
  <c r="H1343" i="18"/>
  <c r="E605" i="17"/>
  <c r="H1098" i="18"/>
  <c r="E1340" i="17"/>
  <c r="H1833" i="18"/>
  <c r="E1095" i="17"/>
  <c r="H1588" i="18"/>
  <c r="D1095" i="17"/>
  <c r="F1588" i="18"/>
  <c r="D850" i="17"/>
  <c r="F1343" i="18"/>
  <c r="F1098" i="18"/>
  <c r="D605" i="17"/>
  <c r="F1833" i="18"/>
  <c r="D1340" i="17"/>
  <c r="C1340" i="17"/>
  <c r="D1833" i="18"/>
  <c r="D1098" i="18"/>
  <c r="C605" i="17"/>
  <c r="D1343" i="18"/>
  <c r="C850" i="17"/>
  <c r="D1588" i="18"/>
  <c r="C1095" i="17"/>
  <c r="B850" i="17"/>
  <c r="B1343" i="18"/>
  <c r="B1340" i="17"/>
  <c r="B1833" i="18"/>
  <c r="B1098" i="18"/>
  <c r="B605" i="17"/>
  <c r="B1588" i="18"/>
  <c r="B1095" i="17"/>
  <c r="E604" i="17"/>
  <c r="H1097" i="18"/>
  <c r="E1094" i="17"/>
  <c r="H1587" i="18"/>
  <c r="H1832" i="18"/>
  <c r="E1339" i="17"/>
  <c r="H1342" i="18"/>
  <c r="E849" i="17"/>
  <c r="D1094" i="17"/>
  <c r="F1587" i="18"/>
  <c r="D1339" i="17"/>
  <c r="F1832" i="18"/>
  <c r="F1097" i="18"/>
  <c r="D604" i="17"/>
  <c r="F1342" i="18"/>
  <c r="D849" i="17"/>
  <c r="C604" i="17"/>
  <c r="D1097" i="18"/>
  <c r="C849" i="17"/>
  <c r="D1342" i="18"/>
  <c r="C1339" i="17"/>
  <c r="D1832" i="18"/>
  <c r="D1587" i="18"/>
  <c r="C1094" i="17"/>
  <c r="B849" i="17"/>
  <c r="B1342" i="18"/>
  <c r="B1094" i="17"/>
  <c r="B1587" i="18"/>
  <c r="B1097" i="18"/>
  <c r="B604" i="17"/>
  <c r="B1832" i="18"/>
  <c r="B1339" i="17"/>
  <c r="B1338" i="17"/>
  <c r="B1831" i="18"/>
  <c r="B1093" i="17"/>
  <c r="B1586" i="18"/>
  <c r="B1096" i="18"/>
  <c r="B603" i="17"/>
  <c r="B1341" i="18"/>
  <c r="B848" i="17"/>
  <c r="B846" i="17"/>
  <c r="B1339" i="18"/>
  <c r="B1091" i="17"/>
  <c r="B1584" i="18"/>
  <c r="B1094" i="18"/>
  <c r="B601" i="17"/>
  <c r="B1829" i="18"/>
  <c r="B1336" i="17"/>
  <c r="D1334" i="17"/>
  <c r="F1827" i="18"/>
  <c r="D844" i="17"/>
  <c r="F1337" i="18"/>
  <c r="F1092" i="18"/>
  <c r="D599" i="17"/>
  <c r="F1582" i="18"/>
  <c r="D1089" i="17"/>
  <c r="B597" i="17"/>
  <c r="B1090" i="18"/>
  <c r="B842" i="17"/>
  <c r="B1335" i="18"/>
  <c r="B1087" i="17"/>
  <c r="B1580" i="18"/>
  <c r="B1825" i="18"/>
  <c r="B1332" i="17"/>
  <c r="C596" i="17"/>
  <c r="D1089" i="18"/>
  <c r="C1086" i="17"/>
  <c r="D1579" i="18"/>
  <c r="C841" i="17"/>
  <c r="D1334" i="18"/>
  <c r="D1824" i="18"/>
  <c r="C1331" i="17"/>
  <c r="E595" i="17"/>
  <c r="H1088" i="18"/>
  <c r="E1330" i="17"/>
  <c r="H1823" i="18"/>
  <c r="H1333" i="18"/>
  <c r="E840" i="17"/>
  <c r="H1578" i="18"/>
  <c r="E1085" i="17"/>
  <c r="F1084" i="18"/>
  <c r="D591" i="17"/>
  <c r="D1081" i="17"/>
  <c r="F1574" i="18"/>
  <c r="F1819" i="18"/>
  <c r="D1326" i="17"/>
  <c r="D836" i="17"/>
  <c r="F1329" i="18"/>
  <c r="E1078" i="17"/>
  <c r="H1571" i="18"/>
  <c r="E1323" i="17"/>
  <c r="H1816" i="18"/>
  <c r="H1081" i="18"/>
  <c r="E588" i="17"/>
  <c r="E833" i="17"/>
  <c r="H1326" i="18"/>
  <c r="B1564" i="18"/>
  <c r="B1071" i="17"/>
  <c r="B1074" i="18"/>
  <c r="B581" i="17"/>
  <c r="B826" i="17"/>
  <c r="B1319" i="18"/>
  <c r="B1809" i="18"/>
  <c r="B1316" i="17"/>
  <c r="E580" i="17"/>
  <c r="H1073" i="18"/>
  <c r="E825" i="17"/>
  <c r="H1318" i="18"/>
  <c r="E1315" i="17"/>
  <c r="H1808" i="18"/>
  <c r="H1563" i="18"/>
  <c r="E1070" i="17"/>
  <c r="E577" i="17"/>
  <c r="H1070" i="18"/>
  <c r="E822" i="17"/>
  <c r="H1315" i="18"/>
  <c r="E1067" i="17"/>
  <c r="H1560" i="18"/>
  <c r="E1312" i="17"/>
  <c r="H1805" i="18"/>
  <c r="C576" i="17"/>
  <c r="D1069" i="18"/>
  <c r="C821" i="17"/>
  <c r="D1314" i="18"/>
  <c r="C1066" i="17"/>
  <c r="D1559" i="18"/>
  <c r="C1311" i="17"/>
  <c r="D1804" i="18"/>
  <c r="C574" i="17"/>
  <c r="D1067" i="18"/>
  <c r="C819" i="17"/>
  <c r="D1312" i="18"/>
  <c r="C1064" i="17"/>
  <c r="D1557" i="18"/>
  <c r="C1309" i="17"/>
  <c r="D1802" i="18"/>
  <c r="E571" i="17"/>
  <c r="H1064" i="18"/>
  <c r="E816" i="17"/>
  <c r="H1309" i="18"/>
  <c r="E1061" i="17"/>
  <c r="H1554" i="18"/>
  <c r="E1306" i="17"/>
  <c r="H1799" i="18"/>
  <c r="E567" i="17"/>
  <c r="H1060" i="18"/>
  <c r="E812" i="17"/>
  <c r="H1305" i="18"/>
  <c r="E1057" i="17"/>
  <c r="H1550" i="18"/>
  <c r="E1302" i="17"/>
  <c r="H1795" i="18"/>
  <c r="E561" i="17"/>
  <c r="H1054" i="18"/>
  <c r="E806" i="17"/>
  <c r="H1299" i="18"/>
  <c r="E1051" i="17"/>
  <c r="H1544" i="18"/>
  <c r="E1296" i="17"/>
  <c r="H1789" i="18"/>
  <c r="B511" i="17"/>
  <c r="B1004" i="18"/>
  <c r="B756" i="17"/>
  <c r="B1249" i="18"/>
  <c r="B1001" i="17"/>
  <c r="B1494" i="18"/>
  <c r="B1246" i="17"/>
  <c r="B1739" i="18"/>
  <c r="E509" i="17"/>
  <c r="H1002" i="18"/>
  <c r="E754" i="17"/>
  <c r="H1247" i="18"/>
  <c r="E999" i="17"/>
  <c r="H1492" i="18"/>
  <c r="E1244" i="17"/>
  <c r="H1737" i="18"/>
  <c r="C504" i="17"/>
  <c r="D997" i="18"/>
  <c r="C749" i="17"/>
  <c r="D1242" i="18"/>
  <c r="C994" i="17"/>
  <c r="D1487" i="18"/>
  <c r="C1239" i="17"/>
  <c r="D1732" i="18"/>
  <c r="C503" i="17"/>
  <c r="D996" i="18"/>
  <c r="C748" i="17"/>
  <c r="D1241" i="18"/>
  <c r="C993" i="17"/>
  <c r="D1486" i="18"/>
  <c r="C1238" i="17"/>
  <c r="D1731" i="18"/>
  <c r="J140" i="6"/>
  <c r="O139" i="5"/>
  <c r="E140" i="5"/>
  <c r="AB140" i="5"/>
  <c r="AL139" i="5"/>
  <c r="J134" i="6"/>
  <c r="J124" i="6"/>
  <c r="O117" i="5"/>
  <c r="E118" i="5"/>
  <c r="AL117" i="5"/>
  <c r="AB118" i="5"/>
  <c r="O108" i="5"/>
  <c r="E109" i="5"/>
  <c r="AB109" i="5"/>
  <c r="AL108" i="5"/>
  <c r="AL102" i="5"/>
  <c r="AB103" i="5"/>
  <c r="E103" i="5"/>
  <c r="O102" i="5"/>
  <c r="E560" i="17"/>
  <c r="H1053" i="18"/>
  <c r="E805" i="17"/>
  <c r="H1298" i="18"/>
  <c r="E1050" i="17"/>
  <c r="H1543" i="18"/>
  <c r="E1295" i="17"/>
  <c r="H1788" i="18"/>
  <c r="D560" i="17"/>
  <c r="F1053" i="18"/>
  <c r="D805" i="17"/>
  <c r="F1298" i="18"/>
  <c r="D1050" i="17"/>
  <c r="F1543" i="18"/>
  <c r="D1295" i="17"/>
  <c r="F1788" i="18"/>
  <c r="C560" i="17"/>
  <c r="D1053" i="18"/>
  <c r="C805" i="17"/>
  <c r="D1298" i="18"/>
  <c r="C1050" i="17"/>
  <c r="D1543" i="18"/>
  <c r="C1295" i="17"/>
  <c r="D1788" i="18"/>
  <c r="B560" i="17"/>
  <c r="B1053" i="18"/>
  <c r="B805" i="17"/>
  <c r="B1298" i="18"/>
  <c r="B1050" i="17"/>
  <c r="B1543" i="18"/>
  <c r="B1295" i="17"/>
  <c r="B1788" i="18"/>
  <c r="E559" i="17"/>
  <c r="H1052" i="18"/>
  <c r="E804" i="17"/>
  <c r="H1297" i="18"/>
  <c r="E1049" i="17"/>
  <c r="H1542" i="18"/>
  <c r="E1294" i="17"/>
  <c r="H1787" i="18"/>
  <c r="D559" i="17"/>
  <c r="F1052" i="18"/>
  <c r="D804" i="17"/>
  <c r="F1297" i="18"/>
  <c r="D1049" i="17"/>
  <c r="F1542" i="18"/>
  <c r="D1294" i="17"/>
  <c r="F1787" i="18"/>
  <c r="C559" i="17"/>
  <c r="D1052" i="18"/>
  <c r="C804" i="17"/>
  <c r="D1297" i="18"/>
  <c r="C1049" i="17"/>
  <c r="D1542" i="18"/>
  <c r="C1294" i="17"/>
  <c r="D1787" i="18"/>
  <c r="B559" i="17"/>
  <c r="B1052" i="18"/>
  <c r="B804" i="17"/>
  <c r="B1297" i="18"/>
  <c r="B1049" i="17"/>
  <c r="B1542" i="18"/>
  <c r="B1294" i="17"/>
  <c r="B1787" i="18"/>
  <c r="E558" i="17"/>
  <c r="H1051" i="18"/>
  <c r="E803" i="17"/>
  <c r="H1296" i="18"/>
  <c r="E1048" i="17"/>
  <c r="H1541" i="18"/>
  <c r="E1293" i="17"/>
  <c r="H1786" i="18"/>
  <c r="D558" i="17"/>
  <c r="F1051" i="18"/>
  <c r="D803" i="17"/>
  <c r="F1296" i="18"/>
  <c r="D1048" i="17"/>
  <c r="F1541" i="18"/>
  <c r="D1293" i="17"/>
  <c r="F1786" i="18"/>
  <c r="C558" i="17"/>
  <c r="D1051" i="18"/>
  <c r="C803" i="17"/>
  <c r="D1296" i="18"/>
  <c r="C1048" i="17"/>
  <c r="D1541" i="18"/>
  <c r="C1293" i="17"/>
  <c r="D1786" i="18"/>
  <c r="B558" i="17"/>
  <c r="B1051" i="18"/>
  <c r="B803" i="17"/>
  <c r="B1296" i="18"/>
  <c r="B1048" i="17"/>
  <c r="B1541" i="18"/>
  <c r="B1293" i="17"/>
  <c r="B1786" i="18"/>
  <c r="E557" i="17"/>
  <c r="H1050" i="18"/>
  <c r="E802" i="17"/>
  <c r="H1295" i="18"/>
  <c r="E1047" i="17"/>
  <c r="H1540" i="18"/>
  <c r="E1292" i="17"/>
  <c r="H1785" i="18"/>
  <c r="D557" i="17"/>
  <c r="F1050" i="18"/>
  <c r="D802" i="17"/>
  <c r="F1295" i="18"/>
  <c r="D1047" i="17"/>
  <c r="F1540" i="18"/>
  <c r="D1292" i="17"/>
  <c r="F1785" i="18"/>
  <c r="C557" i="17"/>
  <c r="D1050" i="18"/>
  <c r="C802" i="17"/>
  <c r="D1295" i="18"/>
  <c r="C1047" i="17"/>
  <c r="D1540" i="18"/>
  <c r="C1292" i="17"/>
  <c r="D1785" i="18"/>
  <c r="B557" i="17"/>
  <c r="B1050" i="18"/>
  <c r="B802" i="17"/>
  <c r="B1295" i="18"/>
  <c r="B1047" i="17"/>
  <c r="B1540" i="18"/>
  <c r="B1292" i="17"/>
  <c r="B1785" i="18"/>
  <c r="E556" i="17"/>
  <c r="H1049" i="18"/>
  <c r="E801" i="17"/>
  <c r="H1294" i="18"/>
  <c r="E1046" i="17"/>
  <c r="H1539" i="18"/>
  <c r="E1291" i="17"/>
  <c r="H1784" i="18"/>
  <c r="D556" i="17"/>
  <c r="F1049" i="18"/>
  <c r="D801" i="17"/>
  <c r="F1294" i="18"/>
  <c r="D1046" i="17"/>
  <c r="F1539" i="18"/>
  <c r="D1291" i="17"/>
  <c r="F1784" i="18"/>
  <c r="C556" i="17"/>
  <c r="D1049" i="18"/>
  <c r="C801" i="17"/>
  <c r="D1294" i="18"/>
  <c r="C1046" i="17"/>
  <c r="D1539" i="18"/>
  <c r="C1291" i="17"/>
  <c r="D1784" i="18"/>
  <c r="B556" i="17"/>
  <c r="B1049" i="18"/>
  <c r="B801" i="17"/>
  <c r="B1294" i="18"/>
  <c r="B1046" i="17"/>
  <c r="B1539" i="18"/>
  <c r="B1291" i="17"/>
  <c r="B1784" i="18"/>
  <c r="E555" i="17"/>
  <c r="H1048" i="18"/>
  <c r="E800" i="17"/>
  <c r="H1293" i="18"/>
  <c r="E1045" i="17"/>
  <c r="H1538" i="18"/>
  <c r="E1290" i="17"/>
  <c r="H1783" i="18"/>
  <c r="D555" i="17"/>
  <c r="F1048" i="18"/>
  <c r="D800" i="17"/>
  <c r="F1293" i="18"/>
  <c r="D1045" i="17"/>
  <c r="F1538" i="18"/>
  <c r="D1290" i="17"/>
  <c r="F1783" i="18"/>
  <c r="C555" i="17"/>
  <c r="D1048" i="18"/>
  <c r="C800" i="17"/>
  <c r="D1293" i="18"/>
  <c r="C1045" i="17"/>
  <c r="D1538" i="18"/>
  <c r="C1290" i="17"/>
  <c r="D1783" i="18"/>
  <c r="B555" i="17"/>
  <c r="B1048" i="18"/>
  <c r="B800" i="17"/>
  <c r="B1293" i="18"/>
  <c r="B1045" i="17"/>
  <c r="B1538" i="18"/>
  <c r="B1290" i="17"/>
  <c r="B1783" i="18"/>
  <c r="E554" i="17"/>
  <c r="H1047" i="18"/>
  <c r="E799" i="17"/>
  <c r="H1292" i="18"/>
  <c r="E1044" i="17"/>
  <c r="H1537" i="18"/>
  <c r="E1289" i="17"/>
  <c r="H1782" i="18"/>
  <c r="D554" i="17"/>
  <c r="F1047" i="18"/>
  <c r="D799" i="17"/>
  <c r="F1292" i="18"/>
  <c r="D1044" i="17"/>
  <c r="F1537" i="18"/>
  <c r="D1289" i="17"/>
  <c r="F1782" i="18"/>
  <c r="C554" i="17"/>
  <c r="D1047" i="18"/>
  <c r="C799" i="17"/>
  <c r="D1292" i="18"/>
  <c r="C1044" i="17"/>
  <c r="D1537" i="18"/>
  <c r="C1289" i="17"/>
  <c r="D1782" i="18"/>
  <c r="B554" i="17"/>
  <c r="B1047" i="18"/>
  <c r="B799" i="17"/>
  <c r="B1292" i="18"/>
  <c r="B1044" i="17"/>
  <c r="B1537" i="18"/>
  <c r="B1289" i="17"/>
  <c r="B1782" i="18"/>
  <c r="E553" i="17"/>
  <c r="H1046" i="18"/>
  <c r="E798" i="17"/>
  <c r="H1291" i="18"/>
  <c r="E1043" i="17"/>
  <c r="H1536" i="18"/>
  <c r="E1288" i="17"/>
  <c r="H1781" i="18"/>
  <c r="D553" i="17"/>
  <c r="F1046" i="18"/>
  <c r="D798" i="17"/>
  <c r="F1291" i="18"/>
  <c r="D1043" i="17"/>
  <c r="F1536" i="18"/>
  <c r="D1288" i="17"/>
  <c r="F1781" i="18"/>
  <c r="C553" i="17"/>
  <c r="D1046" i="18"/>
  <c r="C798" i="17"/>
  <c r="D1291" i="18"/>
  <c r="C1043" i="17"/>
  <c r="D1536" i="18"/>
  <c r="C1288" i="17"/>
  <c r="D1781" i="18"/>
  <c r="B553" i="17"/>
  <c r="B1046" i="18"/>
  <c r="B798" i="17"/>
  <c r="B1291" i="18"/>
  <c r="B1043" i="17"/>
  <c r="B1536" i="18"/>
  <c r="B1288" i="17"/>
  <c r="B1781" i="18"/>
  <c r="E552" i="17"/>
  <c r="H1045" i="18"/>
  <c r="E797" i="17"/>
  <c r="H1290" i="18"/>
  <c r="E1042" i="17"/>
  <c r="H1535" i="18"/>
  <c r="E1287" i="17"/>
  <c r="H1780" i="18"/>
  <c r="D552" i="17"/>
  <c r="F1045" i="18"/>
  <c r="D797" i="17"/>
  <c r="F1290" i="18"/>
  <c r="D1042" i="17"/>
  <c r="F1535" i="18"/>
  <c r="D1287" i="17"/>
  <c r="F1780" i="18"/>
  <c r="C552" i="17"/>
  <c r="D1045" i="18"/>
  <c r="C797" i="17"/>
  <c r="D1290" i="18"/>
  <c r="C1042" i="17"/>
  <c r="D1535" i="18"/>
  <c r="C1287" i="17"/>
  <c r="D1780" i="18"/>
  <c r="B552" i="17"/>
  <c r="B1045" i="18"/>
  <c r="B797" i="17"/>
  <c r="B1290" i="18"/>
  <c r="B1042" i="17"/>
  <c r="B1535" i="18"/>
  <c r="B1287" i="17"/>
  <c r="B1780" i="18"/>
  <c r="E551" i="17"/>
  <c r="H1044" i="18"/>
  <c r="E796" i="17"/>
  <c r="H1289" i="18"/>
  <c r="E1041" i="17"/>
  <c r="H1534" i="18"/>
  <c r="E1286" i="17"/>
  <c r="H1779" i="18"/>
  <c r="D551" i="17"/>
  <c r="F1044" i="18"/>
  <c r="D796" i="17"/>
  <c r="F1289" i="18"/>
  <c r="D1041" i="17"/>
  <c r="F1534" i="18"/>
  <c r="D1286" i="17"/>
  <c r="F1779" i="18"/>
  <c r="C551" i="17"/>
  <c r="D1044" i="18"/>
  <c r="C796" i="17"/>
  <c r="D1289" i="18"/>
  <c r="C1041" i="17"/>
  <c r="D1534" i="18"/>
  <c r="C1286" i="17"/>
  <c r="D1779" i="18"/>
  <c r="B551" i="17"/>
  <c r="B1044" i="18"/>
  <c r="B796" i="17"/>
  <c r="B1289" i="18"/>
  <c r="B1041" i="17"/>
  <c r="B1534" i="18"/>
  <c r="B1286" i="17"/>
  <c r="B1779" i="18"/>
  <c r="E550" i="17"/>
  <c r="H1043" i="18"/>
  <c r="E795" i="17"/>
  <c r="H1288" i="18"/>
  <c r="E1040" i="17"/>
  <c r="H1533" i="18"/>
  <c r="E1285" i="17"/>
  <c r="H1778" i="18"/>
  <c r="D550" i="17"/>
  <c r="F1043" i="18"/>
  <c r="D795" i="17"/>
  <c r="F1288" i="18"/>
  <c r="D1040" i="17"/>
  <c r="F1533" i="18"/>
  <c r="D1285" i="17"/>
  <c r="F1778" i="18"/>
  <c r="C550" i="17"/>
  <c r="D1043" i="18"/>
  <c r="C795" i="17"/>
  <c r="D1288" i="18"/>
  <c r="C1040" i="17"/>
  <c r="D1533" i="18"/>
  <c r="C1285" i="17"/>
  <c r="D1778" i="18"/>
  <c r="B550" i="17"/>
  <c r="B1043" i="18"/>
  <c r="B795" i="17"/>
  <c r="B1288" i="18"/>
  <c r="B1040" i="17"/>
  <c r="B1533" i="18"/>
  <c r="B1285" i="17"/>
  <c r="B1778" i="18"/>
  <c r="E549" i="17"/>
  <c r="H1042" i="18"/>
  <c r="E794" i="17"/>
  <c r="H1287" i="18"/>
  <c r="E1039" i="17"/>
  <c r="H1532" i="18"/>
  <c r="E1284" i="17"/>
  <c r="H1777" i="18"/>
  <c r="D549" i="17"/>
  <c r="F1042" i="18"/>
  <c r="D794" i="17"/>
  <c r="F1287" i="18"/>
  <c r="D1039" i="17"/>
  <c r="F1532" i="18"/>
  <c r="D1284" i="17"/>
  <c r="F1777" i="18"/>
  <c r="C549" i="17"/>
  <c r="D1042" i="18"/>
  <c r="C794" i="17"/>
  <c r="D1287" i="18"/>
  <c r="C1039" i="17"/>
  <c r="D1532" i="18"/>
  <c r="C1284" i="17"/>
  <c r="D1777" i="18"/>
  <c r="B549" i="17"/>
  <c r="B1042" i="18"/>
  <c r="B794" i="17"/>
  <c r="B1287" i="18"/>
  <c r="B1039" i="17"/>
  <c r="B1532" i="18"/>
  <c r="B1284" i="17"/>
  <c r="B1777" i="18"/>
  <c r="E548" i="17"/>
  <c r="H1041" i="18"/>
  <c r="E793" i="17"/>
  <c r="H1286" i="18"/>
  <c r="E1038" i="17"/>
  <c r="H1531" i="18"/>
  <c r="E1283" i="17"/>
  <c r="H1776" i="18"/>
  <c r="D548" i="17"/>
  <c r="F1041" i="18"/>
  <c r="D793" i="17"/>
  <c r="F1286" i="18"/>
  <c r="D1038" i="17"/>
  <c r="F1531" i="18"/>
  <c r="D1283" i="17"/>
  <c r="F1776" i="18"/>
  <c r="C548" i="17"/>
  <c r="D1041" i="18"/>
  <c r="C793" i="17"/>
  <c r="D1286" i="18"/>
  <c r="C1038" i="17"/>
  <c r="D1531" i="18"/>
  <c r="C1283" i="17"/>
  <c r="D1776" i="18"/>
  <c r="B548" i="17"/>
  <c r="B1041" i="18"/>
  <c r="B793" i="17"/>
  <c r="B1286" i="18"/>
  <c r="B1038" i="17"/>
  <c r="B1531" i="18"/>
  <c r="B1283" i="17"/>
  <c r="B1776" i="18"/>
  <c r="E547" i="17"/>
  <c r="H1040" i="18"/>
  <c r="E792" i="17"/>
  <c r="H1285" i="18"/>
  <c r="E1037" i="17"/>
  <c r="H1530" i="18"/>
  <c r="E1282" i="17"/>
  <c r="H1775" i="18"/>
  <c r="D547" i="17"/>
  <c r="F1040" i="18"/>
  <c r="D792" i="17"/>
  <c r="F1285" i="18"/>
  <c r="D1037" i="17"/>
  <c r="F1530" i="18"/>
  <c r="D1282" i="17"/>
  <c r="F1775" i="18"/>
  <c r="C547" i="17"/>
  <c r="D1040" i="18"/>
  <c r="C792" i="17"/>
  <c r="D1285" i="18"/>
  <c r="C1037" i="17"/>
  <c r="D1530" i="18"/>
  <c r="C1282" i="17"/>
  <c r="D1775" i="18"/>
  <c r="B547" i="17"/>
  <c r="B1040" i="18"/>
  <c r="B792" i="17"/>
  <c r="B1285" i="18"/>
  <c r="B1037" i="17"/>
  <c r="B1530" i="18"/>
  <c r="B1282" i="17"/>
  <c r="B1775" i="18"/>
  <c r="E546" i="17"/>
  <c r="H1039" i="18"/>
  <c r="E791" i="17"/>
  <c r="H1284" i="18"/>
  <c r="E1036" i="17"/>
  <c r="H1529" i="18"/>
  <c r="E1281" i="17"/>
  <c r="H1774" i="18"/>
  <c r="D546" i="17"/>
  <c r="F1039" i="18"/>
  <c r="D791" i="17"/>
  <c r="F1284" i="18"/>
  <c r="D1036" i="17"/>
  <c r="F1529" i="18"/>
  <c r="D1281" i="17"/>
  <c r="F1774" i="18"/>
  <c r="C546" i="17"/>
  <c r="D1039" i="18"/>
  <c r="C791" i="17"/>
  <c r="D1284" i="18"/>
  <c r="C1036" i="17"/>
  <c r="D1529" i="18"/>
  <c r="C1281" i="17"/>
  <c r="D1774" i="18"/>
  <c r="B546" i="17"/>
  <c r="B1039" i="18"/>
  <c r="B791" i="17"/>
  <c r="B1284" i="18"/>
  <c r="B1036" i="17"/>
  <c r="B1529" i="18"/>
  <c r="B1281" i="17"/>
  <c r="B1774" i="18"/>
  <c r="E545" i="17"/>
  <c r="H1038" i="18"/>
  <c r="E790" i="17"/>
  <c r="H1283" i="18"/>
  <c r="E1035" i="17"/>
  <c r="H1528" i="18"/>
  <c r="E1280" i="17"/>
  <c r="H1773" i="18"/>
  <c r="D545" i="17"/>
  <c r="F1038" i="18"/>
  <c r="D790" i="17"/>
  <c r="F1283" i="18"/>
  <c r="D1035" i="17"/>
  <c r="F1528" i="18"/>
  <c r="D1280" i="17"/>
  <c r="F1773" i="18"/>
  <c r="C545" i="17"/>
  <c r="D1038" i="18"/>
  <c r="C790" i="17"/>
  <c r="D1283" i="18"/>
  <c r="C1035" i="17"/>
  <c r="D1528" i="18"/>
  <c r="C1280" i="17"/>
  <c r="D1773" i="18"/>
  <c r="B545" i="17"/>
  <c r="B1038" i="18"/>
  <c r="B790" i="17"/>
  <c r="B1283" i="18"/>
  <c r="B1035" i="17"/>
  <c r="B1528" i="18"/>
  <c r="B1280" i="17"/>
  <c r="B1773" i="18"/>
  <c r="E544" i="17"/>
  <c r="H1037" i="18"/>
  <c r="E789" i="17"/>
  <c r="H1282" i="18"/>
  <c r="E1034" i="17"/>
  <c r="H1527" i="18"/>
  <c r="E1279" i="17"/>
  <c r="H1772" i="18"/>
  <c r="D544" i="17"/>
  <c r="F1037" i="18"/>
  <c r="D789" i="17"/>
  <c r="F1282" i="18"/>
  <c r="D1034" i="17"/>
  <c r="F1527" i="18"/>
  <c r="D1279" i="17"/>
  <c r="F1772" i="18"/>
  <c r="C544" i="17"/>
  <c r="D1037" i="18"/>
  <c r="C789" i="17"/>
  <c r="D1282" i="18"/>
  <c r="C1034" i="17"/>
  <c r="D1527" i="18"/>
  <c r="C1279" i="17"/>
  <c r="D1772" i="18"/>
  <c r="B544" i="17"/>
  <c r="B1037" i="18"/>
  <c r="B789" i="17"/>
  <c r="B1282" i="18"/>
  <c r="B1034" i="17"/>
  <c r="B1527" i="18"/>
  <c r="B1279" i="17"/>
  <c r="B1772" i="18"/>
  <c r="E543" i="17"/>
  <c r="H1036" i="18"/>
  <c r="E788" i="17"/>
  <c r="H1281" i="18"/>
  <c r="E1033" i="17"/>
  <c r="H1526" i="18"/>
  <c r="E1278" i="17"/>
  <c r="H1771" i="18"/>
  <c r="D543" i="17"/>
  <c r="F1036" i="18"/>
  <c r="D788" i="17"/>
  <c r="F1281" i="18"/>
  <c r="D1033" i="17"/>
  <c r="F1526" i="18"/>
  <c r="D1278" i="17"/>
  <c r="F1771" i="18"/>
  <c r="C543" i="17"/>
  <c r="D1036" i="18"/>
  <c r="C788" i="17"/>
  <c r="D1281" i="18"/>
  <c r="C1033" i="17"/>
  <c r="D1526" i="18"/>
  <c r="C1278" i="17"/>
  <c r="D1771" i="18"/>
  <c r="B543" i="17"/>
  <c r="B1036" i="18"/>
  <c r="B788" i="17"/>
  <c r="B1281" i="18"/>
  <c r="B1033" i="17"/>
  <c r="B1526" i="18"/>
  <c r="B1278" i="17"/>
  <c r="B1771" i="18"/>
  <c r="E542" i="17"/>
  <c r="H1035" i="18"/>
  <c r="E787" i="17"/>
  <c r="H1280" i="18"/>
  <c r="E1032" i="17"/>
  <c r="H1525" i="18"/>
  <c r="E1277" i="17"/>
  <c r="H1770" i="18"/>
  <c r="D542" i="17"/>
  <c r="F1035" i="18"/>
  <c r="D787" i="17"/>
  <c r="F1280" i="18"/>
  <c r="D1032" i="17"/>
  <c r="F1525" i="18"/>
  <c r="D1277" i="17"/>
  <c r="F1770" i="18"/>
  <c r="C542" i="17"/>
  <c r="D1035" i="18"/>
  <c r="C787" i="17"/>
  <c r="D1280" i="18"/>
  <c r="C1032" i="17"/>
  <c r="D1525" i="18"/>
  <c r="C1277" i="17"/>
  <c r="D1770" i="18"/>
  <c r="B542" i="17"/>
  <c r="B1035" i="18"/>
  <c r="B787" i="17"/>
  <c r="B1280" i="18"/>
  <c r="B1032" i="17"/>
  <c r="B1525" i="18"/>
  <c r="B1277" i="17"/>
  <c r="B1770" i="18"/>
  <c r="E541" i="17"/>
  <c r="H1034" i="18"/>
  <c r="E786" i="17"/>
  <c r="H1279" i="18"/>
  <c r="E1031" i="17"/>
  <c r="H1524" i="18"/>
  <c r="E1276" i="17"/>
  <c r="H1769" i="18"/>
  <c r="D541" i="17"/>
  <c r="F1034" i="18"/>
  <c r="D786" i="17"/>
  <c r="F1279" i="18"/>
  <c r="D1031" i="17"/>
  <c r="F1524" i="18"/>
  <c r="D1276" i="17"/>
  <c r="F1769" i="18"/>
  <c r="C541" i="17"/>
  <c r="D1034" i="18"/>
  <c r="C786" i="17"/>
  <c r="D1279" i="18"/>
  <c r="C1031" i="17"/>
  <c r="D1524" i="18"/>
  <c r="C1276" i="17"/>
  <c r="D1769" i="18"/>
  <c r="B541" i="17"/>
  <c r="B1034" i="18"/>
  <c r="B786" i="17"/>
  <c r="B1279" i="18"/>
  <c r="B1031" i="17"/>
  <c r="B1524" i="18"/>
  <c r="B1276" i="17"/>
  <c r="B1769" i="18"/>
  <c r="E540" i="17"/>
  <c r="H1033" i="18"/>
  <c r="E785" i="17"/>
  <c r="H1278" i="18"/>
  <c r="E1030" i="17"/>
  <c r="H1523" i="18"/>
  <c r="E1275" i="17"/>
  <c r="H1768" i="18"/>
  <c r="D540" i="17"/>
  <c r="F1033" i="18"/>
  <c r="D785" i="17"/>
  <c r="F1278" i="18"/>
  <c r="D1030" i="17"/>
  <c r="F1523" i="18"/>
  <c r="D1275" i="17"/>
  <c r="F1768" i="18"/>
  <c r="C540" i="17"/>
  <c r="D1033" i="18"/>
  <c r="C785" i="17"/>
  <c r="D1278" i="18"/>
  <c r="C1030" i="17"/>
  <c r="D1523" i="18"/>
  <c r="C1275" i="17"/>
  <c r="D1768" i="18"/>
  <c r="B540" i="17"/>
  <c r="B1033" i="18"/>
  <c r="B785" i="17"/>
  <c r="B1278" i="18"/>
  <c r="B1030" i="17"/>
  <c r="B1523" i="18"/>
  <c r="B1275" i="17"/>
  <c r="B1768" i="18"/>
  <c r="E539" i="17"/>
  <c r="H1032" i="18"/>
  <c r="E784" i="17"/>
  <c r="H1277" i="18"/>
  <c r="E1029" i="17"/>
  <c r="H1522" i="18"/>
  <c r="E1274" i="17"/>
  <c r="H1767" i="18"/>
  <c r="D539" i="17"/>
  <c r="F1032" i="18"/>
  <c r="D784" i="17"/>
  <c r="F1277" i="18"/>
  <c r="D1029" i="17"/>
  <c r="F1522" i="18"/>
  <c r="D1274" i="17"/>
  <c r="F1767" i="18"/>
  <c r="C539" i="17"/>
  <c r="D1032" i="18"/>
  <c r="C784" i="17"/>
  <c r="D1277" i="18"/>
  <c r="C1029" i="17"/>
  <c r="D1522" i="18"/>
  <c r="C1274" i="17"/>
  <c r="D1767" i="18"/>
  <c r="B539" i="17"/>
  <c r="B1032" i="18"/>
  <c r="B784" i="17"/>
  <c r="B1277" i="18"/>
  <c r="B1029" i="17"/>
  <c r="B1522" i="18"/>
  <c r="B1274" i="17"/>
  <c r="B1767" i="18"/>
  <c r="E538" i="17"/>
  <c r="H1031" i="18"/>
  <c r="E783" i="17"/>
  <c r="H1276" i="18"/>
  <c r="E1028" i="17"/>
  <c r="H1521" i="18"/>
  <c r="E1273" i="17"/>
  <c r="H1766" i="18"/>
  <c r="D538" i="17"/>
  <c r="F1031" i="18"/>
  <c r="D783" i="17"/>
  <c r="F1276" i="18"/>
  <c r="D1028" i="17"/>
  <c r="F1521" i="18"/>
  <c r="D1273" i="17"/>
  <c r="F1766" i="18"/>
  <c r="C538" i="17"/>
  <c r="D1031" i="18"/>
  <c r="C783" i="17"/>
  <c r="D1276" i="18"/>
  <c r="C1028" i="17"/>
  <c r="D1521" i="18"/>
  <c r="C1273" i="17"/>
  <c r="D1766" i="18"/>
  <c r="B538" i="17"/>
  <c r="B1031" i="18"/>
  <c r="B783" i="17"/>
  <c r="B1276" i="18"/>
  <c r="B1028" i="17"/>
  <c r="B1521" i="18"/>
  <c r="B1273" i="17"/>
  <c r="B1766" i="18"/>
  <c r="E537" i="17"/>
  <c r="H1030" i="18"/>
  <c r="E782" i="17"/>
  <c r="H1275" i="18"/>
  <c r="E1027" i="17"/>
  <c r="H1520" i="18"/>
  <c r="E1272" i="17"/>
  <c r="H1765" i="18"/>
  <c r="D537" i="17"/>
  <c r="F1030" i="18"/>
  <c r="D782" i="17"/>
  <c r="F1275" i="18"/>
  <c r="D1027" i="17"/>
  <c r="F1520" i="18"/>
  <c r="D1272" i="17"/>
  <c r="F1765" i="18"/>
  <c r="C537" i="17"/>
  <c r="D1030" i="18"/>
  <c r="C782" i="17"/>
  <c r="D1275" i="18"/>
  <c r="C1027" i="17"/>
  <c r="D1520" i="18"/>
  <c r="C1272" i="17"/>
  <c r="D1765" i="18"/>
  <c r="B537" i="17"/>
  <c r="B1030" i="18"/>
  <c r="B782" i="17"/>
  <c r="B1275" i="18"/>
  <c r="B1027" i="17"/>
  <c r="B1520" i="18"/>
  <c r="B1272" i="17"/>
  <c r="B1765" i="18"/>
  <c r="E536" i="17"/>
  <c r="H1029" i="18"/>
  <c r="E781" i="17"/>
  <c r="H1274" i="18"/>
  <c r="E1026" i="17"/>
  <c r="H1519" i="18"/>
  <c r="E1271" i="17"/>
  <c r="H1764" i="18"/>
  <c r="D536" i="17"/>
  <c r="F1029" i="18"/>
  <c r="D781" i="17"/>
  <c r="F1274" i="18"/>
  <c r="D1026" i="17"/>
  <c r="F1519" i="18"/>
  <c r="D1271" i="17"/>
  <c r="F1764" i="18"/>
  <c r="C536" i="17"/>
  <c r="D1029" i="18"/>
  <c r="C781" i="17"/>
  <c r="D1274" i="18"/>
  <c r="C1026" i="17"/>
  <c r="D1519" i="18"/>
  <c r="C1271" i="17"/>
  <c r="D1764" i="18"/>
  <c r="B536" i="17"/>
  <c r="B1029" i="18"/>
  <c r="B781" i="17"/>
  <c r="B1274" i="18"/>
  <c r="B1026" i="17"/>
  <c r="B1519" i="18"/>
  <c r="B1271" i="17"/>
  <c r="B1764" i="18"/>
  <c r="E535" i="17"/>
  <c r="H1028" i="18"/>
  <c r="E780" i="17"/>
  <c r="H1273" i="18"/>
  <c r="E1025" i="17"/>
  <c r="H1518" i="18"/>
  <c r="E1270" i="17"/>
  <c r="H1763" i="18"/>
  <c r="D535" i="17"/>
  <c r="F1028" i="18"/>
  <c r="D780" i="17"/>
  <c r="F1273" i="18"/>
  <c r="D1025" i="17"/>
  <c r="F1518" i="18"/>
  <c r="D1270" i="17"/>
  <c r="F1763" i="18"/>
  <c r="C535" i="17"/>
  <c r="D1028" i="18"/>
  <c r="C780" i="17"/>
  <c r="D1273" i="18"/>
  <c r="C1025" i="17"/>
  <c r="D1518" i="18"/>
  <c r="C1270" i="17"/>
  <c r="D1763" i="18"/>
  <c r="B535" i="17"/>
  <c r="B1028" i="18"/>
  <c r="B780" i="17"/>
  <c r="B1273" i="18"/>
  <c r="B1025" i="17"/>
  <c r="B1518" i="18"/>
  <c r="B1270" i="17"/>
  <c r="B1763" i="18"/>
  <c r="E534" i="17"/>
  <c r="H1027" i="18"/>
  <c r="E779" i="17"/>
  <c r="H1272" i="18"/>
  <c r="E1024" i="17"/>
  <c r="H1517" i="18"/>
  <c r="E1269" i="17"/>
  <c r="H1762" i="18"/>
  <c r="D534" i="17"/>
  <c r="F1027" i="18"/>
  <c r="D779" i="17"/>
  <c r="F1272" i="18"/>
  <c r="D1024" i="17"/>
  <c r="F1517" i="18"/>
  <c r="D1269" i="17"/>
  <c r="F1762" i="18"/>
  <c r="C534" i="17"/>
  <c r="D1027" i="18"/>
  <c r="C779" i="17"/>
  <c r="D1272" i="18"/>
  <c r="C1024" i="17"/>
  <c r="D1517" i="18"/>
  <c r="C1269" i="17"/>
  <c r="D1762" i="18"/>
  <c r="B534" i="17"/>
  <c r="B1027" i="18"/>
  <c r="B779" i="17"/>
  <c r="B1272" i="18"/>
  <c r="B1024" i="17"/>
  <c r="B1517" i="18"/>
  <c r="B1269" i="17"/>
  <c r="B1762" i="18"/>
  <c r="E533" i="17"/>
  <c r="H1026" i="18"/>
  <c r="E778" i="17"/>
  <c r="H1271" i="18"/>
  <c r="E1023" i="17"/>
  <c r="H1516" i="18"/>
  <c r="E1268" i="17"/>
  <c r="H1761" i="18"/>
  <c r="D533" i="17"/>
  <c r="F1026" i="18"/>
  <c r="D778" i="17"/>
  <c r="F1271" i="18"/>
  <c r="D1023" i="17"/>
  <c r="F1516" i="18"/>
  <c r="D1268" i="17"/>
  <c r="F1761" i="18"/>
  <c r="C533" i="17"/>
  <c r="D1026" i="18"/>
  <c r="C778" i="17"/>
  <c r="D1271" i="18"/>
  <c r="C1023" i="17"/>
  <c r="D1516" i="18"/>
  <c r="C1268" i="17"/>
  <c r="D1761" i="18"/>
  <c r="B533" i="17"/>
  <c r="B1026" i="18"/>
  <c r="B778" i="17"/>
  <c r="B1271" i="18"/>
  <c r="B1023" i="17"/>
  <c r="B1516" i="18"/>
  <c r="B1268" i="17"/>
  <c r="B1761" i="18"/>
  <c r="E532" i="17"/>
  <c r="H1025" i="18"/>
  <c r="E777" i="17"/>
  <c r="H1270" i="18"/>
  <c r="E1022" i="17"/>
  <c r="H1515" i="18"/>
  <c r="E1267" i="17"/>
  <c r="H1760" i="18"/>
  <c r="D532" i="17"/>
  <c r="F1025" i="18"/>
  <c r="D777" i="17"/>
  <c r="F1270" i="18"/>
  <c r="D1022" i="17"/>
  <c r="F1515" i="18"/>
  <c r="D1267" i="17"/>
  <c r="F1760" i="18"/>
  <c r="C532" i="17"/>
  <c r="D1025" i="18"/>
  <c r="C777" i="17"/>
  <c r="D1270" i="18"/>
  <c r="C1022" i="17"/>
  <c r="D1515" i="18"/>
  <c r="C1267" i="17"/>
  <c r="D1760" i="18"/>
  <c r="B532" i="17"/>
  <c r="B1025" i="18"/>
  <c r="B777" i="17"/>
  <c r="B1270" i="18"/>
  <c r="B1022" i="17"/>
  <c r="B1515" i="18"/>
  <c r="B1267" i="17"/>
  <c r="B1760" i="18"/>
  <c r="E531" i="17"/>
  <c r="H1024" i="18"/>
  <c r="E776" i="17"/>
  <c r="H1269" i="18"/>
  <c r="E1021" i="17"/>
  <c r="H1514" i="18"/>
  <c r="E1266" i="17"/>
  <c r="H1759" i="18"/>
  <c r="D531" i="17"/>
  <c r="F1024" i="18"/>
  <c r="D776" i="17"/>
  <c r="F1269" i="18"/>
  <c r="D1021" i="17"/>
  <c r="F1514" i="18"/>
  <c r="D1266" i="17"/>
  <c r="F1759" i="18"/>
  <c r="C531" i="17"/>
  <c r="D1024" i="18"/>
  <c r="C776" i="17"/>
  <c r="D1269" i="18"/>
  <c r="C1021" i="17"/>
  <c r="D1514" i="18"/>
  <c r="C1266" i="17"/>
  <c r="D1759" i="18"/>
  <c r="B531" i="17"/>
  <c r="B1024" i="18"/>
  <c r="B776" i="17"/>
  <c r="B1269" i="18"/>
  <c r="B1021" i="17"/>
  <c r="B1514" i="18"/>
  <c r="B1266" i="17"/>
  <c r="B1759" i="18"/>
  <c r="E530" i="17"/>
  <c r="H1023" i="18"/>
  <c r="E775" i="17"/>
  <c r="H1268" i="18"/>
  <c r="E1020" i="17"/>
  <c r="H1513" i="18"/>
  <c r="E1265" i="17"/>
  <c r="H1758" i="18"/>
  <c r="D530" i="17"/>
  <c r="F1023" i="18"/>
  <c r="D775" i="17"/>
  <c r="F1268" i="18"/>
  <c r="D1020" i="17"/>
  <c r="F1513" i="18"/>
  <c r="D1265" i="17"/>
  <c r="F1758" i="18"/>
  <c r="C530" i="17"/>
  <c r="D1023" i="18"/>
  <c r="C775" i="17"/>
  <c r="D1268" i="18"/>
  <c r="C1020" i="17"/>
  <c r="D1513" i="18"/>
  <c r="C1265" i="17"/>
  <c r="D1758" i="18"/>
  <c r="B530" i="17"/>
  <c r="B1023" i="18"/>
  <c r="B775" i="17"/>
  <c r="B1268" i="18"/>
  <c r="B1020" i="17"/>
  <c r="B1513" i="18"/>
  <c r="B1265" i="17"/>
  <c r="B1758" i="18"/>
  <c r="E529" i="17"/>
  <c r="H1022" i="18"/>
  <c r="E774" i="17"/>
  <c r="H1267" i="18"/>
  <c r="E1019" i="17"/>
  <c r="H1512" i="18"/>
  <c r="E1264" i="17"/>
  <c r="H1757" i="18"/>
  <c r="D529" i="17"/>
  <c r="F1022" i="18"/>
  <c r="D774" i="17"/>
  <c r="F1267" i="18"/>
  <c r="D1019" i="17"/>
  <c r="F1512" i="18"/>
  <c r="D1264" i="17"/>
  <c r="F1757" i="18"/>
  <c r="C529" i="17"/>
  <c r="D1022" i="18"/>
  <c r="C774" i="17"/>
  <c r="D1267" i="18"/>
  <c r="C1019" i="17"/>
  <c r="D1512" i="18"/>
  <c r="C1264" i="17"/>
  <c r="D1757" i="18"/>
  <c r="B529" i="17"/>
  <c r="B1022" i="18"/>
  <c r="B774" i="17"/>
  <c r="B1267" i="18"/>
  <c r="B1019" i="17"/>
  <c r="B1512" i="18"/>
  <c r="B1264" i="17"/>
  <c r="B1757" i="18"/>
  <c r="E528" i="17"/>
  <c r="H1021" i="18"/>
  <c r="E773" i="17"/>
  <c r="H1266" i="18"/>
  <c r="E1018" i="17"/>
  <c r="H1511" i="18"/>
  <c r="E1263" i="17"/>
  <c r="H1756" i="18"/>
  <c r="D528" i="17"/>
  <c r="F1021" i="18"/>
  <c r="D773" i="17"/>
  <c r="F1266" i="18"/>
  <c r="D1018" i="17"/>
  <c r="F1511" i="18"/>
  <c r="D1263" i="17"/>
  <c r="F1756" i="18"/>
  <c r="C528" i="17"/>
  <c r="D1021" i="18"/>
  <c r="C773" i="17"/>
  <c r="D1266" i="18"/>
  <c r="C1018" i="17"/>
  <c r="D1511" i="18"/>
  <c r="C1263" i="17"/>
  <c r="D1756" i="18"/>
  <c r="B528" i="17"/>
  <c r="B1021" i="18"/>
  <c r="B773" i="17"/>
  <c r="B1266" i="18"/>
  <c r="B1018" i="17"/>
  <c r="B1511" i="18"/>
  <c r="B1263" i="17"/>
  <c r="B1756" i="18"/>
  <c r="E527" i="17"/>
  <c r="H1020" i="18"/>
  <c r="E772" i="17"/>
  <c r="H1265" i="18"/>
  <c r="E1017" i="17"/>
  <c r="H1510" i="18"/>
  <c r="E1262" i="17"/>
  <c r="H1755" i="18"/>
  <c r="D527" i="17"/>
  <c r="F1020" i="18"/>
  <c r="D772" i="17"/>
  <c r="F1265" i="18"/>
  <c r="D1017" i="17"/>
  <c r="F1510" i="18"/>
  <c r="D1262" i="17"/>
  <c r="F1755" i="18"/>
  <c r="C527" i="17"/>
  <c r="D1020" i="18"/>
  <c r="C772" i="17"/>
  <c r="D1265" i="18"/>
  <c r="C1017" i="17"/>
  <c r="D1510" i="18"/>
  <c r="C1262" i="17"/>
  <c r="D1755" i="18"/>
  <c r="B527" i="17"/>
  <c r="B1020" i="18"/>
  <c r="B772" i="17"/>
  <c r="B1265" i="18"/>
  <c r="B1017" i="17"/>
  <c r="B1510" i="18"/>
  <c r="B1262" i="17"/>
  <c r="B1755" i="18"/>
  <c r="E526" i="17"/>
  <c r="H1019" i="18"/>
  <c r="E771" i="17"/>
  <c r="H1264" i="18"/>
  <c r="E1016" i="17"/>
  <c r="H1509" i="18"/>
  <c r="E1261" i="17"/>
  <c r="H1754" i="18"/>
  <c r="D526" i="17"/>
  <c r="F1019" i="18"/>
  <c r="D771" i="17"/>
  <c r="F1264" i="18"/>
  <c r="D1016" i="17"/>
  <c r="F1509" i="18"/>
  <c r="D1261" i="17"/>
  <c r="F1754" i="18"/>
  <c r="C526" i="17"/>
  <c r="D1019" i="18"/>
  <c r="C771" i="17"/>
  <c r="D1264" i="18"/>
  <c r="C1016" i="17"/>
  <c r="D1509" i="18"/>
  <c r="C1261" i="17"/>
  <c r="D1754" i="18"/>
  <c r="B526" i="17"/>
  <c r="B1019" i="18"/>
  <c r="B771" i="17"/>
  <c r="B1264" i="18"/>
  <c r="B1016" i="17"/>
  <c r="B1509" i="18"/>
  <c r="B1261" i="17"/>
  <c r="B1754" i="18"/>
  <c r="E525" i="17"/>
  <c r="H1018" i="18"/>
  <c r="E770" i="17"/>
  <c r="H1263" i="18"/>
  <c r="E1015" i="17"/>
  <c r="H1508" i="18"/>
  <c r="E1260" i="17"/>
  <c r="H1753" i="18"/>
  <c r="D525" i="17"/>
  <c r="F1018" i="18"/>
  <c r="D770" i="17"/>
  <c r="F1263" i="18"/>
  <c r="D1015" i="17"/>
  <c r="F1508" i="18"/>
  <c r="D1260" i="17"/>
  <c r="F1753" i="18"/>
  <c r="C525" i="17"/>
  <c r="D1018" i="18"/>
  <c r="C770" i="17"/>
  <c r="D1263" i="18"/>
  <c r="C1015" i="17"/>
  <c r="D1508" i="18"/>
  <c r="C1260" i="17"/>
  <c r="D1753" i="18"/>
  <c r="B525" i="17"/>
  <c r="B1018" i="18"/>
  <c r="B770" i="17"/>
  <c r="B1263" i="18"/>
  <c r="B1015" i="17"/>
  <c r="B1508" i="18"/>
  <c r="B1260" i="17"/>
  <c r="B1753" i="18"/>
  <c r="E524" i="17"/>
  <c r="H1017" i="18"/>
  <c r="E769" i="17"/>
  <c r="H1262" i="18"/>
  <c r="E1014" i="17"/>
  <c r="H1507" i="18"/>
  <c r="E1259" i="17"/>
  <c r="H1752" i="18"/>
  <c r="D524" i="17"/>
  <c r="F1017" i="18"/>
  <c r="D769" i="17"/>
  <c r="F1262" i="18"/>
  <c r="D1014" i="17"/>
  <c r="F1507" i="18"/>
  <c r="D1259" i="17"/>
  <c r="F1752" i="18"/>
  <c r="C524" i="17"/>
  <c r="D1017" i="18"/>
  <c r="C769" i="17"/>
  <c r="D1262" i="18"/>
  <c r="C1014" i="17"/>
  <c r="D1507" i="18"/>
  <c r="C1259" i="17"/>
  <c r="D1752" i="18"/>
  <c r="B524" i="17"/>
  <c r="B1017" i="18"/>
  <c r="B769" i="17"/>
  <c r="B1262" i="18"/>
  <c r="B1014" i="17"/>
  <c r="B1507" i="18"/>
  <c r="B1259" i="17"/>
  <c r="B1752" i="18"/>
  <c r="E523" i="17"/>
  <c r="H1016" i="18"/>
  <c r="E768" i="17"/>
  <c r="H1261" i="18"/>
  <c r="E1013" i="17"/>
  <c r="H1506" i="18"/>
  <c r="E1258" i="17"/>
  <c r="H1751" i="18"/>
  <c r="D523" i="17"/>
  <c r="F1016" i="18"/>
  <c r="D768" i="17"/>
  <c r="F1261" i="18"/>
  <c r="D1013" i="17"/>
  <c r="F1506" i="18"/>
  <c r="D1258" i="17"/>
  <c r="F1751" i="18"/>
  <c r="C523" i="17"/>
  <c r="D1016" i="18"/>
  <c r="C768" i="17"/>
  <c r="D1261" i="18"/>
  <c r="C1013" i="17"/>
  <c r="D1506" i="18"/>
  <c r="C1258" i="17"/>
  <c r="D1751" i="18"/>
  <c r="B523" i="17"/>
  <c r="B1016" i="18"/>
  <c r="B768" i="17"/>
  <c r="B1261" i="18"/>
  <c r="B1013" i="17"/>
  <c r="B1506" i="18"/>
  <c r="B1258" i="17"/>
  <c r="B1751" i="18"/>
  <c r="E522" i="17"/>
  <c r="H1015" i="18"/>
  <c r="E767" i="17"/>
  <c r="H1260" i="18"/>
  <c r="E1012" i="17"/>
  <c r="H1505" i="18"/>
  <c r="E1257" i="17"/>
  <c r="H1750" i="18"/>
  <c r="D522" i="17"/>
  <c r="F1015" i="18"/>
  <c r="D767" i="17"/>
  <c r="F1260" i="18"/>
  <c r="D1012" i="17"/>
  <c r="F1505" i="18"/>
  <c r="D1257" i="17"/>
  <c r="F1750" i="18"/>
  <c r="C522" i="17"/>
  <c r="D1015" i="18"/>
  <c r="C767" i="17"/>
  <c r="D1260" i="18"/>
  <c r="C1012" i="17"/>
  <c r="D1505" i="18"/>
  <c r="C1257" i="17"/>
  <c r="D1750" i="18"/>
  <c r="B522" i="17"/>
  <c r="B1015" i="18"/>
  <c r="B767" i="17"/>
  <c r="B1260" i="18"/>
  <c r="B1012" i="17"/>
  <c r="B1505" i="18"/>
  <c r="B1257" i="17"/>
  <c r="B1750" i="18"/>
  <c r="E521" i="17"/>
  <c r="H1014" i="18"/>
  <c r="E766" i="17"/>
  <c r="H1259" i="18"/>
  <c r="E1011" i="17"/>
  <c r="H1504" i="18"/>
  <c r="E1256" i="17"/>
  <c r="H1749" i="18"/>
  <c r="D521" i="17"/>
  <c r="F1014" i="18"/>
  <c r="D766" i="17"/>
  <c r="F1259" i="18"/>
  <c r="D1011" i="17"/>
  <c r="F1504" i="18"/>
  <c r="D1256" i="17"/>
  <c r="F1749" i="18"/>
  <c r="C521" i="17"/>
  <c r="D1014" i="18"/>
  <c r="C766" i="17"/>
  <c r="D1259" i="18"/>
  <c r="C1011" i="17"/>
  <c r="D1504" i="18"/>
  <c r="C1256" i="17"/>
  <c r="D1749" i="18"/>
  <c r="B521" i="17"/>
  <c r="B1014" i="18"/>
  <c r="B766" i="17"/>
  <c r="B1259" i="18"/>
  <c r="B1011" i="17"/>
  <c r="B1504" i="18"/>
  <c r="B1256" i="17"/>
  <c r="B1749" i="18"/>
  <c r="E520" i="17"/>
  <c r="H1013" i="18"/>
  <c r="E765" i="17"/>
  <c r="H1258" i="18"/>
  <c r="E1010" i="17"/>
  <c r="H1503" i="18"/>
  <c r="E1255" i="17"/>
  <c r="H1748" i="18"/>
  <c r="D520" i="17"/>
  <c r="F1013" i="18"/>
  <c r="D765" i="17"/>
  <c r="F1258" i="18"/>
  <c r="D1010" i="17"/>
  <c r="F1503" i="18"/>
  <c r="D1255" i="17"/>
  <c r="F1748" i="18"/>
  <c r="C520" i="17"/>
  <c r="D1013" i="18"/>
  <c r="C765" i="17"/>
  <c r="D1258" i="18"/>
  <c r="C1010" i="17"/>
  <c r="D1503" i="18"/>
  <c r="C1255" i="17"/>
  <c r="D1748" i="18"/>
  <c r="B520" i="17"/>
  <c r="B1013" i="18"/>
  <c r="B765" i="17"/>
  <c r="B1258" i="18"/>
  <c r="B1010" i="17"/>
  <c r="B1503" i="18"/>
  <c r="B1255" i="17"/>
  <c r="B1748" i="18"/>
  <c r="E519" i="17"/>
  <c r="H1012" i="18"/>
  <c r="E764" i="17"/>
  <c r="H1257" i="18"/>
  <c r="E1009" i="17"/>
  <c r="H1502" i="18"/>
  <c r="E1254" i="17"/>
  <c r="H1747" i="18"/>
  <c r="D519" i="17"/>
  <c r="F1012" i="18"/>
  <c r="D764" i="17"/>
  <c r="F1257" i="18"/>
  <c r="D1009" i="17"/>
  <c r="F1502" i="18"/>
  <c r="D1254" i="17"/>
  <c r="F1747" i="18"/>
  <c r="C519" i="17"/>
  <c r="D1012" i="18"/>
  <c r="C764" i="17"/>
  <c r="D1257" i="18"/>
  <c r="C1009" i="17"/>
  <c r="D1502" i="18"/>
  <c r="C1254" i="17"/>
  <c r="D1747" i="18"/>
  <c r="B519" i="17"/>
  <c r="B1012" i="18"/>
  <c r="B764" i="17"/>
  <c r="B1257" i="18"/>
  <c r="B1009" i="17"/>
  <c r="B1502" i="18"/>
  <c r="B1254" i="17"/>
  <c r="B1747" i="18"/>
  <c r="E518" i="17"/>
  <c r="H1011" i="18"/>
  <c r="E763" i="17"/>
  <c r="H1256" i="18"/>
  <c r="E1008" i="17"/>
  <c r="H1501" i="18"/>
  <c r="E1253" i="17"/>
  <c r="H1746" i="18"/>
  <c r="D518" i="17"/>
  <c r="F1011" i="18"/>
  <c r="D763" i="17"/>
  <c r="F1256" i="18"/>
  <c r="D1008" i="17"/>
  <c r="F1501" i="18"/>
  <c r="D1253" i="17"/>
  <c r="F1746" i="18"/>
  <c r="C518" i="17"/>
  <c r="D1011" i="18"/>
  <c r="C763" i="17"/>
  <c r="D1256" i="18"/>
  <c r="C1008" i="17"/>
  <c r="D1501" i="18"/>
  <c r="C1253" i="17"/>
  <c r="D1746" i="18"/>
  <c r="B518" i="17"/>
  <c r="B1011" i="18"/>
  <c r="B763" i="17"/>
  <c r="B1256" i="18"/>
  <c r="B1008" i="17"/>
  <c r="B1501" i="18"/>
  <c r="B1253" i="17"/>
  <c r="B1746" i="18"/>
  <c r="E517" i="17"/>
  <c r="H1010" i="18"/>
  <c r="E762" i="17"/>
  <c r="H1255" i="18"/>
  <c r="E1007" i="17"/>
  <c r="H1500" i="18"/>
  <c r="E1252" i="17"/>
  <c r="H1745" i="18"/>
  <c r="D517" i="17"/>
  <c r="F1010" i="18"/>
  <c r="D762" i="17"/>
  <c r="F1255" i="18"/>
  <c r="D1007" i="17"/>
  <c r="F1500" i="18"/>
  <c r="D1252" i="17"/>
  <c r="F1745" i="18"/>
  <c r="C517" i="17"/>
  <c r="D1010" i="18"/>
  <c r="C762" i="17"/>
  <c r="D1255" i="18"/>
  <c r="C1007" i="17"/>
  <c r="D1500" i="18"/>
  <c r="C1252" i="17"/>
  <c r="D1745" i="18"/>
  <c r="B517" i="17"/>
  <c r="B1010" i="18"/>
  <c r="B762" i="17"/>
  <c r="B1255" i="18"/>
  <c r="B1007" i="17"/>
  <c r="B1500" i="18"/>
  <c r="B1252" i="17"/>
  <c r="B1745" i="18"/>
  <c r="E516" i="17"/>
  <c r="H1009" i="18"/>
  <c r="E761" i="17"/>
  <c r="H1254" i="18"/>
  <c r="E1006" i="17"/>
  <c r="H1499" i="18"/>
  <c r="E1251" i="17"/>
  <c r="H1744" i="18"/>
  <c r="D516" i="17"/>
  <c r="F1009" i="18"/>
  <c r="D761" i="17"/>
  <c r="F1254" i="18"/>
  <c r="D1006" i="17"/>
  <c r="F1499" i="18"/>
  <c r="D1251" i="17"/>
  <c r="F1744" i="18"/>
  <c r="C516" i="17"/>
  <c r="D1009" i="18"/>
  <c r="C761" i="17"/>
  <c r="D1254" i="18"/>
  <c r="C1006" i="17"/>
  <c r="D1499" i="18"/>
  <c r="C1251" i="17"/>
  <c r="D1744" i="18"/>
  <c r="B516" i="17"/>
  <c r="B1009" i="18"/>
  <c r="B761" i="17"/>
  <c r="B1254" i="18"/>
  <c r="B1006" i="17"/>
  <c r="B1499" i="18"/>
  <c r="B1251" i="17"/>
  <c r="B1744" i="18"/>
  <c r="D515" i="17"/>
  <c r="F1008" i="18"/>
  <c r="D760" i="17"/>
  <c r="F1253" i="18"/>
  <c r="D1005" i="17"/>
  <c r="F1498" i="18"/>
  <c r="D1250" i="17"/>
  <c r="F1743" i="18"/>
  <c r="D511" i="17"/>
  <c r="F1004" i="18"/>
  <c r="D756" i="17"/>
  <c r="F1249" i="18"/>
  <c r="D1001" i="17"/>
  <c r="F1494" i="18"/>
  <c r="D1246" i="17"/>
  <c r="F1739" i="18"/>
  <c r="C500" i="17"/>
  <c r="D993" i="18"/>
  <c r="C745" i="17"/>
  <c r="D1238" i="18"/>
  <c r="C990" i="17"/>
  <c r="D1483" i="18"/>
  <c r="C1235" i="17"/>
  <c r="D1728" i="18"/>
  <c r="C499" i="17"/>
  <c r="D992" i="18"/>
  <c r="C744" i="17"/>
  <c r="D1237" i="18"/>
  <c r="C989" i="17"/>
  <c r="D1482" i="18"/>
  <c r="C1234" i="17"/>
  <c r="D1727" i="18"/>
  <c r="C496" i="17"/>
  <c r="D989" i="18"/>
  <c r="C741" i="17"/>
  <c r="D1234" i="18"/>
  <c r="C986" i="17"/>
  <c r="D1479" i="18"/>
  <c r="C1231" i="17"/>
  <c r="D1724" i="18"/>
  <c r="C495" i="17"/>
  <c r="D988" i="18"/>
  <c r="C740" i="17"/>
  <c r="D1233" i="18"/>
  <c r="C985" i="17"/>
  <c r="D1478" i="18"/>
  <c r="C1230" i="17"/>
  <c r="D1723" i="18"/>
  <c r="B736" i="17"/>
  <c r="B1229" i="18"/>
  <c r="B984" i="18"/>
  <c r="B491" i="17"/>
  <c r="B1719" i="18"/>
  <c r="B1226" i="17"/>
  <c r="B1474" i="18"/>
  <c r="B981" i="17"/>
  <c r="AB129" i="5"/>
  <c r="AL128" i="5"/>
  <c r="E129" i="5"/>
  <c r="O128" i="5"/>
  <c r="J125" i="6"/>
  <c r="AB120" i="5"/>
  <c r="AL119" i="5"/>
  <c r="E120" i="5"/>
  <c r="O119" i="5"/>
  <c r="J115" i="6"/>
  <c r="AB107" i="5"/>
  <c r="AL106" i="5"/>
  <c r="O106" i="5"/>
  <c r="E107" i="5"/>
  <c r="J101" i="6"/>
  <c r="J100" i="6"/>
  <c r="AL99" i="5"/>
  <c r="AB100" i="5"/>
  <c r="O99" i="5"/>
  <c r="E100" i="5"/>
  <c r="AB182" i="5"/>
  <c r="AL181" i="5"/>
  <c r="O181" i="5"/>
  <c r="E182" i="5"/>
  <c r="J178" i="6"/>
  <c r="E178" i="5"/>
  <c r="O177" i="5"/>
  <c r="AL177" i="5"/>
  <c r="AB178" i="5"/>
  <c r="O175" i="5"/>
  <c r="E176" i="5"/>
  <c r="AB176" i="5"/>
  <c r="AL175" i="5"/>
  <c r="AB171" i="5"/>
  <c r="AL170" i="5"/>
  <c r="E171" i="5"/>
  <c r="O170" i="5"/>
  <c r="J167" i="6"/>
  <c r="AB166" i="5"/>
  <c r="AL165" i="5"/>
  <c r="E166" i="5"/>
  <c r="O165" i="5"/>
  <c r="AB165" i="5"/>
  <c r="AL164" i="5"/>
  <c r="O164" i="5"/>
  <c r="E165" i="5"/>
  <c r="J163" i="6"/>
  <c r="J162" i="6"/>
  <c r="J161" i="6"/>
  <c r="E161" i="5"/>
  <c r="O160" i="5"/>
  <c r="AB161" i="5"/>
  <c r="AL160" i="5"/>
  <c r="J160" i="6"/>
  <c r="AB160" i="5"/>
  <c r="AL159" i="5"/>
  <c r="E160" i="5"/>
  <c r="O159" i="5"/>
  <c r="J159" i="6"/>
  <c r="J157" i="6"/>
  <c r="J155" i="6"/>
  <c r="O154" i="5"/>
  <c r="E155" i="5"/>
  <c r="AB155" i="5"/>
  <c r="AL154" i="5"/>
  <c r="J154" i="6"/>
  <c r="AB151" i="5"/>
  <c r="AL150" i="5"/>
  <c r="E151" i="5"/>
  <c r="O150" i="5"/>
  <c r="J150" i="6"/>
  <c r="J149" i="6"/>
  <c r="O146" i="5"/>
  <c r="E147" i="5"/>
  <c r="AL146" i="5"/>
  <c r="AB147" i="5"/>
  <c r="J145" i="6"/>
  <c r="AL142" i="5"/>
  <c r="AB143" i="5"/>
  <c r="E143" i="5"/>
  <c r="O142" i="5"/>
  <c r="J138" i="6"/>
  <c r="AL130" i="5"/>
  <c r="AB131" i="5"/>
  <c r="E131" i="5"/>
  <c r="O130" i="5"/>
  <c r="J127" i="6"/>
  <c r="AB116" i="5"/>
  <c r="AL115" i="5"/>
  <c r="E116" i="5"/>
  <c r="O115" i="5"/>
  <c r="E181" i="5"/>
  <c r="O180" i="5"/>
  <c r="AB181" i="5"/>
  <c r="AL180" i="5"/>
  <c r="J180" i="6"/>
  <c r="O179" i="5"/>
  <c r="E180" i="5"/>
  <c r="AL179" i="5"/>
  <c r="AB180" i="5"/>
  <c r="J179" i="6"/>
  <c r="AB179" i="5"/>
  <c r="AL178" i="5"/>
  <c r="E179" i="5"/>
  <c r="O178" i="5"/>
  <c r="O176" i="5"/>
  <c r="E177" i="5"/>
  <c r="AB177" i="5"/>
  <c r="AL176" i="5"/>
  <c r="E175" i="5"/>
  <c r="O174" i="5"/>
  <c r="AB175" i="5"/>
  <c r="AL174" i="5"/>
  <c r="E174" i="5"/>
  <c r="O173" i="5"/>
  <c r="AB174" i="5"/>
  <c r="AL173" i="5"/>
  <c r="O172" i="5"/>
  <c r="E173" i="5"/>
  <c r="AL172" i="5"/>
  <c r="AB173" i="5"/>
  <c r="AL171" i="5"/>
  <c r="AB172" i="5"/>
  <c r="O171" i="5"/>
  <c r="E172" i="5"/>
  <c r="AB170" i="5"/>
  <c r="AL169" i="5"/>
  <c r="O169" i="5"/>
  <c r="E170" i="5"/>
  <c r="E167" i="5"/>
  <c r="O166" i="5"/>
  <c r="AB167" i="5"/>
  <c r="AL166" i="5"/>
  <c r="J166" i="6"/>
  <c r="O162" i="5"/>
  <c r="E163" i="5"/>
  <c r="AB163" i="5"/>
  <c r="AL162" i="5"/>
  <c r="E162" i="5"/>
  <c r="O161" i="5"/>
  <c r="AB162" i="5"/>
  <c r="AL161" i="5"/>
  <c r="E159" i="5"/>
  <c r="O158" i="5"/>
  <c r="AB159" i="5"/>
  <c r="AL158" i="5"/>
  <c r="J158" i="6"/>
  <c r="E157" i="5"/>
  <c r="O156" i="5"/>
  <c r="AB157" i="5"/>
  <c r="AL156" i="5"/>
  <c r="AB156" i="5"/>
  <c r="AL155" i="5"/>
  <c r="E156" i="5"/>
  <c r="O155" i="5"/>
  <c r="E154" i="5"/>
  <c r="O153" i="5"/>
  <c r="AB154" i="5"/>
  <c r="AL153" i="5"/>
  <c r="AL152" i="5"/>
  <c r="AB153" i="5"/>
  <c r="E153" i="5"/>
  <c r="O152" i="5"/>
  <c r="E152" i="5"/>
  <c r="O151" i="5"/>
  <c r="AB152" i="5"/>
  <c r="AL151" i="5"/>
  <c r="AB150" i="5"/>
  <c r="AL149" i="5"/>
  <c r="E150" i="5"/>
  <c r="O149" i="5"/>
  <c r="AB149" i="5"/>
  <c r="AL148" i="5"/>
  <c r="E149" i="5"/>
  <c r="O148" i="5"/>
  <c r="O145" i="5"/>
  <c r="E146" i="5"/>
  <c r="AB146" i="5"/>
  <c r="AL145" i="5"/>
  <c r="J137" i="6"/>
  <c r="E137" i="5"/>
  <c r="O136" i="5"/>
  <c r="AB137" i="5"/>
  <c r="AL136" i="5"/>
  <c r="O132" i="5"/>
  <c r="E133" i="5"/>
  <c r="AL132" i="5"/>
  <c r="AB133" i="5"/>
  <c r="J132" i="6"/>
  <c r="O127" i="5"/>
  <c r="E128" i="5"/>
  <c r="AB128" i="5"/>
  <c r="AL127" i="5"/>
  <c r="E126" i="5"/>
  <c r="O125" i="5"/>
  <c r="AB126" i="5"/>
  <c r="AL125" i="5"/>
  <c r="O103" i="5"/>
  <c r="E104" i="5"/>
  <c r="AL103" i="5"/>
  <c r="AB104" i="5"/>
  <c r="Q242" i="6"/>
  <c r="U242" i="6"/>
  <c r="E242" i="9"/>
  <c r="C242" i="9"/>
  <c r="G242" i="9"/>
  <c r="Q241" i="6"/>
  <c r="U241" i="6"/>
  <c r="E241" i="9"/>
  <c r="C241" i="9"/>
  <c r="G241" i="9"/>
  <c r="Q240" i="6"/>
  <c r="U240" i="6"/>
  <c r="E240" i="9"/>
  <c r="C240" i="9"/>
  <c r="G240" i="9"/>
  <c r="Q239" i="6"/>
  <c r="U239" i="6"/>
  <c r="E239" i="9"/>
  <c r="C239" i="9"/>
  <c r="G239" i="9"/>
  <c r="Q238" i="6"/>
  <c r="U238" i="6"/>
  <c r="E238" i="9"/>
  <c r="C238" i="9"/>
  <c r="G238" i="9"/>
  <c r="Q237" i="6"/>
  <c r="U237" i="6"/>
  <c r="E237" i="9"/>
  <c r="C237" i="9"/>
  <c r="G237" i="9"/>
  <c r="Q236" i="6"/>
  <c r="U236" i="6"/>
  <c r="E236" i="9"/>
  <c r="C236" i="9"/>
  <c r="G236" i="9"/>
  <c r="Q235" i="6"/>
  <c r="U235" i="6"/>
  <c r="E235" i="9"/>
  <c r="C235" i="9"/>
  <c r="G235" i="9"/>
  <c r="Q234" i="6"/>
  <c r="U234" i="6"/>
  <c r="E234" i="9"/>
  <c r="C234" i="9"/>
  <c r="G234" i="9"/>
  <c r="Q233" i="6"/>
  <c r="U233" i="6"/>
  <c r="E233" i="9"/>
  <c r="C233" i="9"/>
  <c r="G233" i="9"/>
  <c r="Q232" i="6"/>
  <c r="U232" i="6"/>
  <c r="E232" i="9"/>
  <c r="C232" i="9"/>
  <c r="G232" i="9"/>
  <c r="Q231" i="6"/>
  <c r="U231" i="6"/>
  <c r="E231" i="9"/>
  <c r="C231" i="9"/>
  <c r="G231" i="9"/>
  <c r="Q230" i="6"/>
  <c r="U230" i="6"/>
  <c r="E230" i="9"/>
  <c r="C230" i="9"/>
  <c r="G230" i="9"/>
  <c r="Q229" i="6"/>
  <c r="U229" i="6"/>
  <c r="E229" i="9"/>
  <c r="C229" i="9"/>
  <c r="G229" i="9"/>
  <c r="Q228" i="6"/>
  <c r="U228" i="6"/>
  <c r="E228" i="9"/>
  <c r="C228" i="9"/>
  <c r="G228" i="9"/>
  <c r="Q227" i="6"/>
  <c r="U227" i="6"/>
  <c r="E227" i="9"/>
  <c r="C227" i="9"/>
  <c r="G227" i="9"/>
  <c r="Q226" i="6"/>
  <c r="U226" i="6"/>
  <c r="E226" i="9"/>
  <c r="C226" i="9"/>
  <c r="G226" i="9"/>
  <c r="Q225" i="6"/>
  <c r="U225" i="6"/>
  <c r="E225" i="9"/>
  <c r="C225" i="9"/>
  <c r="G225" i="9"/>
  <c r="Q224" i="6"/>
  <c r="U224" i="6"/>
  <c r="E224" i="9"/>
  <c r="C224" i="9"/>
  <c r="G224" i="9"/>
  <c r="Q223" i="6"/>
  <c r="U223" i="6"/>
  <c r="E223" i="9"/>
  <c r="C223" i="9"/>
  <c r="G223" i="9"/>
  <c r="Q222" i="6"/>
  <c r="U222" i="6"/>
  <c r="E222" i="9"/>
  <c r="C222" i="9"/>
  <c r="G222" i="9"/>
  <c r="Q221" i="6"/>
  <c r="U221" i="6"/>
  <c r="E221" i="9"/>
  <c r="C221" i="9"/>
  <c r="G221" i="9"/>
  <c r="Q220" i="6"/>
  <c r="U220" i="6"/>
  <c r="E220" i="9"/>
  <c r="C220" i="9"/>
  <c r="G220" i="9"/>
  <c r="Q219" i="6"/>
  <c r="U219" i="6"/>
  <c r="E219" i="9"/>
  <c r="C219" i="9"/>
  <c r="G219" i="9"/>
  <c r="Q218" i="6"/>
  <c r="U218" i="6"/>
  <c r="E218" i="9"/>
  <c r="C218" i="9"/>
  <c r="G218" i="9"/>
  <c r="Q217" i="6"/>
  <c r="U217" i="6"/>
  <c r="E217" i="9"/>
  <c r="C217" i="9"/>
  <c r="G217" i="9"/>
  <c r="Q216" i="6"/>
  <c r="U216" i="6"/>
  <c r="E216" i="9"/>
  <c r="C216" i="9"/>
  <c r="G216" i="9"/>
  <c r="Q215" i="6"/>
  <c r="U215" i="6"/>
  <c r="E215" i="9"/>
  <c r="C215" i="9"/>
  <c r="G215" i="9"/>
  <c r="Q214" i="6"/>
  <c r="U214" i="6"/>
  <c r="E214" i="9"/>
  <c r="C214" i="9"/>
  <c r="G214" i="9"/>
  <c r="Q213" i="6"/>
  <c r="U213" i="6"/>
  <c r="E213" i="9"/>
  <c r="C213" i="9"/>
  <c r="G213" i="9"/>
  <c r="Q212" i="6"/>
  <c r="U212" i="6"/>
  <c r="E212" i="9"/>
  <c r="C212" i="9"/>
  <c r="G212" i="9"/>
  <c r="Q211" i="6"/>
  <c r="U211" i="6"/>
  <c r="E211" i="9"/>
  <c r="C211" i="9"/>
  <c r="G211" i="9"/>
  <c r="Q210" i="6"/>
  <c r="U210" i="6"/>
  <c r="E210" i="9"/>
  <c r="C210" i="9"/>
  <c r="G210" i="9"/>
  <c r="Q209" i="6"/>
  <c r="U209" i="6"/>
  <c r="E209" i="9"/>
  <c r="C209" i="9"/>
  <c r="G209" i="9"/>
  <c r="Q208" i="6"/>
  <c r="U208" i="6"/>
  <c r="E208" i="9"/>
  <c r="C208" i="9"/>
  <c r="G208" i="9"/>
  <c r="Q207" i="6"/>
  <c r="U207" i="6"/>
  <c r="E207" i="9"/>
  <c r="C207" i="9"/>
  <c r="G207" i="9"/>
  <c r="Q206" i="6"/>
  <c r="U206" i="6"/>
  <c r="E206" i="9"/>
  <c r="C206" i="9"/>
  <c r="G206" i="9"/>
  <c r="Q205" i="6"/>
  <c r="U205" i="6"/>
  <c r="E205" i="9"/>
  <c r="C205" i="9"/>
  <c r="G205" i="9"/>
  <c r="Q204" i="6"/>
  <c r="U204" i="6"/>
  <c r="E204" i="9"/>
  <c r="C204" i="9"/>
  <c r="G204" i="9"/>
  <c r="Q203" i="6"/>
  <c r="U203" i="6"/>
  <c r="E203" i="9"/>
  <c r="C203" i="9"/>
  <c r="G203" i="9"/>
  <c r="Q202" i="6"/>
  <c r="U202" i="6"/>
  <c r="E202" i="9"/>
  <c r="C202" i="9"/>
  <c r="G202" i="9"/>
  <c r="Q201" i="6"/>
  <c r="U201" i="6"/>
  <c r="E201" i="9"/>
  <c r="C201" i="9"/>
  <c r="G201" i="9"/>
  <c r="Q200" i="6"/>
  <c r="U200" i="6"/>
  <c r="E200" i="9"/>
  <c r="C200" i="9"/>
  <c r="G200" i="9"/>
  <c r="U199" i="6"/>
  <c r="C199" i="9"/>
  <c r="G199" i="9"/>
  <c r="Q198" i="6"/>
  <c r="U198" i="6"/>
  <c r="E198" i="9"/>
  <c r="C198" i="9"/>
  <c r="G198" i="9"/>
  <c r="Q197" i="6"/>
  <c r="U197" i="6"/>
  <c r="E197" i="9"/>
  <c r="C197" i="9"/>
  <c r="G197" i="9"/>
  <c r="Q196" i="6"/>
  <c r="U196" i="6"/>
  <c r="E196" i="9"/>
  <c r="C196" i="9"/>
  <c r="G196" i="9"/>
  <c r="U195" i="6"/>
  <c r="C195" i="9"/>
  <c r="G195" i="9"/>
  <c r="Q194" i="6"/>
  <c r="U194" i="6"/>
  <c r="E194" i="9"/>
  <c r="C194" i="9"/>
  <c r="G194" i="9"/>
  <c r="Q193" i="6"/>
  <c r="U193" i="6"/>
  <c r="E193" i="9"/>
  <c r="C193" i="9"/>
  <c r="G193" i="9"/>
  <c r="Q190" i="6"/>
  <c r="U190" i="6"/>
  <c r="E190" i="9"/>
  <c r="C190" i="9"/>
  <c r="G190" i="9"/>
  <c r="Q189" i="6"/>
  <c r="U189" i="6"/>
  <c r="E189" i="9"/>
  <c r="C189" i="9"/>
  <c r="G189" i="9"/>
  <c r="Q188" i="6"/>
  <c r="U188" i="6"/>
  <c r="E188" i="9"/>
  <c r="C188" i="9"/>
  <c r="G188" i="9"/>
  <c r="Q187" i="6"/>
  <c r="U187" i="6"/>
  <c r="E187" i="9"/>
  <c r="C187" i="9"/>
  <c r="G187" i="9"/>
  <c r="Q186" i="6"/>
  <c r="U186" i="6"/>
  <c r="E186" i="9"/>
  <c r="C186" i="9"/>
  <c r="G186" i="9"/>
  <c r="Q185" i="6"/>
  <c r="U185" i="6"/>
  <c r="E185" i="9"/>
  <c r="C185" i="9"/>
  <c r="G185" i="9"/>
  <c r="Q184" i="6"/>
  <c r="U184" i="6"/>
  <c r="E184" i="9"/>
  <c r="C184" i="9"/>
  <c r="G184" i="9"/>
  <c r="Q183" i="6"/>
  <c r="U183" i="6"/>
  <c r="E183" i="9"/>
  <c r="C183" i="9"/>
  <c r="G183" i="9"/>
  <c r="U182" i="6"/>
  <c r="C182" i="9"/>
  <c r="G182" i="9"/>
  <c r="U181" i="6"/>
  <c r="C181" i="9"/>
  <c r="G181" i="9"/>
  <c r="Q180" i="6"/>
  <c r="U180" i="6"/>
  <c r="E180" i="9"/>
  <c r="C180" i="9"/>
  <c r="G180" i="9"/>
  <c r="Q179" i="6"/>
  <c r="U179" i="6"/>
  <c r="E179" i="9"/>
  <c r="C179" i="9"/>
  <c r="G179" i="9"/>
  <c r="Q178" i="6"/>
  <c r="U178" i="6"/>
  <c r="E178" i="9"/>
  <c r="C178" i="9"/>
  <c r="G178" i="9"/>
  <c r="U177" i="6"/>
  <c r="C177" i="9"/>
  <c r="G177" i="9"/>
  <c r="Q176" i="6"/>
  <c r="U176" i="6"/>
  <c r="E176" i="9"/>
  <c r="C176" i="9"/>
  <c r="G176" i="9"/>
  <c r="U175" i="6"/>
  <c r="C175" i="9"/>
  <c r="G175" i="9"/>
  <c r="U174" i="6"/>
  <c r="C174" i="9"/>
  <c r="G174" i="9"/>
  <c r="Q173" i="6"/>
  <c r="U173" i="6"/>
  <c r="E173" i="9"/>
  <c r="C173" i="9"/>
  <c r="G173" i="9"/>
  <c r="Q172" i="6"/>
  <c r="U172" i="6"/>
  <c r="E172" i="9"/>
  <c r="C172" i="9"/>
  <c r="G172" i="9"/>
  <c r="Q171" i="6"/>
  <c r="U171" i="6"/>
  <c r="E171" i="9"/>
  <c r="C171" i="9"/>
  <c r="G171" i="9"/>
  <c r="Q170" i="6"/>
  <c r="U170" i="6"/>
  <c r="E170" i="9"/>
  <c r="C170" i="9"/>
  <c r="G170" i="9"/>
  <c r="U169" i="6"/>
  <c r="C169" i="9"/>
  <c r="G169" i="9"/>
  <c r="Q168" i="6"/>
  <c r="U168" i="6"/>
  <c r="E168" i="9"/>
  <c r="C168" i="9"/>
  <c r="G168" i="9"/>
  <c r="Q167" i="6"/>
  <c r="U167" i="6"/>
  <c r="E167" i="9"/>
  <c r="C167" i="9"/>
  <c r="G167" i="9"/>
  <c r="Q166" i="6"/>
  <c r="U166" i="6"/>
  <c r="E166" i="9"/>
  <c r="C166" i="9"/>
  <c r="G166" i="9"/>
  <c r="U165" i="6"/>
  <c r="C165" i="9"/>
  <c r="G165" i="9"/>
  <c r="Q164" i="6"/>
  <c r="U164" i="6"/>
  <c r="E164" i="9"/>
  <c r="C164" i="9"/>
  <c r="G164" i="9"/>
  <c r="Q163" i="6"/>
  <c r="U163" i="6"/>
  <c r="E163" i="9"/>
  <c r="C163" i="9"/>
  <c r="G163" i="9"/>
  <c r="Q162" i="6"/>
  <c r="U162" i="6"/>
  <c r="E162" i="9"/>
  <c r="C162" i="9"/>
  <c r="G162" i="9"/>
  <c r="Q161" i="6"/>
  <c r="U161" i="6"/>
  <c r="E161" i="9"/>
  <c r="C161" i="9"/>
  <c r="G161" i="9"/>
  <c r="Q160" i="6"/>
  <c r="U160" i="6"/>
  <c r="E160" i="9"/>
  <c r="C160" i="9"/>
  <c r="G160" i="9"/>
  <c r="Q159" i="6"/>
  <c r="U159" i="6"/>
  <c r="E159" i="9"/>
  <c r="C159" i="9"/>
  <c r="G159" i="9"/>
  <c r="Q158" i="6"/>
  <c r="U158" i="6"/>
  <c r="E158" i="9"/>
  <c r="C158" i="9"/>
  <c r="G158" i="9"/>
  <c r="Q157" i="6"/>
  <c r="U157" i="6"/>
  <c r="E157" i="9"/>
  <c r="C157" i="9"/>
  <c r="G157" i="9"/>
  <c r="Q156" i="6"/>
  <c r="U156" i="6"/>
  <c r="E156" i="9"/>
  <c r="C156" i="9"/>
  <c r="G156" i="9"/>
  <c r="Q155" i="6"/>
  <c r="U155" i="6"/>
  <c r="E155" i="9"/>
  <c r="C155" i="9"/>
  <c r="G155" i="9"/>
  <c r="Q154" i="6"/>
  <c r="U154" i="6"/>
  <c r="E154" i="9"/>
  <c r="C154" i="9"/>
  <c r="G154" i="9"/>
  <c r="Q153" i="6"/>
  <c r="U153" i="6"/>
  <c r="E153" i="9"/>
  <c r="C153" i="9"/>
  <c r="G153" i="9"/>
  <c r="Q152" i="6"/>
  <c r="U152" i="6"/>
  <c r="E152" i="9"/>
  <c r="C152" i="9"/>
  <c r="G152" i="9"/>
  <c r="Q151" i="6"/>
  <c r="U151" i="6"/>
  <c r="E151" i="9"/>
  <c r="C151" i="9"/>
  <c r="G151" i="9"/>
  <c r="Q150" i="6"/>
  <c r="U150" i="6"/>
  <c r="E150" i="9"/>
  <c r="C150" i="9"/>
  <c r="G150" i="9"/>
  <c r="Q149" i="6"/>
  <c r="U149" i="6"/>
  <c r="E149" i="9"/>
  <c r="C149" i="9"/>
  <c r="G149" i="9"/>
  <c r="Q148" i="6"/>
  <c r="U148" i="6"/>
  <c r="E148" i="9"/>
  <c r="C148" i="9"/>
  <c r="G148" i="9"/>
  <c r="Q147" i="6"/>
  <c r="U147" i="6"/>
  <c r="E147" i="9"/>
  <c r="C147" i="9"/>
  <c r="G147" i="9"/>
  <c r="Q146" i="6"/>
  <c r="U146" i="6"/>
  <c r="E146" i="9"/>
  <c r="C146" i="9"/>
  <c r="G146" i="9"/>
  <c r="Q145" i="6"/>
  <c r="U145" i="6"/>
  <c r="E145" i="9"/>
  <c r="C145" i="9"/>
  <c r="G145" i="9"/>
  <c r="Q144" i="6"/>
  <c r="U144" i="6"/>
  <c r="E144" i="9"/>
  <c r="C144" i="9"/>
  <c r="G144" i="9"/>
  <c r="U143" i="6"/>
  <c r="E143" i="9"/>
  <c r="C143" i="9"/>
  <c r="G143" i="9"/>
  <c r="Q142" i="6"/>
  <c r="U142" i="6"/>
  <c r="E142" i="9"/>
  <c r="C142" i="9"/>
  <c r="G142" i="9"/>
  <c r="Q141" i="6"/>
  <c r="U141" i="6"/>
  <c r="E141" i="9"/>
  <c r="C141" i="9"/>
  <c r="G141" i="9"/>
  <c r="Q140" i="6"/>
  <c r="U140" i="6"/>
  <c r="E140" i="9"/>
  <c r="C140" i="9"/>
  <c r="G140" i="9"/>
  <c r="Q139" i="6"/>
  <c r="U139" i="6"/>
  <c r="E139" i="9"/>
  <c r="C139" i="9"/>
  <c r="G139" i="9"/>
  <c r="Q138" i="6"/>
  <c r="U138" i="6"/>
  <c r="E138" i="9"/>
  <c r="C138" i="9"/>
  <c r="G138" i="9"/>
  <c r="Q137" i="6"/>
  <c r="U137" i="6"/>
  <c r="E137" i="9"/>
  <c r="C137" i="9"/>
  <c r="G137" i="9"/>
  <c r="Q136" i="6"/>
  <c r="U136" i="6"/>
  <c r="E136" i="9"/>
  <c r="C136" i="9"/>
  <c r="G136" i="9"/>
  <c r="Q135" i="6"/>
  <c r="U135" i="6"/>
  <c r="E135" i="9"/>
  <c r="C135" i="9"/>
  <c r="G135" i="9"/>
  <c r="Q134" i="6"/>
  <c r="U134" i="6"/>
  <c r="E134" i="9"/>
  <c r="C134" i="9"/>
  <c r="G134" i="9"/>
  <c r="U133" i="6"/>
  <c r="E133" i="9"/>
  <c r="C133" i="9"/>
  <c r="G133" i="9"/>
  <c r="Q132" i="6"/>
  <c r="U132" i="6"/>
  <c r="E132" i="9"/>
  <c r="C132" i="9"/>
  <c r="G132" i="9"/>
  <c r="Q131" i="6"/>
  <c r="U131" i="6"/>
  <c r="E131" i="9"/>
  <c r="C131" i="9"/>
  <c r="G131" i="9"/>
  <c r="Q130" i="6"/>
  <c r="U130" i="6"/>
  <c r="E130" i="9"/>
  <c r="C130" i="9"/>
  <c r="G130" i="9"/>
  <c r="Q129" i="6"/>
  <c r="U129" i="6"/>
  <c r="E129" i="9"/>
  <c r="C129" i="9"/>
  <c r="G129" i="9"/>
  <c r="Q128" i="6"/>
  <c r="U128" i="6"/>
  <c r="E128" i="9"/>
  <c r="C128" i="9"/>
  <c r="G128" i="9"/>
  <c r="Q127" i="6"/>
  <c r="U127" i="6"/>
  <c r="E127" i="9"/>
  <c r="C127" i="9"/>
  <c r="G127" i="9"/>
  <c r="Q126" i="6"/>
  <c r="U126" i="6"/>
  <c r="E126" i="9"/>
  <c r="C126" i="9"/>
  <c r="G126" i="9"/>
  <c r="Q125" i="6"/>
  <c r="U125" i="6"/>
  <c r="E125" i="9"/>
  <c r="C125" i="9"/>
  <c r="G125" i="9"/>
  <c r="Q124" i="6"/>
  <c r="U124" i="6"/>
  <c r="E124" i="9"/>
  <c r="C124" i="9"/>
  <c r="G124" i="9"/>
  <c r="Q123" i="6"/>
  <c r="U123" i="6"/>
  <c r="E123" i="9"/>
  <c r="C123" i="9"/>
  <c r="G123" i="9"/>
  <c r="Q122" i="6"/>
  <c r="U122" i="6"/>
  <c r="E122" i="9"/>
  <c r="C122" i="9"/>
  <c r="G122" i="9"/>
  <c r="Q121" i="6"/>
  <c r="U121" i="6"/>
  <c r="E121" i="9"/>
  <c r="C121" i="9"/>
  <c r="G121" i="9"/>
  <c r="Q120" i="6"/>
  <c r="U120" i="6"/>
  <c r="E120" i="9"/>
  <c r="C120" i="9"/>
  <c r="G120" i="9"/>
  <c r="Q119" i="6"/>
  <c r="U119" i="6"/>
  <c r="E119" i="9"/>
  <c r="C119" i="9"/>
  <c r="G119" i="9"/>
  <c r="Q118" i="6"/>
  <c r="U118" i="6"/>
  <c r="E118" i="9"/>
  <c r="C118" i="9"/>
  <c r="G118" i="9"/>
  <c r="Q117" i="6"/>
  <c r="U117" i="6"/>
  <c r="E117" i="9"/>
  <c r="C117" i="9"/>
  <c r="G117" i="9"/>
  <c r="Q116" i="6"/>
  <c r="U116" i="6"/>
  <c r="E116" i="9"/>
  <c r="C116" i="9"/>
  <c r="G116" i="9"/>
  <c r="Q115" i="6"/>
  <c r="U115" i="6"/>
  <c r="E115" i="9"/>
  <c r="C115" i="9"/>
  <c r="G115" i="9"/>
  <c r="Q114" i="6"/>
  <c r="U114" i="6"/>
  <c r="E114" i="9"/>
  <c r="C114" i="9"/>
  <c r="G114" i="9"/>
  <c r="U113" i="6"/>
  <c r="E113" i="9"/>
  <c r="C113" i="9"/>
  <c r="G113" i="9"/>
  <c r="Q112" i="6"/>
  <c r="U112" i="6"/>
  <c r="E112" i="9"/>
  <c r="C112" i="9"/>
  <c r="G112" i="9"/>
  <c r="Q111" i="6"/>
  <c r="U111" i="6"/>
  <c r="E111" i="9"/>
  <c r="C111" i="9"/>
  <c r="G111" i="9"/>
  <c r="Q110" i="6"/>
  <c r="U110" i="6"/>
  <c r="E110" i="9"/>
  <c r="C110" i="9"/>
  <c r="G110" i="9"/>
  <c r="Q109" i="6"/>
  <c r="U109" i="6"/>
  <c r="E109" i="9"/>
  <c r="C109" i="9"/>
  <c r="G109" i="9"/>
  <c r="U108" i="6"/>
  <c r="C108" i="9"/>
  <c r="G108" i="9"/>
  <c r="Q107" i="6"/>
  <c r="U107" i="6"/>
  <c r="E107" i="9"/>
  <c r="C107" i="9"/>
  <c r="G107" i="9"/>
  <c r="U106" i="6"/>
  <c r="C106" i="9"/>
  <c r="G106" i="9"/>
  <c r="U105" i="6"/>
  <c r="C105" i="9"/>
  <c r="G105" i="9"/>
  <c r="Q104" i="6"/>
  <c r="U104" i="6"/>
  <c r="E104" i="9"/>
  <c r="C104" i="9"/>
  <c r="G104" i="9"/>
  <c r="Q103" i="6"/>
  <c r="U103" i="6"/>
  <c r="E103" i="9"/>
  <c r="C103" i="9"/>
  <c r="G103" i="9"/>
  <c r="Q102" i="6"/>
  <c r="U102" i="6"/>
  <c r="E102" i="9"/>
  <c r="C102" i="9"/>
  <c r="G102" i="9"/>
  <c r="Q101" i="6"/>
  <c r="U101" i="6"/>
  <c r="E101" i="9"/>
  <c r="C101" i="9"/>
  <c r="G101" i="9"/>
  <c r="Q100" i="6"/>
  <c r="U100" i="6"/>
  <c r="E100" i="9"/>
  <c r="C100" i="9"/>
  <c r="G100" i="9"/>
  <c r="U99" i="6"/>
  <c r="C99" i="9"/>
  <c r="G99" i="9"/>
  <c r="Q98" i="6"/>
  <c r="U98" i="6"/>
  <c r="E98" i="9"/>
  <c r="C98" i="9"/>
  <c r="G98" i="9"/>
  <c r="Q97" i="6"/>
  <c r="U97" i="6"/>
  <c r="E97" i="9"/>
  <c r="C97" i="9"/>
  <c r="G97" i="9"/>
  <c r="E224" i="5"/>
  <c r="O223" i="5"/>
  <c r="AB224" i="5"/>
  <c r="AL223" i="5"/>
  <c r="J223" i="6"/>
  <c r="E223" i="5"/>
  <c r="O222" i="5"/>
  <c r="AB223" i="5"/>
  <c r="AL222" i="5"/>
  <c r="J222" i="6"/>
  <c r="E222" i="5"/>
  <c r="O221" i="5"/>
  <c r="AB222" i="5"/>
  <c r="AL221" i="5"/>
  <c r="J221" i="6"/>
  <c r="E221" i="5"/>
  <c r="O220" i="5"/>
  <c r="AB221" i="5"/>
  <c r="AL220" i="5"/>
  <c r="J220" i="6"/>
  <c r="E220" i="5"/>
  <c r="O219" i="5"/>
  <c r="AB220" i="5"/>
  <c r="AL219" i="5"/>
  <c r="J219" i="6"/>
  <c r="E219" i="5"/>
  <c r="O218" i="5"/>
  <c r="AB219" i="5"/>
  <c r="AL218" i="5"/>
  <c r="J218" i="6"/>
  <c r="E218" i="5"/>
  <c r="O217" i="5"/>
  <c r="AB218" i="5"/>
  <c r="AL217" i="5"/>
  <c r="J217" i="6"/>
  <c r="E217" i="5"/>
  <c r="O216" i="5"/>
  <c r="AB217" i="5"/>
  <c r="AL216" i="5"/>
  <c r="J216" i="6"/>
  <c r="E216" i="5"/>
  <c r="O215" i="5"/>
  <c r="AB216" i="5"/>
  <c r="AL215" i="5"/>
  <c r="J215" i="6"/>
  <c r="E215" i="5"/>
  <c r="O214" i="5"/>
  <c r="AB215" i="5"/>
  <c r="AL214" i="5"/>
  <c r="J214" i="6"/>
  <c r="E214" i="5"/>
  <c r="O213" i="5"/>
  <c r="AB214" i="5"/>
  <c r="AL213" i="5"/>
  <c r="J213" i="6"/>
  <c r="E213" i="5"/>
  <c r="O212" i="5"/>
  <c r="AB213" i="5"/>
  <c r="AL212" i="5"/>
  <c r="J212" i="6"/>
  <c r="E212" i="5"/>
  <c r="O211" i="5"/>
  <c r="AB212" i="5"/>
  <c r="AL211" i="5"/>
  <c r="J211" i="6"/>
  <c r="E211" i="5"/>
  <c r="O210" i="5"/>
  <c r="AB211" i="5"/>
  <c r="AL210" i="5"/>
  <c r="J210" i="6"/>
  <c r="E210" i="5"/>
  <c r="O209" i="5"/>
  <c r="AB210" i="5"/>
  <c r="AL209" i="5"/>
  <c r="J209" i="6"/>
  <c r="E209" i="5"/>
  <c r="O208" i="5"/>
  <c r="AB209" i="5"/>
  <c r="AL208" i="5"/>
  <c r="J208" i="6"/>
  <c r="E208" i="5"/>
  <c r="O207" i="5"/>
  <c r="AB208" i="5"/>
  <c r="AL207" i="5"/>
  <c r="J207" i="6"/>
  <c r="E207" i="5"/>
  <c r="O206" i="5"/>
  <c r="AB207" i="5"/>
  <c r="AL206" i="5"/>
  <c r="J206" i="6"/>
  <c r="E206" i="5"/>
  <c r="O205" i="5"/>
  <c r="AB206" i="5"/>
  <c r="AL205" i="5"/>
  <c r="J205" i="6"/>
  <c r="E205" i="5"/>
  <c r="O204" i="5"/>
  <c r="AB205" i="5"/>
  <c r="AL204" i="5"/>
  <c r="J204" i="6"/>
  <c r="E204" i="5"/>
  <c r="O203" i="5"/>
  <c r="AB204" i="5"/>
  <c r="AL203" i="5"/>
  <c r="J203" i="6"/>
  <c r="E203" i="5"/>
  <c r="O202" i="5"/>
  <c r="AB203" i="5"/>
  <c r="AL202" i="5"/>
  <c r="J202" i="6"/>
  <c r="E202" i="5"/>
  <c r="O201" i="5"/>
  <c r="AB202" i="5"/>
  <c r="AL201" i="5"/>
  <c r="J201" i="6"/>
  <c r="E201" i="5"/>
  <c r="O200" i="5"/>
  <c r="AB201" i="5"/>
  <c r="AL200" i="5"/>
  <c r="J200" i="6"/>
  <c r="E200" i="5"/>
  <c r="O199" i="5"/>
  <c r="AB200" i="5"/>
  <c r="AL199" i="5"/>
  <c r="E199" i="5"/>
  <c r="O198" i="5"/>
  <c r="AB199" i="5"/>
  <c r="AL198" i="5"/>
  <c r="E198" i="5"/>
  <c r="O197" i="5"/>
  <c r="AB198" i="5"/>
  <c r="AL197" i="5"/>
  <c r="J197" i="6"/>
  <c r="E197" i="5"/>
  <c r="O196" i="5"/>
  <c r="AB197" i="5"/>
  <c r="AL196" i="5"/>
  <c r="J196" i="6"/>
  <c r="E196" i="5"/>
  <c r="O195" i="5"/>
  <c r="AB196" i="5"/>
  <c r="AL195" i="5"/>
  <c r="E195" i="5"/>
  <c r="O194" i="5"/>
  <c r="AB195" i="5"/>
  <c r="AL194" i="5"/>
  <c r="J194" i="6"/>
  <c r="E194" i="5"/>
  <c r="O193" i="5"/>
  <c r="AB194" i="5"/>
  <c r="AL193" i="5"/>
  <c r="J193" i="6"/>
  <c r="E193" i="5"/>
  <c r="O192" i="5"/>
  <c r="AB193" i="5"/>
  <c r="AL192" i="5"/>
  <c r="J190" i="6"/>
  <c r="E190" i="5"/>
  <c r="O189" i="5"/>
  <c r="AB190" i="5"/>
  <c r="AL189" i="5"/>
  <c r="J189" i="6"/>
  <c r="E189" i="5"/>
  <c r="O188" i="5"/>
  <c r="AB189" i="5"/>
  <c r="AL188" i="5"/>
  <c r="J188" i="6"/>
  <c r="E188" i="5"/>
  <c r="O187" i="5"/>
  <c r="AB188" i="5"/>
  <c r="AL187" i="5"/>
  <c r="J187" i="6"/>
  <c r="E187" i="5"/>
  <c r="O186" i="5"/>
  <c r="AB187" i="5"/>
  <c r="AL186" i="5"/>
  <c r="J186" i="6"/>
  <c r="E186" i="5"/>
  <c r="O185" i="5"/>
  <c r="AB186" i="5"/>
  <c r="AL185" i="5"/>
  <c r="J185" i="6"/>
  <c r="E185" i="5"/>
  <c r="O184" i="5"/>
  <c r="AB185" i="5"/>
  <c r="AL184" i="5"/>
  <c r="J184" i="6"/>
  <c r="E184" i="5"/>
  <c r="O183" i="5"/>
  <c r="AB184" i="5"/>
  <c r="AL183" i="5"/>
  <c r="J183" i="6"/>
  <c r="E183" i="5"/>
  <c r="O182" i="5"/>
  <c r="AB183" i="5"/>
  <c r="AL182" i="5"/>
  <c r="J176" i="6"/>
  <c r="J173" i="6"/>
  <c r="J172" i="6"/>
  <c r="J171" i="6"/>
  <c r="J170" i="6"/>
  <c r="E169" i="5"/>
  <c r="O168" i="5"/>
  <c r="AL168" i="5"/>
  <c r="AB169" i="5"/>
  <c r="J168" i="6"/>
  <c r="O167" i="5"/>
  <c r="E168" i="5"/>
  <c r="AB168" i="5"/>
  <c r="AL167" i="5"/>
  <c r="J164" i="6"/>
  <c r="O163" i="5"/>
  <c r="E164" i="5"/>
  <c r="AL163" i="5"/>
  <c r="AB164" i="5"/>
  <c r="E158" i="5"/>
  <c r="O157" i="5"/>
  <c r="AL157" i="5"/>
  <c r="AB158" i="5"/>
  <c r="J156" i="6"/>
  <c r="J153" i="6"/>
  <c r="J152" i="6"/>
  <c r="J151" i="6"/>
  <c r="J148" i="6"/>
  <c r="AB148" i="5"/>
  <c r="AL147" i="5"/>
  <c r="E148" i="5"/>
  <c r="O147" i="5"/>
  <c r="J147" i="6"/>
  <c r="J146" i="6"/>
  <c r="AB145" i="5"/>
  <c r="AL144" i="5"/>
  <c r="E145" i="5"/>
  <c r="O144" i="5"/>
  <c r="E142" i="5"/>
  <c r="O141" i="5"/>
  <c r="AL141" i="5"/>
  <c r="AB142" i="5"/>
  <c r="J141" i="6"/>
  <c r="J111" i="6"/>
  <c r="Q81" i="6"/>
  <c r="U81" i="6"/>
  <c r="E81" i="9"/>
  <c r="C81" i="9"/>
  <c r="G81" i="9"/>
  <c r="Q80" i="6"/>
  <c r="U80" i="6"/>
  <c r="E80" i="9"/>
  <c r="C80" i="9"/>
  <c r="G80" i="9"/>
  <c r="Q79" i="6"/>
  <c r="U79" i="6"/>
  <c r="E79" i="9"/>
  <c r="C79" i="9"/>
  <c r="G79" i="9"/>
  <c r="Q78" i="6"/>
  <c r="U78" i="6"/>
  <c r="E78" i="9"/>
  <c r="C78" i="9"/>
  <c r="G78" i="9"/>
  <c r="Q77" i="6"/>
  <c r="U77" i="6"/>
  <c r="E77" i="9"/>
  <c r="C77" i="9"/>
  <c r="G77" i="9"/>
  <c r="Q76" i="6"/>
  <c r="U76" i="6"/>
  <c r="E76" i="9"/>
  <c r="C76" i="9"/>
  <c r="G76" i="9"/>
  <c r="Q75" i="6"/>
  <c r="U75" i="6"/>
  <c r="E75" i="9"/>
  <c r="C75" i="9"/>
  <c r="G75" i="9"/>
  <c r="Q74" i="6"/>
  <c r="U74" i="6"/>
  <c r="E74" i="9"/>
  <c r="C74" i="9"/>
  <c r="G74" i="9"/>
  <c r="Q73" i="6"/>
  <c r="U73" i="6"/>
  <c r="E73" i="9"/>
  <c r="C73" i="9"/>
  <c r="G73" i="9"/>
  <c r="Q72" i="6"/>
  <c r="U72" i="6"/>
  <c r="E72" i="9"/>
  <c r="C72" i="9"/>
  <c r="G72" i="9"/>
  <c r="Q71" i="6"/>
  <c r="U71" i="6"/>
  <c r="E71" i="9"/>
  <c r="C71" i="9"/>
  <c r="G71" i="9"/>
  <c r="Q70" i="6"/>
  <c r="U70" i="6"/>
  <c r="E70" i="9"/>
  <c r="C70" i="9"/>
  <c r="G70" i="9"/>
  <c r="Q69" i="6"/>
  <c r="U69" i="6"/>
  <c r="E69" i="9"/>
  <c r="C69" i="9"/>
  <c r="G69" i="9"/>
  <c r="Q68" i="6"/>
  <c r="U68" i="6"/>
  <c r="E68" i="9"/>
  <c r="C68" i="9"/>
  <c r="G68" i="9"/>
  <c r="Q67" i="6"/>
  <c r="U67" i="6"/>
  <c r="E67" i="9"/>
  <c r="C67" i="9"/>
  <c r="G67" i="9"/>
  <c r="Q66" i="6"/>
  <c r="U66" i="6"/>
  <c r="E66" i="9"/>
  <c r="C66" i="9"/>
  <c r="G66" i="9"/>
  <c r="Q65" i="6"/>
  <c r="U65" i="6"/>
  <c r="E65" i="9"/>
  <c r="C65" i="9"/>
  <c r="G65" i="9"/>
  <c r="Q64" i="6"/>
  <c r="U64" i="6"/>
  <c r="E64" i="9"/>
  <c r="C64" i="9"/>
  <c r="G64" i="9"/>
  <c r="Q63" i="6"/>
  <c r="U63" i="6"/>
  <c r="E63" i="9"/>
  <c r="C63" i="9"/>
  <c r="G63" i="9"/>
  <c r="Q62" i="6"/>
  <c r="U62" i="6"/>
  <c r="E62" i="9"/>
  <c r="C62" i="9"/>
  <c r="G62" i="9"/>
  <c r="Q61" i="6"/>
  <c r="U61" i="6"/>
  <c r="E61" i="9"/>
  <c r="C61" i="9"/>
  <c r="G61" i="9"/>
  <c r="Q60" i="6"/>
  <c r="U60" i="6"/>
  <c r="E60" i="9"/>
  <c r="C60" i="9"/>
  <c r="G60" i="9"/>
  <c r="Q59" i="6"/>
  <c r="U59" i="6"/>
  <c r="E59" i="9"/>
  <c r="C59" i="9"/>
  <c r="G59" i="9"/>
  <c r="Q58" i="6"/>
  <c r="U58" i="6"/>
  <c r="E58" i="9"/>
  <c r="C58" i="9"/>
  <c r="G58" i="9"/>
  <c r="Q57" i="6"/>
  <c r="U57" i="6"/>
  <c r="E57" i="9"/>
  <c r="C57" i="9"/>
  <c r="G57" i="9"/>
  <c r="Q56" i="6"/>
  <c r="U56" i="6"/>
  <c r="E56" i="9"/>
  <c r="C56" i="9"/>
  <c r="G56" i="9"/>
  <c r="Q55" i="6"/>
  <c r="U55" i="6"/>
  <c r="E55" i="9"/>
  <c r="C55" i="9"/>
  <c r="G55" i="9"/>
  <c r="Q54" i="6"/>
  <c r="U54" i="6"/>
  <c r="E54" i="9"/>
  <c r="C54" i="9"/>
  <c r="G54" i="9"/>
  <c r="Q53" i="6"/>
  <c r="U53" i="6"/>
  <c r="E53" i="9"/>
  <c r="C53" i="9"/>
  <c r="G53" i="9"/>
  <c r="Q52" i="6"/>
  <c r="U52" i="6"/>
  <c r="E52" i="9"/>
  <c r="C52" i="9"/>
  <c r="G52" i="9"/>
  <c r="Q51" i="6"/>
  <c r="U51" i="6"/>
  <c r="E51" i="9"/>
  <c r="C51" i="9"/>
  <c r="G51" i="9"/>
  <c r="Q50" i="6"/>
  <c r="U50" i="6"/>
  <c r="E50" i="9"/>
  <c r="C50" i="9"/>
  <c r="G50" i="9"/>
  <c r="Q49" i="6"/>
  <c r="U49" i="6"/>
  <c r="E49" i="9"/>
  <c r="C49" i="9"/>
  <c r="G49" i="9"/>
  <c r="Q48" i="6"/>
  <c r="U48" i="6"/>
  <c r="E48" i="9"/>
  <c r="C48" i="9"/>
  <c r="G48" i="9"/>
  <c r="Q47" i="6"/>
  <c r="U47" i="6"/>
  <c r="E47" i="9"/>
  <c r="C47" i="9"/>
  <c r="G47" i="9"/>
  <c r="Q46" i="6"/>
  <c r="U46" i="6"/>
  <c r="E46" i="9"/>
  <c r="C46" i="9"/>
  <c r="G46" i="9"/>
  <c r="Q45" i="6"/>
  <c r="U45" i="6"/>
  <c r="E45" i="9"/>
  <c r="C45" i="9"/>
  <c r="G45" i="9"/>
  <c r="Q44" i="6"/>
  <c r="U44" i="6"/>
  <c r="E44" i="9"/>
  <c r="C44" i="9"/>
  <c r="G44" i="9"/>
  <c r="Q43" i="6"/>
  <c r="U43" i="6"/>
  <c r="E43" i="9"/>
  <c r="C43" i="9"/>
  <c r="G43" i="9"/>
  <c r="Q42" i="6"/>
  <c r="U42" i="6"/>
  <c r="E42" i="9"/>
  <c r="C42" i="9"/>
  <c r="G42" i="9"/>
  <c r="Q41" i="6"/>
  <c r="U41" i="6"/>
  <c r="E41" i="9"/>
  <c r="C41" i="9"/>
  <c r="G41" i="9"/>
  <c r="Q40" i="6"/>
  <c r="U40" i="6"/>
  <c r="E40" i="9"/>
  <c r="C40" i="9"/>
  <c r="G40" i="9"/>
  <c r="Q39" i="6"/>
  <c r="U39" i="6"/>
  <c r="E39" i="9"/>
  <c r="C39" i="9"/>
  <c r="G39" i="9"/>
  <c r="Q38" i="6"/>
  <c r="U38" i="6"/>
  <c r="E38" i="9"/>
  <c r="C38" i="9"/>
  <c r="G38" i="9"/>
  <c r="Q37" i="6"/>
  <c r="U37" i="6"/>
  <c r="E37" i="9"/>
  <c r="C37" i="9"/>
  <c r="G37" i="9"/>
  <c r="Q36" i="6"/>
  <c r="U36" i="6"/>
  <c r="E36" i="9"/>
  <c r="C36" i="9"/>
  <c r="G36" i="9"/>
  <c r="Q35" i="6"/>
  <c r="U35" i="6"/>
  <c r="E35" i="9"/>
  <c r="C35" i="9"/>
  <c r="G35" i="9"/>
  <c r="Q34" i="6"/>
  <c r="U34" i="6"/>
  <c r="E34" i="9"/>
  <c r="C34" i="9"/>
  <c r="G34" i="9"/>
  <c r="Q33" i="6"/>
  <c r="U33" i="6"/>
  <c r="E33" i="9"/>
  <c r="C33" i="9"/>
  <c r="G33" i="9"/>
  <c r="Q32" i="6"/>
  <c r="U32" i="6"/>
  <c r="E32" i="9"/>
  <c r="C32" i="9"/>
  <c r="G32" i="9"/>
  <c r="Q31" i="6"/>
  <c r="U31" i="6"/>
  <c r="E31" i="9"/>
  <c r="C31" i="9"/>
  <c r="G31" i="9"/>
  <c r="Q30" i="6"/>
  <c r="U30" i="6"/>
  <c r="E30" i="9"/>
  <c r="C30" i="9"/>
  <c r="G30" i="9"/>
  <c r="Q29" i="6"/>
  <c r="U29" i="6"/>
  <c r="E29" i="9"/>
  <c r="C29" i="9"/>
  <c r="G29" i="9"/>
  <c r="Q28" i="6"/>
  <c r="U28" i="6"/>
  <c r="E28" i="9"/>
  <c r="C28" i="9"/>
  <c r="G28" i="9"/>
  <c r="Q27" i="6"/>
  <c r="U27" i="6"/>
  <c r="E27" i="9"/>
  <c r="C27" i="9"/>
  <c r="G27" i="9"/>
  <c r="Q26" i="6"/>
  <c r="U26" i="6"/>
  <c r="E26" i="9"/>
  <c r="C26" i="9"/>
  <c r="G26" i="9"/>
  <c r="Q25" i="6"/>
  <c r="U25" i="6"/>
  <c r="E25" i="9"/>
  <c r="C25" i="9"/>
  <c r="G25" i="9"/>
  <c r="Q24" i="6"/>
  <c r="U24" i="6"/>
  <c r="E24" i="9"/>
  <c r="C24" i="9"/>
  <c r="G24" i="9"/>
  <c r="Q23" i="6"/>
  <c r="U23" i="6"/>
  <c r="E23" i="9"/>
  <c r="C23" i="9"/>
  <c r="G23" i="9"/>
  <c r="Q22" i="6"/>
  <c r="U22" i="6"/>
  <c r="E22" i="9"/>
  <c r="C22" i="9"/>
  <c r="G22" i="9"/>
  <c r="Q21" i="6"/>
  <c r="U21" i="6"/>
  <c r="E21" i="9"/>
  <c r="C21" i="9"/>
  <c r="G21" i="9"/>
  <c r="Q20" i="6"/>
  <c r="U20" i="6"/>
  <c r="E20" i="9"/>
  <c r="C20" i="9"/>
  <c r="G20" i="9"/>
  <c r="Q19" i="6"/>
  <c r="U19" i="6"/>
  <c r="E19" i="9"/>
  <c r="C19" i="9"/>
  <c r="G19" i="9"/>
  <c r="Q18" i="6"/>
  <c r="U18" i="6"/>
  <c r="E18" i="9"/>
  <c r="C18" i="9"/>
  <c r="G18" i="9"/>
  <c r="Q17" i="6"/>
  <c r="U17" i="6"/>
  <c r="E17" i="9"/>
  <c r="C17" i="9"/>
  <c r="G17" i="9"/>
  <c r="Q16" i="6"/>
  <c r="U16" i="6"/>
  <c r="E16" i="9"/>
  <c r="C16" i="9"/>
  <c r="G16" i="9"/>
  <c r="Q15" i="6"/>
  <c r="U15" i="6"/>
  <c r="E15" i="9"/>
  <c r="C15" i="9"/>
  <c r="G15" i="9"/>
  <c r="Q14" i="6"/>
  <c r="U14" i="6"/>
  <c r="E14" i="9"/>
  <c r="C14" i="9"/>
  <c r="G14" i="9"/>
  <c r="Q13" i="6"/>
  <c r="U13" i="6"/>
  <c r="E13" i="9"/>
  <c r="C13" i="9"/>
  <c r="G13" i="9"/>
  <c r="Q12" i="6"/>
  <c r="U12" i="6"/>
  <c r="E12" i="9"/>
  <c r="C12" i="9"/>
  <c r="G12" i="9"/>
  <c r="Q11" i="6"/>
  <c r="U11" i="6"/>
  <c r="E11" i="9"/>
  <c r="C11" i="9"/>
  <c r="G11" i="9"/>
  <c r="Q10" i="6"/>
  <c r="U10" i="6"/>
  <c r="E10" i="9"/>
  <c r="C10" i="9"/>
  <c r="G10" i="9"/>
  <c r="Q9" i="6"/>
  <c r="U9" i="6"/>
  <c r="E9" i="9"/>
  <c r="C9" i="9"/>
  <c r="G9" i="9"/>
  <c r="Q8" i="6"/>
  <c r="U8" i="6"/>
  <c r="E8" i="9"/>
  <c r="C8" i="9"/>
  <c r="G8" i="9"/>
  <c r="Q7" i="6"/>
  <c r="U7" i="6"/>
  <c r="E7" i="9"/>
  <c r="C7" i="9"/>
  <c r="G7" i="9"/>
  <c r="Q6" i="6"/>
  <c r="U6" i="6"/>
  <c r="E6" i="9"/>
  <c r="C6" i="9"/>
  <c r="G6" i="9"/>
  <c r="Q5" i="6"/>
  <c r="U5" i="6"/>
  <c r="E5" i="9"/>
  <c r="C5" i="9"/>
  <c r="G5" i="9"/>
  <c r="Q4" i="6"/>
  <c r="U4" i="6"/>
  <c r="E4" i="9"/>
  <c r="C4" i="9"/>
  <c r="G4" i="9"/>
  <c r="Q3" i="6"/>
  <c r="U3" i="6"/>
  <c r="E3" i="9"/>
  <c r="C3" i="9"/>
  <c r="G3" i="9"/>
  <c r="Q2" i="6"/>
  <c r="U2" i="6"/>
  <c r="E2" i="9"/>
  <c r="B6" i="19"/>
  <c r="N2" i="6"/>
  <c r="C2" i="9"/>
  <c r="G2" i="9"/>
  <c r="J242" i="6"/>
  <c r="E242" i="5"/>
  <c r="O242" i="5"/>
  <c r="O241" i="5"/>
  <c r="AB242" i="5"/>
  <c r="AL242" i="5"/>
  <c r="AL241" i="5"/>
  <c r="J241" i="6"/>
  <c r="E241" i="5"/>
  <c r="O240" i="5"/>
  <c r="AB241" i="5"/>
  <c r="AL240" i="5"/>
  <c r="J240" i="6"/>
  <c r="E240" i="5"/>
  <c r="O239" i="5"/>
  <c r="AB240" i="5"/>
  <c r="AL239" i="5"/>
  <c r="J239" i="6"/>
  <c r="E239" i="5"/>
  <c r="O238" i="5"/>
  <c r="AB239" i="5"/>
  <c r="AL238" i="5"/>
  <c r="J238" i="6"/>
  <c r="E238" i="5"/>
  <c r="O237" i="5"/>
  <c r="AB238" i="5"/>
  <c r="AL237" i="5"/>
  <c r="J237" i="6"/>
  <c r="E237" i="5"/>
  <c r="O236" i="5"/>
  <c r="AB237" i="5"/>
  <c r="AL236" i="5"/>
  <c r="J236" i="6"/>
  <c r="E236" i="5"/>
  <c r="O235" i="5"/>
  <c r="AB236" i="5"/>
  <c r="AL235" i="5"/>
  <c r="J235" i="6"/>
  <c r="E235" i="5"/>
  <c r="O234" i="5"/>
  <c r="AB235" i="5"/>
  <c r="AL234" i="5"/>
  <c r="J234" i="6"/>
  <c r="E234" i="5"/>
  <c r="O233" i="5"/>
  <c r="AB234" i="5"/>
  <c r="AL233" i="5"/>
  <c r="J233" i="6"/>
  <c r="E233" i="5"/>
  <c r="O232" i="5"/>
  <c r="AB233" i="5"/>
  <c r="AL232" i="5"/>
  <c r="J232" i="6"/>
  <c r="E232" i="5"/>
  <c r="O231" i="5"/>
  <c r="AB232" i="5"/>
  <c r="AL231" i="5"/>
  <c r="J231" i="6"/>
  <c r="E231" i="5"/>
  <c r="O230" i="5"/>
  <c r="AB231" i="5"/>
  <c r="AL230" i="5"/>
  <c r="J230" i="6"/>
  <c r="E230" i="5"/>
  <c r="O229" i="5"/>
  <c r="AB230" i="5"/>
  <c r="AL229" i="5"/>
  <c r="J229" i="6"/>
  <c r="E229" i="5"/>
  <c r="O228" i="5"/>
  <c r="AB229" i="5"/>
  <c r="AL228" i="5"/>
  <c r="J228" i="6"/>
  <c r="E228" i="5"/>
  <c r="O227" i="5"/>
  <c r="AB228" i="5"/>
  <c r="AL227" i="5"/>
  <c r="J227" i="6"/>
  <c r="E227" i="5"/>
  <c r="O226" i="5"/>
  <c r="AB227" i="5"/>
  <c r="AL226" i="5"/>
  <c r="J226" i="6"/>
  <c r="E226" i="5"/>
  <c r="O225" i="5"/>
  <c r="AB226" i="5"/>
  <c r="AL225" i="5"/>
  <c r="J225" i="6"/>
  <c r="E225" i="5"/>
  <c r="O224" i="5"/>
  <c r="AB225" i="5"/>
  <c r="AL224" i="5"/>
  <c r="J224" i="6"/>
  <c r="F192" i="6"/>
  <c r="K192" i="6"/>
  <c r="J192" i="6"/>
  <c r="E192" i="5"/>
  <c r="O191" i="5"/>
  <c r="AB192" i="5"/>
  <c r="AL191" i="5"/>
  <c r="F191" i="6"/>
  <c r="K191" i="6"/>
  <c r="J191" i="6"/>
  <c r="E191" i="5"/>
  <c r="O190" i="5"/>
  <c r="AB191" i="5"/>
  <c r="AL190" i="5"/>
  <c r="F96" i="6"/>
  <c r="K96" i="6"/>
  <c r="J96" i="6"/>
  <c r="E96" i="5"/>
  <c r="O95" i="5"/>
  <c r="AB96" i="5"/>
  <c r="AL95" i="5"/>
  <c r="F95" i="6"/>
  <c r="K95" i="6"/>
  <c r="J95" i="6"/>
  <c r="E95" i="5"/>
  <c r="O94" i="5"/>
  <c r="AB95" i="5"/>
  <c r="AL94" i="5"/>
  <c r="F94" i="6"/>
  <c r="K94" i="6"/>
  <c r="J94" i="6"/>
  <c r="E94" i="5"/>
  <c r="O93" i="5"/>
  <c r="AB94" i="5"/>
  <c r="AL93" i="5"/>
  <c r="F93" i="6"/>
  <c r="K93" i="6"/>
  <c r="J93" i="6"/>
  <c r="E93" i="5"/>
  <c r="O92" i="5"/>
  <c r="AB93" i="5"/>
  <c r="AL92" i="5"/>
  <c r="F92" i="6"/>
  <c r="K92" i="6"/>
  <c r="J92" i="6"/>
  <c r="E92" i="5"/>
  <c r="O91" i="5"/>
  <c r="AB92" i="5"/>
  <c r="AL91" i="5"/>
  <c r="F91" i="6"/>
  <c r="K91" i="6"/>
  <c r="J91" i="6"/>
  <c r="E91" i="5"/>
  <c r="O90" i="5"/>
  <c r="AB91" i="5"/>
  <c r="AL90" i="5"/>
  <c r="F90" i="6"/>
  <c r="K90" i="6"/>
  <c r="J90" i="6"/>
  <c r="E90" i="5"/>
  <c r="O89" i="5"/>
  <c r="AB90" i="5"/>
  <c r="AL89" i="5"/>
  <c r="F89" i="6"/>
  <c r="K89" i="6"/>
  <c r="J89" i="6"/>
  <c r="E89" i="5"/>
  <c r="O88" i="5"/>
  <c r="AB89" i="5"/>
  <c r="AL88" i="5"/>
  <c r="F88" i="6"/>
  <c r="K88" i="6"/>
  <c r="J88" i="6"/>
  <c r="E88" i="5"/>
  <c r="O87" i="5"/>
  <c r="AB88" i="5"/>
  <c r="AL87" i="5"/>
  <c r="F87" i="6"/>
  <c r="K87" i="6"/>
  <c r="J87" i="6"/>
  <c r="E87" i="5"/>
  <c r="O86" i="5"/>
  <c r="AB87" i="5"/>
  <c r="AL86" i="5"/>
  <c r="F86" i="6"/>
  <c r="K86" i="6"/>
  <c r="J86" i="6"/>
  <c r="E86" i="5"/>
  <c r="O85" i="5"/>
  <c r="AB86" i="5"/>
  <c r="AL85" i="5"/>
  <c r="F85" i="6"/>
  <c r="K85" i="6"/>
  <c r="J85" i="6"/>
  <c r="E85" i="5"/>
  <c r="O84" i="5"/>
  <c r="AB85" i="5"/>
  <c r="AL84" i="5"/>
  <c r="F84" i="6"/>
  <c r="K84" i="6"/>
  <c r="J84" i="6"/>
  <c r="E84" i="5"/>
  <c r="O83" i="5"/>
  <c r="AB84" i="5"/>
  <c r="AL83" i="5"/>
  <c r="F83" i="6"/>
  <c r="K83" i="6"/>
  <c r="J83" i="6"/>
  <c r="E83" i="5"/>
  <c r="O82" i="5"/>
  <c r="AB83" i="5"/>
  <c r="AL82" i="5"/>
  <c r="F82" i="6"/>
  <c r="K82" i="6"/>
  <c r="J82" i="6"/>
  <c r="E82" i="5"/>
  <c r="O81" i="5"/>
  <c r="AB82" i="5"/>
  <c r="AL81" i="5"/>
  <c r="J81" i="6"/>
  <c r="E81" i="5"/>
  <c r="O80" i="5"/>
  <c r="AB81" i="5"/>
  <c r="AL80" i="5"/>
  <c r="J80" i="6"/>
  <c r="E80" i="5"/>
  <c r="O79" i="5"/>
  <c r="AB80" i="5"/>
  <c r="AL79" i="5"/>
  <c r="J79" i="6"/>
  <c r="E79" i="5"/>
  <c r="O78" i="5"/>
  <c r="AB79" i="5"/>
  <c r="AL78" i="5"/>
  <c r="J78" i="6"/>
  <c r="E78" i="5"/>
  <c r="O77" i="5"/>
  <c r="AB78" i="5"/>
  <c r="AL77" i="5"/>
  <c r="J77" i="6"/>
  <c r="E77" i="5"/>
  <c r="O76" i="5"/>
  <c r="AB77" i="5"/>
  <c r="AL76" i="5"/>
  <c r="J76" i="6"/>
  <c r="E76" i="5"/>
  <c r="O75" i="5"/>
  <c r="AB76" i="5"/>
  <c r="AL75" i="5"/>
  <c r="J75" i="6"/>
  <c r="E75" i="5"/>
  <c r="O74" i="5"/>
  <c r="AB75" i="5"/>
  <c r="AL74" i="5"/>
  <c r="J74" i="6"/>
  <c r="E74" i="5"/>
  <c r="O73" i="5"/>
  <c r="AB74" i="5"/>
  <c r="AL73" i="5"/>
  <c r="J73" i="6"/>
  <c r="E73" i="5"/>
  <c r="O72" i="5"/>
  <c r="AB73" i="5"/>
  <c r="AL72" i="5"/>
  <c r="J72" i="6"/>
  <c r="E72" i="5"/>
  <c r="O71" i="5"/>
  <c r="AB72" i="5"/>
  <c r="AL71" i="5"/>
  <c r="J71" i="6"/>
  <c r="E71" i="5"/>
  <c r="O70" i="5"/>
  <c r="AB71" i="5"/>
  <c r="AL70" i="5"/>
  <c r="J70" i="6"/>
  <c r="E70" i="5"/>
  <c r="O69" i="5"/>
  <c r="AB70" i="5"/>
  <c r="AL69" i="5"/>
  <c r="J69" i="6"/>
  <c r="E69" i="5"/>
  <c r="O68" i="5"/>
  <c r="AB69" i="5"/>
  <c r="AL68" i="5"/>
  <c r="J68" i="6"/>
  <c r="E68" i="5"/>
  <c r="O67" i="5"/>
  <c r="AB68" i="5"/>
  <c r="AL67" i="5"/>
  <c r="J67" i="6"/>
  <c r="E67" i="5"/>
  <c r="O66" i="5"/>
  <c r="AB67" i="5"/>
  <c r="AL66" i="5"/>
  <c r="J66" i="6"/>
  <c r="E66" i="5"/>
  <c r="O65" i="5"/>
  <c r="AB66" i="5"/>
  <c r="AL65" i="5"/>
  <c r="J65" i="6"/>
  <c r="E65" i="5"/>
  <c r="O64" i="5"/>
  <c r="AB65" i="5"/>
  <c r="AL64" i="5"/>
  <c r="J64" i="6"/>
  <c r="E64" i="5"/>
  <c r="O63" i="5"/>
  <c r="AB64" i="5"/>
  <c r="AL63" i="5"/>
  <c r="J63" i="6"/>
  <c r="E63" i="5"/>
  <c r="O62" i="5"/>
  <c r="AB63" i="5"/>
  <c r="AL62" i="5"/>
  <c r="J62" i="6"/>
  <c r="E62" i="5"/>
  <c r="O61" i="5"/>
  <c r="AB62" i="5"/>
  <c r="AL61" i="5"/>
  <c r="J61" i="6"/>
  <c r="E61" i="5"/>
  <c r="O60" i="5"/>
  <c r="AB61" i="5"/>
  <c r="AL60" i="5"/>
  <c r="J60" i="6"/>
  <c r="E60" i="5"/>
  <c r="O59" i="5"/>
  <c r="AB60" i="5"/>
  <c r="AL59" i="5"/>
  <c r="J59" i="6"/>
  <c r="E59" i="5"/>
  <c r="O58" i="5"/>
  <c r="AB59" i="5"/>
  <c r="AL58" i="5"/>
  <c r="J58" i="6"/>
  <c r="E58" i="5"/>
  <c r="O57" i="5"/>
  <c r="AB58" i="5"/>
  <c r="AL57" i="5"/>
  <c r="J57" i="6"/>
  <c r="E57" i="5"/>
  <c r="O56" i="5"/>
  <c r="AB57" i="5"/>
  <c r="AL56" i="5"/>
  <c r="J56" i="6"/>
  <c r="E56" i="5"/>
  <c r="O55" i="5"/>
  <c r="AB56" i="5"/>
  <c r="AL55" i="5"/>
  <c r="J55" i="6"/>
  <c r="E55" i="5"/>
  <c r="O54" i="5"/>
  <c r="AB55" i="5"/>
  <c r="AL54" i="5"/>
  <c r="J54" i="6"/>
  <c r="E54" i="5"/>
  <c r="O53" i="5"/>
  <c r="AB54" i="5"/>
  <c r="AL53" i="5"/>
  <c r="J53" i="6"/>
  <c r="E53" i="5"/>
  <c r="O52" i="5"/>
  <c r="AB53" i="5"/>
  <c r="AL52" i="5"/>
  <c r="J52" i="6"/>
  <c r="E52" i="5"/>
  <c r="O51" i="5"/>
  <c r="AB52" i="5"/>
  <c r="AL51" i="5"/>
  <c r="J51" i="6"/>
  <c r="E51" i="5"/>
  <c r="O50" i="5"/>
  <c r="AB51" i="5"/>
  <c r="AL50" i="5"/>
  <c r="J50" i="6"/>
  <c r="E50" i="5"/>
  <c r="O49" i="5"/>
  <c r="AB50" i="5"/>
  <c r="AL49" i="5"/>
  <c r="J49" i="6"/>
  <c r="E49" i="5"/>
  <c r="O48" i="5"/>
  <c r="AB49" i="5"/>
  <c r="AL48" i="5"/>
  <c r="J48" i="6"/>
  <c r="E48" i="5"/>
  <c r="O47" i="5"/>
  <c r="AB48" i="5"/>
  <c r="AL47" i="5"/>
  <c r="J47" i="6"/>
  <c r="E47" i="5"/>
  <c r="O46" i="5"/>
  <c r="AB47" i="5"/>
  <c r="AL46" i="5"/>
  <c r="J46" i="6"/>
  <c r="E46" i="5"/>
  <c r="O45" i="5"/>
  <c r="AB46" i="5"/>
  <c r="AL45" i="5"/>
  <c r="J45" i="6"/>
  <c r="E45" i="5"/>
  <c r="O44" i="5"/>
  <c r="AB45" i="5"/>
  <c r="AL44" i="5"/>
  <c r="J44" i="6"/>
  <c r="E44" i="5"/>
  <c r="O43" i="5"/>
  <c r="AB44" i="5"/>
  <c r="AL43" i="5"/>
  <c r="J43" i="6"/>
  <c r="E43" i="5"/>
  <c r="O42" i="5"/>
  <c r="AB43" i="5"/>
  <c r="AL42" i="5"/>
  <c r="J42" i="6"/>
  <c r="E42" i="5"/>
  <c r="O41" i="5"/>
  <c r="AB42" i="5"/>
  <c r="AL41" i="5"/>
  <c r="J41" i="6"/>
  <c r="E41" i="5"/>
  <c r="O40" i="5"/>
  <c r="AB41" i="5"/>
  <c r="AL40" i="5"/>
  <c r="J40" i="6"/>
  <c r="E40" i="5"/>
  <c r="O39" i="5"/>
  <c r="AB40" i="5"/>
  <c r="AL39" i="5"/>
  <c r="J39" i="6"/>
  <c r="E39" i="5"/>
  <c r="O38" i="5"/>
  <c r="AB39" i="5"/>
  <c r="AL38" i="5"/>
  <c r="J38" i="6"/>
  <c r="E38" i="5"/>
  <c r="O37" i="5"/>
  <c r="AB38" i="5"/>
  <c r="AL37" i="5"/>
  <c r="J37" i="6"/>
  <c r="E37" i="5"/>
  <c r="O36" i="5"/>
  <c r="AB37" i="5"/>
  <c r="AL36" i="5"/>
  <c r="J36" i="6"/>
  <c r="E36" i="5"/>
  <c r="O35" i="5"/>
  <c r="AB36" i="5"/>
  <c r="AL35" i="5"/>
  <c r="J35" i="6"/>
  <c r="E35" i="5"/>
  <c r="O34" i="5"/>
  <c r="AB35" i="5"/>
  <c r="AL34" i="5"/>
  <c r="J34" i="6"/>
  <c r="E34" i="5"/>
  <c r="O33" i="5"/>
  <c r="AB34" i="5"/>
  <c r="AL33" i="5"/>
  <c r="J33" i="6"/>
  <c r="E33" i="5"/>
  <c r="O32" i="5"/>
  <c r="AB33" i="5"/>
  <c r="AL32" i="5"/>
  <c r="J32" i="6"/>
  <c r="E32" i="5"/>
  <c r="O31" i="5"/>
  <c r="AB32" i="5"/>
  <c r="AL31" i="5"/>
  <c r="J31" i="6"/>
  <c r="E31" i="5"/>
  <c r="O30" i="5"/>
  <c r="AB31" i="5"/>
  <c r="AL30" i="5"/>
  <c r="J30" i="6"/>
  <c r="E30" i="5"/>
  <c r="O29" i="5"/>
  <c r="AB30" i="5"/>
  <c r="AL29" i="5"/>
  <c r="J29" i="6"/>
  <c r="E29" i="5"/>
  <c r="O28" i="5"/>
  <c r="AB29" i="5"/>
  <c r="AL28" i="5"/>
  <c r="J28" i="6"/>
  <c r="E28" i="5"/>
  <c r="O27" i="5"/>
  <c r="AB28" i="5"/>
  <c r="AL27" i="5"/>
  <c r="J27" i="6"/>
  <c r="E27" i="5"/>
  <c r="O26" i="5"/>
  <c r="AB27" i="5"/>
  <c r="AL26" i="5"/>
  <c r="J26" i="6"/>
  <c r="E26" i="5"/>
  <c r="O25" i="5"/>
  <c r="AB26" i="5"/>
  <c r="AL25" i="5"/>
  <c r="J25" i="6"/>
  <c r="E25" i="5"/>
  <c r="O24" i="5"/>
  <c r="AB25" i="5"/>
  <c r="AL24" i="5"/>
  <c r="J24" i="6"/>
  <c r="E24" i="5"/>
  <c r="O23" i="5"/>
  <c r="AB24" i="5"/>
  <c r="AL23" i="5"/>
  <c r="J23" i="6"/>
  <c r="E23" i="5"/>
  <c r="O22" i="5"/>
  <c r="AB23" i="5"/>
  <c r="AL22" i="5"/>
  <c r="J22" i="6"/>
  <c r="E22" i="5"/>
  <c r="O21" i="5"/>
  <c r="AB22" i="5"/>
  <c r="AL21" i="5"/>
  <c r="J21" i="6"/>
  <c r="E21" i="5"/>
  <c r="O20" i="5"/>
  <c r="AB21" i="5"/>
  <c r="AL20" i="5"/>
  <c r="J20" i="6"/>
  <c r="E20" i="5"/>
  <c r="O19" i="5"/>
  <c r="AB20" i="5"/>
  <c r="AL19" i="5"/>
  <c r="J19" i="6"/>
  <c r="E19" i="5"/>
  <c r="O18" i="5"/>
  <c r="AB19" i="5"/>
  <c r="AL18" i="5"/>
  <c r="J18" i="6"/>
  <c r="E18" i="5"/>
  <c r="O17" i="5"/>
  <c r="AB18" i="5"/>
  <c r="AL17" i="5"/>
  <c r="J17" i="6"/>
  <c r="E17" i="5"/>
  <c r="O16" i="5"/>
  <c r="AB17" i="5"/>
  <c r="AL16" i="5"/>
  <c r="J16" i="6"/>
  <c r="E16" i="5"/>
  <c r="O15" i="5"/>
  <c r="AB16" i="5"/>
  <c r="AL15" i="5"/>
  <c r="J15" i="6"/>
  <c r="E15" i="5"/>
  <c r="O14" i="5"/>
  <c r="AB15" i="5"/>
  <c r="AL14" i="5"/>
  <c r="J14" i="6"/>
  <c r="E14" i="5"/>
  <c r="O13" i="5"/>
  <c r="AB14" i="5"/>
  <c r="AL13" i="5"/>
  <c r="J13" i="6"/>
  <c r="E13" i="5"/>
  <c r="O12" i="5"/>
  <c r="AB13" i="5"/>
  <c r="AL12" i="5"/>
  <c r="J12" i="6"/>
  <c r="E12" i="5"/>
  <c r="O11" i="5"/>
  <c r="AB12" i="5"/>
  <c r="AL11" i="5"/>
  <c r="J11" i="6"/>
  <c r="E11" i="5"/>
  <c r="O10" i="5"/>
  <c r="AB11" i="5"/>
  <c r="AL10" i="5"/>
  <c r="J10" i="6"/>
  <c r="E10" i="5"/>
  <c r="O9" i="5"/>
  <c r="AB10" i="5"/>
  <c r="AL9" i="5"/>
  <c r="J9" i="6"/>
  <c r="E9" i="5"/>
  <c r="O8" i="5"/>
  <c r="AB9" i="5"/>
  <c r="AL8" i="5"/>
  <c r="J8" i="6"/>
  <c r="E8" i="5"/>
  <c r="O7" i="5"/>
  <c r="AB8" i="5"/>
  <c r="AL7" i="5"/>
  <c r="J7" i="6"/>
  <c r="E7" i="5"/>
  <c r="O6" i="5"/>
  <c r="AB7" i="5"/>
  <c r="AL6" i="5"/>
  <c r="J6" i="6"/>
  <c r="E6" i="5"/>
  <c r="O5" i="5"/>
  <c r="AB6" i="5"/>
  <c r="AL5" i="5"/>
  <c r="J5" i="6"/>
  <c r="E5" i="5"/>
  <c r="O4" i="5"/>
  <c r="AB5" i="5"/>
  <c r="AL4" i="5"/>
  <c r="J4" i="6"/>
  <c r="E4" i="5"/>
  <c r="O3" i="5"/>
  <c r="AB4" i="5"/>
  <c r="AL3" i="5"/>
  <c r="J3" i="6"/>
  <c r="E3" i="5"/>
  <c r="O2" i="5"/>
  <c r="AB3" i="5"/>
  <c r="AL2" i="5"/>
  <c r="J2" i="6"/>
  <c r="F2" i="5"/>
  <c r="G2" i="5"/>
  <c r="AC2" i="5"/>
  <c r="AD2" i="5"/>
  <c r="AJ2" i="5" s="1"/>
  <c r="D575" i="17"/>
  <c r="F1068" i="18"/>
  <c r="D820" i="17"/>
  <c r="F1313" i="18"/>
  <c r="D1065" i="17"/>
  <c r="F1558" i="18"/>
  <c r="D1310" i="17"/>
  <c r="F1803" i="18"/>
  <c r="E570" i="17"/>
  <c r="H1063" i="18"/>
  <c r="E815" i="17"/>
  <c r="H1308" i="18"/>
  <c r="E1060" i="17"/>
  <c r="H1553" i="18"/>
  <c r="E1305" i="17"/>
  <c r="H1798" i="18"/>
  <c r="B561" i="17"/>
  <c r="B1054" i="18"/>
  <c r="B806" i="17"/>
  <c r="B1299" i="18"/>
  <c r="B1051" i="17"/>
  <c r="B1544" i="18"/>
  <c r="B1296" i="17"/>
  <c r="B1789" i="18"/>
  <c r="D512" i="17"/>
  <c r="F1005" i="18"/>
  <c r="D757" i="17"/>
  <c r="F1250" i="18"/>
  <c r="D1002" i="17"/>
  <c r="F1495" i="18"/>
  <c r="D1247" i="17"/>
  <c r="F1740" i="18"/>
  <c r="B509" i="17"/>
  <c r="B1002" i="18"/>
  <c r="B754" i="17"/>
  <c r="B1247" i="18"/>
  <c r="B999" i="17"/>
  <c r="B1492" i="18"/>
  <c r="B1244" i="17"/>
  <c r="B1737" i="18"/>
  <c r="C508" i="17"/>
  <c r="D1001" i="18"/>
  <c r="C753" i="17"/>
  <c r="D1246" i="18"/>
  <c r="C998" i="17"/>
  <c r="D1491" i="18"/>
  <c r="C1243" i="17"/>
  <c r="D1736" i="18"/>
  <c r="D507" i="17"/>
  <c r="F1000" i="18"/>
  <c r="D752" i="17"/>
  <c r="F1245" i="18"/>
  <c r="D997" i="17"/>
  <c r="F1490" i="18"/>
  <c r="D1242" i="17"/>
  <c r="F1735" i="18"/>
  <c r="D505" i="17"/>
  <c r="F998" i="18"/>
  <c r="D750" i="17"/>
  <c r="F1243" i="18"/>
  <c r="D995" i="17"/>
  <c r="F1488" i="18"/>
  <c r="D1240" i="17"/>
  <c r="F1733" i="18"/>
  <c r="E503" i="17"/>
  <c r="H996" i="18"/>
  <c r="E748" i="17"/>
  <c r="H1241" i="18"/>
  <c r="E993" i="17"/>
  <c r="H1486" i="18"/>
  <c r="E1238" i="17"/>
  <c r="H1731" i="18"/>
  <c r="E502" i="17"/>
  <c r="H995" i="18"/>
  <c r="E747" i="17"/>
  <c r="H1240" i="18"/>
  <c r="E992" i="17"/>
  <c r="H1485" i="18"/>
  <c r="E1237" i="17"/>
  <c r="H1730" i="18"/>
  <c r="B499" i="17"/>
  <c r="B992" i="18"/>
  <c r="B744" i="17"/>
  <c r="B1237" i="18"/>
  <c r="B989" i="17"/>
  <c r="B1482" i="18"/>
  <c r="B1234" i="17"/>
  <c r="B1727" i="18"/>
  <c r="D494" i="17"/>
  <c r="F987" i="18"/>
  <c r="D739" i="17"/>
  <c r="F1232" i="18"/>
  <c r="D984" i="17"/>
  <c r="F1477" i="18"/>
  <c r="D1229" i="17"/>
  <c r="F1722" i="18"/>
  <c r="E738" i="17"/>
  <c r="H1231" i="18"/>
  <c r="E493" i="17"/>
  <c r="H986" i="18"/>
  <c r="H1476" i="18"/>
  <c r="E983" i="17"/>
  <c r="H1721" i="18"/>
  <c r="E1228" i="17"/>
  <c r="C492" i="17"/>
  <c r="D985" i="18"/>
  <c r="C982" i="17"/>
  <c r="D1475" i="18"/>
  <c r="D1230" i="18"/>
  <c r="C737" i="17"/>
  <c r="D1720" i="18"/>
  <c r="C1227" i="17"/>
  <c r="J128" i="6"/>
  <c r="J121" i="6"/>
  <c r="AB121" i="5"/>
  <c r="AL120" i="5"/>
  <c r="E121" i="5"/>
  <c r="O120" i="5"/>
  <c r="J119" i="6"/>
  <c r="J117" i="6"/>
  <c r="AB111" i="5"/>
  <c r="AL110" i="5"/>
  <c r="O110" i="5"/>
  <c r="E111" i="5"/>
  <c r="AL107" i="5"/>
  <c r="AB108" i="5"/>
  <c r="E108" i="5"/>
  <c r="O107" i="5"/>
  <c r="AB105" i="5"/>
  <c r="AL104" i="5"/>
  <c r="O104" i="5"/>
  <c r="E105" i="5"/>
  <c r="D1335" i="18"/>
  <c r="C842" i="17"/>
  <c r="C1330" i="17"/>
  <c r="D1823" i="18"/>
  <c r="F1333" i="18"/>
  <c r="D840" i="17"/>
  <c r="E1084" i="17"/>
  <c r="H1577" i="18"/>
  <c r="C1083" i="17"/>
  <c r="D1576" i="18"/>
  <c r="D1331" i="18"/>
  <c r="C838" i="17"/>
  <c r="H1328" i="18"/>
  <c r="E835" i="17"/>
  <c r="B1324" i="17"/>
  <c r="B1817" i="18"/>
  <c r="H1327" i="18"/>
  <c r="E834" i="17"/>
  <c r="D1323" i="18"/>
  <c r="C830" i="17"/>
  <c r="D1318" i="17"/>
  <c r="F1811" i="18"/>
  <c r="C1073" i="17"/>
  <c r="D1566" i="18"/>
  <c r="D1321" i="18"/>
  <c r="C828" i="17"/>
  <c r="D1320" i="18"/>
  <c r="C827" i="17"/>
  <c r="B1315" i="17"/>
  <c r="B1808" i="18"/>
  <c r="C983" i="17"/>
  <c r="D1476" i="18"/>
  <c r="D1231" i="18"/>
  <c r="C738" i="17"/>
  <c r="D251" i="18"/>
  <c r="C248" i="17"/>
  <c r="C980" i="17"/>
  <c r="D1473" i="18"/>
  <c r="D487" i="18"/>
  <c r="C484" i="17"/>
  <c r="D483" i="17"/>
  <c r="F486" i="18"/>
  <c r="H483" i="18"/>
  <c r="E480" i="17"/>
  <c r="E479" i="17"/>
  <c r="H482" i="18"/>
  <c r="B455" i="18"/>
  <c r="B452" i="17"/>
  <c r="F447" i="18"/>
  <c r="D444" i="17"/>
  <c r="F446" i="18"/>
  <c r="D443" i="17"/>
  <c r="H444" i="18"/>
  <c r="E441" i="17"/>
  <c r="H440" i="18"/>
  <c r="E437" i="17"/>
  <c r="H439" i="18"/>
  <c r="E436" i="17"/>
  <c r="E435" i="17"/>
  <c r="H438" i="18"/>
  <c r="F433" i="18"/>
  <c r="D430" i="17"/>
  <c r="D431" i="18"/>
  <c r="C428" i="17"/>
  <c r="H428" i="18"/>
  <c r="E425" i="17"/>
  <c r="B427" i="18"/>
  <c r="B424" i="17"/>
  <c r="D425" i="18"/>
  <c r="C422" i="17"/>
  <c r="D421" i="17"/>
  <c r="F424" i="18"/>
  <c r="H420" i="18"/>
  <c r="E417" i="17"/>
  <c r="B416" i="18"/>
  <c r="B413" i="17"/>
  <c r="B408" i="18"/>
  <c r="B405" i="17"/>
  <c r="D404" i="18"/>
  <c r="C401" i="17"/>
  <c r="H400" i="18"/>
  <c r="E397" i="17"/>
  <c r="B359" i="18"/>
  <c r="B356" i="17"/>
  <c r="D356" i="18"/>
  <c r="C353" i="17"/>
  <c r="B344" i="18"/>
  <c r="B341" i="17"/>
  <c r="H342" i="18"/>
  <c r="E339" i="17"/>
  <c r="D336" i="17"/>
  <c r="F339" i="18"/>
  <c r="D334" i="18"/>
  <c r="C331" i="17"/>
  <c r="H265" i="18"/>
  <c r="E262" i="17"/>
  <c r="C845" i="17"/>
  <c r="D1338" i="18"/>
  <c r="E839" i="17"/>
  <c r="H1332" i="18"/>
  <c r="E1326" i="17"/>
  <c r="H1819" i="18"/>
  <c r="C833" i="17"/>
  <c r="D1326" i="18"/>
  <c r="D416" i="17"/>
  <c r="F419" i="18"/>
  <c r="D434" i="18"/>
  <c r="C431" i="17"/>
  <c r="B430" i="17"/>
  <c r="B433" i="18"/>
  <c r="B430" i="18"/>
  <c r="B427" i="17"/>
  <c r="B423" i="17"/>
  <c r="B426" i="18"/>
  <c r="B425" i="18"/>
  <c r="B422" i="17"/>
  <c r="D424" i="18"/>
  <c r="C421" i="17"/>
  <c r="D419" i="18"/>
  <c r="C416" i="17"/>
  <c r="B418" i="18"/>
  <c r="B415" i="17"/>
  <c r="B413" i="18"/>
  <c r="B410" i="17"/>
  <c r="F412" i="18"/>
  <c r="D409" i="17"/>
  <c r="C408" i="17"/>
  <c r="D411" i="18"/>
  <c r="D410" i="18"/>
  <c r="C407" i="17"/>
  <c r="D407" i="18"/>
  <c r="C404" i="17"/>
  <c r="B405" i="18"/>
  <c r="B402" i="17"/>
  <c r="D403" i="18"/>
  <c r="C400" i="17"/>
  <c r="B399" i="17"/>
  <c r="B402" i="18"/>
  <c r="H361" i="18"/>
  <c r="E358" i="17"/>
  <c r="D361" i="18"/>
  <c r="C358" i="17"/>
  <c r="D360" i="18"/>
  <c r="C357" i="17"/>
  <c r="B357" i="18"/>
  <c r="B354" i="17"/>
  <c r="H355" i="18"/>
  <c r="E352" i="17"/>
  <c r="F354" i="18"/>
  <c r="D351" i="17"/>
  <c r="H352" i="18"/>
  <c r="E349" i="17"/>
  <c r="D351" i="18"/>
  <c r="C348" i="17"/>
  <c r="F349" i="18"/>
  <c r="D346" i="17"/>
  <c r="B347" i="18"/>
  <c r="B344" i="17"/>
  <c r="F346" i="18"/>
  <c r="D343" i="17"/>
  <c r="D340" i="17"/>
  <c r="F343" i="18"/>
  <c r="F342" i="18"/>
  <c r="D339" i="17"/>
  <c r="B339" i="18"/>
  <c r="B336" i="17"/>
  <c r="D338" i="18"/>
  <c r="C335" i="17"/>
  <c r="B337" i="18"/>
  <c r="B334" i="17"/>
  <c r="B335" i="18"/>
  <c r="B332" i="17"/>
  <c r="E316" i="17"/>
  <c r="H319" i="18"/>
  <c r="D273" i="18"/>
  <c r="C270" i="17"/>
  <c r="H272" i="18"/>
  <c r="E269" i="17"/>
  <c r="H269" i="18"/>
  <c r="E266" i="17"/>
  <c r="E257" i="17"/>
  <c r="H260" i="18"/>
  <c r="F256" i="18"/>
  <c r="D253" i="17"/>
  <c r="D251" i="17"/>
  <c r="F254" i="18"/>
  <c r="C926" i="17"/>
  <c r="D1419" i="18"/>
  <c r="B448" i="17"/>
  <c r="B451" i="18"/>
  <c r="E447" i="17"/>
  <c r="H450" i="18"/>
  <c r="D442" i="17"/>
  <c r="F445" i="18"/>
  <c r="C440" i="17"/>
  <c r="D443" i="18"/>
  <c r="C439" i="17"/>
  <c r="D442" i="18"/>
  <c r="C436" i="17"/>
  <c r="D439" i="18"/>
  <c r="B435" i="17"/>
  <c r="B438" i="18"/>
  <c r="E434" i="17"/>
  <c r="H437" i="18"/>
  <c r="C433" i="17"/>
  <c r="D436" i="18"/>
  <c r="D432" i="17"/>
  <c r="F435" i="18"/>
  <c r="E430" i="17"/>
  <c r="H433" i="18"/>
  <c r="C429" i="17"/>
  <c r="D432" i="18"/>
  <c r="C420" i="17"/>
  <c r="D423" i="18"/>
  <c r="C418" i="17"/>
  <c r="D421" i="18"/>
  <c r="B417" i="17"/>
  <c r="B420" i="18"/>
  <c r="C414" i="17"/>
  <c r="D417" i="18"/>
  <c r="C411" i="17"/>
  <c r="D414" i="18"/>
  <c r="C406" i="17"/>
  <c r="D409" i="18"/>
  <c r="D404" i="17"/>
  <c r="F407" i="18"/>
  <c r="C397" i="17"/>
  <c r="D400" i="18"/>
  <c r="E351" i="17"/>
  <c r="H354" i="18"/>
  <c r="D349" i="17"/>
  <c r="F352" i="18"/>
  <c r="B350" i="18"/>
  <c r="B347" i="17"/>
  <c r="C341" i="17"/>
  <c r="D344" i="18"/>
  <c r="B342" i="18"/>
  <c r="B339" i="17"/>
  <c r="B335" i="17"/>
  <c r="B338" i="18"/>
  <c r="C334" i="17"/>
  <c r="D337" i="18"/>
  <c r="D331" i="17"/>
  <c r="F334" i="18"/>
  <c r="B251" i="17"/>
  <c r="B254" i="18"/>
  <c r="B249" i="17"/>
  <c r="B252" i="18"/>
  <c r="F1922" i="18"/>
  <c r="D1429" i="17"/>
  <c r="F1677" i="18"/>
  <c r="D1184" i="17"/>
  <c r="H1676" i="18"/>
  <c r="E1183" i="17"/>
  <c r="D1909" i="18"/>
  <c r="C1416" i="17"/>
  <c r="D1828" i="18"/>
  <c r="C1335" i="17"/>
  <c r="F1338" i="18"/>
  <c r="D845" i="17"/>
  <c r="D1827" i="18"/>
  <c r="C1334" i="17"/>
  <c r="F1826" i="18"/>
  <c r="D1333" i="17"/>
  <c r="F1581" i="18"/>
  <c r="D1088" i="17"/>
  <c r="H1822" i="18"/>
  <c r="E1329" i="17"/>
  <c r="D1332" i="18"/>
  <c r="C839" i="17"/>
  <c r="B1572" i="18"/>
  <c r="B1079" i="17"/>
  <c r="B1570" i="18"/>
  <c r="B1077" i="17"/>
  <c r="F1566" i="18"/>
  <c r="D1073" i="17"/>
  <c r="B1321" i="18"/>
  <c r="B828" i="17"/>
  <c r="F1808" i="18"/>
  <c r="D1315" i="17"/>
  <c r="F1476" i="18"/>
  <c r="D983" i="17"/>
  <c r="B1720" i="18"/>
  <c r="B1227" i="17"/>
  <c r="B1230" i="18"/>
  <c r="B737" i="17"/>
  <c r="D1228" i="18"/>
  <c r="C735" i="17"/>
  <c r="C349" i="17"/>
  <c r="D352" i="18"/>
  <c r="H254" i="18"/>
  <c r="E251" i="17"/>
  <c r="B398" i="17"/>
  <c r="B401" i="18"/>
  <c r="B397" i="17"/>
  <c r="B400" i="18"/>
  <c r="D357" i="17"/>
  <c r="F360" i="18"/>
  <c r="B355" i="17"/>
  <c r="B358" i="18"/>
  <c r="B325" i="17"/>
  <c r="B328" i="18"/>
  <c r="E323" i="17"/>
  <c r="H326" i="18"/>
  <c r="D322" i="17"/>
  <c r="F325" i="18"/>
  <c r="E317" i="17"/>
  <c r="H320" i="18"/>
  <c r="C316" i="17"/>
  <c r="D319" i="18"/>
  <c r="D270" i="17"/>
  <c r="F273" i="18"/>
  <c r="B269" i="17"/>
  <c r="B272" i="18"/>
  <c r="C265" i="17"/>
  <c r="D268" i="18"/>
  <c r="D264" i="17"/>
  <c r="F267" i="18"/>
  <c r="D260" i="17"/>
  <c r="F263" i="18"/>
  <c r="B259" i="17"/>
  <c r="B262" i="18"/>
  <c r="D250" i="17"/>
  <c r="F253" i="18"/>
  <c r="D1954" i="18"/>
  <c r="C1461" i="17"/>
  <c r="D1709" i="18"/>
  <c r="C1216" i="17"/>
  <c r="D1464" i="18"/>
  <c r="C971" i="17"/>
  <c r="H1924" i="18"/>
  <c r="E1431" i="17"/>
  <c r="H1679" i="18"/>
  <c r="E1186" i="17"/>
  <c r="H1434" i="18"/>
  <c r="E941" i="17"/>
  <c r="D1923" i="18"/>
  <c r="C1430" i="17"/>
  <c r="D1678" i="18"/>
  <c r="C1185" i="17"/>
  <c r="D1433" i="18"/>
  <c r="C940" i="17"/>
  <c r="D1922" i="18"/>
  <c r="C1429" i="17"/>
  <c r="F1432" i="18"/>
  <c r="D939" i="17"/>
  <c r="D1432" i="18"/>
  <c r="C939" i="17"/>
  <c r="H1921" i="18"/>
  <c r="E1428" i="17"/>
  <c r="H1431" i="18"/>
  <c r="E938" i="17"/>
  <c r="F1671" i="18"/>
  <c r="D1178" i="17"/>
  <c r="F1426" i="18"/>
  <c r="D933" i="17"/>
  <c r="D1664" i="18"/>
  <c r="C1171" i="17"/>
  <c r="F1584" i="18"/>
  <c r="D1091" i="17"/>
  <c r="D1583" i="18"/>
  <c r="C1090" i="17"/>
  <c r="D1826" i="18"/>
  <c r="C1333" i="17"/>
  <c r="D1822" i="18"/>
  <c r="C1329" i="17"/>
  <c r="D1575" i="18"/>
  <c r="C1082" i="17"/>
  <c r="H1329" i="18"/>
  <c r="E836" i="17"/>
  <c r="D1817" i="18"/>
  <c r="C1324" i="17"/>
  <c r="D1327" i="18"/>
  <c r="C834" i="17"/>
  <c r="D1324" i="18"/>
  <c r="C831" i="17"/>
  <c r="B1568" i="18"/>
  <c r="B1075" i="17"/>
  <c r="B1811" i="18"/>
  <c r="B1318" i="17"/>
  <c r="D1810" i="18"/>
  <c r="C1317" i="17"/>
  <c r="B1565" i="18"/>
  <c r="B1072" i="17"/>
  <c r="B1320" i="18"/>
  <c r="B827" i="17"/>
  <c r="F1231" i="18"/>
  <c r="D738" i="17"/>
  <c r="D248" i="18"/>
  <c r="C245" i="17"/>
  <c r="F487" i="18"/>
  <c r="D484" i="17"/>
  <c r="F484" i="18"/>
  <c r="D481" i="17"/>
  <c r="C445" i="17"/>
  <c r="D448" i="18"/>
  <c r="B351" i="18"/>
  <c r="B348" i="17"/>
  <c r="F350" i="18"/>
  <c r="D347" i="17"/>
  <c r="H349" i="18"/>
  <c r="E346" i="17"/>
  <c r="H348" i="18"/>
  <c r="E345" i="17"/>
  <c r="F347" i="18"/>
  <c r="D344" i="17"/>
  <c r="H345" i="18"/>
  <c r="E342" i="17"/>
  <c r="H344" i="18"/>
  <c r="E341" i="17"/>
  <c r="C340" i="17"/>
  <c r="D343" i="18"/>
  <c r="F341" i="18"/>
  <c r="D338" i="17"/>
  <c r="C336" i="17"/>
  <c r="D339" i="18"/>
  <c r="F338" i="18"/>
  <c r="D335" i="17"/>
  <c r="H337" i="18"/>
  <c r="E334" i="17"/>
  <c r="D335" i="18"/>
  <c r="C332" i="17"/>
  <c r="F331" i="18"/>
  <c r="D328" i="17"/>
  <c r="D329" i="18"/>
  <c r="C326" i="17"/>
  <c r="F328" i="18"/>
  <c r="D325" i="17"/>
  <c r="B321" i="18"/>
  <c r="B318" i="17"/>
  <c r="D320" i="18"/>
  <c r="C317" i="17"/>
  <c r="B319" i="18"/>
  <c r="B316" i="17"/>
  <c r="D265" i="18"/>
  <c r="C262" i="17"/>
  <c r="B263" i="18"/>
  <c r="B260" i="17"/>
  <c r="D261" i="18"/>
  <c r="C258" i="17"/>
  <c r="D259" i="18"/>
  <c r="C256" i="17"/>
  <c r="F257" i="18"/>
  <c r="D254" i="17"/>
  <c r="H250" i="18"/>
  <c r="E247" i="17"/>
  <c r="F1908" i="18"/>
  <c r="D1415" i="17"/>
  <c r="F1663" i="18"/>
  <c r="D1170" i="17"/>
  <c r="F1418" i="18"/>
  <c r="D925" i="17"/>
  <c r="F1907" i="18"/>
  <c r="D1414" i="17"/>
  <c r="D1907" i="18"/>
  <c r="C1414" i="17"/>
  <c r="F1662" i="18"/>
  <c r="D1169" i="17"/>
  <c r="D1662" i="18"/>
  <c r="C1169" i="17"/>
  <c r="F1417" i="18"/>
  <c r="D924" i="17"/>
  <c r="D1417" i="18"/>
  <c r="C924" i="17"/>
  <c r="H1906" i="18"/>
  <c r="E1413" i="17"/>
  <c r="D1906" i="18"/>
  <c r="C1413" i="17"/>
  <c r="H1661" i="18"/>
  <c r="E1168" i="17"/>
  <c r="D1661" i="18"/>
  <c r="C1168" i="17"/>
  <c r="H1416" i="18"/>
  <c r="E923" i="17"/>
  <c r="D1416" i="18"/>
  <c r="C923" i="17"/>
  <c r="D1902" i="18"/>
  <c r="C1409" i="17"/>
  <c r="D1657" i="18"/>
  <c r="C1164" i="17"/>
  <c r="D1412" i="18"/>
  <c r="C919" i="17"/>
  <c r="D1900" i="18"/>
  <c r="C1407" i="17"/>
  <c r="D1655" i="18"/>
  <c r="C1162" i="17"/>
  <c r="D1410" i="18"/>
  <c r="C917" i="17"/>
  <c r="F1894" i="18"/>
  <c r="D1401" i="17"/>
  <c r="D1894" i="18"/>
  <c r="C1401" i="17"/>
  <c r="F1649" i="18"/>
  <c r="D1156" i="17"/>
  <c r="D1649" i="18"/>
  <c r="C1156" i="17"/>
  <c r="F1404" i="18"/>
  <c r="D911" i="17"/>
  <c r="D1404" i="18"/>
  <c r="C911" i="17"/>
  <c r="F1893" i="18"/>
  <c r="D1400" i="17"/>
  <c r="F1648" i="18"/>
  <c r="D1155" i="17"/>
  <c r="F1403" i="18"/>
  <c r="D910" i="17"/>
  <c r="H1891" i="18"/>
  <c r="E1398" i="17"/>
  <c r="H1646" i="18"/>
  <c r="E1153" i="17"/>
  <c r="H1401" i="18"/>
  <c r="E908" i="17"/>
  <c r="H1883" i="18"/>
  <c r="E1390" i="17"/>
  <c r="H1638" i="18"/>
  <c r="E1145" i="17"/>
  <c r="H1393" i="18"/>
  <c r="E900" i="17"/>
  <c r="F1877" i="18"/>
  <c r="D1384" i="17"/>
  <c r="F1632" i="18"/>
  <c r="D1139" i="17"/>
  <c r="F1387" i="18"/>
  <c r="D894" i="17"/>
  <c r="D1874" i="18"/>
  <c r="C1381" i="17"/>
  <c r="D1629" i="18"/>
  <c r="C1136" i="17"/>
  <c r="D1384" i="18"/>
  <c r="C891" i="17"/>
  <c r="F1871" i="18"/>
  <c r="D1378" i="17"/>
  <c r="F1626" i="18"/>
  <c r="D1133" i="17"/>
  <c r="F1381" i="18"/>
  <c r="D888" i="17"/>
  <c r="F1828" i="18"/>
  <c r="D1335" i="17"/>
  <c r="D1582" i="18"/>
  <c r="C1089" i="17"/>
  <c r="D1336" i="18"/>
  <c r="C843" i="17"/>
  <c r="D1825" i="18"/>
  <c r="C1332" i="17"/>
  <c r="D1580" i="18"/>
  <c r="C1087" i="17"/>
  <c r="F1822" i="18"/>
  <c r="D1329" i="17"/>
  <c r="D1577" i="18"/>
  <c r="C1084" i="17"/>
  <c r="F1332" i="18"/>
  <c r="D839" i="17"/>
  <c r="D1573" i="18"/>
  <c r="C1080" i="17"/>
  <c r="D1328" i="18"/>
  <c r="C835" i="17"/>
  <c r="B1327" i="18"/>
  <c r="B834" i="17"/>
  <c r="D1816" i="18"/>
  <c r="C1323" i="17"/>
  <c r="H1815" i="18"/>
  <c r="E1322" i="17"/>
  <c r="H1570" i="18"/>
  <c r="E1077" i="17"/>
  <c r="H1325" i="18"/>
  <c r="E832" i="17"/>
  <c r="B1813" i="18"/>
  <c r="B1320" i="17"/>
  <c r="B1323" i="18"/>
  <c r="B830" i="17"/>
  <c r="B1566" i="18"/>
  <c r="B1073" i="17"/>
  <c r="D1565" i="18"/>
  <c r="C1072" i="17"/>
  <c r="D1721" i="18"/>
  <c r="C1228" i="17"/>
  <c r="B251" i="18"/>
  <c r="B248" i="17"/>
  <c r="B1475" i="18"/>
  <c r="B982" i="17"/>
  <c r="H333" i="18"/>
  <c r="E330" i="17"/>
  <c r="B270" i="18"/>
  <c r="B267" i="17"/>
  <c r="H325" i="18"/>
  <c r="E322" i="17"/>
  <c r="B269" i="18"/>
  <c r="B266" i="17"/>
  <c r="F264" i="18"/>
  <c r="D261" i="17"/>
  <c r="B261" i="18"/>
  <c r="B258" i="17"/>
  <c r="F259" i="18"/>
  <c r="D256" i="17"/>
  <c r="B255" i="18"/>
  <c r="B252" i="17"/>
  <c r="D253" i="18"/>
  <c r="C250" i="17"/>
  <c r="B1563" i="18"/>
  <c r="B1070" i="17"/>
  <c r="F1318" i="18"/>
  <c r="D825" i="17"/>
  <c r="B1318" i="18"/>
  <c r="B825" i="17"/>
  <c r="D1807" i="18"/>
  <c r="C1314" i="17"/>
  <c r="B1807" i="18"/>
  <c r="B1314" i="17"/>
  <c r="D1562" i="18"/>
  <c r="C1069" i="17"/>
  <c r="B1562" i="18"/>
  <c r="B1069" i="17"/>
  <c r="D1317" i="18"/>
  <c r="C824" i="17"/>
  <c r="B1317" i="18"/>
  <c r="B824" i="17"/>
  <c r="B1802" i="18"/>
  <c r="B1309" i="17"/>
  <c r="B1557" i="18"/>
  <c r="B1064" i="17"/>
  <c r="B1312" i="18"/>
  <c r="B819" i="17"/>
  <c r="B1801" i="18"/>
  <c r="B1308" i="17"/>
  <c r="B1556" i="18"/>
  <c r="B1063" i="17"/>
  <c r="B1311" i="18"/>
  <c r="B818" i="17"/>
  <c r="D331" i="18"/>
  <c r="C328" i="17"/>
  <c r="F1800" i="18"/>
  <c r="D1307" i="17"/>
  <c r="B1800" i="18"/>
  <c r="B1307" i="17"/>
  <c r="F1555" i="18"/>
  <c r="D1062" i="17"/>
  <c r="B1555" i="18"/>
  <c r="B1062" i="17"/>
  <c r="F1310" i="18"/>
  <c r="D817" i="17"/>
  <c r="B1310" i="18"/>
  <c r="B817" i="17"/>
  <c r="H330" i="18"/>
  <c r="E327" i="17"/>
  <c r="B1798" i="18"/>
  <c r="B1305" i="17"/>
  <c r="B1553" i="18"/>
  <c r="B1060" i="17"/>
  <c r="B1308" i="18"/>
  <c r="B815" i="17"/>
  <c r="F1796" i="18"/>
  <c r="D1303" i="17"/>
  <c r="D1796" i="18"/>
  <c r="C1303" i="17"/>
  <c r="B1796" i="18"/>
  <c r="B1303" i="17"/>
  <c r="F1551" i="18"/>
  <c r="D1058" i="17"/>
  <c r="D1551" i="18"/>
  <c r="C1058" i="17"/>
  <c r="B1551" i="18"/>
  <c r="B1058" i="17"/>
  <c r="F1306" i="18"/>
  <c r="D813" i="17"/>
  <c r="D1306" i="18"/>
  <c r="C813" i="17"/>
  <c r="B1306" i="18"/>
  <c r="B813" i="17"/>
  <c r="D1795" i="18"/>
  <c r="C1302" i="17"/>
  <c r="B1795" i="18"/>
  <c r="B1302" i="17"/>
  <c r="D1550" i="18"/>
  <c r="C1057" i="17"/>
  <c r="B1550" i="18"/>
  <c r="B1057" i="17"/>
  <c r="D1305" i="18"/>
  <c r="C812" i="17"/>
  <c r="B1305" i="18"/>
  <c r="B812" i="17"/>
  <c r="D1794" i="18"/>
  <c r="C1301" i="17"/>
  <c r="B1794" i="18"/>
  <c r="B1301" i="17"/>
  <c r="D1549" i="18"/>
  <c r="C1056" i="17"/>
  <c r="B1549" i="18"/>
  <c r="B1056" i="17"/>
  <c r="D1304" i="18"/>
  <c r="C811" i="17"/>
  <c r="B1304" i="18"/>
  <c r="B811" i="17"/>
  <c r="F1793" i="18"/>
  <c r="D1300" i="17"/>
  <c r="B1793" i="18"/>
  <c r="B1300" i="17"/>
  <c r="F1548" i="18"/>
  <c r="D1055" i="17"/>
  <c r="B1548" i="18"/>
  <c r="B1055" i="17"/>
  <c r="F1303" i="18"/>
  <c r="D810" i="17"/>
  <c r="B1303" i="18"/>
  <c r="B810" i="17"/>
  <c r="F1792" i="18"/>
  <c r="D1299" i="17"/>
  <c r="B1792" i="18"/>
  <c r="B1299" i="17"/>
  <c r="F1547" i="18"/>
  <c r="D1054" i="17"/>
  <c r="B1547" i="18"/>
  <c r="B1054" i="17"/>
  <c r="F1302" i="18"/>
  <c r="D809" i="17"/>
  <c r="B1302" i="18"/>
  <c r="B809" i="17"/>
  <c r="F1791" i="18"/>
  <c r="D1298" i="17"/>
  <c r="D1791" i="18"/>
  <c r="C1298" i="17"/>
  <c r="B1791" i="18"/>
  <c r="B1298" i="17"/>
  <c r="F1546" i="18"/>
  <c r="D1053" i="17"/>
  <c r="D1546" i="18"/>
  <c r="C1053" i="17"/>
  <c r="B1546" i="18"/>
  <c r="B1053" i="17"/>
  <c r="F1301" i="18"/>
  <c r="D808" i="17"/>
  <c r="D1301" i="18"/>
  <c r="C808" i="17"/>
  <c r="B1301" i="18"/>
  <c r="B808" i="17"/>
  <c r="D1742" i="18"/>
  <c r="C1249" i="17"/>
  <c r="D1497" i="18"/>
  <c r="C1004" i="17"/>
  <c r="D1252" i="18"/>
  <c r="C759" i="17"/>
  <c r="B1741" i="18"/>
  <c r="B1248" i="17"/>
  <c r="B1496" i="18"/>
  <c r="B1003" i="17"/>
  <c r="B1251" i="18"/>
  <c r="B758" i="17"/>
  <c r="B1740" i="18"/>
  <c r="B1247" i="17"/>
  <c r="B1495" i="18"/>
  <c r="B1002" i="17"/>
  <c r="B1250" i="18"/>
  <c r="B757" i="17"/>
  <c r="B1736" i="18"/>
  <c r="B1243" i="17"/>
  <c r="B1491" i="18"/>
  <c r="B998" i="17"/>
  <c r="B1246" i="18"/>
  <c r="B753" i="17"/>
  <c r="B1734" i="18"/>
  <c r="B1241" i="17"/>
  <c r="B1489" i="18"/>
  <c r="B996" i="17"/>
  <c r="B1244" i="18"/>
  <c r="B751" i="17"/>
  <c r="B1731" i="18"/>
  <c r="B1238" i="17"/>
  <c r="B1486" i="18"/>
  <c r="B993" i="17"/>
  <c r="B1241" i="18"/>
  <c r="B748" i="17"/>
  <c r="D1729" i="18"/>
  <c r="C1236" i="17"/>
  <c r="B1729" i="18"/>
  <c r="B1236" i="17"/>
  <c r="D1484" i="18"/>
  <c r="C991" i="17"/>
  <c r="B1484" i="18"/>
  <c r="B991" i="17"/>
  <c r="D1239" i="18"/>
  <c r="C746" i="17"/>
  <c r="B1239" i="18"/>
  <c r="B746" i="17"/>
  <c r="D1726" i="18"/>
  <c r="C1233" i="17"/>
  <c r="D1481" i="18"/>
  <c r="C988" i="17"/>
  <c r="D1236" i="18"/>
  <c r="C743" i="17"/>
  <c r="H251" i="18"/>
  <c r="E248" i="17"/>
  <c r="H488" i="18"/>
  <c r="E485" i="17"/>
  <c r="F483" i="18"/>
  <c r="D480" i="17"/>
  <c r="D454" i="18"/>
  <c r="C451" i="17"/>
  <c r="H451" i="18"/>
  <c r="E448" i="17"/>
  <c r="D450" i="18"/>
  <c r="C447" i="17"/>
  <c r="C446" i="17"/>
  <c r="D449" i="18"/>
  <c r="F448" i="18"/>
  <c r="D445" i="17"/>
  <c r="B446" i="18"/>
  <c r="B443" i="17"/>
  <c r="D437" i="17"/>
  <c r="F440" i="18"/>
  <c r="B439" i="18"/>
  <c r="B436" i="17"/>
  <c r="D438" i="18"/>
  <c r="C435" i="17"/>
  <c r="F437" i="18"/>
  <c r="D434" i="17"/>
  <c r="B436" i="18"/>
  <c r="B433" i="17"/>
  <c r="F417" i="18"/>
  <c r="D414" i="17"/>
  <c r="D416" i="18"/>
  <c r="C413" i="17"/>
  <c r="H413" i="18"/>
  <c r="E410" i="17"/>
  <c r="H411" i="18"/>
  <c r="E408" i="17"/>
  <c r="C343" i="17"/>
  <c r="D346" i="18"/>
  <c r="H341" i="18"/>
  <c r="E338" i="17"/>
  <c r="B340" i="18"/>
  <c r="B337" i="17"/>
  <c r="H339" i="18"/>
  <c r="E336" i="17"/>
  <c r="D336" i="18"/>
  <c r="C333" i="17"/>
  <c r="B333" i="18"/>
  <c r="B330" i="17"/>
  <c r="D453" i="18"/>
  <c r="C450" i="17"/>
  <c r="C442" i="17"/>
  <c r="D445" i="18"/>
  <c r="B434" i="18"/>
  <c r="B431" i="17"/>
  <c r="B432" i="18"/>
  <c r="B429" i="17"/>
  <c r="H430" i="18"/>
  <c r="E427" i="17"/>
  <c r="F429" i="18"/>
  <c r="D426" i="17"/>
  <c r="H425" i="18"/>
  <c r="E422" i="17"/>
  <c r="F423" i="18"/>
  <c r="D420" i="17"/>
  <c r="H412" i="18"/>
  <c r="E409" i="17"/>
  <c r="H408" i="18"/>
  <c r="E405" i="17"/>
  <c r="B403" i="18"/>
  <c r="B400" i="17"/>
  <c r="D358" i="18"/>
  <c r="C355" i="17"/>
  <c r="E354" i="17"/>
  <c r="H357" i="18"/>
  <c r="D354" i="18"/>
  <c r="C351" i="17"/>
  <c r="B345" i="18"/>
  <c r="B342" i="17"/>
  <c r="F344" i="18"/>
  <c r="D341" i="17"/>
  <c r="H343" i="18"/>
  <c r="E340" i="17"/>
  <c r="D337" i="17"/>
  <c r="F340" i="18"/>
  <c r="B273" i="18"/>
  <c r="B270" i="17"/>
  <c r="H360" i="18"/>
  <c r="E357" i="17"/>
  <c r="D349" i="18"/>
  <c r="C346" i="17"/>
  <c r="B266" i="18"/>
  <c r="B263" i="17"/>
  <c r="F262" i="18"/>
  <c r="D259" i="17"/>
  <c r="D330" i="18"/>
  <c r="C327" i="17"/>
  <c r="D321" i="18"/>
  <c r="C318" i="17"/>
  <c r="F272" i="18"/>
  <c r="D269" i="17"/>
  <c r="D254" i="18"/>
  <c r="C251" i="17"/>
  <c r="B249" i="18"/>
  <c r="B246" i="17"/>
  <c r="E319" i="17"/>
  <c r="H322" i="18"/>
  <c r="D1336" i="17"/>
  <c r="F1829" i="18"/>
  <c r="D1084" i="17"/>
  <c r="F1577" i="18"/>
  <c r="D835" i="17"/>
  <c r="F1328" i="18"/>
  <c r="E1318" i="17"/>
  <c r="H1811" i="18"/>
  <c r="H335" i="18"/>
  <c r="E332" i="17"/>
  <c r="B340" i="17"/>
  <c r="B343" i="18"/>
  <c r="D266" i="17"/>
  <c r="F269" i="18"/>
  <c r="C253" i="17"/>
  <c r="D256" i="18"/>
  <c r="D843" i="17"/>
  <c r="F1336" i="18"/>
  <c r="E1081" i="17"/>
  <c r="H1574" i="18"/>
  <c r="C1078" i="17"/>
  <c r="D1571" i="18"/>
  <c r="B832" i="17"/>
  <c r="B1325" i="18"/>
  <c r="D828" i="17"/>
  <c r="F1321" i="18"/>
  <c r="B1317" i="17"/>
  <c r="B1810" i="18"/>
  <c r="D1228" i="17"/>
  <c r="F1721" i="18"/>
  <c r="C1225" i="17"/>
  <c r="D1718" i="18"/>
  <c r="C1328" i="17"/>
  <c r="D1821" i="18"/>
  <c r="C1327" i="17"/>
  <c r="D1820" i="18"/>
  <c r="C837" i="17"/>
  <c r="D1330" i="18"/>
  <c r="D1325" i="17"/>
  <c r="F1818" i="18"/>
  <c r="D1080" i="17"/>
  <c r="F1573" i="18"/>
  <c r="C1079" i="17"/>
  <c r="D1572" i="18"/>
  <c r="B1322" i="17"/>
  <c r="B1815" i="18"/>
  <c r="E1073" i="17"/>
  <c r="H1566" i="18"/>
  <c r="D420" i="18"/>
  <c r="C417" i="17"/>
  <c r="F327" i="18"/>
  <c r="D324" i="17"/>
  <c r="B320" i="18"/>
  <c r="B317" i="17"/>
  <c r="F271" i="18"/>
  <c r="D268" i="17"/>
  <c r="F248" i="18"/>
  <c r="D245" i="17"/>
  <c r="D1090" i="17"/>
  <c r="F1583" i="18"/>
  <c r="B334" i="18"/>
  <c r="B331" i="17"/>
  <c r="B332" i="18"/>
  <c r="B329" i="17"/>
  <c r="F322" i="18"/>
  <c r="D319" i="17"/>
  <c r="D264" i="18"/>
  <c r="C261" i="17"/>
  <c r="F326" i="18"/>
  <c r="D323" i="17"/>
  <c r="D846" i="17"/>
  <c r="F1339" i="18"/>
  <c r="H485" i="18"/>
  <c r="E482" i="17"/>
  <c r="E828" i="17"/>
  <c r="H1321" i="18"/>
  <c r="D1070" i="17"/>
  <c r="F1563" i="18"/>
  <c r="K127" i="5"/>
  <c r="L127" i="5" s="1"/>
  <c r="AG138" i="5"/>
  <c r="AH138" i="5" s="1"/>
  <c r="K136" i="5"/>
  <c r="L136" i="5" s="1"/>
  <c r="AG136" i="5"/>
  <c r="AH136" i="5" s="1"/>
  <c r="AG135" i="5"/>
  <c r="AH135" i="5" s="1"/>
  <c r="K110" i="5"/>
  <c r="L110" i="5" s="1"/>
  <c r="AG110" i="5"/>
  <c r="AH110" i="5" s="1"/>
  <c r="K141" i="5"/>
  <c r="L141" i="5" s="1"/>
  <c r="AG141" i="5"/>
  <c r="AH141" i="5" s="1"/>
  <c r="K114" i="5"/>
  <c r="L114" i="5" s="1"/>
  <c r="AG114" i="5"/>
  <c r="AH114" i="5" s="1"/>
  <c r="AG120" i="5"/>
  <c r="AH120" i="5" s="1"/>
  <c r="K125" i="5"/>
  <c r="L125" i="5" s="1"/>
  <c r="AG117" i="5"/>
  <c r="AH117" i="5" s="1"/>
  <c r="AG103" i="5"/>
  <c r="AH103" i="5" s="1"/>
  <c r="K134" i="5"/>
  <c r="L134" i="5" s="1"/>
  <c r="K99" i="5"/>
  <c r="L99" i="5" s="1"/>
  <c r="AG98" i="5"/>
  <c r="AH98" i="5" s="1"/>
  <c r="K98" i="5"/>
  <c r="L98" i="5" s="1"/>
  <c r="K97" i="5"/>
  <c r="L97" i="5" s="1"/>
  <c r="AG97" i="5"/>
  <c r="AH97" i="5" s="1"/>
  <c r="K109" i="5"/>
  <c r="L109" i="5" s="1"/>
  <c r="AG139" i="5"/>
  <c r="AH139" i="5" s="1"/>
  <c r="K139" i="5"/>
  <c r="L139" i="5" s="1"/>
  <c r="K132" i="5"/>
  <c r="L132" i="5" s="1"/>
  <c r="K124" i="5"/>
  <c r="L124" i="5" s="1"/>
  <c r="K113" i="5"/>
  <c r="L113" i="5" s="1"/>
  <c r="K140" i="5"/>
  <c r="L140" i="5" s="1"/>
  <c r="AG140" i="5"/>
  <c r="AH140" i="5" s="1"/>
  <c r="AG118" i="5"/>
  <c r="AH118" i="5" s="1"/>
  <c r="K120" i="5"/>
  <c r="L120" i="5" s="1"/>
  <c r="K122" i="5"/>
  <c r="L122" i="5" s="1"/>
  <c r="K115" i="5"/>
  <c r="L115" i="5" s="1"/>
  <c r="AG102" i="5"/>
  <c r="AH102" i="5" s="1"/>
  <c r="K102" i="5"/>
  <c r="L102" i="5" s="1"/>
  <c r="AG129" i="5"/>
  <c r="AH129" i="5" s="1"/>
  <c r="K107" i="5"/>
  <c r="L107" i="5" s="1"/>
  <c r="K182" i="5"/>
  <c r="L182" i="5" s="1"/>
  <c r="AG182" i="5"/>
  <c r="AH182" i="5" s="1"/>
  <c r="AG178" i="5"/>
  <c r="AH178" i="5" s="1"/>
  <c r="AG176" i="5"/>
  <c r="AH176" i="5" s="1"/>
  <c r="K176" i="5"/>
  <c r="L176" i="5" s="1"/>
  <c r="K171" i="5"/>
  <c r="L171" i="5" s="1"/>
  <c r="K166" i="5"/>
  <c r="L166" i="5" s="1"/>
  <c r="K165" i="5"/>
  <c r="L165" i="5" s="1"/>
  <c r="K161" i="5"/>
  <c r="L161" i="5" s="1"/>
  <c r="AG161" i="5"/>
  <c r="AH161" i="5" s="1"/>
  <c r="AG160" i="5"/>
  <c r="AH160" i="5" s="1"/>
  <c r="K160" i="5"/>
  <c r="L160" i="5" s="1"/>
  <c r="AG155" i="5"/>
  <c r="AH155" i="5" s="1"/>
  <c r="K155" i="5"/>
  <c r="L155" i="5" s="1"/>
  <c r="AG147" i="5"/>
  <c r="AH147" i="5" s="1"/>
  <c r="AG131" i="5"/>
  <c r="AH131" i="5" s="1"/>
  <c r="K131" i="5"/>
  <c r="L131" i="5" s="1"/>
  <c r="AG116" i="5"/>
  <c r="AH116" i="5" s="1"/>
  <c r="K181" i="5"/>
  <c r="L181" i="5" s="1"/>
  <c r="AG181" i="5"/>
  <c r="AH181" i="5" s="1"/>
  <c r="K180" i="5"/>
  <c r="L180" i="5" s="1"/>
  <c r="AG180" i="5"/>
  <c r="AH180" i="5" s="1"/>
  <c r="K179" i="5"/>
  <c r="L179" i="5" s="1"/>
  <c r="AG179" i="5"/>
  <c r="AH179" i="5" s="1"/>
  <c r="K177" i="5"/>
  <c r="L177" i="5" s="1"/>
  <c r="AG177" i="5"/>
  <c r="AH177" i="5" s="1"/>
  <c r="K175" i="5"/>
  <c r="L175" i="5" s="1"/>
  <c r="AG175" i="5"/>
  <c r="AH175" i="5" s="1"/>
  <c r="F198" i="6"/>
  <c r="K198" i="6"/>
  <c r="K196" i="6"/>
  <c r="F195" i="6"/>
  <c r="I195" i="6"/>
  <c r="N195" i="6" s="1"/>
  <c r="F194" i="6"/>
  <c r="K194" i="6"/>
  <c r="F193" i="6"/>
  <c r="E191" i="9"/>
  <c r="F190" i="6"/>
  <c r="F188" i="6"/>
  <c r="F186" i="6"/>
  <c r="K185" i="6"/>
  <c r="F184" i="6"/>
  <c r="K184" i="6"/>
  <c r="F183" i="6"/>
  <c r="F182" i="6"/>
  <c r="I182" i="6"/>
  <c r="N182" i="6" s="1"/>
  <c r="K182" i="6"/>
  <c r="F181" i="6"/>
  <c r="I181" i="6"/>
  <c r="N181" i="6" s="1"/>
  <c r="K181" i="6"/>
  <c r="F180" i="6"/>
  <c r="K180" i="6"/>
  <c r="F179" i="6"/>
  <c r="K178" i="6"/>
  <c r="F177" i="6"/>
  <c r="I177" i="6"/>
  <c r="N177" i="6" s="1"/>
  <c r="K177" i="6"/>
  <c r="F176" i="6"/>
  <c r="K175" i="6"/>
  <c r="F174" i="6"/>
  <c r="I174" i="6"/>
  <c r="N174" i="6" s="1"/>
  <c r="K174" i="6"/>
  <c r="F173" i="6"/>
  <c r="K172" i="6"/>
  <c r="F171" i="6"/>
  <c r="K170" i="6"/>
  <c r="F169" i="6"/>
  <c r="I169" i="6"/>
  <c r="N169" i="6" s="1"/>
  <c r="K169" i="6"/>
  <c r="F168" i="6"/>
  <c r="K168" i="6"/>
  <c r="F167" i="6"/>
  <c r="F164" i="6"/>
  <c r="K164" i="6"/>
  <c r="F163" i="6"/>
  <c r="K163" i="6"/>
  <c r="F161" i="6"/>
  <c r="K161" i="6"/>
  <c r="F156" i="6"/>
  <c r="K156" i="6"/>
  <c r="F155" i="6"/>
  <c r="K155" i="6"/>
  <c r="F152" i="6"/>
  <c r="K152" i="6"/>
  <c r="F151" i="6"/>
  <c r="K151" i="6"/>
  <c r="K149" i="6"/>
  <c r="F148" i="6"/>
  <c r="K148" i="6"/>
  <c r="F147" i="6"/>
  <c r="F146" i="6"/>
  <c r="K145" i="6"/>
  <c r="F144" i="6"/>
  <c r="K144" i="6"/>
  <c r="F143" i="6"/>
  <c r="I143" i="6"/>
  <c r="N143" i="6" s="1"/>
  <c r="F140" i="6"/>
  <c r="F138" i="6"/>
  <c r="F136" i="6"/>
  <c r="F135" i="6"/>
  <c r="I133" i="6"/>
  <c r="N133" i="6" s="1"/>
  <c r="K133" i="6"/>
  <c r="F132" i="6"/>
  <c r="K132" i="6"/>
  <c r="F131" i="6"/>
  <c r="K131" i="6"/>
  <c r="F130" i="6"/>
  <c r="K130" i="6"/>
  <c r="F129" i="6"/>
  <c r="K129" i="6"/>
  <c r="F128" i="6"/>
  <c r="K128" i="6"/>
  <c r="F126" i="6"/>
  <c r="F125" i="6"/>
  <c r="K124" i="6"/>
  <c r="F123" i="6"/>
  <c r="F122" i="6"/>
  <c r="F120" i="6"/>
  <c r="F119" i="6"/>
  <c r="K119" i="6"/>
  <c r="K118" i="6"/>
  <c r="F117" i="6"/>
  <c r="F116" i="6"/>
  <c r="K116" i="6"/>
  <c r="F115" i="6"/>
  <c r="K114" i="6"/>
  <c r="F113" i="6"/>
  <c r="I113" i="6"/>
  <c r="N113" i="6" s="1"/>
  <c r="K113" i="6"/>
  <c r="F112" i="6"/>
  <c r="K112" i="6"/>
  <c r="K110" i="6"/>
  <c r="K109" i="6"/>
  <c r="K107" i="6"/>
  <c r="K104" i="6"/>
  <c r="F103" i="6"/>
  <c r="K103" i="6"/>
  <c r="K102" i="6"/>
  <c r="F101" i="6"/>
  <c r="K100" i="6"/>
  <c r="F99" i="6"/>
  <c r="I99" i="6"/>
  <c r="N99" i="6" s="1"/>
  <c r="F97" i="6"/>
  <c r="Q95" i="6"/>
  <c r="E95" i="9"/>
  <c r="Q93" i="6"/>
  <c r="Q92" i="6"/>
  <c r="E90" i="9"/>
  <c r="Q88" i="6"/>
  <c r="E88" i="9"/>
  <c r="Q86" i="6"/>
  <c r="E86" i="9"/>
  <c r="Q85" i="6"/>
  <c r="E85" i="9"/>
  <c r="Q83" i="6"/>
  <c r="E83" i="9"/>
  <c r="Q82" i="6"/>
  <c r="E82" i="9"/>
  <c r="AG127" i="5"/>
  <c r="AH127" i="5" s="1"/>
  <c r="K103" i="5"/>
  <c r="L103" i="5" s="1"/>
  <c r="K170" i="5"/>
  <c r="L170" i="5" s="1"/>
  <c r="K167" i="5"/>
  <c r="L167" i="5" s="1"/>
  <c r="AG167" i="5"/>
  <c r="AH167" i="5" s="1"/>
  <c r="K163" i="5"/>
  <c r="L163" i="5" s="1"/>
  <c r="AG163" i="5"/>
  <c r="AH163" i="5" s="1"/>
  <c r="AG162" i="5"/>
  <c r="AH162" i="5" s="1"/>
  <c r="AG159" i="5"/>
  <c r="AH159" i="5" s="1"/>
  <c r="K159" i="5"/>
  <c r="L159" i="5" s="1"/>
  <c r="AG157" i="5"/>
  <c r="AH157" i="5" s="1"/>
  <c r="AG154" i="5"/>
  <c r="AH154" i="5" s="1"/>
  <c r="K154" i="5"/>
  <c r="L154" i="5" s="1"/>
  <c r="K153" i="5"/>
  <c r="L153" i="5" s="1"/>
  <c r="AG153" i="5"/>
  <c r="AH153" i="5" s="1"/>
  <c r="K152" i="5"/>
  <c r="L152" i="5" s="1"/>
  <c r="K150" i="5"/>
  <c r="L150" i="5" s="1"/>
  <c r="K149" i="5"/>
  <c r="L149" i="5" s="1"/>
  <c r="K146" i="5"/>
  <c r="L146" i="5" s="1"/>
  <c r="AG146" i="5"/>
  <c r="AH146" i="5" s="1"/>
  <c r="AG137" i="5"/>
  <c r="AH137" i="5" s="1"/>
  <c r="AG133" i="5"/>
  <c r="AH133" i="5" s="1"/>
  <c r="K133" i="5"/>
  <c r="L133" i="5" s="1"/>
  <c r="AG128" i="5"/>
  <c r="AH128" i="5" s="1"/>
  <c r="K126" i="5"/>
  <c r="L126" i="5" s="1"/>
  <c r="K104" i="5"/>
  <c r="L104" i="5" s="1"/>
  <c r="F242" i="6"/>
  <c r="K242" i="6"/>
  <c r="F241" i="6"/>
  <c r="K241" i="6"/>
  <c r="F240" i="6"/>
  <c r="K240" i="6"/>
  <c r="F239" i="6"/>
  <c r="K239" i="6"/>
  <c r="F238" i="6"/>
  <c r="K238" i="6"/>
  <c r="F237" i="6"/>
  <c r="K237" i="6"/>
  <c r="F236" i="6"/>
  <c r="K236" i="6"/>
  <c r="F235" i="6"/>
  <c r="K235" i="6"/>
  <c r="F234" i="6"/>
  <c r="K234" i="6"/>
  <c r="F233" i="6"/>
  <c r="K233" i="6"/>
  <c r="F232" i="6"/>
  <c r="K232" i="6"/>
  <c r="F231" i="6"/>
  <c r="K231" i="6"/>
  <c r="F230" i="6"/>
  <c r="K230" i="6"/>
  <c r="F229" i="6"/>
  <c r="K229" i="6"/>
  <c r="F228" i="6"/>
  <c r="K228" i="6"/>
  <c r="F227" i="6"/>
  <c r="K227" i="6"/>
  <c r="F226" i="6"/>
  <c r="K226" i="6"/>
  <c r="F225" i="6"/>
  <c r="K225" i="6"/>
  <c r="F224" i="6"/>
  <c r="K224" i="6"/>
  <c r="F223" i="6"/>
  <c r="K223" i="6"/>
  <c r="F222" i="6"/>
  <c r="K222" i="6"/>
  <c r="F221" i="6"/>
  <c r="K221" i="6"/>
  <c r="F220" i="6"/>
  <c r="K220" i="6"/>
  <c r="F219" i="6"/>
  <c r="K219" i="6"/>
  <c r="F218" i="6"/>
  <c r="K218" i="6"/>
  <c r="F217" i="6"/>
  <c r="K217" i="6"/>
  <c r="F216" i="6"/>
  <c r="K216" i="6"/>
  <c r="F215" i="6"/>
  <c r="K215" i="6"/>
  <c r="F214" i="6"/>
  <c r="K214" i="6"/>
  <c r="F213" i="6"/>
  <c r="K213" i="6"/>
  <c r="F212" i="6"/>
  <c r="K212" i="6"/>
  <c r="F211" i="6"/>
  <c r="K211" i="6"/>
  <c r="F210" i="6"/>
  <c r="K210" i="6"/>
  <c r="F209" i="6"/>
  <c r="K209" i="6"/>
  <c r="F208" i="6"/>
  <c r="K208" i="6"/>
  <c r="F207" i="6"/>
  <c r="K207" i="6"/>
  <c r="F206" i="6"/>
  <c r="K206" i="6"/>
  <c r="F205" i="6"/>
  <c r="K205" i="6"/>
  <c r="F204" i="6"/>
  <c r="K204" i="6"/>
  <c r="F203" i="6"/>
  <c r="K203" i="6"/>
  <c r="F202" i="6"/>
  <c r="K202" i="6"/>
  <c r="F201" i="6"/>
  <c r="K201" i="6"/>
  <c r="F200" i="6"/>
  <c r="K200" i="6"/>
  <c r="F199" i="6"/>
  <c r="I199" i="6"/>
  <c r="N199" i="6" s="1"/>
  <c r="K199" i="6"/>
  <c r="F197" i="6"/>
  <c r="K197" i="6"/>
  <c r="F196" i="6"/>
  <c r="K195" i="6"/>
  <c r="K193" i="6"/>
  <c r="Q192" i="6"/>
  <c r="E192" i="9"/>
  <c r="Q191" i="6"/>
  <c r="K190" i="6"/>
  <c r="F189" i="6"/>
  <c r="K189" i="6"/>
  <c r="K188" i="6"/>
  <c r="F187" i="6"/>
  <c r="K187" i="6"/>
  <c r="K186" i="6"/>
  <c r="F185" i="6"/>
  <c r="K183" i="6"/>
  <c r="K179" i="6"/>
  <c r="F178" i="6"/>
  <c r="K176" i="6"/>
  <c r="F175" i="6"/>
  <c r="I175" i="6"/>
  <c r="N175" i="6" s="1"/>
  <c r="K173" i="6"/>
  <c r="F172" i="6"/>
  <c r="K171" i="6"/>
  <c r="F170" i="6"/>
  <c r="K167" i="6"/>
  <c r="F166" i="6"/>
  <c r="K166" i="6"/>
  <c r="F165" i="6"/>
  <c r="I165" i="6"/>
  <c r="N165" i="6" s="1"/>
  <c r="K165" i="6"/>
  <c r="F162" i="6"/>
  <c r="K162" i="6"/>
  <c r="F160" i="6"/>
  <c r="K160" i="6"/>
  <c r="F159" i="6"/>
  <c r="K159" i="6"/>
  <c r="F158" i="6"/>
  <c r="K158" i="6"/>
  <c r="F157" i="6"/>
  <c r="K157" i="6"/>
  <c r="F154" i="6"/>
  <c r="K154" i="6"/>
  <c r="F153" i="6"/>
  <c r="K153" i="6"/>
  <c r="F150" i="6"/>
  <c r="K150" i="6"/>
  <c r="F149" i="6"/>
  <c r="K147" i="6"/>
  <c r="K146" i="6"/>
  <c r="F145" i="6"/>
  <c r="K143" i="6"/>
  <c r="F142" i="6"/>
  <c r="K142" i="6"/>
  <c r="F141" i="6"/>
  <c r="K141" i="6"/>
  <c r="K140" i="6"/>
  <c r="F139" i="6"/>
  <c r="K139" i="6"/>
  <c r="K138" i="6"/>
  <c r="F137" i="6"/>
  <c r="K137" i="6"/>
  <c r="K136" i="6"/>
  <c r="K135" i="6"/>
  <c r="F134" i="6"/>
  <c r="K134" i="6"/>
  <c r="F133" i="6"/>
  <c r="F127" i="6"/>
  <c r="K127" i="6"/>
  <c r="K126" i="6"/>
  <c r="K125" i="6"/>
  <c r="F124" i="6"/>
  <c r="K123" i="6"/>
  <c r="K122" i="6"/>
  <c r="F121" i="6"/>
  <c r="K121" i="6"/>
  <c r="K120" i="6"/>
  <c r="F118" i="6"/>
  <c r="K117" i="6"/>
  <c r="K115" i="6"/>
  <c r="F114" i="6"/>
  <c r="F111" i="6"/>
  <c r="K111" i="6"/>
  <c r="F110" i="6"/>
  <c r="F109" i="6"/>
  <c r="F108" i="6"/>
  <c r="I108" i="6"/>
  <c r="N108" i="6" s="1"/>
  <c r="K108" i="6"/>
  <c r="F107" i="6"/>
  <c r="F106" i="6"/>
  <c r="I106" i="6"/>
  <c r="N106" i="6" s="1"/>
  <c r="K106" i="6"/>
  <c r="F105" i="6"/>
  <c r="I105" i="6"/>
  <c r="N105" i="6" s="1"/>
  <c r="K105" i="6"/>
  <c r="F104" i="6"/>
  <c r="F102" i="6"/>
  <c r="K101" i="6"/>
  <c r="F100" i="6"/>
  <c r="K99" i="6"/>
  <c r="F98" i="6"/>
  <c r="K98" i="6"/>
  <c r="K97" i="6"/>
  <c r="Q96" i="6"/>
  <c r="E96" i="9"/>
  <c r="Q94" i="6"/>
  <c r="E94" i="9"/>
  <c r="E93" i="9"/>
  <c r="E92" i="9"/>
  <c r="Q91" i="6"/>
  <c r="E91" i="9"/>
  <c r="Q90" i="6"/>
  <c r="Q89" i="6"/>
  <c r="E89" i="9"/>
  <c r="Q87" i="6"/>
  <c r="E87" i="9"/>
  <c r="Q84" i="6"/>
  <c r="E84" i="9"/>
  <c r="K224" i="5"/>
  <c r="L224" i="5" s="1"/>
  <c r="AG224" i="5"/>
  <c r="AH224" i="5" s="1"/>
  <c r="K118" i="5"/>
  <c r="L118" i="5" s="1"/>
  <c r="AG100" i="5"/>
  <c r="AH100" i="5" s="1"/>
  <c r="K223" i="5"/>
  <c r="L223" i="5" s="1"/>
  <c r="AG223" i="5"/>
  <c r="AH223" i="5" s="1"/>
  <c r="K222" i="5"/>
  <c r="L222" i="5" s="1"/>
  <c r="AG222" i="5"/>
  <c r="AH222" i="5" s="1"/>
  <c r="K221" i="5"/>
  <c r="L221" i="5" s="1"/>
  <c r="AG221" i="5"/>
  <c r="AH221" i="5" s="1"/>
  <c r="K220" i="5"/>
  <c r="L220" i="5" s="1"/>
  <c r="AG220" i="5"/>
  <c r="AH220" i="5" s="1"/>
  <c r="K219" i="5"/>
  <c r="L219" i="5" s="1"/>
  <c r="AG219" i="5"/>
  <c r="AH219" i="5" s="1"/>
  <c r="K218" i="5"/>
  <c r="L218" i="5" s="1"/>
  <c r="AG218" i="5"/>
  <c r="AH218" i="5" s="1"/>
  <c r="K217" i="5"/>
  <c r="L217" i="5" s="1"/>
  <c r="AG217" i="5"/>
  <c r="AH217" i="5" s="1"/>
  <c r="K216" i="5"/>
  <c r="L216" i="5" s="1"/>
  <c r="AG216" i="5"/>
  <c r="AH216" i="5" s="1"/>
  <c r="K215" i="5"/>
  <c r="L215" i="5" s="1"/>
  <c r="AG215" i="5"/>
  <c r="AH215" i="5" s="1"/>
  <c r="K214" i="5"/>
  <c r="L214" i="5" s="1"/>
  <c r="AG214" i="5"/>
  <c r="AH214" i="5" s="1"/>
  <c r="K213" i="5"/>
  <c r="L213" i="5" s="1"/>
  <c r="AG213" i="5"/>
  <c r="AH213" i="5" s="1"/>
  <c r="K212" i="5"/>
  <c r="L212" i="5" s="1"/>
  <c r="AG212" i="5"/>
  <c r="AH212" i="5" s="1"/>
  <c r="K211" i="5"/>
  <c r="L211" i="5" s="1"/>
  <c r="AG211" i="5"/>
  <c r="AH211" i="5" s="1"/>
  <c r="K210" i="5"/>
  <c r="L210" i="5" s="1"/>
  <c r="AG210" i="5"/>
  <c r="AH210" i="5" s="1"/>
  <c r="K209" i="5"/>
  <c r="L209" i="5" s="1"/>
  <c r="AG209" i="5"/>
  <c r="AH209" i="5" s="1"/>
  <c r="K208" i="5"/>
  <c r="L208" i="5" s="1"/>
  <c r="AG208" i="5"/>
  <c r="AH208" i="5" s="1"/>
  <c r="K207" i="5"/>
  <c r="L207" i="5" s="1"/>
  <c r="AG207" i="5"/>
  <c r="AH207" i="5" s="1"/>
  <c r="K206" i="5"/>
  <c r="L206" i="5" s="1"/>
  <c r="AG206" i="5"/>
  <c r="AH206" i="5" s="1"/>
  <c r="K205" i="5"/>
  <c r="L205" i="5" s="1"/>
  <c r="AG205" i="5"/>
  <c r="AH205" i="5" s="1"/>
  <c r="K204" i="5"/>
  <c r="L204" i="5" s="1"/>
  <c r="AG204" i="5"/>
  <c r="AH204" i="5" s="1"/>
  <c r="K203" i="5"/>
  <c r="L203" i="5" s="1"/>
  <c r="AG203" i="5"/>
  <c r="AH203" i="5" s="1"/>
  <c r="K202" i="5"/>
  <c r="L202" i="5" s="1"/>
  <c r="AG202" i="5"/>
  <c r="AH202" i="5" s="1"/>
  <c r="K201" i="5"/>
  <c r="L201" i="5" s="1"/>
  <c r="AG201" i="5"/>
  <c r="AH201" i="5" s="1"/>
  <c r="K200" i="5"/>
  <c r="L200" i="5" s="1"/>
  <c r="AG200" i="5"/>
  <c r="AH200" i="5" s="1"/>
  <c r="K199" i="5"/>
  <c r="L199" i="5" s="1"/>
  <c r="AG199" i="5"/>
  <c r="AH199" i="5" s="1"/>
  <c r="K198" i="5"/>
  <c r="L198" i="5" s="1"/>
  <c r="AG198" i="5"/>
  <c r="AH198" i="5" s="1"/>
  <c r="K197" i="5"/>
  <c r="L197" i="5" s="1"/>
  <c r="AG197" i="5"/>
  <c r="AH197" i="5" s="1"/>
  <c r="K196" i="5"/>
  <c r="L196" i="5" s="1"/>
  <c r="AG196" i="5"/>
  <c r="AH196" i="5" s="1"/>
  <c r="K195" i="5"/>
  <c r="L195" i="5" s="1"/>
  <c r="AG195" i="5"/>
  <c r="AH195" i="5" s="1"/>
  <c r="K194" i="5"/>
  <c r="L194" i="5" s="1"/>
  <c r="AG194" i="5"/>
  <c r="AH194" i="5" s="1"/>
  <c r="K193" i="5"/>
  <c r="L193" i="5" s="1"/>
  <c r="AG193" i="5"/>
  <c r="AH193" i="5" s="1"/>
  <c r="K190" i="5"/>
  <c r="L190" i="5" s="1"/>
  <c r="AG190" i="5"/>
  <c r="AH190" i="5" s="1"/>
  <c r="K189" i="5"/>
  <c r="L189" i="5" s="1"/>
  <c r="AG189" i="5"/>
  <c r="AH189" i="5" s="1"/>
  <c r="K188" i="5"/>
  <c r="L188" i="5" s="1"/>
  <c r="AG188" i="5"/>
  <c r="AH188" i="5" s="1"/>
  <c r="K187" i="5"/>
  <c r="L187" i="5" s="1"/>
  <c r="AG187" i="5"/>
  <c r="AH187" i="5" s="1"/>
  <c r="K186" i="5"/>
  <c r="L186" i="5" s="1"/>
  <c r="AG186" i="5"/>
  <c r="AH186" i="5" s="1"/>
  <c r="K185" i="5"/>
  <c r="L185" i="5" s="1"/>
  <c r="AG185" i="5"/>
  <c r="AH185" i="5" s="1"/>
  <c r="K184" i="5"/>
  <c r="L184" i="5" s="1"/>
  <c r="AG184" i="5"/>
  <c r="AH184" i="5" s="1"/>
  <c r="K183" i="5"/>
  <c r="L183" i="5" s="1"/>
  <c r="AG183" i="5"/>
  <c r="AH183" i="5" s="1"/>
  <c r="AG169" i="5"/>
  <c r="AH169" i="5" s="1"/>
  <c r="K164" i="5"/>
  <c r="L164" i="5" s="1"/>
  <c r="AG164" i="5"/>
  <c r="AH164" i="5" s="1"/>
  <c r="K158" i="5"/>
  <c r="L158" i="5" s="1"/>
  <c r="AG158" i="5"/>
  <c r="AH158" i="5" s="1"/>
  <c r="K148" i="5"/>
  <c r="L148" i="5" s="1"/>
  <c r="AG148" i="5"/>
  <c r="AH148" i="5" s="1"/>
  <c r="AG145" i="5"/>
  <c r="AH145" i="5" s="1"/>
  <c r="K145" i="5"/>
  <c r="L145" i="5" s="1"/>
  <c r="F81" i="6"/>
  <c r="K81" i="6"/>
  <c r="F80" i="6"/>
  <c r="K80" i="6"/>
  <c r="F79" i="6"/>
  <c r="K79" i="6"/>
  <c r="F78" i="6"/>
  <c r="K78" i="6"/>
  <c r="F77" i="6"/>
  <c r="K77" i="6"/>
  <c r="F76" i="6"/>
  <c r="K76" i="6"/>
  <c r="F75" i="6"/>
  <c r="K75" i="6"/>
  <c r="F74" i="6"/>
  <c r="K74" i="6"/>
  <c r="F73" i="6"/>
  <c r="K73" i="6"/>
  <c r="F72" i="6"/>
  <c r="K72" i="6"/>
  <c r="AG94" i="5"/>
  <c r="AH94" i="5" s="1"/>
  <c r="K93" i="5"/>
  <c r="L93" i="5" s="1"/>
  <c r="K91" i="5"/>
  <c r="L91" i="5" s="1"/>
  <c r="AG90" i="5"/>
  <c r="AH90" i="5" s="1"/>
  <c r="K89" i="5"/>
  <c r="L89" i="5" s="1"/>
  <c r="AG86" i="5"/>
  <c r="AH86" i="5" s="1"/>
  <c r="AG85" i="5"/>
  <c r="AH85" i="5" s="1"/>
  <c r="K83" i="5"/>
  <c r="L83" i="5" s="1"/>
  <c r="AG83" i="5"/>
  <c r="AH83" i="5" s="1"/>
  <c r="AG82" i="5"/>
  <c r="AH82" i="5" s="1"/>
  <c r="AG144" i="5"/>
  <c r="AH144" i="5" s="1"/>
  <c r="AG112" i="5"/>
  <c r="AH112" i="5" s="1"/>
  <c r="K112" i="5"/>
  <c r="L112" i="5" s="1"/>
  <c r="F71" i="6"/>
  <c r="K71" i="6"/>
  <c r="F70" i="6"/>
  <c r="K70" i="6"/>
  <c r="F69" i="6"/>
  <c r="K69" i="6"/>
  <c r="F68" i="6"/>
  <c r="K68" i="6"/>
  <c r="F67" i="6"/>
  <c r="K67" i="6"/>
  <c r="F66" i="6"/>
  <c r="K66" i="6"/>
  <c r="F65" i="6"/>
  <c r="K65" i="6"/>
  <c r="F64" i="6"/>
  <c r="K64" i="6"/>
  <c r="F63" i="6"/>
  <c r="K63" i="6"/>
  <c r="F62" i="6"/>
  <c r="K62" i="6"/>
  <c r="F61" i="6"/>
  <c r="K61" i="6"/>
  <c r="F60" i="6"/>
  <c r="K60" i="6"/>
  <c r="F59" i="6"/>
  <c r="K59" i="6"/>
  <c r="F58" i="6"/>
  <c r="K58" i="6"/>
  <c r="F57" i="6"/>
  <c r="K57" i="6"/>
  <c r="F56" i="6"/>
  <c r="K56" i="6"/>
  <c r="F55" i="6"/>
  <c r="K55" i="6"/>
  <c r="F54" i="6"/>
  <c r="K54" i="6"/>
  <c r="F53" i="6"/>
  <c r="K53" i="6"/>
  <c r="F52" i="6"/>
  <c r="K52" i="6"/>
  <c r="F51" i="6"/>
  <c r="K51" i="6"/>
  <c r="F50" i="6"/>
  <c r="K50" i="6"/>
  <c r="F49" i="6"/>
  <c r="K49" i="6"/>
  <c r="F48" i="6"/>
  <c r="K48" i="6"/>
  <c r="F47" i="6"/>
  <c r="K47" i="6"/>
  <c r="F46" i="6"/>
  <c r="K46" i="6"/>
  <c r="F45" i="6"/>
  <c r="K45" i="6"/>
  <c r="F44" i="6"/>
  <c r="K44" i="6"/>
  <c r="F43" i="6"/>
  <c r="K43" i="6"/>
  <c r="F42" i="6"/>
  <c r="K42" i="6"/>
  <c r="F41" i="6"/>
  <c r="K41" i="6"/>
  <c r="F40" i="6"/>
  <c r="K40" i="6"/>
  <c r="F39" i="6"/>
  <c r="K39" i="6"/>
  <c r="F38" i="6"/>
  <c r="K38" i="6"/>
  <c r="F37" i="6"/>
  <c r="K37" i="6"/>
  <c r="F36" i="6"/>
  <c r="K36" i="6"/>
  <c r="F35" i="6"/>
  <c r="K35" i="6"/>
  <c r="F34" i="6"/>
  <c r="K34" i="6"/>
  <c r="F33" i="6"/>
  <c r="K33" i="6"/>
  <c r="F32" i="6"/>
  <c r="K32" i="6"/>
  <c r="F31" i="6"/>
  <c r="K31" i="6"/>
  <c r="F30" i="6"/>
  <c r="K30" i="6"/>
  <c r="F29" i="6"/>
  <c r="K29" i="6"/>
  <c r="F28" i="6"/>
  <c r="K28" i="6"/>
  <c r="F27" i="6"/>
  <c r="K27" i="6"/>
  <c r="F26" i="6"/>
  <c r="K26" i="6"/>
  <c r="F25" i="6"/>
  <c r="K25" i="6"/>
  <c r="F24" i="6"/>
  <c r="K24" i="6"/>
  <c r="F23" i="6"/>
  <c r="K23" i="6"/>
  <c r="F22" i="6"/>
  <c r="K22" i="6"/>
  <c r="F21" i="6"/>
  <c r="K21" i="6"/>
  <c r="F20" i="6"/>
  <c r="K20" i="6"/>
  <c r="F19" i="6"/>
  <c r="K19" i="6"/>
  <c r="F18" i="6"/>
  <c r="K18" i="6"/>
  <c r="F17" i="6"/>
  <c r="K17" i="6"/>
  <c r="F16" i="6"/>
  <c r="K16" i="6"/>
  <c r="F15" i="6"/>
  <c r="K15" i="6"/>
  <c r="F14" i="6"/>
  <c r="K14" i="6"/>
  <c r="F13" i="6"/>
  <c r="K13" i="6"/>
  <c r="F12" i="6"/>
  <c r="K12" i="6"/>
  <c r="F11" i="6"/>
  <c r="K11" i="6"/>
  <c r="F10" i="6"/>
  <c r="K10" i="6"/>
  <c r="F9" i="6"/>
  <c r="K9" i="6"/>
  <c r="F8" i="6"/>
  <c r="K8" i="6"/>
  <c r="F7" i="6"/>
  <c r="K7" i="6"/>
  <c r="F6" i="6"/>
  <c r="K6" i="6"/>
  <c r="F5" i="6"/>
  <c r="K5" i="6"/>
  <c r="F4" i="6"/>
  <c r="K4" i="6"/>
  <c r="F3" i="6"/>
  <c r="K3" i="6"/>
  <c r="F2" i="6"/>
  <c r="K2" i="6"/>
  <c r="K242" i="5"/>
  <c r="L242" i="5" s="1"/>
  <c r="AG242" i="5"/>
  <c r="AH242" i="5" s="1"/>
  <c r="K241" i="5"/>
  <c r="L241" i="5" s="1"/>
  <c r="AG241" i="5"/>
  <c r="AH241" i="5" s="1"/>
  <c r="K240" i="5"/>
  <c r="L240" i="5" s="1"/>
  <c r="AG240" i="5"/>
  <c r="AH240" i="5" s="1"/>
  <c r="K239" i="5"/>
  <c r="L239" i="5" s="1"/>
  <c r="AG239" i="5"/>
  <c r="AH239" i="5" s="1"/>
  <c r="K238" i="5"/>
  <c r="L238" i="5" s="1"/>
  <c r="AG238" i="5"/>
  <c r="AH238" i="5" s="1"/>
  <c r="K237" i="5"/>
  <c r="L237" i="5" s="1"/>
  <c r="AG237" i="5"/>
  <c r="AH237" i="5" s="1"/>
  <c r="K236" i="5"/>
  <c r="L236" i="5" s="1"/>
  <c r="AG236" i="5"/>
  <c r="AH236" i="5" s="1"/>
  <c r="K235" i="5"/>
  <c r="L235" i="5" s="1"/>
  <c r="AG235" i="5"/>
  <c r="AH235" i="5" s="1"/>
  <c r="K234" i="5"/>
  <c r="L234" i="5" s="1"/>
  <c r="AG234" i="5"/>
  <c r="AH234" i="5" s="1"/>
  <c r="K233" i="5"/>
  <c r="L233" i="5" s="1"/>
  <c r="AG233" i="5"/>
  <c r="AH233" i="5" s="1"/>
  <c r="K232" i="5"/>
  <c r="L232" i="5" s="1"/>
  <c r="AG232" i="5"/>
  <c r="AH232" i="5" s="1"/>
  <c r="K231" i="5"/>
  <c r="L231" i="5" s="1"/>
  <c r="AG231" i="5"/>
  <c r="AH231" i="5" s="1"/>
  <c r="K230" i="5"/>
  <c r="L230" i="5" s="1"/>
  <c r="AG230" i="5"/>
  <c r="AH230" i="5" s="1"/>
  <c r="K229" i="5"/>
  <c r="L229" i="5" s="1"/>
  <c r="AG229" i="5"/>
  <c r="AH229" i="5" s="1"/>
  <c r="K228" i="5"/>
  <c r="L228" i="5" s="1"/>
  <c r="AG228" i="5"/>
  <c r="AH228" i="5" s="1"/>
  <c r="K227" i="5"/>
  <c r="L227" i="5" s="1"/>
  <c r="AG227" i="5"/>
  <c r="AH227" i="5" s="1"/>
  <c r="K226" i="5"/>
  <c r="L226" i="5" s="1"/>
  <c r="AG226" i="5"/>
  <c r="AH226" i="5" s="1"/>
  <c r="K225" i="5"/>
  <c r="L225" i="5" s="1"/>
  <c r="AG225" i="5"/>
  <c r="AH225" i="5" s="1"/>
  <c r="K192" i="5"/>
  <c r="L192" i="5" s="1"/>
  <c r="AG192" i="5"/>
  <c r="AH192" i="5" s="1"/>
  <c r="K191" i="5"/>
  <c r="L191" i="5" s="1"/>
  <c r="AG191" i="5"/>
  <c r="AH191" i="5" s="1"/>
  <c r="K96" i="5"/>
  <c r="L96" i="5" s="1"/>
  <c r="AG96" i="5"/>
  <c r="AH96" i="5" s="1"/>
  <c r="K95" i="5"/>
  <c r="L95" i="5" s="1"/>
  <c r="AG95" i="5"/>
  <c r="AH95" i="5" s="1"/>
  <c r="K94" i="5"/>
  <c r="L94" i="5" s="1"/>
  <c r="AG93" i="5"/>
  <c r="AH93" i="5" s="1"/>
  <c r="K92" i="5"/>
  <c r="L92" i="5" s="1"/>
  <c r="AG92" i="5"/>
  <c r="AH92" i="5" s="1"/>
  <c r="AG91" i="5"/>
  <c r="AH91" i="5" s="1"/>
  <c r="K90" i="5"/>
  <c r="L90" i="5" s="1"/>
  <c r="AG89" i="5"/>
  <c r="AH89" i="5" s="1"/>
  <c r="K88" i="5"/>
  <c r="L88" i="5" s="1"/>
  <c r="AG88" i="5"/>
  <c r="AH88" i="5" s="1"/>
  <c r="K87" i="5"/>
  <c r="L87" i="5" s="1"/>
  <c r="AG87" i="5"/>
  <c r="AH87" i="5" s="1"/>
  <c r="K86" i="5"/>
  <c r="L86" i="5" s="1"/>
  <c r="K85" i="5"/>
  <c r="L85" i="5" s="1"/>
  <c r="K84" i="5"/>
  <c r="L84" i="5" s="1"/>
  <c r="AG84" i="5"/>
  <c r="AH84" i="5" s="1"/>
  <c r="K82" i="5"/>
  <c r="L82" i="5" s="1"/>
  <c r="K81" i="5"/>
  <c r="L81" i="5" s="1"/>
  <c r="AG81" i="5"/>
  <c r="AH81" i="5" s="1"/>
  <c r="K80" i="5"/>
  <c r="L80" i="5" s="1"/>
  <c r="AG80" i="5"/>
  <c r="AH80" i="5" s="1"/>
  <c r="K79" i="5"/>
  <c r="L79" i="5" s="1"/>
  <c r="AG79" i="5"/>
  <c r="AH79" i="5" s="1"/>
  <c r="K78" i="5"/>
  <c r="L78" i="5" s="1"/>
  <c r="AG78" i="5"/>
  <c r="AH78" i="5" s="1"/>
  <c r="K77" i="5"/>
  <c r="L77" i="5" s="1"/>
  <c r="AG77" i="5"/>
  <c r="AH77" i="5" s="1"/>
  <c r="K76" i="5"/>
  <c r="L76" i="5" s="1"/>
  <c r="AG76" i="5"/>
  <c r="AH76" i="5" s="1"/>
  <c r="K75" i="5"/>
  <c r="L75" i="5" s="1"/>
  <c r="AG75" i="5"/>
  <c r="AH75" i="5" s="1"/>
  <c r="K74" i="5"/>
  <c r="L74" i="5" s="1"/>
  <c r="AG74" i="5"/>
  <c r="AH74" i="5" s="1"/>
  <c r="K73" i="5"/>
  <c r="L73" i="5" s="1"/>
  <c r="AG73" i="5"/>
  <c r="AH73" i="5" s="1"/>
  <c r="K72" i="5"/>
  <c r="L72" i="5" s="1"/>
  <c r="AG72" i="5"/>
  <c r="AH72" i="5" s="1"/>
  <c r="K71" i="5"/>
  <c r="L71" i="5" s="1"/>
  <c r="AG71" i="5"/>
  <c r="AH71" i="5" s="1"/>
  <c r="K70" i="5"/>
  <c r="L70" i="5" s="1"/>
  <c r="AG70" i="5"/>
  <c r="AH70" i="5" s="1"/>
  <c r="K69" i="5"/>
  <c r="L69" i="5" s="1"/>
  <c r="AG69" i="5"/>
  <c r="AH69" i="5" s="1"/>
  <c r="K68" i="5"/>
  <c r="L68" i="5" s="1"/>
  <c r="AG68" i="5"/>
  <c r="AH68" i="5" s="1"/>
  <c r="K67" i="5"/>
  <c r="L67" i="5" s="1"/>
  <c r="AG67" i="5"/>
  <c r="AH67" i="5" s="1"/>
  <c r="K66" i="5"/>
  <c r="L66" i="5" s="1"/>
  <c r="AG66" i="5"/>
  <c r="AH66" i="5" s="1"/>
  <c r="K65" i="5"/>
  <c r="L65" i="5" s="1"/>
  <c r="AG65" i="5"/>
  <c r="AH65" i="5" s="1"/>
  <c r="K64" i="5"/>
  <c r="L64" i="5" s="1"/>
  <c r="AG64" i="5"/>
  <c r="AH64" i="5" s="1"/>
  <c r="K63" i="5"/>
  <c r="L63" i="5" s="1"/>
  <c r="AG63" i="5"/>
  <c r="AH63" i="5" s="1"/>
  <c r="K62" i="5"/>
  <c r="L62" i="5" s="1"/>
  <c r="AG62" i="5"/>
  <c r="AH62" i="5" s="1"/>
  <c r="K61" i="5"/>
  <c r="L61" i="5" s="1"/>
  <c r="AG61" i="5"/>
  <c r="AH61" i="5" s="1"/>
  <c r="K60" i="5"/>
  <c r="L60" i="5" s="1"/>
  <c r="AG60" i="5"/>
  <c r="AH60" i="5" s="1"/>
  <c r="K59" i="5"/>
  <c r="L59" i="5" s="1"/>
  <c r="AG59" i="5"/>
  <c r="AH59" i="5" s="1"/>
  <c r="K58" i="5"/>
  <c r="L58" i="5" s="1"/>
  <c r="AG58" i="5"/>
  <c r="AH58" i="5" s="1"/>
  <c r="K57" i="5"/>
  <c r="L57" i="5" s="1"/>
  <c r="AG57" i="5"/>
  <c r="AH57" i="5" s="1"/>
  <c r="K56" i="5"/>
  <c r="L56" i="5" s="1"/>
  <c r="AG56" i="5"/>
  <c r="AH56" i="5" s="1"/>
  <c r="K55" i="5"/>
  <c r="L55" i="5" s="1"/>
  <c r="AG55" i="5"/>
  <c r="AH55" i="5" s="1"/>
  <c r="K54" i="5"/>
  <c r="L54" i="5" s="1"/>
  <c r="AG54" i="5"/>
  <c r="AH54" i="5" s="1"/>
  <c r="K53" i="5"/>
  <c r="L53" i="5" s="1"/>
  <c r="AG53" i="5"/>
  <c r="AH53" i="5" s="1"/>
  <c r="K52" i="5"/>
  <c r="L52" i="5" s="1"/>
  <c r="AG52" i="5"/>
  <c r="AH52" i="5" s="1"/>
  <c r="K51" i="5"/>
  <c r="L51" i="5" s="1"/>
  <c r="AG51" i="5"/>
  <c r="AH51" i="5" s="1"/>
  <c r="K50" i="5"/>
  <c r="L50" i="5" s="1"/>
  <c r="AG50" i="5"/>
  <c r="AH50" i="5" s="1"/>
  <c r="K49" i="5"/>
  <c r="L49" i="5" s="1"/>
  <c r="AG49" i="5"/>
  <c r="AH49" i="5" s="1"/>
  <c r="K48" i="5"/>
  <c r="L48" i="5" s="1"/>
  <c r="AG48" i="5"/>
  <c r="AH48" i="5" s="1"/>
  <c r="K47" i="5"/>
  <c r="L47" i="5" s="1"/>
  <c r="AG47" i="5"/>
  <c r="AH47" i="5" s="1"/>
  <c r="K46" i="5"/>
  <c r="L46" i="5" s="1"/>
  <c r="AG46" i="5"/>
  <c r="AH46" i="5" s="1"/>
  <c r="K45" i="5"/>
  <c r="L45" i="5" s="1"/>
  <c r="AG45" i="5"/>
  <c r="AH45" i="5" s="1"/>
  <c r="K44" i="5"/>
  <c r="L44" i="5" s="1"/>
  <c r="AG44" i="5"/>
  <c r="AH44" i="5" s="1"/>
  <c r="K43" i="5"/>
  <c r="L43" i="5" s="1"/>
  <c r="AG43" i="5"/>
  <c r="AH43" i="5" s="1"/>
  <c r="K42" i="5"/>
  <c r="L42" i="5" s="1"/>
  <c r="AG42" i="5"/>
  <c r="AH42" i="5" s="1"/>
  <c r="K41" i="5"/>
  <c r="L41" i="5" s="1"/>
  <c r="AG41" i="5"/>
  <c r="AH41" i="5" s="1"/>
  <c r="K40" i="5"/>
  <c r="L40" i="5" s="1"/>
  <c r="AG40" i="5"/>
  <c r="AH40" i="5" s="1"/>
  <c r="K39" i="5"/>
  <c r="L39" i="5" s="1"/>
  <c r="AG39" i="5"/>
  <c r="AH39" i="5" s="1"/>
  <c r="K38" i="5"/>
  <c r="L38" i="5" s="1"/>
  <c r="AG38" i="5"/>
  <c r="AH38" i="5" s="1"/>
  <c r="K37" i="5"/>
  <c r="L37" i="5" s="1"/>
  <c r="AG37" i="5"/>
  <c r="AH37" i="5" s="1"/>
  <c r="K36" i="5"/>
  <c r="L36" i="5" s="1"/>
  <c r="AG36" i="5"/>
  <c r="AH36" i="5" s="1"/>
  <c r="K35" i="5"/>
  <c r="L35" i="5" s="1"/>
  <c r="AG35" i="5"/>
  <c r="AH35" i="5" s="1"/>
  <c r="K34" i="5"/>
  <c r="L34" i="5" s="1"/>
  <c r="AG34" i="5"/>
  <c r="AH34" i="5" s="1"/>
  <c r="K33" i="5"/>
  <c r="L33" i="5" s="1"/>
  <c r="AG33" i="5"/>
  <c r="AH33" i="5" s="1"/>
  <c r="K32" i="5"/>
  <c r="L32" i="5" s="1"/>
  <c r="AG32" i="5"/>
  <c r="AH32" i="5" s="1"/>
  <c r="K31" i="5"/>
  <c r="L31" i="5" s="1"/>
  <c r="AG31" i="5"/>
  <c r="AH31" i="5" s="1"/>
  <c r="K30" i="5"/>
  <c r="L30" i="5" s="1"/>
  <c r="AG30" i="5"/>
  <c r="AH30" i="5" s="1"/>
  <c r="K29" i="5"/>
  <c r="L29" i="5" s="1"/>
  <c r="AG29" i="5"/>
  <c r="AH29" i="5" s="1"/>
  <c r="K28" i="5"/>
  <c r="L28" i="5" s="1"/>
  <c r="AG28" i="5"/>
  <c r="AH28" i="5" s="1"/>
  <c r="K27" i="5"/>
  <c r="L27" i="5" s="1"/>
  <c r="AG27" i="5"/>
  <c r="AH27" i="5" s="1"/>
  <c r="K26" i="5"/>
  <c r="L26" i="5" s="1"/>
  <c r="AG26" i="5"/>
  <c r="AH26" i="5" s="1"/>
  <c r="K121" i="5"/>
  <c r="L121" i="5" s="1"/>
  <c r="K108" i="5"/>
  <c r="L108" i="5" s="1"/>
  <c r="K105" i="5"/>
  <c r="L105" i="5" s="1"/>
  <c r="AG119" i="5"/>
  <c r="AH119" i="5" s="1"/>
  <c r="K129" i="5"/>
  <c r="L129" i="5" s="1"/>
  <c r="AG107" i="5"/>
  <c r="AH107" i="5" s="1"/>
  <c r="K25" i="5"/>
  <c r="L25" i="5" s="1"/>
  <c r="AG25" i="5"/>
  <c r="AH25" i="5" s="1"/>
  <c r="K24" i="5"/>
  <c r="L24" i="5" s="1"/>
  <c r="AG24" i="5"/>
  <c r="AH24" i="5" s="1"/>
  <c r="K23" i="5"/>
  <c r="L23" i="5" s="1"/>
  <c r="AG23" i="5"/>
  <c r="AH23" i="5" s="1"/>
  <c r="K22" i="5"/>
  <c r="L22" i="5" s="1"/>
  <c r="AG22" i="5"/>
  <c r="AH22" i="5" s="1"/>
  <c r="K21" i="5"/>
  <c r="L21" i="5" s="1"/>
  <c r="AG21" i="5"/>
  <c r="AH21" i="5" s="1"/>
  <c r="K20" i="5"/>
  <c r="L20" i="5" s="1"/>
  <c r="AG20" i="5"/>
  <c r="AH20" i="5" s="1"/>
  <c r="K19" i="5"/>
  <c r="L19" i="5" s="1"/>
  <c r="AG19" i="5"/>
  <c r="AH19" i="5" s="1"/>
  <c r="K18" i="5"/>
  <c r="L18" i="5" s="1"/>
  <c r="AG18" i="5"/>
  <c r="AH18" i="5" s="1"/>
  <c r="K17" i="5"/>
  <c r="L17" i="5" s="1"/>
  <c r="AG17" i="5"/>
  <c r="AH17" i="5" s="1"/>
  <c r="K16" i="5"/>
  <c r="L16" i="5" s="1"/>
  <c r="AG16" i="5"/>
  <c r="AH16" i="5" s="1"/>
  <c r="K15" i="5"/>
  <c r="L15" i="5" s="1"/>
  <c r="AG15" i="5"/>
  <c r="AH15" i="5" s="1"/>
  <c r="K14" i="5"/>
  <c r="L14" i="5" s="1"/>
  <c r="AG14" i="5"/>
  <c r="AH14" i="5" s="1"/>
  <c r="K13" i="5"/>
  <c r="L13" i="5" s="1"/>
  <c r="AG13" i="5"/>
  <c r="AH13" i="5" s="1"/>
  <c r="K12" i="5"/>
  <c r="L12" i="5" s="1"/>
  <c r="AG12" i="5"/>
  <c r="AH12" i="5" s="1"/>
  <c r="K11" i="5"/>
  <c r="L11" i="5" s="1"/>
  <c r="AG11" i="5"/>
  <c r="AH11" i="5" s="1"/>
  <c r="K10" i="5"/>
  <c r="L10" i="5" s="1"/>
  <c r="AG10" i="5"/>
  <c r="AH10" i="5" s="1"/>
  <c r="K9" i="5"/>
  <c r="L9" i="5" s="1"/>
  <c r="AG9" i="5"/>
  <c r="AH9" i="5" s="1"/>
  <c r="K8" i="5"/>
  <c r="L8" i="5" s="1"/>
  <c r="AG8" i="5"/>
  <c r="AH8" i="5" s="1"/>
  <c r="K7" i="5"/>
  <c r="L7" i="5" s="1"/>
  <c r="AG7" i="5"/>
  <c r="AH7" i="5" s="1"/>
  <c r="K6" i="5"/>
  <c r="L6" i="5" s="1"/>
  <c r="AG6" i="5"/>
  <c r="AH6" i="5" s="1"/>
  <c r="K5" i="5"/>
  <c r="L5" i="5" s="1"/>
  <c r="AG5" i="5"/>
  <c r="AH5" i="5" s="1"/>
  <c r="K4" i="5"/>
  <c r="L4" i="5" s="1"/>
  <c r="AG4" i="5"/>
  <c r="AH4" i="5" s="1"/>
  <c r="K3" i="5"/>
  <c r="L3" i="5" s="1"/>
  <c r="AG3" i="5"/>
  <c r="AH3" i="5" s="1"/>
  <c r="K2" i="5"/>
  <c r="L2" i="5" s="1"/>
  <c r="AG2" i="5"/>
  <c r="AH2" i="5" s="1"/>
  <c r="K111" i="5"/>
  <c r="L111" i="5" s="1"/>
  <c r="J198" i="6" l="1"/>
  <c r="G198" i="6"/>
  <c r="L198" i="6"/>
  <c r="L196" i="6"/>
  <c r="G195" i="6"/>
  <c r="J195" i="6"/>
  <c r="G194" i="6"/>
  <c r="L194" i="6"/>
  <c r="G193" i="6"/>
  <c r="L118" i="6"/>
  <c r="G116" i="6"/>
  <c r="L116" i="6"/>
  <c r="Q195" i="6"/>
  <c r="E195" i="9"/>
  <c r="Q182" i="6"/>
  <c r="E182" i="9"/>
  <c r="Q181" i="6"/>
  <c r="E181" i="9"/>
  <c r="Q177" i="6"/>
  <c r="E177" i="9"/>
  <c r="G190" i="6"/>
  <c r="G188" i="6"/>
  <c r="G186" i="6"/>
  <c r="L185" i="6"/>
  <c r="G184" i="6"/>
  <c r="L184" i="6"/>
  <c r="G183" i="6"/>
  <c r="G182" i="6"/>
  <c r="J182" i="6"/>
  <c r="L182" i="6"/>
  <c r="G181" i="6"/>
  <c r="J181" i="6"/>
  <c r="L181" i="6"/>
  <c r="G176" i="6"/>
  <c r="G174" i="6"/>
  <c r="J174" i="6"/>
  <c r="L174" i="6"/>
  <c r="G173" i="6"/>
  <c r="L172" i="6"/>
  <c r="G171" i="6"/>
  <c r="L170" i="6"/>
  <c r="G168" i="6"/>
  <c r="L168" i="6"/>
  <c r="G164" i="6"/>
  <c r="L164" i="6"/>
  <c r="G156" i="6"/>
  <c r="L156" i="6"/>
  <c r="G152" i="6"/>
  <c r="L152" i="6"/>
  <c r="G151" i="6"/>
  <c r="L151" i="6"/>
  <c r="G148" i="6"/>
  <c r="L148" i="6"/>
  <c r="G147" i="6"/>
  <c r="G146" i="6"/>
  <c r="P143" i="5"/>
  <c r="Q143" i="5"/>
  <c r="G144" i="5"/>
  <c r="F144" i="5"/>
  <c r="AC144" i="5"/>
  <c r="AD144" i="5"/>
  <c r="AJ144" i="5" s="1"/>
  <c r="AM143" i="5"/>
  <c r="AN143" i="5"/>
  <c r="F127" i="5"/>
  <c r="G127" i="5"/>
  <c r="Q126" i="5"/>
  <c r="P126" i="5"/>
  <c r="AM126" i="5"/>
  <c r="AN126" i="5"/>
  <c r="AC127" i="5"/>
  <c r="AD127" i="5"/>
  <c r="AJ127" i="5" s="1"/>
  <c r="AD119" i="5"/>
  <c r="AC119" i="5"/>
  <c r="AM118" i="5"/>
  <c r="AN118" i="5"/>
  <c r="G119" i="5"/>
  <c r="F119" i="5"/>
  <c r="P118" i="5"/>
  <c r="Q118" i="5"/>
  <c r="AN111" i="5"/>
  <c r="AM111" i="5"/>
  <c r="AC112" i="5"/>
  <c r="AD112" i="5"/>
  <c r="F112" i="5"/>
  <c r="G112" i="5"/>
  <c r="P111" i="5"/>
  <c r="Q111" i="5"/>
  <c r="F138" i="5"/>
  <c r="G138" i="5"/>
  <c r="P137" i="5"/>
  <c r="Q137" i="5"/>
  <c r="AD138" i="5"/>
  <c r="AJ138" i="5" s="1"/>
  <c r="AC138" i="5"/>
  <c r="AM137" i="5"/>
  <c r="AN137" i="5"/>
  <c r="Q135" i="5"/>
  <c r="P135" i="5"/>
  <c r="F136" i="5"/>
  <c r="G136" i="5"/>
  <c r="AD136" i="5"/>
  <c r="AJ136" i="5" s="1"/>
  <c r="AC136" i="5"/>
  <c r="AN135" i="5"/>
  <c r="AM135" i="5"/>
  <c r="Q134" i="5"/>
  <c r="P134" i="5"/>
  <c r="G135" i="5"/>
  <c r="F135" i="5"/>
  <c r="AN134" i="5"/>
  <c r="AM134" i="5"/>
  <c r="AC135" i="5"/>
  <c r="AD135" i="5"/>
  <c r="AJ135" i="5" s="1"/>
  <c r="AN129" i="5"/>
  <c r="AM129" i="5"/>
  <c r="AD130" i="5"/>
  <c r="AC130" i="5"/>
  <c r="G130" i="5"/>
  <c r="F130" i="5"/>
  <c r="Q129" i="5"/>
  <c r="P129" i="5"/>
  <c r="AC110" i="5"/>
  <c r="AD110" i="5"/>
  <c r="AN109" i="5"/>
  <c r="AM109" i="5"/>
  <c r="F110" i="5"/>
  <c r="G110" i="5"/>
  <c r="Q109" i="5"/>
  <c r="P109" i="5"/>
  <c r="AM140" i="5"/>
  <c r="AN140" i="5"/>
  <c r="AC141" i="5"/>
  <c r="AD141" i="5"/>
  <c r="Q140" i="5"/>
  <c r="P140" i="5"/>
  <c r="F141" i="5"/>
  <c r="G141" i="5"/>
  <c r="F114" i="5"/>
  <c r="G114" i="5"/>
  <c r="Q113" i="5"/>
  <c r="P113" i="5"/>
  <c r="AD114" i="5"/>
  <c r="AJ114" i="5" s="1"/>
  <c r="AC114" i="5"/>
  <c r="AN113" i="5"/>
  <c r="AM113" i="5"/>
  <c r="AC106" i="5"/>
  <c r="AD106" i="5"/>
  <c r="AM105" i="5"/>
  <c r="AN105" i="5"/>
  <c r="F106" i="5"/>
  <c r="G106" i="5"/>
  <c r="P105" i="5"/>
  <c r="Q105" i="5"/>
  <c r="AM124" i="5"/>
  <c r="AN124" i="5"/>
  <c r="AC125" i="5"/>
  <c r="AD125" i="5"/>
  <c r="G125" i="5"/>
  <c r="F125" i="5"/>
  <c r="Q124" i="5"/>
  <c r="P124" i="5"/>
  <c r="G117" i="5"/>
  <c r="F117" i="5"/>
  <c r="Q116" i="5"/>
  <c r="P116" i="5"/>
  <c r="AD117" i="5"/>
  <c r="AJ117" i="5" s="1"/>
  <c r="AC117" i="5"/>
  <c r="AN116" i="5"/>
  <c r="AM116" i="5"/>
  <c r="Q133" i="5"/>
  <c r="P133" i="5"/>
  <c r="G134" i="5"/>
  <c r="F134" i="5"/>
  <c r="AD134" i="5"/>
  <c r="AJ134" i="5" s="1"/>
  <c r="AC134" i="5"/>
  <c r="AN133" i="5"/>
  <c r="AM133" i="5"/>
  <c r="AN98" i="5"/>
  <c r="AM98" i="5"/>
  <c r="AD99" i="5"/>
  <c r="AC99" i="5"/>
  <c r="G99" i="5"/>
  <c r="F99" i="5"/>
  <c r="Q98" i="5"/>
  <c r="P98" i="5"/>
  <c r="AM97" i="5"/>
  <c r="AN97" i="5"/>
  <c r="AC98" i="5"/>
  <c r="AD98" i="5"/>
  <c r="P97" i="5"/>
  <c r="Q97" i="5"/>
  <c r="G98" i="5"/>
  <c r="F98" i="5"/>
  <c r="P96" i="5"/>
  <c r="Q96" i="5"/>
  <c r="G97" i="5"/>
  <c r="F97" i="5"/>
  <c r="AD97" i="5"/>
  <c r="AJ97" i="5" s="1"/>
  <c r="AC97" i="5"/>
  <c r="AN96" i="5"/>
  <c r="AM96" i="5"/>
  <c r="AN138" i="5"/>
  <c r="AM138" i="5"/>
  <c r="AC139" i="5"/>
  <c r="AD139" i="5"/>
  <c r="P138" i="5"/>
  <c r="Q138" i="5"/>
  <c r="F139" i="5"/>
  <c r="G139" i="5"/>
  <c r="AC132" i="5"/>
  <c r="AD132" i="5"/>
  <c r="AN131" i="5"/>
  <c r="AM131" i="5"/>
  <c r="Q131" i="5"/>
  <c r="P131" i="5"/>
  <c r="G132" i="5"/>
  <c r="F132" i="5"/>
  <c r="AM123" i="5"/>
  <c r="AN123" i="5"/>
  <c r="AD124" i="5"/>
  <c r="AC124" i="5"/>
  <c r="F124" i="5"/>
  <c r="G124" i="5"/>
  <c r="P123" i="5"/>
  <c r="Q123" i="5"/>
  <c r="AM122" i="5"/>
  <c r="AN122" i="5"/>
  <c r="AC123" i="5"/>
  <c r="AD123" i="5"/>
  <c r="F123" i="5"/>
  <c r="G123" i="5"/>
  <c r="Q122" i="5"/>
  <c r="P122" i="5"/>
  <c r="AN112" i="5"/>
  <c r="AM112" i="5"/>
  <c r="AC113" i="5"/>
  <c r="AD113" i="5"/>
  <c r="G113" i="5"/>
  <c r="F113" i="5"/>
  <c r="Q112" i="5"/>
  <c r="P112" i="5"/>
  <c r="AD122" i="5"/>
  <c r="AC122" i="5"/>
  <c r="AN121" i="5"/>
  <c r="AM121" i="5"/>
  <c r="G122" i="5"/>
  <c r="F122" i="5"/>
  <c r="Q121" i="5"/>
  <c r="P121" i="5"/>
  <c r="AC115" i="5"/>
  <c r="AD115" i="5"/>
  <c r="AN114" i="5"/>
  <c r="AM114" i="5"/>
  <c r="Q114" i="5"/>
  <c r="P114" i="5"/>
  <c r="G115" i="5"/>
  <c r="F115" i="5"/>
  <c r="G102" i="5"/>
  <c r="F102" i="5"/>
  <c r="P101" i="5"/>
  <c r="Q101" i="5"/>
  <c r="AN101" i="5"/>
  <c r="AM101" i="5"/>
  <c r="AC102" i="5"/>
  <c r="AD102" i="5"/>
  <c r="AJ102" i="5" s="1"/>
  <c r="AN100" i="5"/>
  <c r="AM100" i="5"/>
  <c r="AD101" i="5"/>
  <c r="AC101" i="5"/>
  <c r="Q100" i="5"/>
  <c r="P100" i="5"/>
  <c r="F101" i="5"/>
  <c r="G101" i="5"/>
  <c r="Q139" i="5"/>
  <c r="P139" i="5"/>
  <c r="G140" i="5"/>
  <c r="F140" i="5"/>
  <c r="AC140" i="5"/>
  <c r="AD140" i="5"/>
  <c r="AJ140" i="5" s="1"/>
  <c r="AN139" i="5"/>
  <c r="AM139" i="5"/>
  <c r="P117" i="5"/>
  <c r="Q117" i="5"/>
  <c r="G118" i="5"/>
  <c r="F118" i="5"/>
  <c r="AN117" i="5"/>
  <c r="AM117" i="5"/>
  <c r="AD118" i="5"/>
  <c r="AJ118" i="5" s="1"/>
  <c r="AC118" i="5"/>
  <c r="Q108" i="5"/>
  <c r="P108" i="5"/>
  <c r="G109" i="5"/>
  <c r="F109" i="5"/>
  <c r="AD109" i="5"/>
  <c r="AC109" i="5"/>
  <c r="AM108" i="5"/>
  <c r="AN108" i="5"/>
  <c r="AM102" i="5"/>
  <c r="AN102" i="5"/>
  <c r="AC103" i="5"/>
  <c r="AD103" i="5"/>
  <c r="F103" i="5"/>
  <c r="G103" i="5"/>
  <c r="P102" i="5"/>
  <c r="Q102" i="5"/>
  <c r="AC129" i="5"/>
  <c r="AD129" i="5"/>
  <c r="AM128" i="5"/>
  <c r="AN128" i="5"/>
  <c r="G129" i="5"/>
  <c r="F129" i="5"/>
  <c r="P128" i="5"/>
  <c r="Q128" i="5"/>
  <c r="AD120" i="5"/>
  <c r="AC120" i="5"/>
  <c r="AN119" i="5"/>
  <c r="AM119" i="5"/>
  <c r="F120" i="5"/>
  <c r="G120" i="5"/>
  <c r="Q119" i="5"/>
  <c r="P119" i="5"/>
  <c r="AC107" i="5"/>
  <c r="AD107" i="5"/>
  <c r="AN106" i="5"/>
  <c r="AM106" i="5"/>
  <c r="P106" i="5"/>
  <c r="Q106" i="5"/>
  <c r="F107" i="5"/>
  <c r="G107" i="5"/>
  <c r="AN99" i="5"/>
  <c r="AM99" i="5"/>
  <c r="AD100" i="5"/>
  <c r="AC100" i="5"/>
  <c r="P99" i="5"/>
  <c r="Q99" i="5"/>
  <c r="F100" i="5"/>
  <c r="G100" i="5"/>
  <c r="AC182" i="5"/>
  <c r="AD182" i="5"/>
  <c r="AM181" i="5"/>
  <c r="AN181" i="5"/>
  <c r="Q181" i="5"/>
  <c r="P181" i="5"/>
  <c r="F182" i="5"/>
  <c r="G182" i="5"/>
  <c r="G178" i="5"/>
  <c r="F178" i="5"/>
  <c r="Q177" i="5"/>
  <c r="P177" i="5"/>
  <c r="AN177" i="5"/>
  <c r="AM177" i="5"/>
  <c r="AC178" i="5"/>
  <c r="AD178" i="5"/>
  <c r="AJ178" i="5" s="1"/>
  <c r="P175" i="5"/>
  <c r="Q175" i="5"/>
  <c r="G176" i="5"/>
  <c r="F176" i="5"/>
  <c r="AC176" i="5"/>
  <c r="AD176" i="5"/>
  <c r="AJ176" i="5" s="1"/>
  <c r="AM175" i="5"/>
  <c r="AN175" i="5"/>
  <c r="AC171" i="5"/>
  <c r="AD171" i="5"/>
  <c r="AN170" i="5"/>
  <c r="AM170" i="5"/>
  <c r="G171" i="5"/>
  <c r="F171" i="5"/>
  <c r="P170" i="5"/>
  <c r="Q170" i="5"/>
  <c r="AC166" i="5"/>
  <c r="AD166" i="5"/>
  <c r="AN165" i="5"/>
  <c r="AM165" i="5"/>
  <c r="F166" i="5"/>
  <c r="G166" i="5"/>
  <c r="P165" i="5"/>
  <c r="Q165" i="5"/>
  <c r="AC165" i="5"/>
  <c r="AD165" i="5"/>
  <c r="AN164" i="5"/>
  <c r="AM164" i="5"/>
  <c r="P164" i="5"/>
  <c r="Q164" i="5"/>
  <c r="G165" i="5"/>
  <c r="F165" i="5"/>
  <c r="F161" i="5"/>
  <c r="G161" i="5"/>
  <c r="P160" i="5"/>
  <c r="Q160" i="5"/>
  <c r="AC161" i="5"/>
  <c r="AD161" i="5"/>
  <c r="AJ161" i="5" s="1"/>
  <c r="AN160" i="5"/>
  <c r="AM160" i="5"/>
  <c r="AD160" i="5"/>
  <c r="AC160" i="5"/>
  <c r="AN159" i="5"/>
  <c r="AM159" i="5"/>
  <c r="G160" i="5"/>
  <c r="F160" i="5"/>
  <c r="P159" i="5"/>
  <c r="Q159" i="5"/>
  <c r="P154" i="5"/>
  <c r="Q154" i="5"/>
  <c r="G155" i="5"/>
  <c r="F155" i="5"/>
  <c r="AD155" i="5"/>
  <c r="AJ155" i="5" s="1"/>
  <c r="AC155" i="5"/>
  <c r="AM154" i="5"/>
  <c r="AN154" i="5"/>
  <c r="AC151" i="5"/>
  <c r="AD151" i="5"/>
  <c r="AN150" i="5"/>
  <c r="AM150" i="5"/>
  <c r="G151" i="5"/>
  <c r="F151" i="5"/>
  <c r="Q150" i="5"/>
  <c r="P150" i="5"/>
  <c r="P146" i="5"/>
  <c r="Q146" i="5"/>
  <c r="F147" i="5"/>
  <c r="G147" i="5"/>
  <c r="AM146" i="5"/>
  <c r="AN146" i="5"/>
  <c r="AD147" i="5"/>
  <c r="AJ147" i="5" s="1"/>
  <c r="AC147" i="5"/>
  <c r="AN142" i="5"/>
  <c r="AM142" i="5"/>
  <c r="AD143" i="5"/>
  <c r="AC143" i="5"/>
  <c r="F143" i="5"/>
  <c r="G143" i="5"/>
  <c r="Q142" i="5"/>
  <c r="P142" i="5"/>
  <c r="AM130" i="5"/>
  <c r="AN130" i="5"/>
  <c r="AD131" i="5"/>
  <c r="AC131" i="5"/>
  <c r="G131" i="5"/>
  <c r="F131" i="5"/>
  <c r="Q130" i="5"/>
  <c r="P130" i="5"/>
  <c r="AC116" i="5"/>
  <c r="AD116" i="5"/>
  <c r="AM115" i="5"/>
  <c r="AN115" i="5"/>
  <c r="G116" i="5"/>
  <c r="F116" i="5"/>
  <c r="P115" i="5"/>
  <c r="Q115" i="5"/>
  <c r="G181" i="5"/>
  <c r="F181" i="5"/>
  <c r="Q180" i="5"/>
  <c r="P180" i="5"/>
  <c r="AC181" i="5"/>
  <c r="AD181" i="5"/>
  <c r="AJ181" i="5" s="1"/>
  <c r="AM180" i="5"/>
  <c r="AN180" i="5"/>
  <c r="P179" i="5"/>
  <c r="Q179" i="5"/>
  <c r="G180" i="5"/>
  <c r="F180" i="5"/>
  <c r="AN179" i="5"/>
  <c r="AM179" i="5"/>
  <c r="AD180" i="5"/>
  <c r="AJ180" i="5" s="1"/>
  <c r="AC180" i="5"/>
  <c r="AD179" i="5"/>
  <c r="AC179" i="5"/>
  <c r="AM178" i="5"/>
  <c r="AN178" i="5"/>
  <c r="G179" i="5"/>
  <c r="F179" i="5"/>
  <c r="Q178" i="5"/>
  <c r="P178" i="5"/>
  <c r="Q176" i="5"/>
  <c r="P176" i="5"/>
  <c r="F177" i="5"/>
  <c r="G177" i="5"/>
  <c r="AD177" i="5"/>
  <c r="AJ177" i="5" s="1"/>
  <c r="AC177" i="5"/>
  <c r="AN176" i="5"/>
  <c r="AM176" i="5"/>
  <c r="F175" i="5"/>
  <c r="G175" i="5"/>
  <c r="Q174" i="5"/>
  <c r="P174" i="5"/>
  <c r="AC175" i="5"/>
  <c r="AD175" i="5"/>
  <c r="AJ175" i="5" s="1"/>
  <c r="AM174" i="5"/>
  <c r="AN174" i="5"/>
  <c r="G174" i="5"/>
  <c r="F174" i="5"/>
  <c r="Q173" i="5"/>
  <c r="P173" i="5"/>
  <c r="AC174" i="5"/>
  <c r="AD174" i="5"/>
  <c r="AJ174" i="5" s="1"/>
  <c r="AN173" i="5"/>
  <c r="AM173" i="5"/>
  <c r="Q172" i="5"/>
  <c r="P172" i="5"/>
  <c r="G173" i="5"/>
  <c r="F173" i="5"/>
  <c r="AN172" i="5"/>
  <c r="AM172" i="5"/>
  <c r="AC173" i="5"/>
  <c r="AD173" i="5"/>
  <c r="AJ173" i="5" s="1"/>
  <c r="AN171" i="5"/>
  <c r="AM171" i="5"/>
  <c r="AD172" i="5"/>
  <c r="AC172" i="5"/>
  <c r="P171" i="5"/>
  <c r="Q171" i="5"/>
  <c r="G172" i="5"/>
  <c r="F172" i="5"/>
  <c r="AC170" i="5"/>
  <c r="AD170" i="5"/>
  <c r="AN169" i="5"/>
  <c r="AM169" i="5"/>
  <c r="Q169" i="5"/>
  <c r="P169" i="5"/>
  <c r="G170" i="5"/>
  <c r="F170" i="5"/>
  <c r="G167" i="5"/>
  <c r="F167" i="5"/>
  <c r="P166" i="5"/>
  <c r="Q166" i="5"/>
  <c r="AC167" i="5"/>
  <c r="AD167" i="5"/>
  <c r="AJ167" i="5" s="1"/>
  <c r="AN166" i="5"/>
  <c r="AM166" i="5"/>
  <c r="Q162" i="5"/>
  <c r="P162" i="5"/>
  <c r="G163" i="5"/>
  <c r="F163" i="5"/>
  <c r="AD163" i="5"/>
  <c r="AJ163" i="5" s="1"/>
  <c r="AC163" i="5"/>
  <c r="AN162" i="5"/>
  <c r="AM162" i="5"/>
  <c r="F162" i="5"/>
  <c r="G162" i="5"/>
  <c r="P161" i="5"/>
  <c r="Q161" i="5"/>
  <c r="AD162" i="5"/>
  <c r="AJ162" i="5" s="1"/>
  <c r="AC162" i="5"/>
  <c r="AN161" i="5"/>
  <c r="AM161" i="5"/>
  <c r="G159" i="5"/>
  <c r="F159" i="5"/>
  <c r="P158" i="5"/>
  <c r="Q158" i="5"/>
  <c r="AD159" i="5"/>
  <c r="AJ159" i="5" s="1"/>
  <c r="AC159" i="5"/>
  <c r="AN158" i="5"/>
  <c r="AM158" i="5"/>
  <c r="F157" i="5"/>
  <c r="G157" i="5"/>
  <c r="Q156" i="5"/>
  <c r="P156" i="5"/>
  <c r="AD157" i="5"/>
  <c r="AJ157" i="5" s="1"/>
  <c r="AC157" i="5"/>
  <c r="AN156" i="5"/>
  <c r="AM156" i="5"/>
  <c r="AC156" i="5"/>
  <c r="AD156" i="5"/>
  <c r="AM155" i="5"/>
  <c r="AN155" i="5"/>
  <c r="G156" i="5"/>
  <c r="F156" i="5"/>
  <c r="Q155" i="5"/>
  <c r="P155" i="5"/>
  <c r="F154" i="5"/>
  <c r="G154" i="5"/>
  <c r="Q153" i="5"/>
  <c r="P153" i="5"/>
  <c r="AC154" i="5"/>
  <c r="AD154" i="5"/>
  <c r="AJ154" i="5" s="1"/>
  <c r="AM153" i="5"/>
  <c r="AN153" i="5"/>
  <c r="AM152" i="5"/>
  <c r="AN152" i="5"/>
  <c r="AD153" i="5"/>
  <c r="AC153" i="5"/>
  <c r="G153" i="5"/>
  <c r="F153" i="5"/>
  <c r="P152" i="5"/>
  <c r="Q152" i="5"/>
  <c r="F152" i="5"/>
  <c r="G152" i="5"/>
  <c r="P151" i="5"/>
  <c r="Q151" i="5"/>
  <c r="AC152" i="5"/>
  <c r="AD152" i="5"/>
  <c r="AJ152" i="5" s="1"/>
  <c r="AM151" i="5"/>
  <c r="AN151" i="5"/>
  <c r="AD150" i="5"/>
  <c r="AC150" i="5"/>
  <c r="AN149" i="5"/>
  <c r="AM149" i="5"/>
  <c r="G150" i="5"/>
  <c r="F150" i="5"/>
  <c r="P149" i="5"/>
  <c r="Q149" i="5"/>
  <c r="AD149" i="5"/>
  <c r="AC149" i="5"/>
  <c r="AM148" i="5"/>
  <c r="AN148" i="5"/>
  <c r="G149" i="5"/>
  <c r="F149" i="5"/>
  <c r="P148" i="5"/>
  <c r="Q148" i="5"/>
  <c r="P145" i="5"/>
  <c r="Q145" i="5"/>
  <c r="F146" i="5"/>
  <c r="G146" i="5"/>
  <c r="AD146" i="5"/>
  <c r="AJ146" i="5" s="1"/>
  <c r="AC146" i="5"/>
  <c r="AM145" i="5"/>
  <c r="AN145" i="5"/>
  <c r="G137" i="5"/>
  <c r="F137" i="5"/>
  <c r="Q136" i="5"/>
  <c r="P136" i="5"/>
  <c r="AD137" i="5"/>
  <c r="AJ137" i="5" s="1"/>
  <c r="AC137" i="5"/>
  <c r="AM136" i="5"/>
  <c r="AN136" i="5"/>
  <c r="P132" i="5"/>
  <c r="Q132" i="5"/>
  <c r="F133" i="5"/>
  <c r="G133" i="5"/>
  <c r="AM132" i="5"/>
  <c r="AN132" i="5"/>
  <c r="AD133" i="5"/>
  <c r="AJ133" i="5" s="1"/>
  <c r="AC133" i="5"/>
  <c r="P127" i="5"/>
  <c r="Q127" i="5"/>
  <c r="F128" i="5"/>
  <c r="G128" i="5"/>
  <c r="AD128" i="5"/>
  <c r="AJ128" i="5" s="1"/>
  <c r="AC128" i="5"/>
  <c r="AM127" i="5"/>
  <c r="AN127" i="5"/>
  <c r="F126" i="5"/>
  <c r="G126" i="5"/>
  <c r="P125" i="5"/>
  <c r="Q125" i="5"/>
  <c r="AC126" i="5"/>
  <c r="AD126" i="5"/>
  <c r="AJ126" i="5" s="1"/>
  <c r="AM125" i="5"/>
  <c r="AN125" i="5"/>
  <c r="Q103" i="5"/>
  <c r="P103" i="5"/>
  <c r="G104" i="5"/>
  <c r="F104" i="5"/>
  <c r="AM103" i="5"/>
  <c r="AN103" i="5"/>
  <c r="AD104" i="5"/>
  <c r="AJ104" i="5" s="1"/>
  <c r="AC104" i="5"/>
  <c r="X242" i="6"/>
  <c r="X241" i="6"/>
  <c r="X240" i="6"/>
  <c r="X239" i="6"/>
  <c r="X238" i="6"/>
  <c r="X237" i="6"/>
  <c r="X236" i="6"/>
  <c r="X235" i="6"/>
  <c r="X234" i="6"/>
  <c r="X233" i="6"/>
  <c r="X232" i="6"/>
  <c r="X231" i="6"/>
  <c r="X230" i="6"/>
  <c r="X229" i="6"/>
  <c r="X228" i="6"/>
  <c r="X227" i="6"/>
  <c r="X226" i="6"/>
  <c r="X225" i="6"/>
  <c r="X224" i="6"/>
  <c r="X223" i="6"/>
  <c r="X222" i="6"/>
  <c r="X221" i="6"/>
  <c r="X220" i="6"/>
  <c r="X219" i="6"/>
  <c r="X218" i="6"/>
  <c r="X217" i="6"/>
  <c r="X216" i="6"/>
  <c r="X215" i="6"/>
  <c r="X214" i="6"/>
  <c r="X213" i="6"/>
  <c r="X212" i="6"/>
  <c r="X211" i="6"/>
  <c r="X210" i="6"/>
  <c r="X209" i="6"/>
  <c r="X208" i="6"/>
  <c r="X207" i="6"/>
  <c r="X206" i="6"/>
  <c r="X205" i="6"/>
  <c r="X204" i="6"/>
  <c r="X203" i="6"/>
  <c r="X202" i="6"/>
  <c r="X201" i="6"/>
  <c r="X200" i="6"/>
  <c r="X198" i="6"/>
  <c r="X197" i="6"/>
  <c r="X196" i="6"/>
  <c r="X194" i="6"/>
  <c r="X193" i="6"/>
  <c r="X190" i="6"/>
  <c r="X189" i="6"/>
  <c r="X188" i="6"/>
  <c r="X187" i="6"/>
  <c r="X186" i="6"/>
  <c r="X185" i="6"/>
  <c r="X184" i="6"/>
  <c r="X183" i="6"/>
  <c r="X180" i="6"/>
  <c r="X179" i="6"/>
  <c r="X178" i="6"/>
  <c r="X176" i="6"/>
  <c r="X173" i="6"/>
  <c r="X172" i="6"/>
  <c r="X171" i="6"/>
  <c r="X170" i="6"/>
  <c r="X168" i="6"/>
  <c r="X167" i="6"/>
  <c r="X166" i="6"/>
  <c r="X164" i="6"/>
  <c r="X163" i="6"/>
  <c r="X162" i="6"/>
  <c r="X161" i="6"/>
  <c r="X160" i="6"/>
  <c r="X159" i="6"/>
  <c r="X158" i="6"/>
  <c r="X157" i="6"/>
  <c r="X156" i="6"/>
  <c r="X155" i="6"/>
  <c r="X154" i="6"/>
  <c r="X153" i="6"/>
  <c r="X152" i="6"/>
  <c r="X151" i="6"/>
  <c r="X150" i="6"/>
  <c r="X149" i="6"/>
  <c r="X148" i="6"/>
  <c r="X147" i="6"/>
  <c r="X146" i="6"/>
  <c r="X145" i="6"/>
  <c r="X144" i="6"/>
  <c r="X142" i="6"/>
  <c r="X141" i="6"/>
  <c r="X140" i="6"/>
  <c r="X139" i="6"/>
  <c r="X138" i="6"/>
  <c r="X137" i="6"/>
  <c r="X136" i="6"/>
  <c r="X135" i="6"/>
  <c r="X134" i="6"/>
  <c r="X132" i="6"/>
  <c r="X131" i="6"/>
  <c r="X130" i="6"/>
  <c r="X129" i="6"/>
  <c r="X128" i="6"/>
  <c r="X127" i="6"/>
  <c r="X126" i="6"/>
  <c r="X125" i="6"/>
  <c r="X124" i="6"/>
  <c r="X123" i="6"/>
  <c r="X122" i="6"/>
  <c r="X121" i="6"/>
  <c r="X120" i="6"/>
  <c r="X119" i="6"/>
  <c r="X118" i="6"/>
  <c r="X117" i="6"/>
  <c r="X116" i="6"/>
  <c r="X115" i="6"/>
  <c r="X114" i="6"/>
  <c r="X112" i="6"/>
  <c r="X111" i="6"/>
  <c r="X110" i="6"/>
  <c r="X109" i="6"/>
  <c r="X107" i="6"/>
  <c r="X104" i="6"/>
  <c r="X103" i="6"/>
  <c r="X102" i="6"/>
  <c r="X101" i="6"/>
  <c r="X100" i="6"/>
  <c r="X98" i="6"/>
  <c r="X97" i="6"/>
  <c r="F224" i="5"/>
  <c r="G224" i="5"/>
  <c r="P223" i="5"/>
  <c r="Q223" i="5"/>
  <c r="AC224" i="5"/>
  <c r="AD224" i="5"/>
  <c r="AJ224" i="5" s="1"/>
  <c r="AM223" i="5"/>
  <c r="AN223" i="5"/>
  <c r="F223" i="5"/>
  <c r="G223" i="5"/>
  <c r="P222" i="5"/>
  <c r="Q222" i="5"/>
  <c r="AC223" i="5"/>
  <c r="AD223" i="5"/>
  <c r="AJ223" i="5" s="1"/>
  <c r="AM222" i="5"/>
  <c r="AN222" i="5"/>
  <c r="F222" i="5"/>
  <c r="G222" i="5"/>
  <c r="P221" i="5"/>
  <c r="Q221" i="5"/>
  <c r="AC222" i="5"/>
  <c r="AD222" i="5"/>
  <c r="AJ222" i="5" s="1"/>
  <c r="AM221" i="5"/>
  <c r="AN221" i="5"/>
  <c r="F221" i="5"/>
  <c r="G221" i="5"/>
  <c r="P220" i="5"/>
  <c r="Q220" i="5"/>
  <c r="AC221" i="5"/>
  <c r="AD221" i="5"/>
  <c r="AJ221" i="5" s="1"/>
  <c r="AM220" i="5"/>
  <c r="AN220" i="5"/>
  <c r="F220" i="5"/>
  <c r="G220" i="5"/>
  <c r="P219" i="5"/>
  <c r="Q219" i="5"/>
  <c r="AC220" i="5"/>
  <c r="AD220" i="5"/>
  <c r="AJ220" i="5" s="1"/>
  <c r="AM219" i="5"/>
  <c r="AN219" i="5"/>
  <c r="F219" i="5"/>
  <c r="G219" i="5"/>
  <c r="P218" i="5"/>
  <c r="Q218" i="5"/>
  <c r="AC219" i="5"/>
  <c r="AD219" i="5"/>
  <c r="AJ219" i="5" s="1"/>
  <c r="AM218" i="5"/>
  <c r="AN218" i="5"/>
  <c r="F218" i="5"/>
  <c r="G218" i="5"/>
  <c r="P217" i="5"/>
  <c r="Q217" i="5"/>
  <c r="AC218" i="5"/>
  <c r="AD218" i="5"/>
  <c r="AJ218" i="5" s="1"/>
  <c r="AM217" i="5"/>
  <c r="AN217" i="5"/>
  <c r="F217" i="5"/>
  <c r="G217" i="5"/>
  <c r="P216" i="5"/>
  <c r="Q216" i="5"/>
  <c r="AC217" i="5"/>
  <c r="AD217" i="5"/>
  <c r="AJ217" i="5" s="1"/>
  <c r="AM216" i="5"/>
  <c r="AN216" i="5"/>
  <c r="F216" i="5"/>
  <c r="G216" i="5"/>
  <c r="P215" i="5"/>
  <c r="Q215" i="5"/>
  <c r="AC216" i="5"/>
  <c r="AD216" i="5"/>
  <c r="AJ216" i="5" s="1"/>
  <c r="AM215" i="5"/>
  <c r="AN215" i="5"/>
  <c r="F215" i="5"/>
  <c r="G215" i="5"/>
  <c r="P214" i="5"/>
  <c r="Q214" i="5"/>
  <c r="AC215" i="5"/>
  <c r="AD215" i="5"/>
  <c r="AM214" i="5"/>
  <c r="AN214" i="5"/>
  <c r="F214" i="5"/>
  <c r="G214" i="5"/>
  <c r="P213" i="5"/>
  <c r="Q213" i="5"/>
  <c r="AC214" i="5"/>
  <c r="AD214" i="5"/>
  <c r="AM213" i="5"/>
  <c r="AN213" i="5"/>
  <c r="F213" i="5"/>
  <c r="G213" i="5"/>
  <c r="P212" i="5"/>
  <c r="Q212" i="5"/>
  <c r="AC213" i="5"/>
  <c r="AD213" i="5"/>
  <c r="AJ213" i="5" s="1"/>
  <c r="AM212" i="5"/>
  <c r="AN212" i="5"/>
  <c r="F212" i="5"/>
  <c r="G212" i="5"/>
  <c r="P211" i="5"/>
  <c r="Q211" i="5"/>
  <c r="AC212" i="5"/>
  <c r="AD212" i="5"/>
  <c r="AJ212" i="5" s="1"/>
  <c r="AM211" i="5"/>
  <c r="AN211" i="5"/>
  <c r="F211" i="5"/>
  <c r="G211" i="5"/>
  <c r="P210" i="5"/>
  <c r="Q210" i="5"/>
  <c r="AC211" i="5"/>
  <c r="AD211" i="5"/>
  <c r="AJ211" i="5" s="1"/>
  <c r="AM210" i="5"/>
  <c r="AN210" i="5"/>
  <c r="F210" i="5"/>
  <c r="G210" i="5"/>
  <c r="P209" i="5"/>
  <c r="Q209" i="5"/>
  <c r="AC210" i="5"/>
  <c r="AD210" i="5"/>
  <c r="AJ210" i="5" s="1"/>
  <c r="AM209" i="5"/>
  <c r="AN209" i="5"/>
  <c r="F209" i="5"/>
  <c r="G209" i="5"/>
  <c r="P208" i="5"/>
  <c r="Q208" i="5"/>
  <c r="AC209" i="5"/>
  <c r="AD209" i="5"/>
  <c r="AJ209" i="5" s="1"/>
  <c r="AM208" i="5"/>
  <c r="AN208" i="5"/>
  <c r="F208" i="5"/>
  <c r="G208" i="5"/>
  <c r="P207" i="5"/>
  <c r="Q207" i="5"/>
  <c r="AC208" i="5"/>
  <c r="AD208" i="5"/>
  <c r="AJ208" i="5" s="1"/>
  <c r="AM207" i="5"/>
  <c r="AN207" i="5"/>
  <c r="F207" i="5"/>
  <c r="G207" i="5"/>
  <c r="P206" i="5"/>
  <c r="Q206" i="5"/>
  <c r="AC207" i="5"/>
  <c r="AD207" i="5"/>
  <c r="AJ207" i="5" s="1"/>
  <c r="AM206" i="5"/>
  <c r="AN206" i="5"/>
  <c r="F206" i="5"/>
  <c r="G206" i="5"/>
  <c r="P205" i="5"/>
  <c r="Q205" i="5"/>
  <c r="AC206" i="5"/>
  <c r="AD206" i="5"/>
  <c r="AJ206" i="5" s="1"/>
  <c r="AM205" i="5"/>
  <c r="AN205" i="5"/>
  <c r="F205" i="5"/>
  <c r="G205" i="5"/>
  <c r="P204" i="5"/>
  <c r="Q204" i="5"/>
  <c r="AC205" i="5"/>
  <c r="AD205" i="5"/>
  <c r="AJ205" i="5" s="1"/>
  <c r="AM204" i="5"/>
  <c r="AN204" i="5"/>
  <c r="F204" i="5"/>
  <c r="G204" i="5"/>
  <c r="P203" i="5"/>
  <c r="Q203" i="5"/>
  <c r="AC204" i="5"/>
  <c r="AD204" i="5"/>
  <c r="AJ204" i="5" s="1"/>
  <c r="AM203" i="5"/>
  <c r="AN203" i="5"/>
  <c r="F203" i="5"/>
  <c r="G203" i="5"/>
  <c r="P202" i="5"/>
  <c r="Q202" i="5"/>
  <c r="AC203" i="5"/>
  <c r="AD203" i="5"/>
  <c r="AJ203" i="5" s="1"/>
  <c r="AM202" i="5"/>
  <c r="AN202" i="5"/>
  <c r="F202" i="5"/>
  <c r="G202" i="5"/>
  <c r="P201" i="5"/>
  <c r="Q201" i="5"/>
  <c r="AC202" i="5"/>
  <c r="AD202" i="5"/>
  <c r="AJ202" i="5" s="1"/>
  <c r="AM201" i="5"/>
  <c r="AN201" i="5"/>
  <c r="F201" i="5"/>
  <c r="G201" i="5"/>
  <c r="P200" i="5"/>
  <c r="Q200" i="5"/>
  <c r="AC201" i="5"/>
  <c r="AD201" i="5"/>
  <c r="AJ201" i="5" s="1"/>
  <c r="AM200" i="5"/>
  <c r="AN200" i="5"/>
  <c r="F200" i="5"/>
  <c r="G200" i="5"/>
  <c r="P199" i="5"/>
  <c r="Q199" i="5"/>
  <c r="AC200" i="5"/>
  <c r="AD200" i="5"/>
  <c r="AJ200" i="5" s="1"/>
  <c r="AM199" i="5"/>
  <c r="AN199" i="5"/>
  <c r="F199" i="5"/>
  <c r="G199" i="5"/>
  <c r="P198" i="5"/>
  <c r="Q198" i="5"/>
  <c r="AC199" i="5"/>
  <c r="AD199" i="5"/>
  <c r="AJ199" i="5" s="1"/>
  <c r="AM198" i="5"/>
  <c r="AN198" i="5"/>
  <c r="F198" i="5"/>
  <c r="G198" i="5"/>
  <c r="P197" i="5"/>
  <c r="Q197" i="5"/>
  <c r="AC198" i="5"/>
  <c r="AD198" i="5"/>
  <c r="AJ198" i="5" s="1"/>
  <c r="AM197" i="5"/>
  <c r="AN197" i="5"/>
  <c r="F197" i="5"/>
  <c r="G197" i="5"/>
  <c r="P196" i="5"/>
  <c r="Q196" i="5"/>
  <c r="AC197" i="5"/>
  <c r="AD197" i="5"/>
  <c r="AJ197" i="5" s="1"/>
  <c r="AM196" i="5"/>
  <c r="AN196" i="5"/>
  <c r="F196" i="5"/>
  <c r="G196" i="5"/>
  <c r="P195" i="5"/>
  <c r="Q195" i="5"/>
  <c r="AC196" i="5"/>
  <c r="AD196" i="5"/>
  <c r="AJ196" i="5" s="1"/>
  <c r="AM195" i="5"/>
  <c r="AN195" i="5"/>
  <c r="F195" i="5"/>
  <c r="G195" i="5"/>
  <c r="P194" i="5"/>
  <c r="Q194" i="5"/>
  <c r="AC195" i="5"/>
  <c r="AD195" i="5"/>
  <c r="AJ195" i="5" s="1"/>
  <c r="AM194" i="5"/>
  <c r="AN194" i="5"/>
  <c r="F194" i="5"/>
  <c r="G194" i="5"/>
  <c r="P193" i="5"/>
  <c r="Q193" i="5"/>
  <c r="AC194" i="5"/>
  <c r="AD194" i="5"/>
  <c r="AJ194" i="5" s="1"/>
  <c r="AM193" i="5"/>
  <c r="AN193" i="5"/>
  <c r="F193" i="5"/>
  <c r="G193" i="5"/>
  <c r="P192" i="5"/>
  <c r="Q192" i="5"/>
  <c r="AC193" i="5"/>
  <c r="AD193" i="5"/>
  <c r="AJ193" i="5" s="1"/>
  <c r="AM192" i="5"/>
  <c r="AN192" i="5"/>
  <c r="F190" i="5"/>
  <c r="G190" i="5"/>
  <c r="P189" i="5"/>
  <c r="Q189" i="5"/>
  <c r="AC190" i="5"/>
  <c r="AD190" i="5"/>
  <c r="AJ190" i="5" s="1"/>
  <c r="AM189" i="5"/>
  <c r="AN189" i="5"/>
  <c r="F189" i="5"/>
  <c r="G189" i="5"/>
  <c r="P188" i="5"/>
  <c r="Q188" i="5"/>
  <c r="AC189" i="5"/>
  <c r="AD189" i="5"/>
  <c r="AJ189" i="5" s="1"/>
  <c r="AM188" i="5"/>
  <c r="AN188" i="5"/>
  <c r="F188" i="5"/>
  <c r="G188" i="5"/>
  <c r="P187" i="5"/>
  <c r="Q187" i="5"/>
  <c r="AC188" i="5"/>
  <c r="AD188" i="5"/>
  <c r="AJ188" i="5" s="1"/>
  <c r="AM187" i="5"/>
  <c r="AN187" i="5"/>
  <c r="F187" i="5"/>
  <c r="G187" i="5"/>
  <c r="P186" i="5"/>
  <c r="Q186" i="5"/>
  <c r="AC187" i="5"/>
  <c r="AD187" i="5"/>
  <c r="AJ187" i="5" s="1"/>
  <c r="AM186" i="5"/>
  <c r="AN186" i="5"/>
  <c r="F186" i="5"/>
  <c r="G186" i="5"/>
  <c r="P185" i="5"/>
  <c r="Q185" i="5"/>
  <c r="AC186" i="5"/>
  <c r="AD186" i="5"/>
  <c r="AJ186" i="5" s="1"/>
  <c r="AM185" i="5"/>
  <c r="AN185" i="5"/>
  <c r="F185" i="5"/>
  <c r="G185" i="5"/>
  <c r="P184" i="5"/>
  <c r="Q184" i="5"/>
  <c r="AC185" i="5"/>
  <c r="AD185" i="5"/>
  <c r="AJ185" i="5" s="1"/>
  <c r="AM184" i="5"/>
  <c r="AN184" i="5"/>
  <c r="F184" i="5"/>
  <c r="G184" i="5"/>
  <c r="P183" i="5"/>
  <c r="Q183" i="5"/>
  <c r="AC184" i="5"/>
  <c r="AD184" i="5"/>
  <c r="AJ184" i="5" s="1"/>
  <c r="AM183" i="5"/>
  <c r="AN183" i="5"/>
  <c r="F183" i="5"/>
  <c r="G183" i="5"/>
  <c r="Q182" i="5"/>
  <c r="P182" i="5"/>
  <c r="AC183" i="5"/>
  <c r="AD183" i="5"/>
  <c r="AJ183" i="5" s="1"/>
  <c r="AM182" i="5"/>
  <c r="AN182" i="5"/>
  <c r="F169" i="5"/>
  <c r="G169" i="5"/>
  <c r="Q168" i="5"/>
  <c r="P168" i="5"/>
  <c r="AM168" i="5"/>
  <c r="AN168" i="5"/>
  <c r="AC169" i="5"/>
  <c r="AD169" i="5"/>
  <c r="AJ169" i="5" s="1"/>
  <c r="Q167" i="5"/>
  <c r="P167" i="5"/>
  <c r="G168" i="5"/>
  <c r="F168" i="5"/>
  <c r="AD168" i="5"/>
  <c r="AJ168" i="5" s="1"/>
  <c r="AC168" i="5"/>
  <c r="AN167" i="5"/>
  <c r="AM167" i="5"/>
  <c r="Q163" i="5"/>
  <c r="P163" i="5"/>
  <c r="G164" i="5"/>
  <c r="F164" i="5"/>
  <c r="AN163" i="5"/>
  <c r="AM163" i="5"/>
  <c r="AD164" i="5"/>
  <c r="AC164" i="5"/>
  <c r="F158" i="5"/>
  <c r="G158" i="5"/>
  <c r="Q157" i="5"/>
  <c r="P157" i="5"/>
  <c r="AM157" i="5"/>
  <c r="AN157" i="5"/>
  <c r="AD158" i="5"/>
  <c r="AJ158" i="5" s="1"/>
  <c r="AC158" i="5"/>
  <c r="AC148" i="5"/>
  <c r="AD148" i="5"/>
  <c r="AN147" i="5"/>
  <c r="AM147" i="5"/>
  <c r="G148" i="5"/>
  <c r="F148" i="5"/>
  <c r="Q147" i="5"/>
  <c r="P147" i="5"/>
  <c r="AD145" i="5"/>
  <c r="AC145" i="5"/>
  <c r="AN144" i="5"/>
  <c r="AM144" i="5"/>
  <c r="F145" i="5"/>
  <c r="G145" i="5"/>
  <c r="Q144" i="5"/>
  <c r="P144" i="5"/>
  <c r="G142" i="5"/>
  <c r="F142" i="5"/>
  <c r="P141" i="5"/>
  <c r="Q141" i="5"/>
  <c r="AN141" i="5"/>
  <c r="AM141" i="5"/>
  <c r="AC142" i="5"/>
  <c r="AD142" i="5"/>
  <c r="AJ142" i="5" s="1"/>
  <c r="X81" i="6"/>
  <c r="X80" i="6"/>
  <c r="X79" i="6"/>
  <c r="X78" i="6"/>
  <c r="X77" i="6"/>
  <c r="X76" i="6"/>
  <c r="X75" i="6"/>
  <c r="X74" i="6"/>
  <c r="X73" i="6"/>
  <c r="X72" i="6"/>
  <c r="X71" i="6"/>
  <c r="X70" i="6"/>
  <c r="X69" i="6"/>
  <c r="X68" i="6"/>
  <c r="X67" i="6"/>
  <c r="X66" i="6"/>
  <c r="X65" i="6"/>
  <c r="X64" i="6"/>
  <c r="X63" i="6"/>
  <c r="X62" i="6"/>
  <c r="X61" i="6"/>
  <c r="X60" i="6"/>
  <c r="X59" i="6"/>
  <c r="X58" i="6"/>
  <c r="X57" i="6"/>
  <c r="X56" i="6"/>
  <c r="X55" i="6"/>
  <c r="X54" i="6"/>
  <c r="X53" i="6"/>
  <c r="X52" i="6"/>
  <c r="X51" i="6"/>
  <c r="X50" i="6"/>
  <c r="X49" i="6"/>
  <c r="X48" i="6"/>
  <c r="X47" i="6"/>
  <c r="X46" i="6"/>
  <c r="X45" i="6"/>
  <c r="X44" i="6"/>
  <c r="X43" i="6"/>
  <c r="X42" i="6"/>
  <c r="X41" i="6"/>
  <c r="X40" i="6"/>
  <c r="X39" i="6"/>
  <c r="X38" i="6"/>
  <c r="X37" i="6"/>
  <c r="X36" i="6"/>
  <c r="X35" i="6"/>
  <c r="X34" i="6"/>
  <c r="X33" i="6"/>
  <c r="X32" i="6"/>
  <c r="X31" i="6"/>
  <c r="X30" i="6"/>
  <c r="X29" i="6"/>
  <c r="X28" i="6"/>
  <c r="X27" i="6"/>
  <c r="X26" i="6"/>
  <c r="X25" i="6"/>
  <c r="X24" i="6"/>
  <c r="X23" i="6"/>
  <c r="X22" i="6"/>
  <c r="X21" i="6"/>
  <c r="X20" i="6"/>
  <c r="X19" i="6"/>
  <c r="X18" i="6"/>
  <c r="X17" i="6"/>
  <c r="X16" i="6"/>
  <c r="X15" i="6"/>
  <c r="X14" i="6"/>
  <c r="X13" i="6"/>
  <c r="X12" i="6"/>
  <c r="X11" i="6"/>
  <c r="X10" i="6"/>
  <c r="X9" i="6"/>
  <c r="X8" i="6"/>
  <c r="X7" i="6"/>
  <c r="X6" i="6"/>
  <c r="X5" i="6"/>
  <c r="X4" i="6"/>
  <c r="X3" i="6"/>
  <c r="X2" i="6"/>
  <c r="F242" i="5"/>
  <c r="G242" i="5"/>
  <c r="P242" i="5"/>
  <c r="Q242" i="5"/>
  <c r="P241" i="5"/>
  <c r="Q241" i="5"/>
  <c r="AC242" i="5"/>
  <c r="AD242" i="5"/>
  <c r="AJ242" i="5" s="1"/>
  <c r="AM242" i="5"/>
  <c r="AN242" i="5"/>
  <c r="AM241" i="5"/>
  <c r="AN241" i="5"/>
  <c r="F241" i="5"/>
  <c r="G241" i="5"/>
  <c r="P240" i="5"/>
  <c r="Q240" i="5"/>
  <c r="AC241" i="5"/>
  <c r="AD241" i="5"/>
  <c r="AJ241" i="5" s="1"/>
  <c r="AM240" i="5"/>
  <c r="AN240" i="5"/>
  <c r="F240" i="5"/>
  <c r="G240" i="5"/>
  <c r="P239" i="5"/>
  <c r="Q239" i="5"/>
  <c r="AC240" i="5"/>
  <c r="AD240" i="5"/>
  <c r="AJ240" i="5" s="1"/>
  <c r="AM239" i="5"/>
  <c r="AN239" i="5"/>
  <c r="F239" i="5"/>
  <c r="G239" i="5"/>
  <c r="P238" i="5"/>
  <c r="Q238" i="5"/>
  <c r="AC239" i="5"/>
  <c r="AD239" i="5"/>
  <c r="AJ239" i="5" s="1"/>
  <c r="AM238" i="5"/>
  <c r="AN238" i="5"/>
  <c r="F238" i="5"/>
  <c r="G238" i="5"/>
  <c r="P237" i="5"/>
  <c r="Q237" i="5"/>
  <c r="AC238" i="5"/>
  <c r="AD238" i="5"/>
  <c r="AJ238" i="5" s="1"/>
  <c r="AM237" i="5"/>
  <c r="AN237" i="5"/>
  <c r="F237" i="5"/>
  <c r="G237" i="5"/>
  <c r="P236" i="5"/>
  <c r="Q236" i="5"/>
  <c r="AC237" i="5"/>
  <c r="AD237" i="5"/>
  <c r="AJ237" i="5" s="1"/>
  <c r="AM236" i="5"/>
  <c r="AN236" i="5"/>
  <c r="F236" i="5"/>
  <c r="G236" i="5"/>
  <c r="P235" i="5"/>
  <c r="Q235" i="5"/>
  <c r="AC236" i="5"/>
  <c r="AD236" i="5"/>
  <c r="AJ236" i="5" s="1"/>
  <c r="AM235" i="5"/>
  <c r="AN235" i="5"/>
  <c r="F235" i="5"/>
  <c r="G235" i="5"/>
  <c r="P234" i="5"/>
  <c r="Q234" i="5"/>
  <c r="AC235" i="5"/>
  <c r="AD235" i="5"/>
  <c r="AJ235" i="5" s="1"/>
  <c r="AM234" i="5"/>
  <c r="AN234" i="5"/>
  <c r="F234" i="5"/>
  <c r="G234" i="5"/>
  <c r="P233" i="5"/>
  <c r="Q233" i="5"/>
  <c r="AC234" i="5"/>
  <c r="AD234" i="5"/>
  <c r="AJ234" i="5" s="1"/>
  <c r="AM233" i="5"/>
  <c r="AN233" i="5"/>
  <c r="F233" i="5"/>
  <c r="G233" i="5"/>
  <c r="P232" i="5"/>
  <c r="Q232" i="5"/>
  <c r="AC233" i="5"/>
  <c r="AD233" i="5"/>
  <c r="AJ233" i="5" s="1"/>
  <c r="AM232" i="5"/>
  <c r="AN232" i="5"/>
  <c r="F232" i="5"/>
  <c r="G232" i="5"/>
  <c r="P231" i="5"/>
  <c r="Q231" i="5"/>
  <c r="AC232" i="5"/>
  <c r="AD232" i="5"/>
  <c r="AJ232" i="5" s="1"/>
  <c r="AM231" i="5"/>
  <c r="AN231" i="5"/>
  <c r="F231" i="5"/>
  <c r="G231" i="5"/>
  <c r="P230" i="5"/>
  <c r="Q230" i="5"/>
  <c r="AC231" i="5"/>
  <c r="AD231" i="5"/>
  <c r="AJ231" i="5" s="1"/>
  <c r="AM230" i="5"/>
  <c r="AN230" i="5"/>
  <c r="F230" i="5"/>
  <c r="G230" i="5"/>
  <c r="P229" i="5"/>
  <c r="Q229" i="5"/>
  <c r="AC230" i="5"/>
  <c r="AD230" i="5"/>
  <c r="AJ230" i="5" s="1"/>
  <c r="AM229" i="5"/>
  <c r="AN229" i="5"/>
  <c r="F229" i="5"/>
  <c r="G229" i="5"/>
  <c r="P228" i="5"/>
  <c r="Q228" i="5"/>
  <c r="AC229" i="5"/>
  <c r="AD229" i="5"/>
  <c r="AJ229" i="5" s="1"/>
  <c r="AM228" i="5"/>
  <c r="AN228" i="5"/>
  <c r="F228" i="5"/>
  <c r="G228" i="5"/>
  <c r="P227" i="5"/>
  <c r="Q227" i="5"/>
  <c r="AC228" i="5"/>
  <c r="AD228" i="5"/>
  <c r="AJ228" i="5" s="1"/>
  <c r="AM227" i="5"/>
  <c r="AN227" i="5"/>
  <c r="F227" i="5"/>
  <c r="G227" i="5"/>
  <c r="P226" i="5"/>
  <c r="Q226" i="5"/>
  <c r="AC227" i="5"/>
  <c r="AD227" i="5"/>
  <c r="AJ227" i="5" s="1"/>
  <c r="AM226" i="5"/>
  <c r="AN226" i="5"/>
  <c r="F226" i="5"/>
  <c r="G226" i="5"/>
  <c r="P225" i="5"/>
  <c r="Q225" i="5"/>
  <c r="AC226" i="5"/>
  <c r="AD226" i="5"/>
  <c r="AJ226" i="5" s="1"/>
  <c r="AM225" i="5"/>
  <c r="AN225" i="5"/>
  <c r="F225" i="5"/>
  <c r="G225" i="5"/>
  <c r="P224" i="5"/>
  <c r="Q224" i="5"/>
  <c r="AC225" i="5"/>
  <c r="AD225" i="5"/>
  <c r="AJ225" i="5" s="1"/>
  <c r="AM224" i="5"/>
  <c r="AN224" i="5"/>
  <c r="M192" i="6"/>
  <c r="D192" i="9" s="1"/>
  <c r="P192" i="6"/>
  <c r="B192" i="7"/>
  <c r="T192" i="6"/>
  <c r="S192" i="6"/>
  <c r="O192" i="6"/>
  <c r="F192" i="9" s="1"/>
  <c r="F192" i="5"/>
  <c r="G192" i="5"/>
  <c r="P191" i="5"/>
  <c r="Q191" i="5"/>
  <c r="AC192" i="5"/>
  <c r="AD192" i="5"/>
  <c r="AJ192" i="5" s="1"/>
  <c r="AM191" i="5"/>
  <c r="AN191" i="5"/>
  <c r="M191" i="6"/>
  <c r="D191" i="9" s="1"/>
  <c r="P191" i="6"/>
  <c r="O191" i="6"/>
  <c r="F191" i="9" s="1"/>
  <c r="B191" i="7"/>
  <c r="T191" i="6"/>
  <c r="S191" i="6"/>
  <c r="F191" i="5"/>
  <c r="G191" i="5"/>
  <c r="P190" i="5"/>
  <c r="Q190" i="5"/>
  <c r="AC191" i="5"/>
  <c r="AD191" i="5"/>
  <c r="AJ191" i="5" s="1"/>
  <c r="AM190" i="5"/>
  <c r="AN190" i="5"/>
  <c r="M96" i="6"/>
  <c r="D96" i="9" s="1"/>
  <c r="P96" i="6"/>
  <c r="O96" i="6"/>
  <c r="F96" i="9" s="1"/>
  <c r="B96" i="7"/>
  <c r="T96" i="6"/>
  <c r="S96" i="6"/>
  <c r="F96" i="5"/>
  <c r="G96" i="5"/>
  <c r="P95" i="5"/>
  <c r="Q95" i="5"/>
  <c r="AC96" i="5"/>
  <c r="AD96" i="5"/>
  <c r="AJ96" i="5" s="1"/>
  <c r="AM95" i="5"/>
  <c r="AN95" i="5"/>
  <c r="M95" i="6"/>
  <c r="D95" i="9" s="1"/>
  <c r="P95" i="6"/>
  <c r="O95" i="6"/>
  <c r="F95" i="9" s="1"/>
  <c r="B95" i="7"/>
  <c r="T95" i="6"/>
  <c r="S95" i="6"/>
  <c r="F95" i="5"/>
  <c r="G95" i="5"/>
  <c r="P94" i="5"/>
  <c r="Q94" i="5"/>
  <c r="AC95" i="5"/>
  <c r="AD95" i="5"/>
  <c r="AJ95" i="5" s="1"/>
  <c r="AM94" i="5"/>
  <c r="AN94" i="5"/>
  <c r="M94" i="6"/>
  <c r="D94" i="9" s="1"/>
  <c r="P94" i="6"/>
  <c r="O94" i="6"/>
  <c r="F94" i="9" s="1"/>
  <c r="B94" i="7"/>
  <c r="T94" i="6"/>
  <c r="S94" i="6"/>
  <c r="F94" i="5"/>
  <c r="G94" i="5"/>
  <c r="P93" i="5"/>
  <c r="Q93" i="5"/>
  <c r="AC94" i="5"/>
  <c r="AD94" i="5"/>
  <c r="AJ94" i="5" s="1"/>
  <c r="AM93" i="5"/>
  <c r="AN93" i="5"/>
  <c r="M93" i="6"/>
  <c r="D93" i="9" s="1"/>
  <c r="P93" i="6"/>
  <c r="O93" i="6"/>
  <c r="F93" i="9" s="1"/>
  <c r="B93" i="7"/>
  <c r="T93" i="6"/>
  <c r="S93" i="6"/>
  <c r="F93" i="5"/>
  <c r="G93" i="5"/>
  <c r="P92" i="5"/>
  <c r="Q92" i="5"/>
  <c r="AC93" i="5"/>
  <c r="AD93" i="5"/>
  <c r="AJ93" i="5" s="1"/>
  <c r="AM92" i="5"/>
  <c r="AN92" i="5"/>
  <c r="M92" i="6"/>
  <c r="D92" i="9" s="1"/>
  <c r="P92" i="6"/>
  <c r="O92" i="6"/>
  <c r="F92" i="9" s="1"/>
  <c r="B92" i="7"/>
  <c r="T92" i="6"/>
  <c r="S92" i="6"/>
  <c r="F92" i="5"/>
  <c r="G92" i="5"/>
  <c r="P91" i="5"/>
  <c r="Q91" i="5"/>
  <c r="AC92" i="5"/>
  <c r="AD92" i="5"/>
  <c r="AJ92" i="5" s="1"/>
  <c r="AM91" i="5"/>
  <c r="AN91" i="5"/>
  <c r="M91" i="6"/>
  <c r="D91" i="9" s="1"/>
  <c r="P91" i="6"/>
  <c r="O91" i="6"/>
  <c r="F91" i="9" s="1"/>
  <c r="B91" i="7"/>
  <c r="T91" i="6"/>
  <c r="S91" i="6"/>
  <c r="F91" i="5"/>
  <c r="G91" i="5"/>
  <c r="P90" i="5"/>
  <c r="Q90" i="5"/>
  <c r="AC91" i="5"/>
  <c r="AD91" i="5"/>
  <c r="AJ91" i="5" s="1"/>
  <c r="AM90" i="5"/>
  <c r="AN90" i="5"/>
  <c r="M90" i="6"/>
  <c r="D90" i="9" s="1"/>
  <c r="P90" i="6"/>
  <c r="O90" i="6"/>
  <c r="F90" i="9" s="1"/>
  <c r="B90" i="7"/>
  <c r="T90" i="6"/>
  <c r="S90" i="6"/>
  <c r="F90" i="5"/>
  <c r="G90" i="5"/>
  <c r="P89" i="5"/>
  <c r="Q89" i="5"/>
  <c r="AC90" i="5"/>
  <c r="AD90" i="5"/>
  <c r="AJ90" i="5" s="1"/>
  <c r="AM89" i="5"/>
  <c r="AN89" i="5"/>
  <c r="M89" i="6"/>
  <c r="D89" i="9" s="1"/>
  <c r="P89" i="6"/>
  <c r="O89" i="6"/>
  <c r="F89" i="9" s="1"/>
  <c r="B89" i="7"/>
  <c r="T89" i="6"/>
  <c r="S89" i="6"/>
  <c r="F89" i="5"/>
  <c r="G89" i="5"/>
  <c r="P88" i="5"/>
  <c r="Q88" i="5"/>
  <c r="AC89" i="5"/>
  <c r="AD89" i="5"/>
  <c r="AJ89" i="5" s="1"/>
  <c r="AM88" i="5"/>
  <c r="AN88" i="5"/>
  <c r="M88" i="6"/>
  <c r="D88" i="9" s="1"/>
  <c r="P88" i="6"/>
  <c r="O88" i="6"/>
  <c r="F88" i="9" s="1"/>
  <c r="B88" i="7"/>
  <c r="T88" i="6"/>
  <c r="S88" i="6"/>
  <c r="F88" i="5"/>
  <c r="G88" i="5"/>
  <c r="P87" i="5"/>
  <c r="Q87" i="5"/>
  <c r="AC88" i="5"/>
  <c r="AD88" i="5"/>
  <c r="AJ88" i="5" s="1"/>
  <c r="AM87" i="5"/>
  <c r="AN87" i="5"/>
  <c r="M87" i="6"/>
  <c r="D87" i="9" s="1"/>
  <c r="P87" i="6"/>
  <c r="O87" i="6"/>
  <c r="F87" i="9" s="1"/>
  <c r="B87" i="7"/>
  <c r="T87" i="6"/>
  <c r="S87" i="6"/>
  <c r="F87" i="5"/>
  <c r="G87" i="5"/>
  <c r="P86" i="5"/>
  <c r="Q86" i="5"/>
  <c r="AC87" i="5"/>
  <c r="AD87" i="5"/>
  <c r="AJ87" i="5" s="1"/>
  <c r="AM86" i="5"/>
  <c r="AN86" i="5"/>
  <c r="M86" i="6"/>
  <c r="D86" i="9" s="1"/>
  <c r="P86" i="6"/>
  <c r="O86" i="6"/>
  <c r="F86" i="9" s="1"/>
  <c r="B86" i="7"/>
  <c r="T86" i="6"/>
  <c r="S86" i="6"/>
  <c r="F86" i="5"/>
  <c r="G86" i="5"/>
  <c r="P85" i="5"/>
  <c r="Q85" i="5"/>
  <c r="AC86" i="5"/>
  <c r="AD86" i="5"/>
  <c r="AJ86" i="5" s="1"/>
  <c r="AM85" i="5"/>
  <c r="AN85" i="5"/>
  <c r="M85" i="6"/>
  <c r="D85" i="9" s="1"/>
  <c r="P85" i="6"/>
  <c r="O85" i="6"/>
  <c r="F85" i="9" s="1"/>
  <c r="B85" i="7"/>
  <c r="T85" i="6"/>
  <c r="S85" i="6"/>
  <c r="F85" i="5"/>
  <c r="G85" i="5"/>
  <c r="P84" i="5"/>
  <c r="Q84" i="5"/>
  <c r="AC85" i="5"/>
  <c r="AD85" i="5"/>
  <c r="AJ85" i="5" s="1"/>
  <c r="AM84" i="5"/>
  <c r="AN84" i="5"/>
  <c r="M84" i="6"/>
  <c r="D84" i="9" s="1"/>
  <c r="P84" i="6"/>
  <c r="O84" i="6"/>
  <c r="F84" i="9" s="1"/>
  <c r="B84" i="7"/>
  <c r="T84" i="6"/>
  <c r="S84" i="6"/>
  <c r="F84" i="5"/>
  <c r="G84" i="5"/>
  <c r="P83" i="5"/>
  <c r="Q83" i="5"/>
  <c r="AC84" i="5"/>
  <c r="AD84" i="5"/>
  <c r="AJ84" i="5" s="1"/>
  <c r="AM83" i="5"/>
  <c r="AN83" i="5"/>
  <c r="M83" i="6"/>
  <c r="D83" i="9" s="1"/>
  <c r="P83" i="6"/>
  <c r="O83" i="6"/>
  <c r="F83" i="9" s="1"/>
  <c r="B83" i="7"/>
  <c r="T83" i="6"/>
  <c r="S83" i="6"/>
  <c r="F83" i="5"/>
  <c r="G83" i="5"/>
  <c r="P82" i="5"/>
  <c r="Q82" i="5"/>
  <c r="AC83" i="5"/>
  <c r="AD83" i="5"/>
  <c r="AJ83" i="5" s="1"/>
  <c r="AM82" i="5"/>
  <c r="AN82" i="5"/>
  <c r="M82" i="6"/>
  <c r="D82" i="9" s="1"/>
  <c r="P82" i="6"/>
  <c r="O82" i="6"/>
  <c r="F82" i="9" s="1"/>
  <c r="B82" i="7"/>
  <c r="T82" i="6"/>
  <c r="S82" i="6"/>
  <c r="F82" i="5"/>
  <c r="G82" i="5"/>
  <c r="P81" i="5"/>
  <c r="Q81" i="5"/>
  <c r="AC82" i="5"/>
  <c r="AD82" i="5"/>
  <c r="AJ82" i="5" s="1"/>
  <c r="AM81" i="5"/>
  <c r="AN81" i="5"/>
  <c r="F81" i="5"/>
  <c r="G81" i="5"/>
  <c r="P80" i="5"/>
  <c r="Q80" i="5"/>
  <c r="AC81" i="5"/>
  <c r="AD81" i="5"/>
  <c r="AJ81" i="5" s="1"/>
  <c r="AM80" i="5"/>
  <c r="AN80" i="5"/>
  <c r="F80" i="5"/>
  <c r="G80" i="5"/>
  <c r="P79" i="5"/>
  <c r="Q79" i="5"/>
  <c r="AC80" i="5"/>
  <c r="AD80" i="5"/>
  <c r="AJ80" i="5" s="1"/>
  <c r="AM79" i="5"/>
  <c r="AN79" i="5"/>
  <c r="F79" i="5"/>
  <c r="G79" i="5"/>
  <c r="P78" i="5"/>
  <c r="Q78" i="5"/>
  <c r="AC79" i="5"/>
  <c r="AD79" i="5"/>
  <c r="AJ79" i="5" s="1"/>
  <c r="AM78" i="5"/>
  <c r="AN78" i="5"/>
  <c r="F78" i="5"/>
  <c r="G78" i="5"/>
  <c r="P77" i="5"/>
  <c r="Q77" i="5"/>
  <c r="AC78" i="5"/>
  <c r="AD78" i="5"/>
  <c r="AM77" i="5"/>
  <c r="AN77" i="5"/>
  <c r="F77" i="5"/>
  <c r="G77" i="5"/>
  <c r="P76" i="5"/>
  <c r="Q76" i="5"/>
  <c r="AC77" i="5"/>
  <c r="AD77" i="5"/>
  <c r="AJ77" i="5" s="1"/>
  <c r="AM76" i="5"/>
  <c r="AN76" i="5"/>
  <c r="F76" i="5"/>
  <c r="G76" i="5"/>
  <c r="P75" i="5"/>
  <c r="Q75" i="5"/>
  <c r="AC76" i="5"/>
  <c r="AD76" i="5"/>
  <c r="AJ76" i="5" s="1"/>
  <c r="AM75" i="5"/>
  <c r="AN75" i="5"/>
  <c r="F75" i="5"/>
  <c r="G75" i="5"/>
  <c r="P74" i="5"/>
  <c r="Q74" i="5"/>
  <c r="AC75" i="5"/>
  <c r="AD75" i="5"/>
  <c r="AJ75" i="5" s="1"/>
  <c r="AM74" i="5"/>
  <c r="AN74" i="5"/>
  <c r="F74" i="5"/>
  <c r="G74" i="5"/>
  <c r="P73" i="5"/>
  <c r="Q73" i="5"/>
  <c r="AC74" i="5"/>
  <c r="AD74" i="5"/>
  <c r="AJ74" i="5" s="1"/>
  <c r="AM73" i="5"/>
  <c r="AN73" i="5"/>
  <c r="F73" i="5"/>
  <c r="G73" i="5"/>
  <c r="P72" i="5"/>
  <c r="Q72" i="5"/>
  <c r="AC73" i="5"/>
  <c r="AD73" i="5"/>
  <c r="AJ73" i="5" s="1"/>
  <c r="AM72" i="5"/>
  <c r="AN72" i="5"/>
  <c r="F72" i="5"/>
  <c r="G72" i="5"/>
  <c r="P71" i="5"/>
  <c r="Q71" i="5"/>
  <c r="AC72" i="5"/>
  <c r="AD72" i="5"/>
  <c r="AJ72" i="5" s="1"/>
  <c r="AM71" i="5"/>
  <c r="AN71" i="5"/>
  <c r="F71" i="5"/>
  <c r="G71" i="5"/>
  <c r="P70" i="5"/>
  <c r="Q70" i="5"/>
  <c r="AC71" i="5"/>
  <c r="AD71" i="5"/>
  <c r="AJ71" i="5" s="1"/>
  <c r="AM70" i="5"/>
  <c r="AN70" i="5"/>
  <c r="F70" i="5"/>
  <c r="G70" i="5"/>
  <c r="P69" i="5"/>
  <c r="Q69" i="5"/>
  <c r="AC70" i="5"/>
  <c r="AD70" i="5"/>
  <c r="AJ70" i="5" s="1"/>
  <c r="AM69" i="5"/>
  <c r="AN69" i="5"/>
  <c r="F69" i="5"/>
  <c r="G69" i="5"/>
  <c r="P68" i="5"/>
  <c r="Q68" i="5"/>
  <c r="AC69" i="5"/>
  <c r="AD69" i="5"/>
  <c r="AJ69" i="5" s="1"/>
  <c r="AM68" i="5"/>
  <c r="AN68" i="5"/>
  <c r="F68" i="5"/>
  <c r="G68" i="5"/>
  <c r="P67" i="5"/>
  <c r="Q67" i="5"/>
  <c r="AC68" i="5"/>
  <c r="AD68" i="5"/>
  <c r="AJ68" i="5" s="1"/>
  <c r="AM67" i="5"/>
  <c r="AN67" i="5"/>
  <c r="F67" i="5"/>
  <c r="G67" i="5"/>
  <c r="P66" i="5"/>
  <c r="Q66" i="5"/>
  <c r="AC67" i="5"/>
  <c r="AD67" i="5"/>
  <c r="AJ67" i="5" s="1"/>
  <c r="AM66" i="5"/>
  <c r="AN66" i="5"/>
  <c r="F66" i="5"/>
  <c r="G66" i="5"/>
  <c r="P65" i="5"/>
  <c r="Q65" i="5"/>
  <c r="AC66" i="5"/>
  <c r="AD66" i="5"/>
  <c r="AJ66" i="5" s="1"/>
  <c r="AM65" i="5"/>
  <c r="AN65" i="5"/>
  <c r="F65" i="5"/>
  <c r="G65" i="5"/>
  <c r="P64" i="5"/>
  <c r="Q64" i="5"/>
  <c r="AC65" i="5"/>
  <c r="AD65" i="5"/>
  <c r="AJ65" i="5" s="1"/>
  <c r="AM64" i="5"/>
  <c r="AN64" i="5"/>
  <c r="F64" i="5"/>
  <c r="G64" i="5"/>
  <c r="P63" i="5"/>
  <c r="Q63" i="5"/>
  <c r="AC64" i="5"/>
  <c r="AD64" i="5"/>
  <c r="AJ64" i="5" s="1"/>
  <c r="AM63" i="5"/>
  <c r="AN63" i="5"/>
  <c r="F63" i="5"/>
  <c r="G63" i="5"/>
  <c r="P62" i="5"/>
  <c r="Q62" i="5"/>
  <c r="AC63" i="5"/>
  <c r="AD63" i="5"/>
  <c r="AJ63" i="5" s="1"/>
  <c r="AM62" i="5"/>
  <c r="AN62" i="5"/>
  <c r="F62" i="5"/>
  <c r="G62" i="5"/>
  <c r="P61" i="5"/>
  <c r="Q61" i="5"/>
  <c r="AC62" i="5"/>
  <c r="AD62" i="5"/>
  <c r="AJ62" i="5" s="1"/>
  <c r="AM61" i="5"/>
  <c r="AN61" i="5"/>
  <c r="F61" i="5"/>
  <c r="G61" i="5"/>
  <c r="P60" i="5"/>
  <c r="Q60" i="5"/>
  <c r="AC61" i="5"/>
  <c r="AD61" i="5"/>
  <c r="AJ61" i="5" s="1"/>
  <c r="AM60" i="5"/>
  <c r="AN60" i="5"/>
  <c r="F60" i="5"/>
  <c r="G60" i="5"/>
  <c r="P59" i="5"/>
  <c r="Q59" i="5"/>
  <c r="AC60" i="5"/>
  <c r="AD60" i="5"/>
  <c r="AJ60" i="5" s="1"/>
  <c r="AM59" i="5"/>
  <c r="AN59" i="5"/>
  <c r="F59" i="5"/>
  <c r="G59" i="5"/>
  <c r="P58" i="5"/>
  <c r="Q58" i="5"/>
  <c r="AC59" i="5"/>
  <c r="AD59" i="5"/>
  <c r="AJ59" i="5" s="1"/>
  <c r="AM58" i="5"/>
  <c r="AN58" i="5"/>
  <c r="F58" i="5"/>
  <c r="G58" i="5"/>
  <c r="P57" i="5"/>
  <c r="Q57" i="5"/>
  <c r="AC58" i="5"/>
  <c r="AD58" i="5"/>
  <c r="AJ58" i="5" s="1"/>
  <c r="AM57" i="5"/>
  <c r="AN57" i="5"/>
  <c r="F57" i="5"/>
  <c r="G57" i="5"/>
  <c r="P56" i="5"/>
  <c r="Q56" i="5"/>
  <c r="AC57" i="5"/>
  <c r="AD57" i="5"/>
  <c r="AJ57" i="5" s="1"/>
  <c r="AM56" i="5"/>
  <c r="AN56" i="5"/>
  <c r="F56" i="5"/>
  <c r="G56" i="5"/>
  <c r="P55" i="5"/>
  <c r="Q55" i="5"/>
  <c r="AC56" i="5"/>
  <c r="AD56" i="5"/>
  <c r="AJ56" i="5" s="1"/>
  <c r="AM55" i="5"/>
  <c r="AN55" i="5"/>
  <c r="F55" i="5"/>
  <c r="G55" i="5"/>
  <c r="P54" i="5"/>
  <c r="Q54" i="5"/>
  <c r="AC55" i="5"/>
  <c r="AD55" i="5"/>
  <c r="AJ55" i="5" s="1"/>
  <c r="AM54" i="5"/>
  <c r="AN54" i="5"/>
  <c r="F54" i="5"/>
  <c r="G54" i="5"/>
  <c r="P53" i="5"/>
  <c r="Q53" i="5"/>
  <c r="AC54" i="5"/>
  <c r="AD54" i="5"/>
  <c r="AJ54" i="5" s="1"/>
  <c r="AM53" i="5"/>
  <c r="AN53" i="5"/>
  <c r="F53" i="5"/>
  <c r="G53" i="5"/>
  <c r="P52" i="5"/>
  <c r="Q52" i="5"/>
  <c r="AC53" i="5"/>
  <c r="AD53" i="5"/>
  <c r="AJ53" i="5" s="1"/>
  <c r="AM52" i="5"/>
  <c r="AN52" i="5"/>
  <c r="F52" i="5"/>
  <c r="G52" i="5"/>
  <c r="P51" i="5"/>
  <c r="Q51" i="5"/>
  <c r="AC52" i="5"/>
  <c r="AD52" i="5"/>
  <c r="AJ52" i="5" s="1"/>
  <c r="AM51" i="5"/>
  <c r="AN51" i="5"/>
  <c r="F51" i="5"/>
  <c r="G51" i="5"/>
  <c r="P50" i="5"/>
  <c r="Q50" i="5"/>
  <c r="AC51" i="5"/>
  <c r="AD51" i="5"/>
  <c r="AJ51" i="5" s="1"/>
  <c r="AM50" i="5"/>
  <c r="AN50" i="5"/>
  <c r="F50" i="5"/>
  <c r="G50" i="5"/>
  <c r="P49" i="5"/>
  <c r="Q49" i="5"/>
  <c r="AC50" i="5"/>
  <c r="AD50" i="5"/>
  <c r="AJ50" i="5" s="1"/>
  <c r="AM49" i="5"/>
  <c r="AN49" i="5"/>
  <c r="F49" i="5"/>
  <c r="G49" i="5"/>
  <c r="P48" i="5"/>
  <c r="Q48" i="5"/>
  <c r="AC49" i="5"/>
  <c r="AD49" i="5"/>
  <c r="AJ49" i="5" s="1"/>
  <c r="AM48" i="5"/>
  <c r="AN48" i="5"/>
  <c r="F48" i="5"/>
  <c r="G48" i="5"/>
  <c r="P47" i="5"/>
  <c r="Q47" i="5"/>
  <c r="AC48" i="5"/>
  <c r="AD48" i="5"/>
  <c r="AJ48" i="5" s="1"/>
  <c r="AM47" i="5"/>
  <c r="AN47" i="5"/>
  <c r="F47" i="5"/>
  <c r="G47" i="5"/>
  <c r="P46" i="5"/>
  <c r="Q46" i="5"/>
  <c r="AC47" i="5"/>
  <c r="AD47" i="5"/>
  <c r="AJ47" i="5" s="1"/>
  <c r="AM46" i="5"/>
  <c r="AN46" i="5"/>
  <c r="F46" i="5"/>
  <c r="G46" i="5"/>
  <c r="P45" i="5"/>
  <c r="Q45" i="5"/>
  <c r="AC46" i="5"/>
  <c r="AD46" i="5"/>
  <c r="AM45" i="5"/>
  <c r="AN45" i="5"/>
  <c r="F45" i="5"/>
  <c r="G45" i="5"/>
  <c r="P44" i="5"/>
  <c r="Q44" i="5"/>
  <c r="AC45" i="5"/>
  <c r="AD45" i="5"/>
  <c r="AJ45" i="5" s="1"/>
  <c r="AM44" i="5"/>
  <c r="AN44" i="5"/>
  <c r="F44" i="5"/>
  <c r="G44" i="5"/>
  <c r="P43" i="5"/>
  <c r="Q43" i="5"/>
  <c r="AC44" i="5"/>
  <c r="AD44" i="5"/>
  <c r="AM43" i="5"/>
  <c r="AN43" i="5"/>
  <c r="F43" i="5"/>
  <c r="G43" i="5"/>
  <c r="P42" i="5"/>
  <c r="Q42" i="5"/>
  <c r="AC43" i="5"/>
  <c r="AD43" i="5"/>
  <c r="AJ43" i="5" s="1"/>
  <c r="AM42" i="5"/>
  <c r="AN42" i="5"/>
  <c r="F42" i="5"/>
  <c r="G42" i="5"/>
  <c r="P41" i="5"/>
  <c r="Q41" i="5"/>
  <c r="AC42" i="5"/>
  <c r="AD42" i="5"/>
  <c r="AJ42" i="5" s="1"/>
  <c r="AM41" i="5"/>
  <c r="AN41" i="5"/>
  <c r="F41" i="5"/>
  <c r="G41" i="5"/>
  <c r="P40" i="5"/>
  <c r="Q40" i="5"/>
  <c r="AC41" i="5"/>
  <c r="AD41" i="5"/>
  <c r="AJ41" i="5" s="1"/>
  <c r="AM40" i="5"/>
  <c r="AN40" i="5"/>
  <c r="F40" i="5"/>
  <c r="G40" i="5"/>
  <c r="P39" i="5"/>
  <c r="Q39" i="5"/>
  <c r="AC40" i="5"/>
  <c r="AD40" i="5"/>
  <c r="AJ40" i="5" s="1"/>
  <c r="AM39" i="5"/>
  <c r="AN39" i="5"/>
  <c r="F39" i="5"/>
  <c r="G39" i="5"/>
  <c r="P38" i="5"/>
  <c r="Q38" i="5"/>
  <c r="AC39" i="5"/>
  <c r="AD39" i="5"/>
  <c r="AJ39" i="5" s="1"/>
  <c r="AM38" i="5"/>
  <c r="AN38" i="5"/>
  <c r="F38" i="5"/>
  <c r="G38" i="5"/>
  <c r="P37" i="5"/>
  <c r="Q37" i="5"/>
  <c r="AC38" i="5"/>
  <c r="AD38" i="5"/>
  <c r="AJ38" i="5" s="1"/>
  <c r="AM37" i="5"/>
  <c r="AN37" i="5"/>
  <c r="F37" i="5"/>
  <c r="G37" i="5"/>
  <c r="P36" i="5"/>
  <c r="Q36" i="5"/>
  <c r="AC37" i="5"/>
  <c r="AD37" i="5"/>
  <c r="AJ37" i="5" s="1"/>
  <c r="AM36" i="5"/>
  <c r="AN36" i="5"/>
  <c r="F36" i="5"/>
  <c r="G36" i="5"/>
  <c r="P35" i="5"/>
  <c r="Q35" i="5"/>
  <c r="AC36" i="5"/>
  <c r="AD36" i="5"/>
  <c r="AJ36" i="5" s="1"/>
  <c r="AM35" i="5"/>
  <c r="AN35" i="5"/>
  <c r="F35" i="5"/>
  <c r="G35" i="5"/>
  <c r="P34" i="5"/>
  <c r="Q34" i="5"/>
  <c r="AC35" i="5"/>
  <c r="AD35" i="5"/>
  <c r="AJ35" i="5" s="1"/>
  <c r="AM34" i="5"/>
  <c r="AN34" i="5"/>
  <c r="F34" i="5"/>
  <c r="G34" i="5"/>
  <c r="P33" i="5"/>
  <c r="Q33" i="5"/>
  <c r="AC34" i="5"/>
  <c r="AD34" i="5"/>
  <c r="AJ34" i="5" s="1"/>
  <c r="AM33" i="5"/>
  <c r="AN33" i="5"/>
  <c r="F33" i="5"/>
  <c r="G33" i="5"/>
  <c r="P32" i="5"/>
  <c r="Q32" i="5"/>
  <c r="AC33" i="5"/>
  <c r="AD33" i="5"/>
  <c r="AJ33" i="5" s="1"/>
  <c r="AM32" i="5"/>
  <c r="AN32" i="5"/>
  <c r="F32" i="5"/>
  <c r="G32" i="5"/>
  <c r="P31" i="5"/>
  <c r="Q31" i="5"/>
  <c r="AC32" i="5"/>
  <c r="AD32" i="5"/>
  <c r="AJ32" i="5" s="1"/>
  <c r="AM31" i="5"/>
  <c r="AN31" i="5"/>
  <c r="F31" i="5"/>
  <c r="G31" i="5"/>
  <c r="P30" i="5"/>
  <c r="Q30" i="5"/>
  <c r="AC31" i="5"/>
  <c r="AD31" i="5"/>
  <c r="AJ31" i="5" s="1"/>
  <c r="AM30" i="5"/>
  <c r="AN30" i="5"/>
  <c r="F30" i="5"/>
  <c r="G30" i="5"/>
  <c r="P29" i="5"/>
  <c r="Q29" i="5"/>
  <c r="AC30" i="5"/>
  <c r="AD30" i="5"/>
  <c r="AJ30" i="5" s="1"/>
  <c r="AM29" i="5"/>
  <c r="AN29" i="5"/>
  <c r="F29" i="5"/>
  <c r="G29" i="5"/>
  <c r="P28" i="5"/>
  <c r="Q28" i="5"/>
  <c r="AC29" i="5"/>
  <c r="AD29" i="5"/>
  <c r="AJ29" i="5" s="1"/>
  <c r="AM28" i="5"/>
  <c r="AN28" i="5"/>
  <c r="F28" i="5"/>
  <c r="G28" i="5"/>
  <c r="P27" i="5"/>
  <c r="Q27" i="5"/>
  <c r="AC28" i="5"/>
  <c r="AD28" i="5"/>
  <c r="AJ28" i="5" s="1"/>
  <c r="AM27" i="5"/>
  <c r="AN27" i="5"/>
  <c r="F27" i="5"/>
  <c r="G27" i="5"/>
  <c r="P26" i="5"/>
  <c r="Q26" i="5"/>
  <c r="AC27" i="5"/>
  <c r="AD27" i="5"/>
  <c r="AJ27" i="5" s="1"/>
  <c r="AM26" i="5"/>
  <c r="AN26" i="5"/>
  <c r="F26" i="5"/>
  <c r="G26" i="5"/>
  <c r="P25" i="5"/>
  <c r="Q25" i="5"/>
  <c r="AC26" i="5"/>
  <c r="AD26" i="5"/>
  <c r="AJ26" i="5" s="1"/>
  <c r="AM25" i="5"/>
  <c r="AN25" i="5"/>
  <c r="F25" i="5"/>
  <c r="G25" i="5"/>
  <c r="P24" i="5"/>
  <c r="Q24" i="5"/>
  <c r="AC25" i="5"/>
  <c r="AD25" i="5"/>
  <c r="AJ25" i="5" s="1"/>
  <c r="AM24" i="5"/>
  <c r="AN24" i="5"/>
  <c r="F24" i="5"/>
  <c r="G24" i="5"/>
  <c r="P23" i="5"/>
  <c r="Q23" i="5"/>
  <c r="AC24" i="5"/>
  <c r="AD24" i="5"/>
  <c r="AJ24" i="5" s="1"/>
  <c r="AM23" i="5"/>
  <c r="AN23" i="5"/>
  <c r="F23" i="5"/>
  <c r="G23" i="5"/>
  <c r="P22" i="5"/>
  <c r="Q22" i="5"/>
  <c r="AC23" i="5"/>
  <c r="AD23" i="5"/>
  <c r="AJ23" i="5" s="1"/>
  <c r="AM22" i="5"/>
  <c r="AN22" i="5"/>
  <c r="F22" i="5"/>
  <c r="G22" i="5"/>
  <c r="P21" i="5"/>
  <c r="Q21" i="5"/>
  <c r="AC22" i="5"/>
  <c r="AD22" i="5"/>
  <c r="AJ22" i="5" s="1"/>
  <c r="AM21" i="5"/>
  <c r="AN21" i="5"/>
  <c r="F21" i="5"/>
  <c r="G21" i="5"/>
  <c r="P20" i="5"/>
  <c r="Q20" i="5"/>
  <c r="AC21" i="5"/>
  <c r="AD21" i="5"/>
  <c r="AJ21" i="5" s="1"/>
  <c r="AM20" i="5"/>
  <c r="AN20" i="5"/>
  <c r="F20" i="5"/>
  <c r="G20" i="5"/>
  <c r="P19" i="5"/>
  <c r="Q19" i="5"/>
  <c r="AC20" i="5"/>
  <c r="AD20" i="5"/>
  <c r="AJ20" i="5" s="1"/>
  <c r="AM19" i="5"/>
  <c r="AN19" i="5"/>
  <c r="F19" i="5"/>
  <c r="G19" i="5"/>
  <c r="P18" i="5"/>
  <c r="Q18" i="5"/>
  <c r="AC19" i="5"/>
  <c r="AD19" i="5"/>
  <c r="AJ19" i="5" s="1"/>
  <c r="AM18" i="5"/>
  <c r="AN18" i="5"/>
  <c r="F18" i="5"/>
  <c r="G18" i="5"/>
  <c r="P17" i="5"/>
  <c r="Q17" i="5"/>
  <c r="AC18" i="5"/>
  <c r="AD18" i="5"/>
  <c r="AJ18" i="5" s="1"/>
  <c r="AM17" i="5"/>
  <c r="AN17" i="5"/>
  <c r="F17" i="5"/>
  <c r="G17" i="5"/>
  <c r="P16" i="5"/>
  <c r="Q16" i="5"/>
  <c r="AC17" i="5"/>
  <c r="AD17" i="5"/>
  <c r="AJ17" i="5" s="1"/>
  <c r="AM16" i="5"/>
  <c r="AN16" i="5"/>
  <c r="F16" i="5"/>
  <c r="G16" i="5"/>
  <c r="P15" i="5"/>
  <c r="Q15" i="5"/>
  <c r="AC16" i="5"/>
  <c r="AD16" i="5"/>
  <c r="AJ16" i="5" s="1"/>
  <c r="AM15" i="5"/>
  <c r="AN15" i="5"/>
  <c r="F15" i="5"/>
  <c r="G15" i="5"/>
  <c r="P14" i="5"/>
  <c r="Q14" i="5"/>
  <c r="AC15" i="5"/>
  <c r="AD15" i="5"/>
  <c r="AJ15" i="5" s="1"/>
  <c r="AM14" i="5"/>
  <c r="AN14" i="5"/>
  <c r="F14" i="5"/>
  <c r="G14" i="5"/>
  <c r="P13" i="5"/>
  <c r="Q13" i="5"/>
  <c r="AC14" i="5"/>
  <c r="AD14" i="5"/>
  <c r="AJ14" i="5" s="1"/>
  <c r="AM13" i="5"/>
  <c r="AN13" i="5"/>
  <c r="F13" i="5"/>
  <c r="G13" i="5"/>
  <c r="P12" i="5"/>
  <c r="Q12" i="5"/>
  <c r="AC13" i="5"/>
  <c r="AD13" i="5"/>
  <c r="AJ13" i="5" s="1"/>
  <c r="AM12" i="5"/>
  <c r="AN12" i="5"/>
  <c r="F12" i="5"/>
  <c r="G12" i="5"/>
  <c r="P11" i="5"/>
  <c r="Q11" i="5"/>
  <c r="AC12" i="5"/>
  <c r="AD12" i="5"/>
  <c r="AJ12" i="5" s="1"/>
  <c r="AM11" i="5"/>
  <c r="AN11" i="5"/>
  <c r="F11" i="5"/>
  <c r="G11" i="5"/>
  <c r="P10" i="5"/>
  <c r="Q10" i="5"/>
  <c r="AC11" i="5"/>
  <c r="AD11" i="5"/>
  <c r="AM10" i="5"/>
  <c r="AN10" i="5"/>
  <c r="F10" i="5"/>
  <c r="G10" i="5"/>
  <c r="P9" i="5"/>
  <c r="Q9" i="5"/>
  <c r="AC10" i="5"/>
  <c r="AD10" i="5"/>
  <c r="AJ10" i="5" s="1"/>
  <c r="AM9" i="5"/>
  <c r="AN9" i="5"/>
  <c r="F9" i="5"/>
  <c r="G9" i="5"/>
  <c r="P8" i="5"/>
  <c r="Q8" i="5"/>
  <c r="AC9" i="5"/>
  <c r="AD9" i="5"/>
  <c r="AM8" i="5"/>
  <c r="AN8" i="5"/>
  <c r="F8" i="5"/>
  <c r="G8" i="5"/>
  <c r="P7" i="5"/>
  <c r="Q7" i="5"/>
  <c r="AC8" i="5"/>
  <c r="AD8" i="5"/>
  <c r="AJ8" i="5" s="1"/>
  <c r="AM7" i="5"/>
  <c r="AN7" i="5"/>
  <c r="F7" i="5"/>
  <c r="G7" i="5"/>
  <c r="P6" i="5"/>
  <c r="Q6" i="5"/>
  <c r="AC7" i="5"/>
  <c r="AD7" i="5"/>
  <c r="AJ7" i="5" s="1"/>
  <c r="AM6" i="5"/>
  <c r="AN6" i="5"/>
  <c r="F6" i="5"/>
  <c r="G6" i="5"/>
  <c r="P5" i="5"/>
  <c r="Q5" i="5"/>
  <c r="AC6" i="5"/>
  <c r="AD6" i="5"/>
  <c r="AJ6" i="5" s="1"/>
  <c r="AM5" i="5"/>
  <c r="AN5" i="5"/>
  <c r="F5" i="5"/>
  <c r="G5" i="5"/>
  <c r="P4" i="5"/>
  <c r="Q4" i="5"/>
  <c r="AC5" i="5"/>
  <c r="AD5" i="5"/>
  <c r="AJ5" i="5" s="1"/>
  <c r="AM4" i="5"/>
  <c r="AN4" i="5"/>
  <c r="F4" i="5"/>
  <c r="G4" i="5"/>
  <c r="P3" i="5"/>
  <c r="Q3" i="5"/>
  <c r="AC4" i="5"/>
  <c r="AD4" i="5"/>
  <c r="AJ4" i="5" s="1"/>
  <c r="AM3" i="5"/>
  <c r="AN3" i="5"/>
  <c r="F3" i="5"/>
  <c r="G3" i="5"/>
  <c r="P2" i="5"/>
  <c r="Q2" i="5"/>
  <c r="AC3" i="5"/>
  <c r="AD3" i="5"/>
  <c r="AJ3" i="5" s="1"/>
  <c r="AM2" i="5"/>
  <c r="AN2" i="5"/>
  <c r="R2" i="5"/>
  <c r="S2" i="5"/>
  <c r="T2" i="5"/>
  <c r="U2" i="5"/>
  <c r="D2" i="10"/>
  <c r="AB2" i="10"/>
  <c r="AI2" i="5"/>
  <c r="AR2" i="5"/>
  <c r="AS2" i="5"/>
  <c r="E2" i="10"/>
  <c r="N2" i="10"/>
  <c r="B2" i="17" s="1"/>
  <c r="B493" i="18" s="1"/>
  <c r="AD121" i="5"/>
  <c r="AC121" i="5"/>
  <c r="AN120" i="5"/>
  <c r="AM120" i="5"/>
  <c r="G121" i="5"/>
  <c r="F121" i="5"/>
  <c r="P120" i="5"/>
  <c r="Q120" i="5"/>
  <c r="AD111" i="5"/>
  <c r="AC111" i="5"/>
  <c r="AM110" i="5"/>
  <c r="AN110" i="5"/>
  <c r="Q110" i="5"/>
  <c r="P110" i="5"/>
  <c r="G111" i="5"/>
  <c r="F111" i="5"/>
  <c r="AM107" i="5"/>
  <c r="AN107" i="5"/>
  <c r="AD108" i="5"/>
  <c r="AC108" i="5"/>
  <c r="G108" i="5"/>
  <c r="F108" i="5"/>
  <c r="P107" i="5"/>
  <c r="Q107" i="5"/>
  <c r="AD105" i="5"/>
  <c r="AC105" i="5"/>
  <c r="AM104" i="5"/>
  <c r="AN104" i="5"/>
  <c r="P104" i="5"/>
  <c r="Q104" i="5"/>
  <c r="G105" i="5"/>
  <c r="F105" i="5"/>
  <c r="P198" i="6"/>
  <c r="M198" i="6"/>
  <c r="D198" i="9" s="1"/>
  <c r="B198" i="7"/>
  <c r="T198" i="6"/>
  <c r="S198" i="6"/>
  <c r="O198" i="6"/>
  <c r="F198" i="9" s="1"/>
  <c r="B196" i="7"/>
  <c r="T196" i="6"/>
  <c r="S196" i="6"/>
  <c r="O196" i="6"/>
  <c r="F196" i="9" s="1"/>
  <c r="P195" i="6"/>
  <c r="M195" i="6"/>
  <c r="D195" i="9" s="1"/>
  <c r="P194" i="6"/>
  <c r="M194" i="6"/>
  <c r="D194" i="9" s="1"/>
  <c r="B194" i="7"/>
  <c r="T194" i="6"/>
  <c r="S194" i="6"/>
  <c r="O194" i="6"/>
  <c r="F194" i="9" s="1"/>
  <c r="P193" i="6"/>
  <c r="M193" i="6"/>
  <c r="D193" i="9" s="1"/>
  <c r="P190" i="6"/>
  <c r="M190" i="6"/>
  <c r="D190" i="9" s="1"/>
  <c r="P188" i="6"/>
  <c r="M188" i="6"/>
  <c r="D188" i="9" s="1"/>
  <c r="P186" i="6"/>
  <c r="M186" i="6"/>
  <c r="D186" i="9" s="1"/>
  <c r="B185" i="7"/>
  <c r="T185" i="6"/>
  <c r="S185" i="6"/>
  <c r="O185" i="6"/>
  <c r="F185" i="9" s="1"/>
  <c r="P184" i="6"/>
  <c r="M184" i="6"/>
  <c r="D184" i="9" s="1"/>
  <c r="B184" i="7"/>
  <c r="T184" i="6"/>
  <c r="S184" i="6"/>
  <c r="O184" i="6"/>
  <c r="F184" i="9" s="1"/>
  <c r="P183" i="6"/>
  <c r="M183" i="6"/>
  <c r="D183" i="9" s="1"/>
  <c r="P182" i="6"/>
  <c r="M182" i="6"/>
  <c r="D182" i="9" s="1"/>
  <c r="B182" i="7"/>
  <c r="T182" i="6"/>
  <c r="S182" i="6"/>
  <c r="O182" i="6"/>
  <c r="F182" i="9" s="1"/>
  <c r="P181" i="6"/>
  <c r="M181" i="6"/>
  <c r="D181" i="9" s="1"/>
  <c r="B181" i="7"/>
  <c r="T181" i="6"/>
  <c r="S181" i="6"/>
  <c r="O181" i="6"/>
  <c r="F181" i="9" s="1"/>
  <c r="P180" i="6"/>
  <c r="M180" i="6"/>
  <c r="D180" i="9" s="1"/>
  <c r="B180" i="7"/>
  <c r="T180" i="6"/>
  <c r="S180" i="6"/>
  <c r="O180" i="6"/>
  <c r="F180" i="9" s="1"/>
  <c r="P179" i="6"/>
  <c r="M179" i="6"/>
  <c r="D179" i="9" s="1"/>
  <c r="B178" i="7"/>
  <c r="T178" i="6"/>
  <c r="S178" i="6"/>
  <c r="O178" i="6"/>
  <c r="F178" i="9" s="1"/>
  <c r="P177" i="6"/>
  <c r="M177" i="6"/>
  <c r="D177" i="9" s="1"/>
  <c r="B177" i="7"/>
  <c r="T177" i="6"/>
  <c r="S177" i="6"/>
  <c r="O177" i="6"/>
  <c r="F177" i="9" s="1"/>
  <c r="P176" i="6"/>
  <c r="M176" i="6"/>
  <c r="D176" i="9" s="1"/>
  <c r="B175" i="7"/>
  <c r="T175" i="6"/>
  <c r="S175" i="6"/>
  <c r="O175" i="6"/>
  <c r="F175" i="9" s="1"/>
  <c r="P174" i="6"/>
  <c r="M174" i="6"/>
  <c r="D174" i="9" s="1"/>
  <c r="B174" i="7"/>
  <c r="T174" i="6"/>
  <c r="S174" i="6"/>
  <c r="O174" i="6"/>
  <c r="F174" i="9" s="1"/>
  <c r="P173" i="6"/>
  <c r="M173" i="6"/>
  <c r="D173" i="9" s="1"/>
  <c r="B172" i="7"/>
  <c r="T172" i="6"/>
  <c r="S172" i="6"/>
  <c r="O172" i="6"/>
  <c r="F172" i="9" s="1"/>
  <c r="P171" i="6"/>
  <c r="M171" i="6"/>
  <c r="D171" i="9" s="1"/>
  <c r="B170" i="7"/>
  <c r="T170" i="6"/>
  <c r="S170" i="6"/>
  <c r="O170" i="6"/>
  <c r="F170" i="9" s="1"/>
  <c r="P169" i="6"/>
  <c r="M169" i="6"/>
  <c r="D169" i="9" s="1"/>
  <c r="B169" i="7"/>
  <c r="T169" i="6"/>
  <c r="S169" i="6"/>
  <c r="O169" i="6"/>
  <c r="F169" i="9" s="1"/>
  <c r="P168" i="6"/>
  <c r="M168" i="6"/>
  <c r="D168" i="9" s="1"/>
  <c r="B168" i="7"/>
  <c r="T168" i="6"/>
  <c r="S168" i="6"/>
  <c r="O168" i="6"/>
  <c r="F168" i="9" s="1"/>
  <c r="P167" i="6"/>
  <c r="M167" i="6"/>
  <c r="D167" i="9" s="1"/>
  <c r="P164" i="6"/>
  <c r="M164" i="6"/>
  <c r="D164" i="9" s="1"/>
  <c r="B164" i="7"/>
  <c r="T164" i="6"/>
  <c r="S164" i="6"/>
  <c r="O164" i="6"/>
  <c r="F164" i="9" s="1"/>
  <c r="P163" i="6"/>
  <c r="M163" i="6"/>
  <c r="D163" i="9" s="1"/>
  <c r="B163" i="7"/>
  <c r="T163" i="6"/>
  <c r="S163" i="6"/>
  <c r="O163" i="6"/>
  <c r="F163" i="9" s="1"/>
  <c r="P161" i="6"/>
  <c r="M161" i="6"/>
  <c r="D161" i="9" s="1"/>
  <c r="B161" i="7"/>
  <c r="T161" i="6"/>
  <c r="S161" i="6"/>
  <c r="O161" i="6"/>
  <c r="F161" i="9" s="1"/>
  <c r="P156" i="6"/>
  <c r="M156" i="6"/>
  <c r="D156" i="9" s="1"/>
  <c r="B156" i="7"/>
  <c r="T156" i="6"/>
  <c r="S156" i="6"/>
  <c r="O156" i="6"/>
  <c r="F156" i="9" s="1"/>
  <c r="P155" i="6"/>
  <c r="M155" i="6"/>
  <c r="D155" i="9" s="1"/>
  <c r="B155" i="7"/>
  <c r="T155" i="6"/>
  <c r="S155" i="6"/>
  <c r="O155" i="6"/>
  <c r="F155" i="9" s="1"/>
  <c r="P152" i="6"/>
  <c r="M152" i="6"/>
  <c r="D152" i="9" s="1"/>
  <c r="B152" i="7"/>
  <c r="T152" i="6"/>
  <c r="S152" i="6"/>
  <c r="O152" i="6"/>
  <c r="F152" i="9" s="1"/>
  <c r="P151" i="6"/>
  <c r="M151" i="6"/>
  <c r="D151" i="9" s="1"/>
  <c r="B151" i="7"/>
  <c r="T151" i="6"/>
  <c r="S151" i="6"/>
  <c r="O151" i="6"/>
  <c r="F151" i="9" s="1"/>
  <c r="B149" i="7"/>
  <c r="T149" i="6"/>
  <c r="S149" i="6"/>
  <c r="O149" i="6"/>
  <c r="F149" i="9" s="1"/>
  <c r="P148" i="6"/>
  <c r="M148" i="6"/>
  <c r="D148" i="9" s="1"/>
  <c r="B148" i="7"/>
  <c r="T148" i="6"/>
  <c r="S148" i="6"/>
  <c r="O148" i="6"/>
  <c r="F148" i="9" s="1"/>
  <c r="P147" i="6"/>
  <c r="M147" i="6"/>
  <c r="D147" i="9" s="1"/>
  <c r="P146" i="6"/>
  <c r="M146" i="6"/>
  <c r="D146" i="9" s="1"/>
  <c r="B145" i="7"/>
  <c r="T145" i="6"/>
  <c r="S145" i="6"/>
  <c r="O145" i="6"/>
  <c r="F145" i="9" s="1"/>
  <c r="P144" i="6"/>
  <c r="M144" i="6"/>
  <c r="D144" i="9" s="1"/>
  <c r="B144" i="7"/>
  <c r="T144" i="6"/>
  <c r="S144" i="6"/>
  <c r="O144" i="6"/>
  <c r="F144" i="9" s="1"/>
  <c r="P143" i="6"/>
  <c r="M143" i="6"/>
  <c r="D143" i="9" s="1"/>
  <c r="P140" i="6"/>
  <c r="M140" i="6"/>
  <c r="D140" i="9" s="1"/>
  <c r="P138" i="6"/>
  <c r="M138" i="6"/>
  <c r="D138" i="9" s="1"/>
  <c r="P136" i="6"/>
  <c r="M136" i="6"/>
  <c r="D136" i="9" s="1"/>
  <c r="P135" i="6"/>
  <c r="M135" i="6"/>
  <c r="D135" i="9" s="1"/>
  <c r="B133" i="7"/>
  <c r="T133" i="6"/>
  <c r="S133" i="6"/>
  <c r="O133" i="6"/>
  <c r="F133" i="9" s="1"/>
  <c r="P132" i="6"/>
  <c r="M132" i="6"/>
  <c r="D132" i="9" s="1"/>
  <c r="B132" i="7"/>
  <c r="T132" i="6"/>
  <c r="S132" i="6"/>
  <c r="O132" i="6"/>
  <c r="F132" i="9" s="1"/>
  <c r="P131" i="6"/>
  <c r="M131" i="6"/>
  <c r="D131" i="9" s="1"/>
  <c r="B131" i="7"/>
  <c r="T131" i="6"/>
  <c r="S131" i="6"/>
  <c r="O131" i="6"/>
  <c r="F131" i="9" s="1"/>
  <c r="P130" i="6"/>
  <c r="M130" i="6"/>
  <c r="D130" i="9" s="1"/>
  <c r="B130" i="7"/>
  <c r="T130" i="6"/>
  <c r="S130" i="6"/>
  <c r="O130" i="6"/>
  <c r="F130" i="9" s="1"/>
  <c r="P129" i="6"/>
  <c r="M129" i="6"/>
  <c r="D129" i="9" s="1"/>
  <c r="B129" i="7"/>
  <c r="T129" i="6"/>
  <c r="S129" i="6"/>
  <c r="O129" i="6"/>
  <c r="F129" i="9" s="1"/>
  <c r="P128" i="6"/>
  <c r="M128" i="6"/>
  <c r="D128" i="9" s="1"/>
  <c r="B128" i="7"/>
  <c r="T128" i="6"/>
  <c r="S128" i="6"/>
  <c r="O128" i="6"/>
  <c r="F128" i="9" s="1"/>
  <c r="P126" i="6"/>
  <c r="M126" i="6"/>
  <c r="D126" i="9" s="1"/>
  <c r="P125" i="6"/>
  <c r="M125" i="6"/>
  <c r="D125" i="9" s="1"/>
  <c r="B124" i="7"/>
  <c r="T124" i="6"/>
  <c r="S124" i="6"/>
  <c r="O124" i="6"/>
  <c r="F124" i="9" s="1"/>
  <c r="P123" i="6"/>
  <c r="M123" i="6"/>
  <c r="D123" i="9" s="1"/>
  <c r="P122" i="6"/>
  <c r="M122" i="6"/>
  <c r="D122" i="9" s="1"/>
  <c r="P120" i="6"/>
  <c r="M120" i="6"/>
  <c r="D120" i="9" s="1"/>
  <c r="P119" i="6"/>
  <c r="M119" i="6"/>
  <c r="D119" i="9" s="1"/>
  <c r="B119" i="7"/>
  <c r="T119" i="6"/>
  <c r="S119" i="6"/>
  <c r="O119" i="6"/>
  <c r="F119" i="9" s="1"/>
  <c r="B118" i="7"/>
  <c r="T118" i="6"/>
  <c r="S118" i="6"/>
  <c r="O118" i="6"/>
  <c r="F118" i="9" s="1"/>
  <c r="P117" i="6"/>
  <c r="M117" i="6"/>
  <c r="D117" i="9" s="1"/>
  <c r="P116" i="6"/>
  <c r="M116" i="6"/>
  <c r="D116" i="9" s="1"/>
  <c r="B116" i="7"/>
  <c r="T116" i="6"/>
  <c r="S116" i="6"/>
  <c r="O116" i="6"/>
  <c r="F116" i="9" s="1"/>
  <c r="P115" i="6"/>
  <c r="M115" i="6"/>
  <c r="D115" i="9" s="1"/>
  <c r="B114" i="7"/>
  <c r="T114" i="6"/>
  <c r="S114" i="6"/>
  <c r="O114" i="6"/>
  <c r="F114" i="9" s="1"/>
  <c r="P113" i="6"/>
  <c r="M113" i="6"/>
  <c r="D113" i="9" s="1"/>
  <c r="B113" i="7"/>
  <c r="T113" i="6"/>
  <c r="S113" i="6"/>
  <c r="O113" i="6"/>
  <c r="F113" i="9" s="1"/>
  <c r="P112" i="6"/>
  <c r="M112" i="6"/>
  <c r="D112" i="9" s="1"/>
  <c r="B112" i="7"/>
  <c r="T112" i="6"/>
  <c r="S112" i="6"/>
  <c r="O112" i="6"/>
  <c r="F112" i="9" s="1"/>
  <c r="B110" i="7"/>
  <c r="T110" i="6"/>
  <c r="S110" i="6"/>
  <c r="O110" i="6"/>
  <c r="F110" i="9" s="1"/>
  <c r="B109" i="7"/>
  <c r="T109" i="6"/>
  <c r="S109" i="6"/>
  <c r="O109" i="6"/>
  <c r="F109" i="9" s="1"/>
  <c r="B107" i="7"/>
  <c r="T107" i="6"/>
  <c r="S107" i="6"/>
  <c r="O107" i="6"/>
  <c r="F107" i="9" s="1"/>
  <c r="B104" i="7"/>
  <c r="T104" i="6"/>
  <c r="S104" i="6"/>
  <c r="O104" i="6"/>
  <c r="F104" i="9" s="1"/>
  <c r="P103" i="6"/>
  <c r="M103" i="6"/>
  <c r="D103" i="9" s="1"/>
  <c r="B103" i="7"/>
  <c r="T103" i="6"/>
  <c r="S103" i="6"/>
  <c r="O103" i="6"/>
  <c r="F103" i="9" s="1"/>
  <c r="B102" i="7"/>
  <c r="T102" i="6"/>
  <c r="S102" i="6"/>
  <c r="O102" i="6"/>
  <c r="F102" i="9" s="1"/>
  <c r="P101" i="6"/>
  <c r="M101" i="6"/>
  <c r="D101" i="9" s="1"/>
  <c r="B100" i="7"/>
  <c r="T100" i="6"/>
  <c r="S100" i="6"/>
  <c r="O100" i="6"/>
  <c r="F100" i="9" s="1"/>
  <c r="P99" i="6"/>
  <c r="M99" i="6"/>
  <c r="D99" i="9" s="1"/>
  <c r="P97" i="6"/>
  <c r="M97" i="6"/>
  <c r="D97" i="9" s="1"/>
  <c r="X95" i="6"/>
  <c r="X93" i="6"/>
  <c r="X92" i="6"/>
  <c r="X88" i="6"/>
  <c r="X86" i="6"/>
  <c r="X85" i="6"/>
  <c r="X83" i="6"/>
  <c r="X82" i="6"/>
  <c r="P242" i="6"/>
  <c r="M242" i="6"/>
  <c r="D242" i="9" s="1"/>
  <c r="B242" i="7"/>
  <c r="T242" i="6"/>
  <c r="S242" i="6"/>
  <c r="O242" i="6"/>
  <c r="F242" i="9" s="1"/>
  <c r="P241" i="6"/>
  <c r="M241" i="6"/>
  <c r="D241" i="9" s="1"/>
  <c r="B241" i="7"/>
  <c r="T241" i="6"/>
  <c r="S241" i="6"/>
  <c r="O241" i="6"/>
  <c r="F241" i="9" s="1"/>
  <c r="P240" i="6"/>
  <c r="M240" i="6"/>
  <c r="D240" i="9" s="1"/>
  <c r="B240" i="7"/>
  <c r="T240" i="6"/>
  <c r="S240" i="6"/>
  <c r="O240" i="6"/>
  <c r="F240" i="9" s="1"/>
  <c r="P239" i="6"/>
  <c r="M239" i="6"/>
  <c r="D239" i="9" s="1"/>
  <c r="B239" i="7"/>
  <c r="T239" i="6"/>
  <c r="S239" i="6"/>
  <c r="O239" i="6"/>
  <c r="F239" i="9" s="1"/>
  <c r="P238" i="6"/>
  <c r="M238" i="6"/>
  <c r="D238" i="9" s="1"/>
  <c r="B238" i="7"/>
  <c r="T238" i="6"/>
  <c r="S238" i="6"/>
  <c r="O238" i="6"/>
  <c r="F238" i="9" s="1"/>
  <c r="P237" i="6"/>
  <c r="M237" i="6"/>
  <c r="D237" i="9" s="1"/>
  <c r="B237" i="7"/>
  <c r="T237" i="6"/>
  <c r="S237" i="6"/>
  <c r="O237" i="6"/>
  <c r="F237" i="9" s="1"/>
  <c r="P236" i="6"/>
  <c r="M236" i="6"/>
  <c r="D236" i="9" s="1"/>
  <c r="B236" i="7"/>
  <c r="T236" i="6"/>
  <c r="S236" i="6"/>
  <c r="O236" i="6"/>
  <c r="F236" i="9" s="1"/>
  <c r="P235" i="6"/>
  <c r="M235" i="6"/>
  <c r="D235" i="9" s="1"/>
  <c r="B235" i="7"/>
  <c r="T235" i="6"/>
  <c r="S235" i="6"/>
  <c r="O235" i="6"/>
  <c r="F235" i="9" s="1"/>
  <c r="P234" i="6"/>
  <c r="M234" i="6"/>
  <c r="D234" i="9" s="1"/>
  <c r="B234" i="7"/>
  <c r="T234" i="6"/>
  <c r="S234" i="6"/>
  <c r="O234" i="6"/>
  <c r="F234" i="9" s="1"/>
  <c r="P233" i="6"/>
  <c r="M233" i="6"/>
  <c r="D233" i="9" s="1"/>
  <c r="B233" i="7"/>
  <c r="T233" i="6"/>
  <c r="S233" i="6"/>
  <c r="O233" i="6"/>
  <c r="F233" i="9" s="1"/>
  <c r="P232" i="6"/>
  <c r="M232" i="6"/>
  <c r="D232" i="9" s="1"/>
  <c r="B232" i="7"/>
  <c r="T232" i="6"/>
  <c r="S232" i="6"/>
  <c r="O232" i="6"/>
  <c r="F232" i="9" s="1"/>
  <c r="P231" i="6"/>
  <c r="M231" i="6"/>
  <c r="D231" i="9" s="1"/>
  <c r="B231" i="7"/>
  <c r="T231" i="6"/>
  <c r="S231" i="6"/>
  <c r="O231" i="6"/>
  <c r="F231" i="9" s="1"/>
  <c r="P230" i="6"/>
  <c r="M230" i="6"/>
  <c r="D230" i="9" s="1"/>
  <c r="B230" i="7"/>
  <c r="T230" i="6"/>
  <c r="S230" i="6"/>
  <c r="O230" i="6"/>
  <c r="F230" i="9" s="1"/>
  <c r="P229" i="6"/>
  <c r="M229" i="6"/>
  <c r="D229" i="9" s="1"/>
  <c r="B229" i="7"/>
  <c r="T229" i="6"/>
  <c r="S229" i="6"/>
  <c r="O229" i="6"/>
  <c r="F229" i="9" s="1"/>
  <c r="P228" i="6"/>
  <c r="M228" i="6"/>
  <c r="D228" i="9" s="1"/>
  <c r="B228" i="7"/>
  <c r="T228" i="6"/>
  <c r="S228" i="6"/>
  <c r="O228" i="6"/>
  <c r="F228" i="9" s="1"/>
  <c r="P227" i="6"/>
  <c r="M227" i="6"/>
  <c r="D227" i="9" s="1"/>
  <c r="B227" i="7"/>
  <c r="T227" i="6"/>
  <c r="S227" i="6"/>
  <c r="O227" i="6"/>
  <c r="F227" i="9" s="1"/>
  <c r="P226" i="6"/>
  <c r="M226" i="6"/>
  <c r="D226" i="9" s="1"/>
  <c r="B226" i="7"/>
  <c r="T226" i="6"/>
  <c r="S226" i="6"/>
  <c r="O226" i="6"/>
  <c r="F226" i="9" s="1"/>
  <c r="P225" i="6"/>
  <c r="M225" i="6"/>
  <c r="D225" i="9" s="1"/>
  <c r="B225" i="7"/>
  <c r="T225" i="6"/>
  <c r="S225" i="6"/>
  <c r="O225" i="6"/>
  <c r="F225" i="9" s="1"/>
  <c r="P224" i="6"/>
  <c r="M224" i="6"/>
  <c r="D224" i="9" s="1"/>
  <c r="B224" i="7"/>
  <c r="T224" i="6"/>
  <c r="S224" i="6"/>
  <c r="O224" i="6"/>
  <c r="F224" i="9" s="1"/>
  <c r="P223" i="6"/>
  <c r="M223" i="6"/>
  <c r="D223" i="9" s="1"/>
  <c r="B223" i="7"/>
  <c r="T223" i="6"/>
  <c r="S223" i="6"/>
  <c r="O223" i="6"/>
  <c r="F223" i="9" s="1"/>
  <c r="P222" i="6"/>
  <c r="M222" i="6"/>
  <c r="D222" i="9" s="1"/>
  <c r="B222" i="7"/>
  <c r="T222" i="6"/>
  <c r="S222" i="6"/>
  <c r="O222" i="6"/>
  <c r="F222" i="9" s="1"/>
  <c r="P221" i="6"/>
  <c r="M221" i="6"/>
  <c r="D221" i="9" s="1"/>
  <c r="B221" i="7"/>
  <c r="T221" i="6"/>
  <c r="S221" i="6"/>
  <c r="O221" i="6"/>
  <c r="F221" i="9" s="1"/>
  <c r="P220" i="6"/>
  <c r="M220" i="6"/>
  <c r="D220" i="9" s="1"/>
  <c r="B220" i="7"/>
  <c r="T220" i="6"/>
  <c r="S220" i="6"/>
  <c r="O220" i="6"/>
  <c r="F220" i="9" s="1"/>
  <c r="P219" i="6"/>
  <c r="M219" i="6"/>
  <c r="D219" i="9" s="1"/>
  <c r="B219" i="7"/>
  <c r="T219" i="6"/>
  <c r="S219" i="6"/>
  <c r="O219" i="6"/>
  <c r="F219" i="9" s="1"/>
  <c r="P218" i="6"/>
  <c r="M218" i="6"/>
  <c r="D218" i="9" s="1"/>
  <c r="B218" i="7"/>
  <c r="T218" i="6"/>
  <c r="S218" i="6"/>
  <c r="O218" i="6"/>
  <c r="F218" i="9" s="1"/>
  <c r="P217" i="6"/>
  <c r="M217" i="6"/>
  <c r="D217" i="9" s="1"/>
  <c r="B217" i="7"/>
  <c r="T217" i="6"/>
  <c r="S217" i="6"/>
  <c r="O217" i="6"/>
  <c r="F217" i="9" s="1"/>
  <c r="P216" i="6"/>
  <c r="M216" i="6"/>
  <c r="D216" i="9" s="1"/>
  <c r="B216" i="7"/>
  <c r="T216" i="6"/>
  <c r="S216" i="6"/>
  <c r="O216" i="6"/>
  <c r="F216" i="9" s="1"/>
  <c r="P215" i="6"/>
  <c r="M215" i="6"/>
  <c r="D215" i="9" s="1"/>
  <c r="B215" i="7"/>
  <c r="T215" i="6"/>
  <c r="S215" i="6"/>
  <c r="O215" i="6"/>
  <c r="F215" i="9" s="1"/>
  <c r="P214" i="6"/>
  <c r="M214" i="6"/>
  <c r="D214" i="9" s="1"/>
  <c r="B214" i="7"/>
  <c r="T214" i="6"/>
  <c r="S214" i="6"/>
  <c r="O214" i="6"/>
  <c r="F214" i="9" s="1"/>
  <c r="P213" i="6"/>
  <c r="M213" i="6"/>
  <c r="D213" i="9" s="1"/>
  <c r="B213" i="7"/>
  <c r="T213" i="6"/>
  <c r="S213" i="6"/>
  <c r="O213" i="6"/>
  <c r="F213" i="9" s="1"/>
  <c r="P212" i="6"/>
  <c r="M212" i="6"/>
  <c r="D212" i="9" s="1"/>
  <c r="B212" i="7"/>
  <c r="T212" i="6"/>
  <c r="S212" i="6"/>
  <c r="O212" i="6"/>
  <c r="F212" i="9" s="1"/>
  <c r="P211" i="6"/>
  <c r="M211" i="6"/>
  <c r="D211" i="9" s="1"/>
  <c r="B211" i="7"/>
  <c r="T211" i="6"/>
  <c r="S211" i="6"/>
  <c r="O211" i="6"/>
  <c r="F211" i="9" s="1"/>
  <c r="P210" i="6"/>
  <c r="M210" i="6"/>
  <c r="D210" i="9" s="1"/>
  <c r="B210" i="7"/>
  <c r="T210" i="6"/>
  <c r="S210" i="6"/>
  <c r="O210" i="6"/>
  <c r="F210" i="9" s="1"/>
  <c r="P209" i="6"/>
  <c r="M209" i="6"/>
  <c r="D209" i="9" s="1"/>
  <c r="B209" i="7"/>
  <c r="T209" i="6"/>
  <c r="S209" i="6"/>
  <c r="O209" i="6"/>
  <c r="F209" i="9" s="1"/>
  <c r="P208" i="6"/>
  <c r="M208" i="6"/>
  <c r="D208" i="9" s="1"/>
  <c r="B208" i="7"/>
  <c r="T208" i="6"/>
  <c r="S208" i="6"/>
  <c r="O208" i="6"/>
  <c r="F208" i="9" s="1"/>
  <c r="P207" i="6"/>
  <c r="M207" i="6"/>
  <c r="D207" i="9" s="1"/>
  <c r="B207" i="7"/>
  <c r="T207" i="6"/>
  <c r="S207" i="6"/>
  <c r="O207" i="6"/>
  <c r="F207" i="9" s="1"/>
  <c r="P206" i="6"/>
  <c r="M206" i="6"/>
  <c r="D206" i="9" s="1"/>
  <c r="B206" i="7"/>
  <c r="T206" i="6"/>
  <c r="S206" i="6"/>
  <c r="O206" i="6"/>
  <c r="F206" i="9" s="1"/>
  <c r="P205" i="6"/>
  <c r="M205" i="6"/>
  <c r="D205" i="9" s="1"/>
  <c r="B205" i="7"/>
  <c r="T205" i="6"/>
  <c r="S205" i="6"/>
  <c r="O205" i="6"/>
  <c r="F205" i="9" s="1"/>
  <c r="P204" i="6"/>
  <c r="M204" i="6"/>
  <c r="D204" i="9" s="1"/>
  <c r="B204" i="7"/>
  <c r="T204" i="6"/>
  <c r="S204" i="6"/>
  <c r="O204" i="6"/>
  <c r="F204" i="9" s="1"/>
  <c r="P203" i="6"/>
  <c r="M203" i="6"/>
  <c r="D203" i="9" s="1"/>
  <c r="B203" i="7"/>
  <c r="T203" i="6"/>
  <c r="S203" i="6"/>
  <c r="O203" i="6"/>
  <c r="F203" i="9" s="1"/>
  <c r="P202" i="6"/>
  <c r="M202" i="6"/>
  <c r="D202" i="9" s="1"/>
  <c r="B202" i="7"/>
  <c r="T202" i="6"/>
  <c r="S202" i="6"/>
  <c r="O202" i="6"/>
  <c r="F202" i="9" s="1"/>
  <c r="P201" i="6"/>
  <c r="M201" i="6"/>
  <c r="D201" i="9" s="1"/>
  <c r="B201" i="7"/>
  <c r="T201" i="6"/>
  <c r="S201" i="6"/>
  <c r="O201" i="6"/>
  <c r="F201" i="9" s="1"/>
  <c r="P200" i="6"/>
  <c r="M200" i="6"/>
  <c r="D200" i="9" s="1"/>
  <c r="B200" i="7"/>
  <c r="T200" i="6"/>
  <c r="S200" i="6"/>
  <c r="O200" i="6"/>
  <c r="F200" i="9" s="1"/>
  <c r="P199" i="6"/>
  <c r="M199" i="6"/>
  <c r="D199" i="9" s="1"/>
  <c r="B199" i="7"/>
  <c r="T199" i="6"/>
  <c r="S199" i="6"/>
  <c r="O199" i="6"/>
  <c r="F199" i="9" s="1"/>
  <c r="P197" i="6"/>
  <c r="M197" i="6"/>
  <c r="D197" i="9" s="1"/>
  <c r="B197" i="7"/>
  <c r="T197" i="6"/>
  <c r="S197" i="6"/>
  <c r="O197" i="6"/>
  <c r="F197" i="9" s="1"/>
  <c r="P196" i="6"/>
  <c r="M196" i="6"/>
  <c r="D196" i="9" s="1"/>
  <c r="B195" i="7"/>
  <c r="T195" i="6"/>
  <c r="S195" i="6"/>
  <c r="O195" i="6"/>
  <c r="F195" i="9" s="1"/>
  <c r="B193" i="7"/>
  <c r="T193" i="6"/>
  <c r="S193" i="6"/>
  <c r="O193" i="6"/>
  <c r="F193" i="9" s="1"/>
  <c r="X192" i="6"/>
  <c r="X191" i="6"/>
  <c r="B190" i="7"/>
  <c r="T190" i="6"/>
  <c r="S190" i="6"/>
  <c r="O190" i="6"/>
  <c r="F190" i="9" s="1"/>
  <c r="P189" i="6"/>
  <c r="M189" i="6"/>
  <c r="D189" i="9" s="1"/>
  <c r="B189" i="7"/>
  <c r="T189" i="6"/>
  <c r="S189" i="6"/>
  <c r="O189" i="6"/>
  <c r="F189" i="9" s="1"/>
  <c r="B188" i="7"/>
  <c r="T188" i="6"/>
  <c r="S188" i="6"/>
  <c r="O188" i="6"/>
  <c r="F188" i="9" s="1"/>
  <c r="P187" i="6"/>
  <c r="M187" i="6"/>
  <c r="D187" i="9" s="1"/>
  <c r="B187" i="7"/>
  <c r="T187" i="6"/>
  <c r="S187" i="6"/>
  <c r="O187" i="6"/>
  <c r="F187" i="9" s="1"/>
  <c r="B186" i="7"/>
  <c r="T186" i="6"/>
  <c r="S186" i="6"/>
  <c r="O186" i="6"/>
  <c r="F186" i="9" s="1"/>
  <c r="P185" i="6"/>
  <c r="M185" i="6"/>
  <c r="D185" i="9" s="1"/>
  <c r="B183" i="7"/>
  <c r="T183" i="6"/>
  <c r="S183" i="6"/>
  <c r="O183" i="6"/>
  <c r="F183" i="9" s="1"/>
  <c r="B179" i="7"/>
  <c r="T179" i="6"/>
  <c r="S179" i="6"/>
  <c r="O179" i="6"/>
  <c r="F179" i="9" s="1"/>
  <c r="P178" i="6"/>
  <c r="M178" i="6"/>
  <c r="D178" i="9" s="1"/>
  <c r="B176" i="7"/>
  <c r="T176" i="6"/>
  <c r="S176" i="6"/>
  <c r="O176" i="6"/>
  <c r="F176" i="9" s="1"/>
  <c r="P175" i="6"/>
  <c r="M175" i="6"/>
  <c r="D175" i="9" s="1"/>
  <c r="B173" i="7"/>
  <c r="T173" i="6"/>
  <c r="S173" i="6"/>
  <c r="O173" i="6"/>
  <c r="F173" i="9" s="1"/>
  <c r="P172" i="6"/>
  <c r="M172" i="6"/>
  <c r="D172" i="9" s="1"/>
  <c r="B171" i="7"/>
  <c r="T171" i="6"/>
  <c r="S171" i="6"/>
  <c r="O171" i="6"/>
  <c r="F171" i="9" s="1"/>
  <c r="P170" i="6"/>
  <c r="M170" i="6"/>
  <c r="D170" i="9" s="1"/>
  <c r="B167" i="7"/>
  <c r="T167" i="6"/>
  <c r="S167" i="6"/>
  <c r="O167" i="6"/>
  <c r="F167" i="9" s="1"/>
  <c r="P166" i="6"/>
  <c r="M166" i="6"/>
  <c r="D166" i="9" s="1"/>
  <c r="B166" i="7"/>
  <c r="T166" i="6"/>
  <c r="S166" i="6"/>
  <c r="O166" i="6"/>
  <c r="F166" i="9" s="1"/>
  <c r="P165" i="6"/>
  <c r="M165" i="6"/>
  <c r="D165" i="9" s="1"/>
  <c r="B165" i="7"/>
  <c r="T165" i="6"/>
  <c r="S165" i="6"/>
  <c r="O165" i="6"/>
  <c r="F165" i="9" s="1"/>
  <c r="P162" i="6"/>
  <c r="M162" i="6"/>
  <c r="D162" i="9" s="1"/>
  <c r="B162" i="7"/>
  <c r="T162" i="6"/>
  <c r="S162" i="6"/>
  <c r="O162" i="6"/>
  <c r="F162" i="9" s="1"/>
  <c r="P160" i="6"/>
  <c r="M160" i="6"/>
  <c r="D160" i="9" s="1"/>
  <c r="B160" i="7"/>
  <c r="T160" i="6"/>
  <c r="S160" i="6"/>
  <c r="O160" i="6"/>
  <c r="F160" i="9" s="1"/>
  <c r="P159" i="6"/>
  <c r="M159" i="6"/>
  <c r="D159" i="9" s="1"/>
  <c r="B159" i="7"/>
  <c r="T159" i="6"/>
  <c r="S159" i="6"/>
  <c r="O159" i="6"/>
  <c r="F159" i="9" s="1"/>
  <c r="P158" i="6"/>
  <c r="M158" i="6"/>
  <c r="D158" i="9" s="1"/>
  <c r="B158" i="7"/>
  <c r="T158" i="6"/>
  <c r="S158" i="6"/>
  <c r="O158" i="6"/>
  <c r="F158" i="9" s="1"/>
  <c r="P157" i="6"/>
  <c r="M157" i="6"/>
  <c r="D157" i="9" s="1"/>
  <c r="B157" i="7"/>
  <c r="T157" i="6"/>
  <c r="S157" i="6"/>
  <c r="O157" i="6"/>
  <c r="F157" i="9" s="1"/>
  <c r="P154" i="6"/>
  <c r="M154" i="6"/>
  <c r="D154" i="9" s="1"/>
  <c r="B154" i="7"/>
  <c r="T154" i="6"/>
  <c r="S154" i="6"/>
  <c r="O154" i="6"/>
  <c r="F154" i="9" s="1"/>
  <c r="P153" i="6"/>
  <c r="M153" i="6"/>
  <c r="D153" i="9" s="1"/>
  <c r="B153" i="7"/>
  <c r="T153" i="6"/>
  <c r="S153" i="6"/>
  <c r="O153" i="6"/>
  <c r="F153" i="9" s="1"/>
  <c r="P150" i="6"/>
  <c r="M150" i="6"/>
  <c r="D150" i="9" s="1"/>
  <c r="B150" i="7"/>
  <c r="T150" i="6"/>
  <c r="S150" i="6"/>
  <c r="O150" i="6"/>
  <c r="F150" i="9" s="1"/>
  <c r="P149" i="6"/>
  <c r="M149" i="6"/>
  <c r="D149" i="9" s="1"/>
  <c r="B147" i="7"/>
  <c r="T147" i="6"/>
  <c r="S147" i="6"/>
  <c r="O147" i="6"/>
  <c r="F147" i="9" s="1"/>
  <c r="B146" i="7"/>
  <c r="T146" i="6"/>
  <c r="S146" i="6"/>
  <c r="O146" i="6"/>
  <c r="F146" i="9" s="1"/>
  <c r="P145" i="6"/>
  <c r="M145" i="6"/>
  <c r="D145" i="9" s="1"/>
  <c r="B143" i="7"/>
  <c r="T143" i="6"/>
  <c r="S143" i="6"/>
  <c r="O143" i="6"/>
  <c r="F143" i="9" s="1"/>
  <c r="P142" i="6"/>
  <c r="M142" i="6"/>
  <c r="D142" i="9" s="1"/>
  <c r="B142" i="7"/>
  <c r="T142" i="6"/>
  <c r="S142" i="6"/>
  <c r="O142" i="6"/>
  <c r="F142" i="9" s="1"/>
  <c r="P141" i="6"/>
  <c r="M141" i="6"/>
  <c r="D141" i="9" s="1"/>
  <c r="B141" i="7"/>
  <c r="T141" i="6"/>
  <c r="S141" i="6"/>
  <c r="O141" i="6"/>
  <c r="F141" i="9" s="1"/>
  <c r="B140" i="7"/>
  <c r="T140" i="6"/>
  <c r="S140" i="6"/>
  <c r="O140" i="6"/>
  <c r="F140" i="9" s="1"/>
  <c r="P139" i="6"/>
  <c r="M139" i="6"/>
  <c r="D139" i="9" s="1"/>
  <c r="B139" i="7"/>
  <c r="T139" i="6"/>
  <c r="S139" i="6"/>
  <c r="O139" i="6"/>
  <c r="F139" i="9" s="1"/>
  <c r="B138" i="7"/>
  <c r="T138" i="6"/>
  <c r="S138" i="6"/>
  <c r="O138" i="6"/>
  <c r="F138" i="9" s="1"/>
  <c r="P137" i="6"/>
  <c r="M137" i="6"/>
  <c r="D137" i="9" s="1"/>
  <c r="B137" i="7"/>
  <c r="T137" i="6"/>
  <c r="S137" i="6"/>
  <c r="O137" i="6"/>
  <c r="F137" i="9" s="1"/>
  <c r="B136" i="7"/>
  <c r="T136" i="6"/>
  <c r="S136" i="6"/>
  <c r="O136" i="6"/>
  <c r="F136" i="9" s="1"/>
  <c r="B135" i="7"/>
  <c r="T135" i="6"/>
  <c r="S135" i="6"/>
  <c r="O135" i="6"/>
  <c r="F135" i="9" s="1"/>
  <c r="P134" i="6"/>
  <c r="M134" i="6"/>
  <c r="D134" i="9" s="1"/>
  <c r="B134" i="7"/>
  <c r="T134" i="6"/>
  <c r="S134" i="6"/>
  <c r="O134" i="6"/>
  <c r="F134" i="9" s="1"/>
  <c r="P133" i="6"/>
  <c r="M133" i="6"/>
  <c r="D133" i="9" s="1"/>
  <c r="P127" i="6"/>
  <c r="M127" i="6"/>
  <c r="D127" i="9" s="1"/>
  <c r="B127" i="7"/>
  <c r="T127" i="6"/>
  <c r="S127" i="6"/>
  <c r="O127" i="6"/>
  <c r="F127" i="9" s="1"/>
  <c r="B126" i="7"/>
  <c r="T126" i="6"/>
  <c r="S126" i="6"/>
  <c r="O126" i="6"/>
  <c r="F126" i="9" s="1"/>
  <c r="B125" i="7"/>
  <c r="T125" i="6"/>
  <c r="S125" i="6"/>
  <c r="O125" i="6"/>
  <c r="F125" i="9" s="1"/>
  <c r="P124" i="6"/>
  <c r="M124" i="6"/>
  <c r="D124" i="9" s="1"/>
  <c r="B123" i="7"/>
  <c r="T123" i="6"/>
  <c r="S123" i="6"/>
  <c r="O123" i="6"/>
  <c r="F123" i="9" s="1"/>
  <c r="B122" i="7"/>
  <c r="T122" i="6"/>
  <c r="S122" i="6"/>
  <c r="O122" i="6"/>
  <c r="F122" i="9" s="1"/>
  <c r="P121" i="6"/>
  <c r="M121" i="6"/>
  <c r="D121" i="9" s="1"/>
  <c r="B121" i="7"/>
  <c r="T121" i="6"/>
  <c r="S121" i="6"/>
  <c r="O121" i="6"/>
  <c r="F121" i="9" s="1"/>
  <c r="B120" i="7"/>
  <c r="T120" i="6"/>
  <c r="S120" i="6"/>
  <c r="O120" i="6"/>
  <c r="F120" i="9" s="1"/>
  <c r="P118" i="6"/>
  <c r="M118" i="6"/>
  <c r="D118" i="9" s="1"/>
  <c r="B117" i="7"/>
  <c r="T117" i="6"/>
  <c r="S117" i="6"/>
  <c r="O117" i="6"/>
  <c r="F117" i="9" s="1"/>
  <c r="B115" i="7"/>
  <c r="T115" i="6"/>
  <c r="S115" i="6"/>
  <c r="O115" i="6"/>
  <c r="F115" i="9" s="1"/>
  <c r="P114" i="6"/>
  <c r="M114" i="6"/>
  <c r="D114" i="9" s="1"/>
  <c r="P111" i="6"/>
  <c r="M111" i="6"/>
  <c r="D111" i="9" s="1"/>
  <c r="B111" i="7"/>
  <c r="T111" i="6"/>
  <c r="S111" i="6"/>
  <c r="O111" i="6"/>
  <c r="F111" i="9" s="1"/>
  <c r="P110" i="6"/>
  <c r="M110" i="6"/>
  <c r="D110" i="9" s="1"/>
  <c r="P109" i="6"/>
  <c r="M109" i="6"/>
  <c r="D109" i="9" s="1"/>
  <c r="P108" i="6"/>
  <c r="M108" i="6"/>
  <c r="D108" i="9" s="1"/>
  <c r="B108" i="7"/>
  <c r="T108" i="6"/>
  <c r="S108" i="6"/>
  <c r="O108" i="6"/>
  <c r="F108" i="9" s="1"/>
  <c r="P107" i="6"/>
  <c r="M107" i="6"/>
  <c r="D107" i="9" s="1"/>
  <c r="P106" i="6"/>
  <c r="M106" i="6"/>
  <c r="D106" i="9" s="1"/>
  <c r="B106" i="7"/>
  <c r="T106" i="6"/>
  <c r="S106" i="6"/>
  <c r="O106" i="6"/>
  <c r="F106" i="9" s="1"/>
  <c r="P105" i="6"/>
  <c r="M105" i="6"/>
  <c r="D105" i="9" s="1"/>
  <c r="B105" i="7"/>
  <c r="T105" i="6"/>
  <c r="S105" i="6"/>
  <c r="O105" i="6"/>
  <c r="F105" i="9" s="1"/>
  <c r="P104" i="6"/>
  <c r="M104" i="6"/>
  <c r="D104" i="9" s="1"/>
  <c r="P102" i="6"/>
  <c r="M102" i="6"/>
  <c r="D102" i="9" s="1"/>
  <c r="B101" i="7"/>
  <c r="T101" i="6"/>
  <c r="S101" i="6"/>
  <c r="O101" i="6"/>
  <c r="F101" i="9" s="1"/>
  <c r="P100" i="6"/>
  <c r="M100" i="6"/>
  <c r="D100" i="9" s="1"/>
  <c r="B99" i="7"/>
  <c r="T99" i="6"/>
  <c r="S99" i="6"/>
  <c r="O99" i="6"/>
  <c r="F99" i="9" s="1"/>
  <c r="P98" i="6"/>
  <c r="M98" i="6"/>
  <c r="D98" i="9" s="1"/>
  <c r="B98" i="7"/>
  <c r="T98" i="6"/>
  <c r="S98" i="6"/>
  <c r="O98" i="6"/>
  <c r="F98" i="9" s="1"/>
  <c r="B97" i="7"/>
  <c r="T97" i="6"/>
  <c r="S97" i="6"/>
  <c r="O97" i="6"/>
  <c r="F97" i="9" s="1"/>
  <c r="X96" i="6"/>
  <c r="X94" i="6"/>
  <c r="X91" i="6"/>
  <c r="X90" i="6"/>
  <c r="X89" i="6"/>
  <c r="X87" i="6"/>
  <c r="X84" i="6"/>
  <c r="P81" i="6"/>
  <c r="M81" i="6"/>
  <c r="D81" i="9" s="1"/>
  <c r="B81" i="7"/>
  <c r="T81" i="6"/>
  <c r="S81" i="6"/>
  <c r="O81" i="6"/>
  <c r="F81" i="9" s="1"/>
  <c r="P80" i="6"/>
  <c r="M80" i="6"/>
  <c r="D80" i="9" s="1"/>
  <c r="B80" i="7"/>
  <c r="T80" i="6"/>
  <c r="S80" i="6"/>
  <c r="O80" i="6"/>
  <c r="F80" i="9" s="1"/>
  <c r="P79" i="6"/>
  <c r="M79" i="6"/>
  <c r="D79" i="9" s="1"/>
  <c r="B79" i="7"/>
  <c r="T79" i="6"/>
  <c r="S79" i="6"/>
  <c r="O79" i="6"/>
  <c r="F79" i="9" s="1"/>
  <c r="P78" i="6"/>
  <c r="M78" i="6"/>
  <c r="D78" i="9" s="1"/>
  <c r="B78" i="7"/>
  <c r="T78" i="6"/>
  <c r="S78" i="6"/>
  <c r="O78" i="6"/>
  <c r="F78" i="9" s="1"/>
  <c r="P77" i="6"/>
  <c r="M77" i="6"/>
  <c r="D77" i="9" s="1"/>
  <c r="B77" i="7"/>
  <c r="T77" i="6"/>
  <c r="S77" i="6"/>
  <c r="O77" i="6"/>
  <c r="F77" i="9" s="1"/>
  <c r="P76" i="6"/>
  <c r="M76" i="6"/>
  <c r="D76" i="9" s="1"/>
  <c r="B76" i="7"/>
  <c r="T76" i="6"/>
  <c r="S76" i="6"/>
  <c r="O76" i="6"/>
  <c r="F76" i="9" s="1"/>
  <c r="P75" i="6"/>
  <c r="M75" i="6"/>
  <c r="D75" i="9" s="1"/>
  <c r="B75" i="7"/>
  <c r="T75" i="6"/>
  <c r="S75" i="6"/>
  <c r="O75" i="6"/>
  <c r="F75" i="9" s="1"/>
  <c r="P74" i="6"/>
  <c r="M74" i="6"/>
  <c r="D74" i="9" s="1"/>
  <c r="B74" i="7"/>
  <c r="T74" i="6"/>
  <c r="S74" i="6"/>
  <c r="O74" i="6"/>
  <c r="F74" i="9" s="1"/>
  <c r="P73" i="6"/>
  <c r="M73" i="6"/>
  <c r="D73" i="9" s="1"/>
  <c r="B73" i="7"/>
  <c r="T73" i="6"/>
  <c r="S73" i="6"/>
  <c r="O73" i="6"/>
  <c r="F73" i="9" s="1"/>
  <c r="P72" i="6"/>
  <c r="M72" i="6"/>
  <c r="D72" i="9" s="1"/>
  <c r="B72" i="7"/>
  <c r="T72" i="6"/>
  <c r="S72" i="6"/>
  <c r="O72" i="6"/>
  <c r="F72" i="9" s="1"/>
  <c r="P71" i="6"/>
  <c r="M71" i="6"/>
  <c r="D71" i="9" s="1"/>
  <c r="B71" i="7"/>
  <c r="T71" i="6"/>
  <c r="S71" i="6"/>
  <c r="O71" i="6"/>
  <c r="F71" i="9" s="1"/>
  <c r="P70" i="6"/>
  <c r="M70" i="6"/>
  <c r="D70" i="9" s="1"/>
  <c r="B70" i="7"/>
  <c r="T70" i="6"/>
  <c r="S70" i="6"/>
  <c r="O70" i="6"/>
  <c r="F70" i="9" s="1"/>
  <c r="P69" i="6"/>
  <c r="M69" i="6"/>
  <c r="D69" i="9" s="1"/>
  <c r="B69" i="7"/>
  <c r="T69" i="6"/>
  <c r="S69" i="6"/>
  <c r="O69" i="6"/>
  <c r="F69" i="9" s="1"/>
  <c r="P68" i="6"/>
  <c r="M68" i="6"/>
  <c r="D68" i="9" s="1"/>
  <c r="B68" i="7"/>
  <c r="T68" i="6"/>
  <c r="S68" i="6"/>
  <c r="O68" i="6"/>
  <c r="F68" i="9" s="1"/>
  <c r="P67" i="6"/>
  <c r="M67" i="6"/>
  <c r="D67" i="9" s="1"/>
  <c r="B67" i="7"/>
  <c r="T67" i="6"/>
  <c r="S67" i="6"/>
  <c r="O67" i="6"/>
  <c r="F67" i="9" s="1"/>
  <c r="P66" i="6"/>
  <c r="M66" i="6"/>
  <c r="D66" i="9" s="1"/>
  <c r="B66" i="7"/>
  <c r="T66" i="6"/>
  <c r="S66" i="6"/>
  <c r="O66" i="6"/>
  <c r="F66" i="9" s="1"/>
  <c r="P65" i="6"/>
  <c r="M65" i="6"/>
  <c r="D65" i="9" s="1"/>
  <c r="B65" i="7"/>
  <c r="T65" i="6"/>
  <c r="S65" i="6"/>
  <c r="O65" i="6"/>
  <c r="F65" i="9" s="1"/>
  <c r="P64" i="6"/>
  <c r="M64" i="6"/>
  <c r="D64" i="9" s="1"/>
  <c r="B64" i="7"/>
  <c r="T64" i="6"/>
  <c r="S64" i="6"/>
  <c r="O64" i="6"/>
  <c r="F64" i="9" s="1"/>
  <c r="P63" i="6"/>
  <c r="M63" i="6"/>
  <c r="D63" i="9" s="1"/>
  <c r="B63" i="7"/>
  <c r="T63" i="6"/>
  <c r="S63" i="6"/>
  <c r="O63" i="6"/>
  <c r="F63" i="9" s="1"/>
  <c r="P62" i="6"/>
  <c r="M62" i="6"/>
  <c r="D62" i="9" s="1"/>
  <c r="B62" i="7"/>
  <c r="T62" i="6"/>
  <c r="S62" i="6"/>
  <c r="O62" i="6"/>
  <c r="F62" i="9" s="1"/>
  <c r="P61" i="6"/>
  <c r="M61" i="6"/>
  <c r="D61" i="9" s="1"/>
  <c r="B61" i="7"/>
  <c r="T61" i="6"/>
  <c r="S61" i="6"/>
  <c r="O61" i="6"/>
  <c r="F61" i="9" s="1"/>
  <c r="P60" i="6"/>
  <c r="M60" i="6"/>
  <c r="D60" i="9" s="1"/>
  <c r="B60" i="7"/>
  <c r="T60" i="6"/>
  <c r="S60" i="6"/>
  <c r="O60" i="6"/>
  <c r="F60" i="9" s="1"/>
  <c r="P59" i="6"/>
  <c r="M59" i="6"/>
  <c r="D59" i="9" s="1"/>
  <c r="B59" i="7"/>
  <c r="T59" i="6"/>
  <c r="S59" i="6"/>
  <c r="O59" i="6"/>
  <c r="F59" i="9" s="1"/>
  <c r="P58" i="6"/>
  <c r="M58" i="6"/>
  <c r="D58" i="9" s="1"/>
  <c r="B58" i="7"/>
  <c r="T58" i="6"/>
  <c r="S58" i="6"/>
  <c r="O58" i="6"/>
  <c r="F58" i="9" s="1"/>
  <c r="P57" i="6"/>
  <c r="M57" i="6"/>
  <c r="D57" i="9" s="1"/>
  <c r="B57" i="7"/>
  <c r="T57" i="6"/>
  <c r="S57" i="6"/>
  <c r="O57" i="6"/>
  <c r="F57" i="9" s="1"/>
  <c r="P56" i="6"/>
  <c r="M56" i="6"/>
  <c r="D56" i="9" s="1"/>
  <c r="B56" i="7"/>
  <c r="T56" i="6"/>
  <c r="S56" i="6"/>
  <c r="O56" i="6"/>
  <c r="F56" i="9" s="1"/>
  <c r="P55" i="6"/>
  <c r="M55" i="6"/>
  <c r="D55" i="9" s="1"/>
  <c r="B55" i="7"/>
  <c r="T55" i="6"/>
  <c r="S55" i="6"/>
  <c r="O55" i="6"/>
  <c r="F55" i="9" s="1"/>
  <c r="P54" i="6"/>
  <c r="M54" i="6"/>
  <c r="D54" i="9" s="1"/>
  <c r="B54" i="7"/>
  <c r="T54" i="6"/>
  <c r="S54" i="6"/>
  <c r="O54" i="6"/>
  <c r="F54" i="9" s="1"/>
  <c r="P53" i="6"/>
  <c r="M53" i="6"/>
  <c r="D53" i="9" s="1"/>
  <c r="B53" i="7"/>
  <c r="T53" i="6"/>
  <c r="S53" i="6"/>
  <c r="O53" i="6"/>
  <c r="F53" i="9" s="1"/>
  <c r="P52" i="6"/>
  <c r="M52" i="6"/>
  <c r="D52" i="9" s="1"/>
  <c r="B52" i="7"/>
  <c r="T52" i="6"/>
  <c r="S52" i="6"/>
  <c r="O52" i="6"/>
  <c r="F52" i="9" s="1"/>
  <c r="P51" i="6"/>
  <c r="M51" i="6"/>
  <c r="D51" i="9" s="1"/>
  <c r="B51" i="7"/>
  <c r="T51" i="6"/>
  <c r="S51" i="6"/>
  <c r="O51" i="6"/>
  <c r="F51" i="9" s="1"/>
  <c r="P50" i="6"/>
  <c r="M50" i="6"/>
  <c r="D50" i="9" s="1"/>
  <c r="B50" i="7"/>
  <c r="T50" i="6"/>
  <c r="S50" i="6"/>
  <c r="O50" i="6"/>
  <c r="F50" i="9" s="1"/>
  <c r="P49" i="6"/>
  <c r="M49" i="6"/>
  <c r="D49" i="9" s="1"/>
  <c r="B49" i="7"/>
  <c r="T49" i="6"/>
  <c r="S49" i="6"/>
  <c r="O49" i="6"/>
  <c r="F49" i="9" s="1"/>
  <c r="P48" i="6"/>
  <c r="M48" i="6"/>
  <c r="D48" i="9" s="1"/>
  <c r="B48" i="7"/>
  <c r="T48" i="6"/>
  <c r="S48" i="6"/>
  <c r="O48" i="6"/>
  <c r="F48" i="9" s="1"/>
  <c r="P47" i="6"/>
  <c r="M47" i="6"/>
  <c r="D47" i="9" s="1"/>
  <c r="B47" i="7"/>
  <c r="T47" i="6"/>
  <c r="S47" i="6"/>
  <c r="O47" i="6"/>
  <c r="F47" i="9" s="1"/>
  <c r="P46" i="6"/>
  <c r="M46" i="6"/>
  <c r="D46" i="9" s="1"/>
  <c r="B46" i="7"/>
  <c r="T46" i="6"/>
  <c r="S46" i="6"/>
  <c r="O46" i="6"/>
  <c r="F46" i="9" s="1"/>
  <c r="P45" i="6"/>
  <c r="M45" i="6"/>
  <c r="D45" i="9" s="1"/>
  <c r="B45" i="7"/>
  <c r="T45" i="6"/>
  <c r="S45" i="6"/>
  <c r="O45" i="6"/>
  <c r="F45" i="9" s="1"/>
  <c r="P44" i="6"/>
  <c r="M44" i="6"/>
  <c r="D44" i="9" s="1"/>
  <c r="B44" i="7"/>
  <c r="T44" i="6"/>
  <c r="S44" i="6"/>
  <c r="O44" i="6"/>
  <c r="F44" i="9" s="1"/>
  <c r="P43" i="6"/>
  <c r="M43" i="6"/>
  <c r="D43" i="9" s="1"/>
  <c r="B43" i="7"/>
  <c r="T43" i="6"/>
  <c r="S43" i="6"/>
  <c r="O43" i="6"/>
  <c r="F43" i="9" s="1"/>
  <c r="P42" i="6"/>
  <c r="M42" i="6"/>
  <c r="D42" i="9" s="1"/>
  <c r="B42" i="7"/>
  <c r="T42" i="6"/>
  <c r="S42" i="6"/>
  <c r="O42" i="6"/>
  <c r="F42" i="9" s="1"/>
  <c r="P41" i="6"/>
  <c r="M41" i="6"/>
  <c r="D41" i="9" s="1"/>
  <c r="B41" i="7"/>
  <c r="T41" i="6"/>
  <c r="S41" i="6"/>
  <c r="O41" i="6"/>
  <c r="F41" i="9" s="1"/>
  <c r="P40" i="6"/>
  <c r="M40" i="6"/>
  <c r="D40" i="9" s="1"/>
  <c r="B40" i="7"/>
  <c r="T40" i="6"/>
  <c r="S40" i="6"/>
  <c r="O40" i="6"/>
  <c r="F40" i="9" s="1"/>
  <c r="P39" i="6"/>
  <c r="M39" i="6"/>
  <c r="D39" i="9" s="1"/>
  <c r="B39" i="7"/>
  <c r="T39" i="6"/>
  <c r="S39" i="6"/>
  <c r="O39" i="6"/>
  <c r="F39" i="9" s="1"/>
  <c r="P38" i="6"/>
  <c r="M38" i="6"/>
  <c r="D38" i="9" s="1"/>
  <c r="B38" i="7"/>
  <c r="T38" i="6"/>
  <c r="S38" i="6"/>
  <c r="O38" i="6"/>
  <c r="F38" i="9" s="1"/>
  <c r="P37" i="6"/>
  <c r="M37" i="6"/>
  <c r="D37" i="9" s="1"/>
  <c r="B37" i="7"/>
  <c r="T37" i="6"/>
  <c r="S37" i="6"/>
  <c r="O37" i="6"/>
  <c r="F37" i="9" s="1"/>
  <c r="P36" i="6"/>
  <c r="M36" i="6"/>
  <c r="D36" i="9" s="1"/>
  <c r="B36" i="7"/>
  <c r="T36" i="6"/>
  <c r="S36" i="6"/>
  <c r="O36" i="6"/>
  <c r="F36" i="9" s="1"/>
  <c r="P35" i="6"/>
  <c r="M35" i="6"/>
  <c r="D35" i="9" s="1"/>
  <c r="B35" i="7"/>
  <c r="T35" i="6"/>
  <c r="S35" i="6"/>
  <c r="O35" i="6"/>
  <c r="F35" i="9" s="1"/>
  <c r="P34" i="6"/>
  <c r="M34" i="6"/>
  <c r="D34" i="9" s="1"/>
  <c r="B34" i="7"/>
  <c r="T34" i="6"/>
  <c r="S34" i="6"/>
  <c r="O34" i="6"/>
  <c r="F34" i="9" s="1"/>
  <c r="P33" i="6"/>
  <c r="M33" i="6"/>
  <c r="D33" i="9" s="1"/>
  <c r="B33" i="7"/>
  <c r="T33" i="6"/>
  <c r="S33" i="6"/>
  <c r="O33" i="6"/>
  <c r="F33" i="9" s="1"/>
  <c r="P32" i="6"/>
  <c r="M32" i="6"/>
  <c r="D32" i="9" s="1"/>
  <c r="B32" i="7"/>
  <c r="T32" i="6"/>
  <c r="S32" i="6"/>
  <c r="O32" i="6"/>
  <c r="F32" i="9" s="1"/>
  <c r="P31" i="6"/>
  <c r="M31" i="6"/>
  <c r="D31" i="9" s="1"/>
  <c r="B31" i="7"/>
  <c r="T31" i="6"/>
  <c r="S31" i="6"/>
  <c r="O31" i="6"/>
  <c r="F31" i="9" s="1"/>
  <c r="P30" i="6"/>
  <c r="M30" i="6"/>
  <c r="D30" i="9" s="1"/>
  <c r="B30" i="7"/>
  <c r="T30" i="6"/>
  <c r="S30" i="6"/>
  <c r="O30" i="6"/>
  <c r="F30" i="9" s="1"/>
  <c r="P29" i="6"/>
  <c r="M29" i="6"/>
  <c r="D29" i="9" s="1"/>
  <c r="B29" i="7"/>
  <c r="T29" i="6"/>
  <c r="S29" i="6"/>
  <c r="O29" i="6"/>
  <c r="F29" i="9" s="1"/>
  <c r="P28" i="6"/>
  <c r="M28" i="6"/>
  <c r="D28" i="9" s="1"/>
  <c r="B28" i="7"/>
  <c r="T28" i="6"/>
  <c r="S28" i="6"/>
  <c r="O28" i="6"/>
  <c r="F28" i="9" s="1"/>
  <c r="P27" i="6"/>
  <c r="M27" i="6"/>
  <c r="D27" i="9" s="1"/>
  <c r="B27" i="7"/>
  <c r="T27" i="6"/>
  <c r="S27" i="6"/>
  <c r="O27" i="6"/>
  <c r="F27" i="9" s="1"/>
  <c r="P26" i="6"/>
  <c r="M26" i="6"/>
  <c r="D26" i="9" s="1"/>
  <c r="B26" i="7"/>
  <c r="T26" i="6"/>
  <c r="S26" i="6"/>
  <c r="O26" i="6"/>
  <c r="F26" i="9" s="1"/>
  <c r="P25" i="6"/>
  <c r="M25" i="6"/>
  <c r="D25" i="9" s="1"/>
  <c r="B25" i="7"/>
  <c r="T25" i="6"/>
  <c r="S25" i="6"/>
  <c r="O25" i="6"/>
  <c r="F25" i="9" s="1"/>
  <c r="P24" i="6"/>
  <c r="M24" i="6"/>
  <c r="D24" i="9" s="1"/>
  <c r="B24" i="7"/>
  <c r="T24" i="6"/>
  <c r="S24" i="6"/>
  <c r="O24" i="6"/>
  <c r="F24" i="9" s="1"/>
  <c r="P23" i="6"/>
  <c r="M23" i="6"/>
  <c r="D23" i="9" s="1"/>
  <c r="B23" i="7"/>
  <c r="T23" i="6"/>
  <c r="S23" i="6"/>
  <c r="O23" i="6"/>
  <c r="F23" i="9" s="1"/>
  <c r="P22" i="6"/>
  <c r="M22" i="6"/>
  <c r="D22" i="9" s="1"/>
  <c r="B22" i="7"/>
  <c r="T22" i="6"/>
  <c r="S22" i="6"/>
  <c r="O22" i="6"/>
  <c r="F22" i="9" s="1"/>
  <c r="P21" i="6"/>
  <c r="M21" i="6"/>
  <c r="D21" i="9" s="1"/>
  <c r="B21" i="7"/>
  <c r="T21" i="6"/>
  <c r="S21" i="6"/>
  <c r="O21" i="6"/>
  <c r="F21" i="9" s="1"/>
  <c r="P20" i="6"/>
  <c r="M20" i="6"/>
  <c r="D20" i="9" s="1"/>
  <c r="B20" i="7"/>
  <c r="T20" i="6"/>
  <c r="S20" i="6"/>
  <c r="O20" i="6"/>
  <c r="F20" i="9" s="1"/>
  <c r="P19" i="6"/>
  <c r="M19" i="6"/>
  <c r="D19" i="9" s="1"/>
  <c r="B19" i="7"/>
  <c r="T19" i="6"/>
  <c r="S19" i="6"/>
  <c r="O19" i="6"/>
  <c r="F19" i="9" s="1"/>
  <c r="P18" i="6"/>
  <c r="M18" i="6"/>
  <c r="D18" i="9" s="1"/>
  <c r="B18" i="7"/>
  <c r="T18" i="6"/>
  <c r="S18" i="6"/>
  <c r="O18" i="6"/>
  <c r="F18" i="9" s="1"/>
  <c r="P17" i="6"/>
  <c r="M17" i="6"/>
  <c r="D17" i="9" s="1"/>
  <c r="B17" i="7"/>
  <c r="T17" i="6"/>
  <c r="S17" i="6"/>
  <c r="O17" i="6"/>
  <c r="F17" i="9" s="1"/>
  <c r="P16" i="6"/>
  <c r="M16" i="6"/>
  <c r="D16" i="9" s="1"/>
  <c r="B16" i="7"/>
  <c r="T16" i="6"/>
  <c r="S16" i="6"/>
  <c r="O16" i="6"/>
  <c r="F16" i="9" s="1"/>
  <c r="P15" i="6"/>
  <c r="M15" i="6"/>
  <c r="D15" i="9" s="1"/>
  <c r="B15" i="7"/>
  <c r="T15" i="6"/>
  <c r="S15" i="6"/>
  <c r="O15" i="6"/>
  <c r="F15" i="9" s="1"/>
  <c r="P14" i="6"/>
  <c r="M14" i="6"/>
  <c r="D14" i="9" s="1"/>
  <c r="B14" i="7"/>
  <c r="T14" i="6"/>
  <c r="S14" i="6"/>
  <c r="O14" i="6"/>
  <c r="F14" i="9" s="1"/>
  <c r="P13" i="6"/>
  <c r="M13" i="6"/>
  <c r="D13" i="9" s="1"/>
  <c r="B13" i="7"/>
  <c r="T13" i="6"/>
  <c r="S13" i="6"/>
  <c r="O13" i="6"/>
  <c r="F13" i="9" s="1"/>
  <c r="P12" i="6"/>
  <c r="M12" i="6"/>
  <c r="D12" i="9" s="1"/>
  <c r="B12" i="7"/>
  <c r="T12" i="6"/>
  <c r="S12" i="6"/>
  <c r="O12" i="6"/>
  <c r="F12" i="9" s="1"/>
  <c r="P11" i="6"/>
  <c r="M11" i="6"/>
  <c r="D11" i="9" s="1"/>
  <c r="B11" i="7"/>
  <c r="T11" i="6"/>
  <c r="S11" i="6"/>
  <c r="O11" i="6"/>
  <c r="F11" i="9" s="1"/>
  <c r="P10" i="6"/>
  <c r="M10" i="6"/>
  <c r="D10" i="9" s="1"/>
  <c r="B10" i="7"/>
  <c r="T10" i="6"/>
  <c r="S10" i="6"/>
  <c r="O10" i="6"/>
  <c r="F10" i="9" s="1"/>
  <c r="P9" i="6"/>
  <c r="M9" i="6"/>
  <c r="D9" i="9" s="1"/>
  <c r="B9" i="7"/>
  <c r="T9" i="6"/>
  <c r="S9" i="6"/>
  <c r="O9" i="6"/>
  <c r="F9" i="9" s="1"/>
  <c r="P8" i="6"/>
  <c r="M8" i="6"/>
  <c r="D8" i="9" s="1"/>
  <c r="B8" i="7"/>
  <c r="T8" i="6"/>
  <c r="S8" i="6"/>
  <c r="O8" i="6"/>
  <c r="F8" i="9" s="1"/>
  <c r="P7" i="6"/>
  <c r="M7" i="6"/>
  <c r="D7" i="9" s="1"/>
  <c r="B7" i="7"/>
  <c r="T7" i="6"/>
  <c r="S7" i="6"/>
  <c r="O7" i="6"/>
  <c r="F7" i="9" s="1"/>
  <c r="P6" i="6"/>
  <c r="M6" i="6"/>
  <c r="D6" i="9" s="1"/>
  <c r="B6" i="7"/>
  <c r="T6" i="6"/>
  <c r="S6" i="6"/>
  <c r="O6" i="6"/>
  <c r="F6" i="9" s="1"/>
  <c r="P5" i="6"/>
  <c r="M5" i="6"/>
  <c r="D5" i="9" s="1"/>
  <c r="B5" i="7"/>
  <c r="T5" i="6"/>
  <c r="S5" i="6"/>
  <c r="O5" i="6"/>
  <c r="F5" i="9" s="1"/>
  <c r="P4" i="6"/>
  <c r="M4" i="6"/>
  <c r="D4" i="9" s="1"/>
  <c r="B4" i="7"/>
  <c r="T4" i="6"/>
  <c r="S4" i="6"/>
  <c r="O4" i="6"/>
  <c r="F4" i="9" s="1"/>
  <c r="P3" i="6"/>
  <c r="M3" i="6"/>
  <c r="D3" i="9" s="1"/>
  <c r="B3" i="7"/>
  <c r="T3" i="6"/>
  <c r="S3" i="6"/>
  <c r="O3" i="6"/>
  <c r="F3" i="9" s="1"/>
  <c r="P2" i="6"/>
  <c r="M2" i="6"/>
  <c r="D2" i="9" s="1"/>
  <c r="B6" i="2"/>
  <c r="B4" i="19"/>
  <c r="B2" i="7"/>
  <c r="T2" i="6"/>
  <c r="S2" i="6"/>
  <c r="O2" i="6"/>
  <c r="F2" i="9" s="1"/>
  <c r="G123" i="6"/>
  <c r="L123" i="6"/>
  <c r="G120" i="6"/>
  <c r="L120" i="6"/>
  <c r="G113" i="6"/>
  <c r="J113" i="6"/>
  <c r="L113" i="6"/>
  <c r="G144" i="6"/>
  <c r="L144" i="6"/>
  <c r="G142" i="6"/>
  <c r="L142" i="6"/>
  <c r="G135" i="6"/>
  <c r="L135" i="6"/>
  <c r="G129" i="6"/>
  <c r="L129" i="6"/>
  <c r="G139" i="6"/>
  <c r="L139" i="6"/>
  <c r="G118" i="6"/>
  <c r="G136" i="6"/>
  <c r="L136" i="6"/>
  <c r="G131" i="6"/>
  <c r="L131" i="6"/>
  <c r="G130" i="6"/>
  <c r="L130" i="6"/>
  <c r="G112" i="6"/>
  <c r="L112" i="6"/>
  <c r="G107" i="6"/>
  <c r="L107" i="6"/>
  <c r="G104" i="6"/>
  <c r="L104" i="6"/>
  <c r="G103" i="6"/>
  <c r="L103" i="6"/>
  <c r="G98" i="6"/>
  <c r="L98" i="6"/>
  <c r="L215" i="6"/>
  <c r="L212" i="6"/>
  <c r="G207" i="6"/>
  <c r="L204" i="6"/>
  <c r="L203" i="6"/>
  <c r="G199" i="6"/>
  <c r="L199" i="6"/>
  <c r="L197" i="6"/>
  <c r="G172" i="6"/>
  <c r="G192" i="6"/>
  <c r="L96" i="6"/>
  <c r="L95" i="6"/>
  <c r="L92" i="6"/>
  <c r="G91" i="6"/>
  <c r="G90" i="6"/>
  <c r="L90" i="6"/>
  <c r="L86" i="6"/>
  <c r="G85" i="6"/>
  <c r="L79" i="6"/>
  <c r="G78" i="6"/>
  <c r="L77" i="6"/>
  <c r="G143" i="6"/>
  <c r="J143" i="6"/>
  <c r="L143" i="6"/>
  <c r="G122" i="6"/>
  <c r="L122" i="6"/>
  <c r="G110" i="6"/>
  <c r="L110" i="6"/>
  <c r="G126" i="6"/>
  <c r="L126" i="6"/>
  <c r="G106" i="6"/>
  <c r="J106" i="6"/>
  <c r="L106" i="6"/>
  <c r="G102" i="6"/>
  <c r="L102" i="6"/>
  <c r="G99" i="6"/>
  <c r="J99" i="6"/>
  <c r="L99" i="6"/>
  <c r="G217" i="6"/>
  <c r="G200" i="6"/>
  <c r="L190" i="6"/>
  <c r="L183" i="6"/>
  <c r="L153" i="6"/>
  <c r="L147" i="6"/>
  <c r="G227" i="6"/>
  <c r="Q175" i="6"/>
  <c r="G222" i="6"/>
  <c r="G205" i="6"/>
  <c r="L202" i="6"/>
  <c r="G185" i="6"/>
  <c r="L173" i="6"/>
  <c r="L171" i="6"/>
  <c r="G228" i="6"/>
  <c r="G224" i="6"/>
  <c r="G89" i="6"/>
  <c r="L89" i="6"/>
  <c r="G88" i="6"/>
  <c r="L88" i="6"/>
  <c r="G83" i="6"/>
  <c r="L83" i="6"/>
  <c r="G82" i="6"/>
  <c r="G81" i="6"/>
  <c r="L81" i="6"/>
  <c r="L78" i="6"/>
  <c r="G114" i="6"/>
  <c r="L114" i="6"/>
  <c r="G109" i="6"/>
  <c r="L109" i="6"/>
  <c r="G105" i="6"/>
  <c r="J105" i="6"/>
  <c r="L105" i="6"/>
  <c r="G97" i="6"/>
  <c r="L97" i="6"/>
  <c r="L220" i="6"/>
  <c r="G219" i="6"/>
  <c r="L218" i="6"/>
  <c r="G216" i="6"/>
  <c r="G214" i="6"/>
  <c r="L213" i="6"/>
  <c r="G212" i="6"/>
  <c r="G209" i="6"/>
  <c r="L206" i="6"/>
  <c r="G204" i="6"/>
  <c r="L201" i="6"/>
  <c r="L200" i="6"/>
  <c r="J199" i="6"/>
  <c r="G197" i="6"/>
  <c r="L195" i="6"/>
  <c r="G87" i="6"/>
  <c r="L223" i="6"/>
  <c r="L216" i="6"/>
  <c r="G211" i="6"/>
  <c r="L209" i="6"/>
  <c r="G187" i="6"/>
  <c r="L186" i="6"/>
  <c r="G153" i="6"/>
  <c r="L227" i="6"/>
  <c r="G226" i="6"/>
  <c r="G225" i="6"/>
  <c r="G96" i="6"/>
  <c r="L80" i="6"/>
  <c r="G79" i="6"/>
  <c r="G76" i="6"/>
  <c r="G75" i="6"/>
  <c r="G140" i="6"/>
  <c r="L140" i="6"/>
  <c r="G134" i="6"/>
  <c r="L134" i="6"/>
  <c r="G124" i="6"/>
  <c r="L124" i="6"/>
  <c r="G108" i="6"/>
  <c r="J108" i="6"/>
  <c r="L108" i="6"/>
  <c r="L221" i="6"/>
  <c r="L219" i="6"/>
  <c r="G218" i="6"/>
  <c r="L217" i="6"/>
  <c r="L211" i="6"/>
  <c r="G203" i="6"/>
  <c r="L193" i="6"/>
  <c r="L188" i="6"/>
  <c r="L176" i="6"/>
  <c r="L146" i="6"/>
  <c r="L226" i="6"/>
  <c r="L225" i="6"/>
  <c r="L192" i="6"/>
  <c r="L191" i="6"/>
  <c r="G92" i="6"/>
  <c r="L87" i="6"/>
  <c r="L76" i="6"/>
  <c r="G221" i="6"/>
  <c r="G220" i="6"/>
  <c r="G215" i="6"/>
  <c r="L207" i="6"/>
  <c r="G196" i="6"/>
  <c r="G189" i="6"/>
  <c r="G170" i="6"/>
  <c r="L228" i="6"/>
  <c r="L224" i="6"/>
  <c r="G95" i="6"/>
  <c r="L91" i="6"/>
  <c r="G86" i="6"/>
  <c r="L82" i="6"/>
  <c r="L75" i="6"/>
  <c r="G133" i="6"/>
  <c r="J133" i="6"/>
  <c r="L133" i="6"/>
  <c r="G125" i="6"/>
  <c r="L125" i="6"/>
  <c r="G115" i="6"/>
  <c r="L115" i="6"/>
  <c r="G101" i="6"/>
  <c r="L101" i="6"/>
  <c r="G100" i="6"/>
  <c r="L100" i="6"/>
  <c r="G178" i="6"/>
  <c r="L178" i="6"/>
  <c r="G177" i="6"/>
  <c r="J177" i="6"/>
  <c r="L177" i="6"/>
  <c r="G167" i="6"/>
  <c r="L167" i="6"/>
  <c r="G163" i="6"/>
  <c r="L163" i="6"/>
  <c r="G162" i="6"/>
  <c r="L162" i="6"/>
  <c r="G161" i="6"/>
  <c r="L161" i="6"/>
  <c r="G160" i="6"/>
  <c r="L160" i="6"/>
  <c r="G159" i="6"/>
  <c r="L159" i="6"/>
  <c r="G157" i="6"/>
  <c r="L157" i="6"/>
  <c r="G155" i="6"/>
  <c r="L155" i="6"/>
  <c r="G154" i="6"/>
  <c r="L154" i="6"/>
  <c r="G150" i="6"/>
  <c r="L150" i="6"/>
  <c r="G149" i="6"/>
  <c r="L149" i="6"/>
  <c r="G145" i="6"/>
  <c r="L145" i="6"/>
  <c r="G138" i="6"/>
  <c r="L138" i="6"/>
  <c r="G127" i="6"/>
  <c r="L127" i="6"/>
  <c r="G180" i="6"/>
  <c r="L180" i="6"/>
  <c r="G179" i="6"/>
  <c r="L179" i="6"/>
  <c r="G175" i="6"/>
  <c r="J175" i="6"/>
  <c r="L175" i="6"/>
  <c r="G169" i="6"/>
  <c r="J169" i="6"/>
  <c r="L169" i="6"/>
  <c r="G166" i="6"/>
  <c r="L166" i="6"/>
  <c r="G165" i="6"/>
  <c r="J165" i="6"/>
  <c r="L165" i="6"/>
  <c r="G158" i="6"/>
  <c r="L158" i="6"/>
  <c r="G137" i="6"/>
  <c r="L137" i="6"/>
  <c r="G132" i="6"/>
  <c r="L132" i="6"/>
  <c r="Q199" i="6"/>
  <c r="E199" i="9"/>
  <c r="G223" i="6"/>
  <c r="L222" i="6"/>
  <c r="G213" i="6"/>
  <c r="G210" i="6"/>
  <c r="G208" i="6"/>
  <c r="L205" i="6"/>
  <c r="G201" i="6"/>
  <c r="L189" i="6"/>
  <c r="L229" i="6"/>
  <c r="G93" i="6"/>
  <c r="L93" i="6"/>
  <c r="L85" i="6"/>
  <c r="E175" i="9"/>
  <c r="Q174" i="6"/>
  <c r="E174" i="9"/>
  <c r="Q169" i="6"/>
  <c r="E169" i="9"/>
  <c r="Q165" i="6"/>
  <c r="E165" i="9"/>
  <c r="Q143" i="6"/>
  <c r="Q133" i="6"/>
  <c r="Q113" i="6"/>
  <c r="Q108" i="6"/>
  <c r="E108" i="9"/>
  <c r="Q106" i="6"/>
  <c r="E106" i="9"/>
  <c r="Q105" i="6"/>
  <c r="E105" i="9"/>
  <c r="Q99" i="6"/>
  <c r="E99" i="9"/>
  <c r="L214" i="6"/>
  <c r="L210" i="6"/>
  <c r="L208" i="6"/>
  <c r="G206" i="6"/>
  <c r="G202" i="6"/>
  <c r="L187" i="6"/>
  <c r="G191" i="6"/>
  <c r="G84" i="6"/>
  <c r="L84" i="6"/>
  <c r="G141" i="6"/>
  <c r="L141" i="6"/>
  <c r="G111" i="6"/>
  <c r="L111" i="6"/>
  <c r="B3" i="19"/>
  <c r="G242" i="6"/>
  <c r="L242" i="6"/>
  <c r="G241" i="6"/>
  <c r="L241" i="6"/>
  <c r="G240" i="6"/>
  <c r="L240" i="6"/>
  <c r="G239" i="6"/>
  <c r="L239" i="6"/>
  <c r="G238" i="6"/>
  <c r="L238" i="6"/>
  <c r="G237" i="6"/>
  <c r="L237" i="6"/>
  <c r="G236" i="6"/>
  <c r="L236" i="6"/>
  <c r="G235" i="6"/>
  <c r="L235" i="6"/>
  <c r="G234" i="6"/>
  <c r="L234" i="6"/>
  <c r="G233" i="6"/>
  <c r="L233" i="6"/>
  <c r="G232" i="6"/>
  <c r="L232" i="6"/>
  <c r="G231" i="6"/>
  <c r="L231" i="6"/>
  <c r="G230" i="6"/>
  <c r="L230" i="6"/>
  <c r="G229" i="6"/>
  <c r="G94" i="6"/>
  <c r="L94" i="6"/>
  <c r="G80" i="6"/>
  <c r="G77" i="6"/>
  <c r="G74" i="6"/>
  <c r="L74" i="6"/>
  <c r="G73" i="6"/>
  <c r="L73" i="6"/>
  <c r="G72" i="6"/>
  <c r="L72" i="6"/>
  <c r="G71" i="6"/>
  <c r="L71" i="6"/>
  <c r="G70" i="6"/>
  <c r="L70" i="6"/>
  <c r="G69" i="6"/>
  <c r="L69" i="6"/>
  <c r="G68" i="6"/>
  <c r="L68" i="6"/>
  <c r="G67" i="6"/>
  <c r="L67" i="6"/>
  <c r="G66" i="6"/>
  <c r="L66" i="6"/>
  <c r="G65" i="6"/>
  <c r="L65" i="6"/>
  <c r="G64" i="6"/>
  <c r="L64" i="6"/>
  <c r="G63" i="6"/>
  <c r="L63" i="6"/>
  <c r="G62" i="6"/>
  <c r="L62" i="6"/>
  <c r="G61" i="6"/>
  <c r="L61" i="6"/>
  <c r="G60" i="6"/>
  <c r="L60" i="6"/>
  <c r="G59" i="6"/>
  <c r="L59" i="6"/>
  <c r="G58" i="6"/>
  <c r="L58" i="6"/>
  <c r="G57" i="6"/>
  <c r="L57" i="6"/>
  <c r="G56" i="6"/>
  <c r="L56" i="6"/>
  <c r="G55" i="6"/>
  <c r="L55" i="6"/>
  <c r="G54" i="6"/>
  <c r="L54" i="6"/>
  <c r="G53" i="6"/>
  <c r="L53" i="6"/>
  <c r="G52" i="6"/>
  <c r="L52" i="6"/>
  <c r="G51" i="6"/>
  <c r="L51" i="6"/>
  <c r="G50" i="6"/>
  <c r="L50" i="6"/>
  <c r="G49" i="6"/>
  <c r="L49" i="6"/>
  <c r="G48" i="6"/>
  <c r="L48" i="6"/>
  <c r="G47" i="6"/>
  <c r="L47" i="6"/>
  <c r="G46" i="6"/>
  <c r="L46" i="6"/>
  <c r="G45" i="6"/>
  <c r="L45" i="6"/>
  <c r="G44" i="6"/>
  <c r="L44" i="6"/>
  <c r="G43" i="6"/>
  <c r="L43" i="6"/>
  <c r="G42" i="6"/>
  <c r="L42" i="6"/>
  <c r="G41" i="6"/>
  <c r="L41" i="6"/>
  <c r="G40" i="6"/>
  <c r="L40" i="6"/>
  <c r="G39" i="6"/>
  <c r="L39" i="6"/>
  <c r="G38" i="6"/>
  <c r="L38" i="6"/>
  <c r="G37" i="6"/>
  <c r="L37" i="6"/>
  <c r="G36" i="6"/>
  <c r="L36" i="6"/>
  <c r="G35" i="6"/>
  <c r="L35" i="6"/>
  <c r="G34" i="6"/>
  <c r="L34" i="6"/>
  <c r="G33" i="6"/>
  <c r="L33" i="6"/>
  <c r="G32" i="6"/>
  <c r="L32" i="6"/>
  <c r="G31" i="6"/>
  <c r="L31" i="6"/>
  <c r="G30" i="6"/>
  <c r="L30" i="6"/>
  <c r="G29" i="6"/>
  <c r="L29" i="6"/>
  <c r="G28" i="6"/>
  <c r="L28" i="6"/>
  <c r="G27" i="6"/>
  <c r="L27" i="6"/>
  <c r="G26" i="6"/>
  <c r="L26" i="6"/>
  <c r="G25" i="6"/>
  <c r="L25" i="6"/>
  <c r="G24" i="6"/>
  <c r="L24" i="6"/>
  <c r="G23" i="6"/>
  <c r="L23" i="6"/>
  <c r="G22" i="6"/>
  <c r="L22" i="6"/>
  <c r="G21" i="6"/>
  <c r="L21" i="6"/>
  <c r="G20" i="6"/>
  <c r="L20" i="6"/>
  <c r="G19" i="6"/>
  <c r="L19" i="6"/>
  <c r="G18" i="6"/>
  <c r="L18" i="6"/>
  <c r="G17" i="6"/>
  <c r="L17" i="6"/>
  <c r="G16" i="6"/>
  <c r="L16" i="6"/>
  <c r="G15" i="6"/>
  <c r="L15" i="6"/>
  <c r="G14" i="6"/>
  <c r="L14" i="6"/>
  <c r="G13" i="6"/>
  <c r="L13" i="6"/>
  <c r="G12" i="6"/>
  <c r="L12" i="6"/>
  <c r="G11" i="6"/>
  <c r="L11" i="6"/>
  <c r="G10" i="6"/>
  <c r="L10" i="6"/>
  <c r="G9" i="6"/>
  <c r="L9" i="6"/>
  <c r="G8" i="6"/>
  <c r="L8" i="6"/>
  <c r="G7" i="6"/>
  <c r="L7" i="6"/>
  <c r="G6" i="6"/>
  <c r="L6" i="6"/>
  <c r="G5" i="6"/>
  <c r="L5" i="6"/>
  <c r="G4" i="6"/>
  <c r="L4" i="6"/>
  <c r="G3" i="6"/>
  <c r="L3" i="6"/>
  <c r="G2" i="6"/>
  <c r="L2" i="6"/>
  <c r="G128" i="6"/>
  <c r="L128" i="6"/>
  <c r="G121" i="6"/>
  <c r="L121" i="6"/>
  <c r="G119" i="6"/>
  <c r="L119" i="6"/>
  <c r="G117" i="6"/>
  <c r="L117" i="6"/>
  <c r="X195" i="6" l="1"/>
  <c r="X182" i="6"/>
  <c r="X181" i="6"/>
  <c r="X177" i="6"/>
  <c r="AJ109" i="5"/>
  <c r="AJ78" i="5"/>
  <c r="AJ11" i="5"/>
  <c r="AJ215" i="5"/>
  <c r="AJ44" i="5"/>
  <c r="R62" i="6"/>
  <c r="R22" i="6"/>
  <c r="AJ214" i="5"/>
  <c r="R197" i="6"/>
  <c r="R125" i="6"/>
  <c r="R59" i="6"/>
  <c r="R139" i="6"/>
  <c r="R137" i="6"/>
  <c r="R24" i="6"/>
  <c r="R135" i="6"/>
  <c r="AJ9" i="5"/>
  <c r="R136" i="6"/>
  <c r="R127" i="6"/>
  <c r="R122" i="6"/>
  <c r="R199" i="6"/>
  <c r="R134" i="6"/>
  <c r="R123" i="6"/>
  <c r="R138" i="6"/>
  <c r="R60" i="6"/>
  <c r="R66" i="6"/>
  <c r="R65" i="6"/>
  <c r="R64" i="6"/>
  <c r="R63" i="6"/>
  <c r="R61" i="6"/>
  <c r="R30" i="6"/>
  <c r="R29" i="6"/>
  <c r="R28" i="6"/>
  <c r="R27" i="6"/>
  <c r="R26" i="6"/>
  <c r="R23" i="6"/>
  <c r="R126" i="6"/>
  <c r="R25" i="6"/>
  <c r="V143" i="5"/>
  <c r="Q143" i="10"/>
  <c r="B879" i="18" s="1"/>
  <c r="W143" i="5"/>
  <c r="S143" i="10"/>
  <c r="F879" i="18" s="1"/>
  <c r="U144" i="5"/>
  <c r="T144" i="5"/>
  <c r="S144" i="5"/>
  <c r="R144" i="5"/>
  <c r="D144" i="10"/>
  <c r="AB144" i="10"/>
  <c r="AS144" i="5"/>
  <c r="AI144" i="5"/>
  <c r="AR144" i="5"/>
  <c r="E144" i="10"/>
  <c r="N144" i="10"/>
  <c r="B144" i="17" s="1"/>
  <c r="B635" i="18" s="1"/>
  <c r="R143" i="10"/>
  <c r="D879" i="18" s="1"/>
  <c r="AO143" i="5"/>
  <c r="AP143" i="5"/>
  <c r="T143" i="10"/>
  <c r="H879" i="18" s="1"/>
  <c r="T127" i="5"/>
  <c r="S127" i="5"/>
  <c r="D127" i="10"/>
  <c r="AB127" i="10"/>
  <c r="R127" i="5"/>
  <c r="U127" i="5"/>
  <c r="W126" i="5"/>
  <c r="S126" i="10"/>
  <c r="F862" i="18" s="1"/>
  <c r="V126" i="5"/>
  <c r="Q126" i="10"/>
  <c r="B862" i="18" s="1"/>
  <c r="R126" i="10"/>
  <c r="D862" i="18" s="1"/>
  <c r="AO126" i="5"/>
  <c r="AP126" i="5"/>
  <c r="T126" i="10"/>
  <c r="H862" i="18" s="1"/>
  <c r="AS127" i="5"/>
  <c r="E127" i="10"/>
  <c r="N127" i="10"/>
  <c r="B127" i="17" s="1"/>
  <c r="B618" i="18" s="1"/>
  <c r="AR127" i="5"/>
  <c r="AI127" i="5"/>
  <c r="E119" i="10"/>
  <c r="N119" i="10"/>
  <c r="B119" i="17" s="1"/>
  <c r="B610" i="18" s="1"/>
  <c r="AS119" i="5"/>
  <c r="AR119" i="5"/>
  <c r="AI119" i="5"/>
  <c r="R118" i="10"/>
  <c r="D854" i="18" s="1"/>
  <c r="AO118" i="5"/>
  <c r="AP118" i="5"/>
  <c r="T118" i="10"/>
  <c r="H854" i="18" s="1"/>
  <c r="R119" i="5"/>
  <c r="U119" i="5"/>
  <c r="D119" i="10"/>
  <c r="AB119" i="10"/>
  <c r="S119" i="5"/>
  <c r="T119" i="5"/>
  <c r="V118" i="5"/>
  <c r="Q118" i="10"/>
  <c r="B854" i="18" s="1"/>
  <c r="S118" i="10"/>
  <c r="F854" i="18" s="1"/>
  <c r="W118" i="5"/>
  <c r="AP111" i="5"/>
  <c r="T111" i="10"/>
  <c r="H847" i="18" s="1"/>
  <c r="AO111" i="5"/>
  <c r="R111" i="10"/>
  <c r="D847" i="18" s="1"/>
  <c r="E112" i="10"/>
  <c r="N112" i="10"/>
  <c r="B112" i="17" s="1"/>
  <c r="B603" i="18" s="1"/>
  <c r="AR112" i="5"/>
  <c r="AS112" i="5"/>
  <c r="AI112" i="5"/>
  <c r="T112" i="5"/>
  <c r="S112" i="5"/>
  <c r="D112" i="10"/>
  <c r="AB112" i="10"/>
  <c r="R112" i="5"/>
  <c r="U112" i="5"/>
  <c r="V111" i="5"/>
  <c r="Q111" i="10"/>
  <c r="B847" i="18" s="1"/>
  <c r="S111" i="10"/>
  <c r="F847" i="18" s="1"/>
  <c r="W111" i="5"/>
  <c r="R138" i="5"/>
  <c r="U138" i="5"/>
  <c r="T138" i="5"/>
  <c r="S138" i="5"/>
  <c r="D138" i="10"/>
  <c r="AB138" i="10"/>
  <c r="V137" i="5"/>
  <c r="Q137" i="10"/>
  <c r="B873" i="18" s="1"/>
  <c r="W137" i="5"/>
  <c r="S137" i="10"/>
  <c r="F873" i="18" s="1"/>
  <c r="E138" i="10"/>
  <c r="N138" i="10"/>
  <c r="B138" i="17" s="1"/>
  <c r="B629" i="18" s="1"/>
  <c r="AI138" i="5"/>
  <c r="AR138" i="5"/>
  <c r="AS138" i="5"/>
  <c r="AO137" i="5"/>
  <c r="R137" i="10"/>
  <c r="D873" i="18" s="1"/>
  <c r="AP137" i="5"/>
  <c r="T137" i="10"/>
  <c r="H873" i="18" s="1"/>
  <c r="W135" i="5"/>
  <c r="S135" i="10"/>
  <c r="F871" i="18" s="1"/>
  <c r="Q135" i="10"/>
  <c r="B871" i="18" s="1"/>
  <c r="V135" i="5"/>
  <c r="T136" i="5"/>
  <c r="D136" i="10"/>
  <c r="AB136" i="10"/>
  <c r="S136" i="5"/>
  <c r="R136" i="5"/>
  <c r="U136" i="5"/>
  <c r="E136" i="10"/>
  <c r="N136" i="10"/>
  <c r="B136" i="17" s="1"/>
  <c r="B627" i="18" s="1"/>
  <c r="AS136" i="5"/>
  <c r="AR136" i="5"/>
  <c r="AI136" i="5"/>
  <c r="AP135" i="5"/>
  <c r="T135" i="10"/>
  <c r="H871" i="18" s="1"/>
  <c r="AO135" i="5"/>
  <c r="R135" i="10"/>
  <c r="D871" i="18" s="1"/>
  <c r="S134" i="10"/>
  <c r="F870" i="18" s="1"/>
  <c r="W134" i="5"/>
  <c r="Q134" i="10"/>
  <c r="B870" i="18" s="1"/>
  <c r="V134" i="5"/>
  <c r="T135" i="5"/>
  <c r="U135" i="5"/>
  <c r="R135" i="5"/>
  <c r="S135" i="5"/>
  <c r="D135" i="10"/>
  <c r="AB135" i="10"/>
  <c r="AP134" i="5"/>
  <c r="T134" i="10"/>
  <c r="H870" i="18" s="1"/>
  <c r="AO134" i="5"/>
  <c r="R134" i="10"/>
  <c r="D870" i="18" s="1"/>
  <c r="AI135" i="5"/>
  <c r="E135" i="10"/>
  <c r="N135" i="10"/>
  <c r="B135" i="17" s="1"/>
  <c r="B626" i="18" s="1"/>
  <c r="AR135" i="5"/>
  <c r="AS135" i="5"/>
  <c r="AP129" i="5"/>
  <c r="T129" i="10"/>
  <c r="H865" i="18" s="1"/>
  <c r="R129" i="10"/>
  <c r="D865" i="18" s="1"/>
  <c r="AO129" i="5"/>
  <c r="AR130" i="5"/>
  <c r="AS130" i="5"/>
  <c r="E130" i="10"/>
  <c r="N130" i="10"/>
  <c r="B130" i="17" s="1"/>
  <c r="B621" i="18" s="1"/>
  <c r="AI130" i="5"/>
  <c r="U130" i="5"/>
  <c r="T130" i="5"/>
  <c r="R130" i="5"/>
  <c r="S130" i="5"/>
  <c r="D130" i="10"/>
  <c r="AB130" i="10"/>
  <c r="W129" i="5"/>
  <c r="S129" i="10"/>
  <c r="F865" i="18" s="1"/>
  <c r="V129" i="5"/>
  <c r="Q129" i="10"/>
  <c r="B865" i="18" s="1"/>
  <c r="E110" i="10"/>
  <c r="N110" i="10"/>
  <c r="B110" i="17" s="1"/>
  <c r="B601" i="18" s="1"/>
  <c r="AS110" i="5"/>
  <c r="AI110" i="5"/>
  <c r="AR110" i="5"/>
  <c r="T109" i="10"/>
  <c r="H845" i="18" s="1"/>
  <c r="AP109" i="5"/>
  <c r="R109" i="10"/>
  <c r="D845" i="18" s="1"/>
  <c r="AO109" i="5"/>
  <c r="T110" i="5"/>
  <c r="U110" i="5"/>
  <c r="S110" i="5"/>
  <c r="R110" i="5"/>
  <c r="D110" i="10"/>
  <c r="AB110" i="10"/>
  <c r="W109" i="5"/>
  <c r="S109" i="10"/>
  <c r="F845" i="18" s="1"/>
  <c r="Q109" i="10"/>
  <c r="B845" i="18" s="1"/>
  <c r="V109" i="5"/>
  <c r="R140" i="10"/>
  <c r="D876" i="18" s="1"/>
  <c r="AO140" i="5"/>
  <c r="AP140" i="5"/>
  <c r="T140" i="10"/>
  <c r="H876" i="18" s="1"/>
  <c r="AI141" i="5"/>
  <c r="E141" i="10"/>
  <c r="N141" i="10"/>
  <c r="B141" i="17" s="1"/>
  <c r="B632" i="18" s="1"/>
  <c r="AS141" i="5"/>
  <c r="AR141" i="5"/>
  <c r="S140" i="10"/>
  <c r="F876" i="18" s="1"/>
  <c r="W140" i="5"/>
  <c r="V140" i="5"/>
  <c r="Q140" i="10"/>
  <c r="B876" i="18" s="1"/>
  <c r="U141" i="5"/>
  <c r="R141" i="5"/>
  <c r="T141" i="5"/>
  <c r="S141" i="5"/>
  <c r="D141" i="10"/>
  <c r="AB141" i="10"/>
  <c r="S114" i="5"/>
  <c r="U114" i="5"/>
  <c r="D114" i="10"/>
  <c r="AB114" i="10"/>
  <c r="T114" i="5"/>
  <c r="R114" i="5"/>
  <c r="W113" i="5"/>
  <c r="S113" i="10"/>
  <c r="F849" i="18" s="1"/>
  <c r="Q113" i="10"/>
  <c r="B849" i="18" s="1"/>
  <c r="V113" i="5"/>
  <c r="AI114" i="5"/>
  <c r="AS114" i="5"/>
  <c r="AR114" i="5"/>
  <c r="E114" i="10"/>
  <c r="N114" i="10"/>
  <c r="B114" i="17" s="1"/>
  <c r="B605" i="18" s="1"/>
  <c r="T113" i="10"/>
  <c r="H849" i="18" s="1"/>
  <c r="AP113" i="5"/>
  <c r="AO113" i="5"/>
  <c r="R113" i="10"/>
  <c r="D849" i="18" s="1"/>
  <c r="AR106" i="5"/>
  <c r="AS106" i="5"/>
  <c r="E106" i="10"/>
  <c r="N106" i="10"/>
  <c r="B106" i="17" s="1"/>
  <c r="B597" i="18" s="1"/>
  <c r="AI106" i="5"/>
  <c r="R105" i="10"/>
  <c r="D841" i="18" s="1"/>
  <c r="AO105" i="5"/>
  <c r="T105" i="10"/>
  <c r="H841" i="18" s="1"/>
  <c r="AP105" i="5"/>
  <c r="T106" i="5"/>
  <c r="U106" i="5"/>
  <c r="S106" i="5"/>
  <c r="R106" i="5"/>
  <c r="D106" i="10"/>
  <c r="AB106" i="10"/>
  <c r="Q105" i="10"/>
  <c r="B841" i="18" s="1"/>
  <c r="V105" i="5"/>
  <c r="S105" i="10"/>
  <c r="F841" i="18" s="1"/>
  <c r="W105" i="5"/>
  <c r="AO124" i="5"/>
  <c r="R124" i="10"/>
  <c r="D860" i="18" s="1"/>
  <c r="T124" i="10"/>
  <c r="H860" i="18" s="1"/>
  <c r="AP124" i="5"/>
  <c r="AI125" i="5"/>
  <c r="E125" i="10"/>
  <c r="N125" i="10"/>
  <c r="B125" i="17" s="1"/>
  <c r="B616" i="18" s="1"/>
  <c r="AR125" i="5"/>
  <c r="AS125" i="5"/>
  <c r="U125" i="5"/>
  <c r="R125" i="5"/>
  <c r="T125" i="5"/>
  <c r="S125" i="5"/>
  <c r="D125" i="10"/>
  <c r="AB125" i="10"/>
  <c r="W124" i="5"/>
  <c r="S124" i="10"/>
  <c r="F860" i="18" s="1"/>
  <c r="V124" i="5"/>
  <c r="Q124" i="10"/>
  <c r="B860" i="18" s="1"/>
  <c r="T117" i="5"/>
  <c r="R117" i="5"/>
  <c r="S117" i="5"/>
  <c r="D117" i="10"/>
  <c r="AB117" i="10"/>
  <c r="U117" i="5"/>
  <c r="W116" i="5"/>
  <c r="S116" i="10"/>
  <c r="F852" i="18" s="1"/>
  <c r="Q116" i="10"/>
  <c r="B852" i="18" s="1"/>
  <c r="V116" i="5"/>
  <c r="AI117" i="5"/>
  <c r="AR117" i="5"/>
  <c r="AS117" i="5"/>
  <c r="E117" i="10"/>
  <c r="N117" i="10"/>
  <c r="B117" i="17" s="1"/>
  <c r="B608" i="18" s="1"/>
  <c r="AP116" i="5"/>
  <c r="T116" i="10"/>
  <c r="H852" i="18" s="1"/>
  <c r="R116" i="10"/>
  <c r="D852" i="18" s="1"/>
  <c r="AO116" i="5"/>
  <c r="W133" i="5"/>
  <c r="S133" i="10"/>
  <c r="F869" i="18" s="1"/>
  <c r="Q133" i="10"/>
  <c r="B869" i="18" s="1"/>
  <c r="V133" i="5"/>
  <c r="U134" i="5"/>
  <c r="R134" i="5"/>
  <c r="D134" i="10"/>
  <c r="AB134" i="10"/>
  <c r="T134" i="5"/>
  <c r="S134" i="5"/>
  <c r="AS134" i="5"/>
  <c r="E134" i="10"/>
  <c r="N134" i="10"/>
  <c r="B134" i="17" s="1"/>
  <c r="B625" i="18" s="1"/>
  <c r="AR134" i="5"/>
  <c r="AI134" i="5"/>
  <c r="AP133" i="5"/>
  <c r="T133" i="10"/>
  <c r="H869" i="18" s="1"/>
  <c r="AO133" i="5"/>
  <c r="R133" i="10"/>
  <c r="D869" i="18" s="1"/>
  <c r="T98" i="10"/>
  <c r="H834" i="18" s="1"/>
  <c r="AP98" i="5"/>
  <c r="R98" i="10"/>
  <c r="D834" i="18" s="1"/>
  <c r="AO98" i="5"/>
  <c r="E99" i="10"/>
  <c r="N99" i="10"/>
  <c r="B99" i="17" s="1"/>
  <c r="B590" i="18" s="1"/>
  <c r="AI99" i="5"/>
  <c r="AS99" i="5"/>
  <c r="AR99" i="5"/>
  <c r="T99" i="5"/>
  <c r="U99" i="5"/>
  <c r="D99" i="10"/>
  <c r="AB99" i="10"/>
  <c r="R99" i="5"/>
  <c r="S99" i="5"/>
  <c r="S98" i="10"/>
  <c r="F834" i="18" s="1"/>
  <c r="W98" i="5"/>
  <c r="V98" i="5"/>
  <c r="Q98" i="10"/>
  <c r="B834" i="18" s="1"/>
  <c r="AO97" i="5"/>
  <c r="R97" i="10"/>
  <c r="D833" i="18" s="1"/>
  <c r="T97" i="10"/>
  <c r="H833" i="18" s="1"/>
  <c r="AP97" i="5"/>
  <c r="AR98" i="5"/>
  <c r="AS98" i="5"/>
  <c r="AI98" i="5"/>
  <c r="E98" i="10"/>
  <c r="N98" i="10"/>
  <c r="B98" i="17" s="1"/>
  <c r="B589" i="18" s="1"/>
  <c r="Q97" i="10"/>
  <c r="B833" i="18" s="1"/>
  <c r="V97" i="5"/>
  <c r="W97" i="5"/>
  <c r="S97" i="10"/>
  <c r="F833" i="18" s="1"/>
  <c r="T98" i="5"/>
  <c r="U98" i="5"/>
  <c r="R98" i="5"/>
  <c r="S98" i="5"/>
  <c r="D98" i="10"/>
  <c r="AB98" i="10"/>
  <c r="V96" i="5"/>
  <c r="Q96" i="10"/>
  <c r="B832" i="18" s="1"/>
  <c r="W96" i="5"/>
  <c r="S96" i="10"/>
  <c r="F832" i="18" s="1"/>
  <c r="R97" i="5"/>
  <c r="D97" i="10"/>
  <c r="AB97" i="10"/>
  <c r="S97" i="5"/>
  <c r="T97" i="5"/>
  <c r="U97" i="5"/>
  <c r="AS97" i="5"/>
  <c r="AI97" i="5"/>
  <c r="E97" i="10"/>
  <c r="N97" i="10"/>
  <c r="B97" i="17" s="1"/>
  <c r="B588" i="18" s="1"/>
  <c r="AR97" i="5"/>
  <c r="T96" i="10"/>
  <c r="H832" i="18" s="1"/>
  <c r="AP96" i="5"/>
  <c r="R96" i="10"/>
  <c r="D832" i="18" s="1"/>
  <c r="AO96" i="5"/>
  <c r="T138" i="10"/>
  <c r="H874" i="18" s="1"/>
  <c r="AP138" i="5"/>
  <c r="AO138" i="5"/>
  <c r="R138" i="10"/>
  <c r="D874" i="18" s="1"/>
  <c r="E139" i="10"/>
  <c r="N139" i="10"/>
  <c r="B139" i="17" s="1"/>
  <c r="B630" i="18" s="1"/>
  <c r="AS139" i="5"/>
  <c r="AI139" i="5"/>
  <c r="AR139" i="5"/>
  <c r="V138" i="5"/>
  <c r="Q138" i="10"/>
  <c r="B874" i="18" s="1"/>
  <c r="W138" i="5"/>
  <c r="S138" i="10"/>
  <c r="F874" i="18" s="1"/>
  <c r="S139" i="5"/>
  <c r="R139" i="5"/>
  <c r="U139" i="5"/>
  <c r="D139" i="10"/>
  <c r="AB139" i="10"/>
  <c r="T139" i="5"/>
  <c r="AI132" i="5"/>
  <c r="AS132" i="5"/>
  <c r="AR132" i="5"/>
  <c r="E132" i="10"/>
  <c r="N132" i="10"/>
  <c r="B132" i="17" s="1"/>
  <c r="B623" i="18" s="1"/>
  <c r="T131" i="10"/>
  <c r="H867" i="18" s="1"/>
  <c r="AP131" i="5"/>
  <c r="AO131" i="5"/>
  <c r="R131" i="10"/>
  <c r="D867" i="18" s="1"/>
  <c r="W131" i="5"/>
  <c r="S131" i="10"/>
  <c r="F867" i="18" s="1"/>
  <c r="Q131" i="10"/>
  <c r="B867" i="18" s="1"/>
  <c r="V131" i="5"/>
  <c r="T132" i="5"/>
  <c r="S132" i="5"/>
  <c r="U132" i="5"/>
  <c r="D132" i="10"/>
  <c r="AB132" i="10"/>
  <c r="R132" i="5"/>
  <c r="AO123" i="5"/>
  <c r="R123" i="10"/>
  <c r="D859" i="18" s="1"/>
  <c r="AP123" i="5"/>
  <c r="T123" i="10"/>
  <c r="H859" i="18" s="1"/>
  <c r="AS124" i="5"/>
  <c r="AR124" i="5"/>
  <c r="E124" i="10"/>
  <c r="N124" i="10"/>
  <c r="B124" i="17" s="1"/>
  <c r="B615" i="18" s="1"/>
  <c r="AI124" i="5"/>
  <c r="T124" i="5"/>
  <c r="D124" i="10"/>
  <c r="AB124" i="10"/>
  <c r="R124" i="5"/>
  <c r="U124" i="5"/>
  <c r="S124" i="5"/>
  <c r="Q123" i="10"/>
  <c r="B859" i="18" s="1"/>
  <c r="V123" i="5"/>
  <c r="S123" i="10"/>
  <c r="F859" i="18" s="1"/>
  <c r="W123" i="5"/>
  <c r="AO122" i="5"/>
  <c r="R122" i="10"/>
  <c r="D858" i="18" s="1"/>
  <c r="T122" i="10"/>
  <c r="H858" i="18" s="1"/>
  <c r="AP122" i="5"/>
  <c r="E123" i="10"/>
  <c r="N123" i="10"/>
  <c r="B123" i="17" s="1"/>
  <c r="B614" i="18" s="1"/>
  <c r="AS123" i="5"/>
  <c r="AI123" i="5"/>
  <c r="AR123" i="5"/>
  <c r="D123" i="10"/>
  <c r="AB123" i="10"/>
  <c r="S123" i="5"/>
  <c r="T123" i="5"/>
  <c r="U123" i="5"/>
  <c r="R123" i="5"/>
  <c r="S122" i="10"/>
  <c r="F858" i="18" s="1"/>
  <c r="W122" i="5"/>
  <c r="V122" i="5"/>
  <c r="Q122" i="10"/>
  <c r="B858" i="18" s="1"/>
  <c r="AP112" i="5"/>
  <c r="T112" i="10"/>
  <c r="H848" i="18" s="1"/>
  <c r="R112" i="10"/>
  <c r="D848" i="18" s="1"/>
  <c r="AO112" i="5"/>
  <c r="AR113" i="5"/>
  <c r="AS113" i="5"/>
  <c r="AI113" i="5"/>
  <c r="E113" i="10"/>
  <c r="N113" i="10"/>
  <c r="B113" i="17" s="1"/>
  <c r="B604" i="18" s="1"/>
  <c r="D113" i="10"/>
  <c r="AB113" i="10"/>
  <c r="U113" i="5"/>
  <c r="T113" i="5"/>
  <c r="R113" i="5"/>
  <c r="S113" i="5"/>
  <c r="S112" i="10"/>
  <c r="F848" i="18" s="1"/>
  <c r="W112" i="5"/>
  <c r="Q112" i="10"/>
  <c r="B848" i="18" s="1"/>
  <c r="V112" i="5"/>
  <c r="B10" i="1"/>
  <c r="AJ122" i="5"/>
  <c r="AS122" i="5"/>
  <c r="AI122" i="5"/>
  <c r="B9" i="1" s="1"/>
  <c r="B18" i="16" s="1"/>
  <c r="AR122" i="5"/>
  <c r="B8" i="1"/>
  <c r="B17" i="16" s="1"/>
  <c r="E122" i="10"/>
  <c r="N122" i="10"/>
  <c r="AP121" i="5"/>
  <c r="T121" i="10"/>
  <c r="H857" i="18" s="1"/>
  <c r="AO121" i="5"/>
  <c r="R121" i="10"/>
  <c r="D857" i="18" s="1"/>
  <c r="B7" i="1"/>
  <c r="B16" i="16" s="1"/>
  <c r="D122" i="10"/>
  <c r="AB122" i="10"/>
  <c r="T122" i="5"/>
  <c r="R122" i="5"/>
  <c r="U122" i="5"/>
  <c r="S122" i="5"/>
  <c r="W121" i="5"/>
  <c r="S121" i="10"/>
  <c r="F857" i="18" s="1"/>
  <c r="V121" i="5"/>
  <c r="Q121" i="10"/>
  <c r="B857" i="18" s="1"/>
  <c r="E115" i="10"/>
  <c r="N115" i="10"/>
  <c r="B115" i="17" s="1"/>
  <c r="B606" i="18" s="1"/>
  <c r="AS115" i="5"/>
  <c r="AR115" i="5"/>
  <c r="AI115" i="5"/>
  <c r="AP114" i="5"/>
  <c r="T114" i="10"/>
  <c r="H850" i="18" s="1"/>
  <c r="AO114" i="5"/>
  <c r="R114" i="10"/>
  <c r="D850" i="18" s="1"/>
  <c r="W114" i="5"/>
  <c r="S114" i="10"/>
  <c r="F850" i="18" s="1"/>
  <c r="V114" i="5"/>
  <c r="Q114" i="10"/>
  <c r="B850" i="18" s="1"/>
  <c r="D115" i="10"/>
  <c r="AB115" i="10"/>
  <c r="U115" i="5"/>
  <c r="R115" i="5"/>
  <c r="T115" i="5"/>
  <c r="S115" i="5"/>
  <c r="R102" i="5"/>
  <c r="S102" i="5"/>
  <c r="T102" i="5"/>
  <c r="U102" i="5"/>
  <c r="D102" i="10"/>
  <c r="AB102" i="10"/>
  <c r="Q101" i="10"/>
  <c r="B837" i="18" s="1"/>
  <c r="V101" i="5"/>
  <c r="S101" i="10"/>
  <c r="F837" i="18" s="1"/>
  <c r="W101" i="5"/>
  <c r="AP101" i="5"/>
  <c r="T101" i="10"/>
  <c r="H837" i="18" s="1"/>
  <c r="R101" i="10"/>
  <c r="D837" i="18" s="1"/>
  <c r="AO101" i="5"/>
  <c r="E102" i="10"/>
  <c r="N102" i="10"/>
  <c r="B102" i="17" s="1"/>
  <c r="B593" i="18" s="1"/>
  <c r="AI102" i="5"/>
  <c r="AR102" i="5"/>
  <c r="AS102" i="5"/>
  <c r="T100" i="10"/>
  <c r="H836" i="18" s="1"/>
  <c r="AP100" i="5"/>
  <c r="AO100" i="5"/>
  <c r="R100" i="10"/>
  <c r="D836" i="18" s="1"/>
  <c r="AI101" i="5"/>
  <c r="E101" i="10"/>
  <c r="N101" i="10"/>
  <c r="B101" i="17" s="1"/>
  <c r="B592" i="18" s="1"/>
  <c r="AR101" i="5"/>
  <c r="AS101" i="5"/>
  <c r="W100" i="5"/>
  <c r="S100" i="10"/>
  <c r="F836" i="18" s="1"/>
  <c r="Q100" i="10"/>
  <c r="B836" i="18" s="1"/>
  <c r="V100" i="5"/>
  <c r="U101" i="5"/>
  <c r="D101" i="10"/>
  <c r="AB101" i="10"/>
  <c r="T101" i="5"/>
  <c r="S101" i="5"/>
  <c r="R101" i="5"/>
  <c r="W139" i="5"/>
  <c r="S139" i="10"/>
  <c r="F875" i="18" s="1"/>
  <c r="Q139" i="10"/>
  <c r="B875" i="18" s="1"/>
  <c r="V139" i="5"/>
  <c r="D140" i="10"/>
  <c r="AB140" i="10"/>
  <c r="R140" i="5"/>
  <c r="S140" i="5"/>
  <c r="T140" i="5"/>
  <c r="U140" i="5"/>
  <c r="E140" i="10"/>
  <c r="N140" i="10"/>
  <c r="B140" i="17" s="1"/>
  <c r="B631" i="18" s="1"/>
  <c r="AR140" i="5"/>
  <c r="AI140" i="5"/>
  <c r="AS140" i="5"/>
  <c r="AP139" i="5"/>
  <c r="T139" i="10"/>
  <c r="H875" i="18" s="1"/>
  <c r="R139" i="10"/>
  <c r="D875" i="18" s="1"/>
  <c r="AO139" i="5"/>
  <c r="V117" i="5"/>
  <c r="Q117" i="10"/>
  <c r="B853" i="18" s="1"/>
  <c r="S117" i="10"/>
  <c r="F853" i="18" s="1"/>
  <c r="W117" i="5"/>
  <c r="D118" i="10"/>
  <c r="AB118" i="10"/>
  <c r="U118" i="5"/>
  <c r="T118" i="5"/>
  <c r="S118" i="5"/>
  <c r="R118" i="5"/>
  <c r="T117" i="10"/>
  <c r="H853" i="18" s="1"/>
  <c r="AP117" i="5"/>
  <c r="AO117" i="5"/>
  <c r="R117" i="10"/>
  <c r="D853" i="18" s="1"/>
  <c r="AI118" i="5"/>
  <c r="E118" i="10"/>
  <c r="N118" i="10"/>
  <c r="B118" i="17" s="1"/>
  <c r="B609" i="18" s="1"/>
  <c r="AS118" i="5"/>
  <c r="AR118" i="5"/>
  <c r="W108" i="5"/>
  <c r="S108" i="10"/>
  <c r="F844" i="18" s="1"/>
  <c r="Q108" i="10"/>
  <c r="B844" i="18" s="1"/>
  <c r="V108" i="5"/>
  <c r="S109" i="5"/>
  <c r="R109" i="5"/>
  <c r="U109" i="5"/>
  <c r="D109" i="10"/>
  <c r="AB109" i="10"/>
  <c r="T109" i="5"/>
  <c r="AI109" i="5"/>
  <c r="E109" i="10"/>
  <c r="N109" i="10"/>
  <c r="B109" i="17" s="1"/>
  <c r="B600" i="18" s="1"/>
  <c r="AS109" i="5"/>
  <c r="AR109" i="5"/>
  <c r="R108" i="10"/>
  <c r="D844" i="18" s="1"/>
  <c r="AO108" i="5"/>
  <c r="T108" i="10"/>
  <c r="H844" i="18" s="1"/>
  <c r="AP108" i="5"/>
  <c r="R102" i="10"/>
  <c r="D838" i="18" s="1"/>
  <c r="AO102" i="5"/>
  <c r="T102" i="10"/>
  <c r="H838" i="18" s="1"/>
  <c r="AP102" i="5"/>
  <c r="AS103" i="5"/>
  <c r="AI103" i="5"/>
  <c r="E103" i="10"/>
  <c r="N103" i="10"/>
  <c r="B103" i="17" s="1"/>
  <c r="B594" i="18" s="1"/>
  <c r="AR103" i="5"/>
  <c r="U103" i="5"/>
  <c r="R103" i="5"/>
  <c r="T103" i="5"/>
  <c r="S103" i="5"/>
  <c r="D103" i="10"/>
  <c r="AB103" i="10"/>
  <c r="V102" i="5"/>
  <c r="Q102" i="10"/>
  <c r="B838" i="18" s="1"/>
  <c r="S102" i="10"/>
  <c r="F838" i="18" s="1"/>
  <c r="W102" i="5"/>
  <c r="AS129" i="5"/>
  <c r="E129" i="10"/>
  <c r="N129" i="10"/>
  <c r="B129" i="17" s="1"/>
  <c r="B620" i="18" s="1"/>
  <c r="AI129" i="5"/>
  <c r="AR129" i="5"/>
  <c r="AO128" i="5"/>
  <c r="R128" i="10"/>
  <c r="D864" i="18" s="1"/>
  <c r="T128" i="10"/>
  <c r="H864" i="18" s="1"/>
  <c r="AP128" i="5"/>
  <c r="R129" i="5"/>
  <c r="U129" i="5"/>
  <c r="D129" i="10"/>
  <c r="AB129" i="10"/>
  <c r="T129" i="5"/>
  <c r="S129" i="5"/>
  <c r="Q128" i="10"/>
  <c r="B864" i="18" s="1"/>
  <c r="V128" i="5"/>
  <c r="S128" i="10"/>
  <c r="F864" i="18" s="1"/>
  <c r="W128" i="5"/>
  <c r="AI120" i="5"/>
  <c r="E120" i="10"/>
  <c r="N120" i="10"/>
  <c r="B120" i="17" s="1"/>
  <c r="B611" i="18" s="1"/>
  <c r="AS120" i="5"/>
  <c r="AR120" i="5"/>
  <c r="T119" i="10"/>
  <c r="H855" i="18" s="1"/>
  <c r="AP119" i="5"/>
  <c r="AO119" i="5"/>
  <c r="R119" i="10"/>
  <c r="D855" i="18" s="1"/>
  <c r="D120" i="10"/>
  <c r="AB120" i="10"/>
  <c r="R120" i="5"/>
  <c r="T120" i="5"/>
  <c r="U120" i="5"/>
  <c r="S120" i="5"/>
  <c r="W119" i="5"/>
  <c r="S119" i="10"/>
  <c r="F855" i="18" s="1"/>
  <c r="Q119" i="10"/>
  <c r="B855" i="18" s="1"/>
  <c r="V119" i="5"/>
  <c r="AS107" i="5"/>
  <c r="E107" i="10"/>
  <c r="N107" i="10"/>
  <c r="B107" i="17" s="1"/>
  <c r="B598" i="18" s="1"/>
  <c r="AR107" i="5"/>
  <c r="AI107" i="5"/>
  <c r="AP106" i="5"/>
  <c r="T106" i="10"/>
  <c r="H842" i="18" s="1"/>
  <c r="AO106" i="5"/>
  <c r="R106" i="10"/>
  <c r="D842" i="18" s="1"/>
  <c r="Q106" i="10"/>
  <c r="B842" i="18" s="1"/>
  <c r="V106" i="5"/>
  <c r="W106" i="5"/>
  <c r="S106" i="10"/>
  <c r="F842" i="18" s="1"/>
  <c r="U107" i="5"/>
  <c r="R107" i="5"/>
  <c r="T107" i="5"/>
  <c r="D107" i="10"/>
  <c r="AB107" i="10"/>
  <c r="S107" i="5"/>
  <c r="T99" i="10"/>
  <c r="H835" i="18" s="1"/>
  <c r="AP99" i="5"/>
  <c r="R99" i="10"/>
  <c r="D835" i="18" s="1"/>
  <c r="AO99" i="5"/>
  <c r="AI100" i="5"/>
  <c r="E100" i="10"/>
  <c r="N100" i="10"/>
  <c r="B100" i="17" s="1"/>
  <c r="B591" i="18" s="1"/>
  <c r="AS100" i="5"/>
  <c r="AR100" i="5"/>
  <c r="V99" i="5"/>
  <c r="Q99" i="10"/>
  <c r="B835" i="18" s="1"/>
  <c r="S99" i="10"/>
  <c r="F835" i="18" s="1"/>
  <c r="W99" i="5"/>
  <c r="T100" i="5"/>
  <c r="S100" i="5"/>
  <c r="U100" i="5"/>
  <c r="R100" i="5"/>
  <c r="D100" i="10"/>
  <c r="AB100" i="10"/>
  <c r="AI182" i="5"/>
  <c r="AR182" i="5"/>
  <c r="AS182" i="5"/>
  <c r="E182" i="10"/>
  <c r="N182" i="10"/>
  <c r="B182" i="17" s="1"/>
  <c r="B673" i="18" s="1"/>
  <c r="AO181" i="5"/>
  <c r="R181" i="10"/>
  <c r="D917" i="18" s="1"/>
  <c r="AP181" i="5"/>
  <c r="T181" i="10"/>
  <c r="H917" i="18" s="1"/>
  <c r="S181" i="10"/>
  <c r="F917" i="18" s="1"/>
  <c r="W181" i="5"/>
  <c r="V181" i="5"/>
  <c r="Q181" i="10"/>
  <c r="B917" i="18" s="1"/>
  <c r="R182" i="5"/>
  <c r="T182" i="5"/>
  <c r="D182" i="10"/>
  <c r="AB182" i="10"/>
  <c r="S182" i="5"/>
  <c r="U182" i="5"/>
  <c r="S178" i="5"/>
  <c r="U178" i="5"/>
  <c r="T178" i="5"/>
  <c r="D178" i="10"/>
  <c r="AB178" i="10"/>
  <c r="R178" i="5"/>
  <c r="W177" i="5"/>
  <c r="S177" i="10"/>
  <c r="F913" i="18" s="1"/>
  <c r="Q177" i="10"/>
  <c r="B913" i="18" s="1"/>
  <c r="V177" i="5"/>
  <c r="AP177" i="5"/>
  <c r="T177" i="10"/>
  <c r="H913" i="18" s="1"/>
  <c r="AO177" i="5"/>
  <c r="R177" i="10"/>
  <c r="D913" i="18" s="1"/>
  <c r="AI178" i="5"/>
  <c r="AR178" i="5"/>
  <c r="E178" i="10"/>
  <c r="N178" i="10"/>
  <c r="B178" i="17" s="1"/>
  <c r="B669" i="18" s="1"/>
  <c r="AS178" i="5"/>
  <c r="V175" i="5"/>
  <c r="Q175" i="10"/>
  <c r="B911" i="18" s="1"/>
  <c r="S175" i="10"/>
  <c r="F911" i="18" s="1"/>
  <c r="W175" i="5"/>
  <c r="S176" i="5"/>
  <c r="U176" i="5"/>
  <c r="D176" i="10"/>
  <c r="AB176" i="10"/>
  <c r="R176" i="5"/>
  <c r="T176" i="5"/>
  <c r="AI176" i="5"/>
  <c r="AR176" i="5"/>
  <c r="AS176" i="5"/>
  <c r="E176" i="10"/>
  <c r="N176" i="10"/>
  <c r="B176" i="17" s="1"/>
  <c r="B667" i="18" s="1"/>
  <c r="AO175" i="5"/>
  <c r="R175" i="10"/>
  <c r="D911" i="18" s="1"/>
  <c r="AP175" i="5"/>
  <c r="T175" i="10"/>
  <c r="H911" i="18" s="1"/>
  <c r="AR171" i="5"/>
  <c r="AS171" i="5"/>
  <c r="E171" i="10"/>
  <c r="N171" i="10"/>
  <c r="B171" i="17" s="1"/>
  <c r="B662" i="18" s="1"/>
  <c r="AI171" i="5"/>
  <c r="AP170" i="5"/>
  <c r="T170" i="10"/>
  <c r="H906" i="18" s="1"/>
  <c r="AO170" i="5"/>
  <c r="R170" i="10"/>
  <c r="D906" i="18" s="1"/>
  <c r="R171" i="5"/>
  <c r="S171" i="5"/>
  <c r="T171" i="5"/>
  <c r="U171" i="5"/>
  <c r="D171" i="10"/>
  <c r="AB171" i="10"/>
  <c r="V170" i="5"/>
  <c r="Q170" i="10"/>
  <c r="B906" i="18" s="1"/>
  <c r="W170" i="5"/>
  <c r="S170" i="10"/>
  <c r="F906" i="18" s="1"/>
  <c r="AI166" i="5"/>
  <c r="AR166" i="5"/>
  <c r="E166" i="10"/>
  <c r="N166" i="10"/>
  <c r="B166" i="17" s="1"/>
  <c r="B657" i="18" s="1"/>
  <c r="AS166" i="5"/>
  <c r="AP165" i="5"/>
  <c r="T165" i="10"/>
  <c r="H901" i="18" s="1"/>
  <c r="AO165" i="5"/>
  <c r="R165" i="10"/>
  <c r="D901" i="18" s="1"/>
  <c r="T166" i="5"/>
  <c r="S166" i="5"/>
  <c r="R166" i="5"/>
  <c r="U166" i="5"/>
  <c r="D166" i="10"/>
  <c r="AB166" i="10"/>
  <c r="V165" i="5"/>
  <c r="Q165" i="10"/>
  <c r="B901" i="18" s="1"/>
  <c r="W165" i="5"/>
  <c r="S165" i="10"/>
  <c r="F901" i="18" s="1"/>
  <c r="AI165" i="5"/>
  <c r="AR165" i="5"/>
  <c r="AS165" i="5"/>
  <c r="E165" i="10"/>
  <c r="N165" i="10"/>
  <c r="B165" i="17" s="1"/>
  <c r="B656" i="18" s="1"/>
  <c r="T164" i="10"/>
  <c r="H900" i="18" s="1"/>
  <c r="AP164" i="5"/>
  <c r="AO164" i="5"/>
  <c r="R164" i="10"/>
  <c r="D900" i="18" s="1"/>
  <c r="V164" i="5"/>
  <c r="Q164" i="10"/>
  <c r="B900" i="18" s="1"/>
  <c r="W164" i="5"/>
  <c r="S164" i="10"/>
  <c r="F900" i="18" s="1"/>
  <c r="R165" i="5"/>
  <c r="S165" i="5"/>
  <c r="U165" i="5"/>
  <c r="D165" i="10"/>
  <c r="AB165" i="10"/>
  <c r="T165" i="5"/>
  <c r="R161" i="5"/>
  <c r="D161" i="10"/>
  <c r="AB161" i="10"/>
  <c r="T161" i="5"/>
  <c r="S161" i="5"/>
  <c r="U161" i="5"/>
  <c r="Q160" i="10"/>
  <c r="B896" i="18" s="1"/>
  <c r="V160" i="5"/>
  <c r="W160" i="5"/>
  <c r="S160" i="10"/>
  <c r="F896" i="18" s="1"/>
  <c r="AR161" i="5"/>
  <c r="AS161" i="5"/>
  <c r="E161" i="10"/>
  <c r="N161" i="10"/>
  <c r="B161" i="17" s="1"/>
  <c r="B652" i="18" s="1"/>
  <c r="AI161" i="5"/>
  <c r="AP160" i="5"/>
  <c r="T160" i="10"/>
  <c r="H896" i="18" s="1"/>
  <c r="R160" i="10"/>
  <c r="D896" i="18" s="1"/>
  <c r="AO160" i="5"/>
  <c r="AI160" i="5"/>
  <c r="AR160" i="5"/>
  <c r="E160" i="10"/>
  <c r="N160" i="10"/>
  <c r="B160" i="17" s="1"/>
  <c r="B651" i="18" s="1"/>
  <c r="AS160" i="5"/>
  <c r="AP159" i="5"/>
  <c r="T159" i="10"/>
  <c r="H895" i="18" s="1"/>
  <c r="R159" i="10"/>
  <c r="D895" i="18" s="1"/>
  <c r="AO159" i="5"/>
  <c r="S160" i="5"/>
  <c r="U160" i="5"/>
  <c r="R160" i="5"/>
  <c r="T160" i="5"/>
  <c r="D160" i="10"/>
  <c r="AB160" i="10"/>
  <c r="Q159" i="10"/>
  <c r="B895" i="18" s="1"/>
  <c r="V159" i="5"/>
  <c r="W159" i="5"/>
  <c r="S159" i="10"/>
  <c r="F895" i="18" s="1"/>
  <c r="Q154" i="10"/>
  <c r="B890" i="18" s="1"/>
  <c r="V154" i="5"/>
  <c r="S154" i="10"/>
  <c r="F890" i="18" s="1"/>
  <c r="W154" i="5"/>
  <c r="T155" i="5"/>
  <c r="D155" i="10"/>
  <c r="AB155" i="10"/>
  <c r="R155" i="5"/>
  <c r="S155" i="5"/>
  <c r="U155" i="5"/>
  <c r="AR155" i="5"/>
  <c r="AI155" i="5"/>
  <c r="AS155" i="5"/>
  <c r="E155" i="10"/>
  <c r="N155" i="10"/>
  <c r="B155" i="17" s="1"/>
  <c r="B646" i="18" s="1"/>
  <c r="AO154" i="5"/>
  <c r="R154" i="10"/>
  <c r="D890" i="18" s="1"/>
  <c r="AP154" i="5"/>
  <c r="T154" i="10"/>
  <c r="H890" i="18" s="1"/>
  <c r="AI151" i="5"/>
  <c r="AR151" i="5"/>
  <c r="AS151" i="5"/>
  <c r="E151" i="10"/>
  <c r="N151" i="10"/>
  <c r="B151" i="17" s="1"/>
  <c r="B642" i="18" s="1"/>
  <c r="AP150" i="5"/>
  <c r="T150" i="10"/>
  <c r="H886" i="18" s="1"/>
  <c r="AO150" i="5"/>
  <c r="R150" i="10"/>
  <c r="D886" i="18" s="1"/>
  <c r="S151" i="5"/>
  <c r="T151" i="5"/>
  <c r="R151" i="5"/>
  <c r="U151" i="5"/>
  <c r="D151" i="10"/>
  <c r="AB151" i="10"/>
  <c r="W150" i="5"/>
  <c r="S150" i="10"/>
  <c r="F886" i="18" s="1"/>
  <c r="Q150" i="10"/>
  <c r="B886" i="18" s="1"/>
  <c r="V150" i="5"/>
  <c r="V146" i="5"/>
  <c r="Q146" i="10"/>
  <c r="B882" i="18" s="1"/>
  <c r="W146" i="5"/>
  <c r="S146" i="10"/>
  <c r="F882" i="18" s="1"/>
  <c r="T147" i="5"/>
  <c r="S147" i="5"/>
  <c r="U147" i="5"/>
  <c r="R147" i="5"/>
  <c r="D147" i="10"/>
  <c r="AB147" i="10"/>
  <c r="R146" i="10"/>
  <c r="D882" i="18" s="1"/>
  <c r="AO146" i="5"/>
  <c r="AP146" i="5"/>
  <c r="T146" i="10"/>
  <c r="H882" i="18" s="1"/>
  <c r="AS147" i="5"/>
  <c r="AI147" i="5"/>
  <c r="E147" i="10"/>
  <c r="N147" i="10"/>
  <c r="B147" i="17" s="1"/>
  <c r="B638" i="18" s="1"/>
  <c r="AR147" i="5"/>
  <c r="T142" i="10"/>
  <c r="H878" i="18" s="1"/>
  <c r="AP142" i="5"/>
  <c r="R142" i="10"/>
  <c r="D878" i="18" s="1"/>
  <c r="AO142" i="5"/>
  <c r="E143" i="10"/>
  <c r="N143" i="10"/>
  <c r="B143" i="17" s="1"/>
  <c r="B634" i="18" s="1"/>
  <c r="AR143" i="5"/>
  <c r="AI143" i="5"/>
  <c r="AS143" i="5"/>
  <c r="R143" i="5"/>
  <c r="T143" i="5"/>
  <c r="S143" i="5"/>
  <c r="U143" i="5"/>
  <c r="D143" i="10"/>
  <c r="AB143" i="10"/>
  <c r="W142" i="5"/>
  <c r="S142" i="10"/>
  <c r="F878" i="18" s="1"/>
  <c r="Q142" i="10"/>
  <c r="B878" i="18" s="1"/>
  <c r="V142" i="5"/>
  <c r="R130" i="10"/>
  <c r="D866" i="18" s="1"/>
  <c r="AO130" i="5"/>
  <c r="T130" i="10"/>
  <c r="H866" i="18" s="1"/>
  <c r="AP130" i="5"/>
  <c r="AS131" i="5"/>
  <c r="AI131" i="5"/>
  <c r="AR131" i="5"/>
  <c r="E131" i="10"/>
  <c r="N131" i="10"/>
  <c r="B131" i="17" s="1"/>
  <c r="B622" i="18" s="1"/>
  <c r="S131" i="5"/>
  <c r="T131" i="5"/>
  <c r="D131" i="10"/>
  <c r="AB131" i="10"/>
  <c r="R131" i="5"/>
  <c r="U131" i="5"/>
  <c r="S130" i="10"/>
  <c r="F866" i="18" s="1"/>
  <c r="W130" i="5"/>
  <c r="Q130" i="10"/>
  <c r="B866" i="18" s="1"/>
  <c r="V130" i="5"/>
  <c r="AS116" i="5"/>
  <c r="E116" i="10"/>
  <c r="N116" i="10"/>
  <c r="B116" i="17" s="1"/>
  <c r="B607" i="18" s="1"/>
  <c r="AR116" i="5"/>
  <c r="AI116" i="5"/>
  <c r="R115" i="10"/>
  <c r="D851" i="18" s="1"/>
  <c r="AO115" i="5"/>
  <c r="AP115" i="5"/>
  <c r="T115" i="10"/>
  <c r="H851" i="18" s="1"/>
  <c r="S116" i="5"/>
  <c r="U116" i="5"/>
  <c r="T116" i="5"/>
  <c r="D116" i="10"/>
  <c r="AB116" i="10"/>
  <c r="R116" i="5"/>
  <c r="V115" i="5"/>
  <c r="Q115" i="10"/>
  <c r="B851" i="18" s="1"/>
  <c r="S115" i="10"/>
  <c r="F851" i="18" s="1"/>
  <c r="W115" i="5"/>
  <c r="R181" i="5"/>
  <c r="T181" i="5"/>
  <c r="U181" i="5"/>
  <c r="S181" i="5"/>
  <c r="D181" i="10"/>
  <c r="AB181" i="10"/>
  <c r="W180" i="5"/>
  <c r="S180" i="10"/>
  <c r="F916" i="18" s="1"/>
  <c r="Q180" i="10"/>
  <c r="B916" i="18" s="1"/>
  <c r="V180" i="5"/>
  <c r="AI181" i="5"/>
  <c r="AR181" i="5"/>
  <c r="AS181" i="5"/>
  <c r="E181" i="10"/>
  <c r="N181" i="10"/>
  <c r="B181" i="17" s="1"/>
  <c r="B672" i="18" s="1"/>
  <c r="AO180" i="5"/>
  <c r="R180" i="10"/>
  <c r="D916" i="18" s="1"/>
  <c r="AP180" i="5"/>
  <c r="T180" i="10"/>
  <c r="H916" i="18" s="1"/>
  <c r="V179" i="5"/>
  <c r="Q179" i="10"/>
  <c r="B915" i="18" s="1"/>
  <c r="W179" i="5"/>
  <c r="S179" i="10"/>
  <c r="F915" i="18" s="1"/>
  <c r="S180" i="5"/>
  <c r="U180" i="5"/>
  <c r="D180" i="10"/>
  <c r="AB180" i="10"/>
  <c r="R180" i="5"/>
  <c r="T180" i="5"/>
  <c r="AP179" i="5"/>
  <c r="T179" i="10"/>
  <c r="H915" i="18" s="1"/>
  <c r="AO179" i="5"/>
  <c r="R179" i="10"/>
  <c r="D915" i="18" s="1"/>
  <c r="AR180" i="5"/>
  <c r="AI180" i="5"/>
  <c r="E180" i="10"/>
  <c r="N180" i="10"/>
  <c r="B180" i="17" s="1"/>
  <c r="B671" i="18" s="1"/>
  <c r="AS180" i="5"/>
  <c r="E179" i="10"/>
  <c r="N179" i="10"/>
  <c r="B179" i="17" s="1"/>
  <c r="B670" i="18" s="1"/>
  <c r="AI179" i="5"/>
  <c r="AR179" i="5"/>
  <c r="AS179" i="5"/>
  <c r="AO178" i="5"/>
  <c r="R178" i="10"/>
  <c r="D914" i="18" s="1"/>
  <c r="AP178" i="5"/>
  <c r="T178" i="10"/>
  <c r="H914" i="18" s="1"/>
  <c r="R179" i="5"/>
  <c r="T179" i="5"/>
  <c r="U179" i="5"/>
  <c r="D179" i="10"/>
  <c r="AB179" i="10"/>
  <c r="S179" i="5"/>
  <c r="W178" i="5"/>
  <c r="S178" i="10"/>
  <c r="F914" i="18" s="1"/>
  <c r="Q178" i="10"/>
  <c r="B914" i="18" s="1"/>
  <c r="V178" i="5"/>
  <c r="W176" i="5"/>
  <c r="S176" i="10"/>
  <c r="F912" i="18" s="1"/>
  <c r="V176" i="5"/>
  <c r="Q176" i="10"/>
  <c r="B912" i="18" s="1"/>
  <c r="R177" i="5"/>
  <c r="D177" i="10"/>
  <c r="AB177" i="10"/>
  <c r="S177" i="5"/>
  <c r="T177" i="5"/>
  <c r="U177" i="5"/>
  <c r="AI177" i="5"/>
  <c r="AR177" i="5"/>
  <c r="AS177" i="5"/>
  <c r="E177" i="10"/>
  <c r="N177" i="10"/>
  <c r="B177" i="17" s="1"/>
  <c r="B668" i="18" s="1"/>
  <c r="AP176" i="5"/>
  <c r="T176" i="10"/>
  <c r="H912" i="18" s="1"/>
  <c r="AO176" i="5"/>
  <c r="R176" i="10"/>
  <c r="D912" i="18" s="1"/>
  <c r="R175" i="5"/>
  <c r="D175" i="10"/>
  <c r="AB175" i="10"/>
  <c r="S175" i="5"/>
  <c r="T175" i="5"/>
  <c r="U175" i="5"/>
  <c r="W174" i="5"/>
  <c r="S174" i="10"/>
  <c r="F910" i="18" s="1"/>
  <c r="V174" i="5"/>
  <c r="Q174" i="10"/>
  <c r="B910" i="18" s="1"/>
  <c r="AS175" i="5"/>
  <c r="E175" i="10"/>
  <c r="N175" i="10"/>
  <c r="B175" i="17" s="1"/>
  <c r="B666" i="18" s="1"/>
  <c r="AI175" i="5"/>
  <c r="AR175" i="5"/>
  <c r="AO174" i="5"/>
  <c r="R174" i="10"/>
  <c r="D910" i="18" s="1"/>
  <c r="AP174" i="5"/>
  <c r="T174" i="10"/>
  <c r="H910" i="18" s="1"/>
  <c r="S174" i="5"/>
  <c r="T174" i="5"/>
  <c r="U174" i="5"/>
  <c r="R174" i="5"/>
  <c r="D174" i="10"/>
  <c r="AB174" i="10"/>
  <c r="W173" i="5"/>
  <c r="S173" i="10"/>
  <c r="F909" i="18" s="1"/>
  <c r="V173" i="5"/>
  <c r="Q173" i="10"/>
  <c r="B909" i="18" s="1"/>
  <c r="AI174" i="5"/>
  <c r="E174" i="10"/>
  <c r="N174" i="10"/>
  <c r="B174" i="17" s="1"/>
  <c r="B665" i="18" s="1"/>
  <c r="AR174" i="5"/>
  <c r="AS174" i="5"/>
  <c r="AP173" i="5"/>
  <c r="T173" i="10"/>
  <c r="H909" i="18" s="1"/>
  <c r="AO173" i="5"/>
  <c r="R173" i="10"/>
  <c r="D909" i="18" s="1"/>
  <c r="W172" i="5"/>
  <c r="S172" i="10"/>
  <c r="F908" i="18" s="1"/>
  <c r="Q172" i="10"/>
  <c r="B908" i="18" s="1"/>
  <c r="V172" i="5"/>
  <c r="S173" i="5"/>
  <c r="R173" i="5"/>
  <c r="T173" i="5"/>
  <c r="U173" i="5"/>
  <c r="D173" i="10"/>
  <c r="AB173" i="10"/>
  <c r="AP172" i="5"/>
  <c r="T172" i="10"/>
  <c r="H908" i="18" s="1"/>
  <c r="AO172" i="5"/>
  <c r="R172" i="10"/>
  <c r="D908" i="18" s="1"/>
  <c r="AI173" i="5"/>
  <c r="AS173" i="5"/>
  <c r="AR173" i="5"/>
  <c r="E173" i="10"/>
  <c r="N173" i="10"/>
  <c r="B173" i="17" s="1"/>
  <c r="B664" i="18" s="1"/>
  <c r="AP171" i="5"/>
  <c r="T171" i="10"/>
  <c r="H907" i="18" s="1"/>
  <c r="AO171" i="5"/>
  <c r="R171" i="10"/>
  <c r="D907" i="18" s="1"/>
  <c r="AR172" i="5"/>
  <c r="E172" i="10"/>
  <c r="N172" i="10"/>
  <c r="B172" i="17" s="1"/>
  <c r="B663" i="18" s="1"/>
  <c r="AI172" i="5"/>
  <c r="AS172" i="5"/>
  <c r="V171" i="5"/>
  <c r="Q171" i="10"/>
  <c r="B907" i="18" s="1"/>
  <c r="W171" i="5"/>
  <c r="S171" i="10"/>
  <c r="F907" i="18" s="1"/>
  <c r="S172" i="5"/>
  <c r="U172" i="5"/>
  <c r="R172" i="5"/>
  <c r="T172" i="5"/>
  <c r="D172" i="10"/>
  <c r="AB172" i="10"/>
  <c r="AS170" i="5"/>
  <c r="AR170" i="5"/>
  <c r="E170" i="10"/>
  <c r="N170" i="10"/>
  <c r="B170" i="17" s="1"/>
  <c r="B661" i="18" s="1"/>
  <c r="AI170" i="5"/>
  <c r="AP169" i="5"/>
  <c r="T169" i="10"/>
  <c r="H905" i="18" s="1"/>
  <c r="AO169" i="5"/>
  <c r="R169" i="10"/>
  <c r="D905" i="18" s="1"/>
  <c r="S169" i="10"/>
  <c r="F905" i="18" s="1"/>
  <c r="W169" i="5"/>
  <c r="Q169" i="10"/>
  <c r="B905" i="18" s="1"/>
  <c r="V169" i="5"/>
  <c r="U170" i="5"/>
  <c r="D170" i="10"/>
  <c r="AB170" i="10"/>
  <c r="R170" i="5"/>
  <c r="S170" i="5"/>
  <c r="T170" i="5"/>
  <c r="R167" i="5"/>
  <c r="S167" i="5"/>
  <c r="D167" i="10"/>
  <c r="AB167" i="10"/>
  <c r="T167" i="5"/>
  <c r="U167" i="5"/>
  <c r="V166" i="5"/>
  <c r="Q166" i="10"/>
  <c r="B902" i="18" s="1"/>
  <c r="W166" i="5"/>
  <c r="S166" i="10"/>
  <c r="F902" i="18" s="1"/>
  <c r="AI167" i="5"/>
  <c r="E167" i="10"/>
  <c r="N167" i="10"/>
  <c r="B167" i="17" s="1"/>
  <c r="B658" i="18" s="1"/>
  <c r="AS167" i="5"/>
  <c r="AR167" i="5"/>
  <c r="AP166" i="5"/>
  <c r="T166" i="10"/>
  <c r="H902" i="18" s="1"/>
  <c r="AO166" i="5"/>
  <c r="R166" i="10"/>
  <c r="D902" i="18" s="1"/>
  <c r="S162" i="10"/>
  <c r="F898" i="18" s="1"/>
  <c r="W162" i="5"/>
  <c r="V162" i="5"/>
  <c r="Q162" i="10"/>
  <c r="B898" i="18" s="1"/>
  <c r="R163" i="5"/>
  <c r="T163" i="5"/>
  <c r="U163" i="5"/>
  <c r="S163" i="5"/>
  <c r="D163" i="10"/>
  <c r="AB163" i="10"/>
  <c r="AI163" i="5"/>
  <c r="AS163" i="5"/>
  <c r="E163" i="10"/>
  <c r="N163" i="10"/>
  <c r="B163" i="17" s="1"/>
  <c r="B654" i="18" s="1"/>
  <c r="AR163" i="5"/>
  <c r="AP162" i="5"/>
  <c r="T162" i="10"/>
  <c r="H898" i="18" s="1"/>
  <c r="AO162" i="5"/>
  <c r="R162" i="10"/>
  <c r="D898" i="18" s="1"/>
  <c r="R162" i="5"/>
  <c r="D162" i="10"/>
  <c r="AB162" i="10"/>
  <c r="S162" i="5"/>
  <c r="T162" i="5"/>
  <c r="U162" i="5"/>
  <c r="V161" i="5"/>
  <c r="Q161" i="10"/>
  <c r="B897" i="18" s="1"/>
  <c r="W161" i="5"/>
  <c r="S161" i="10"/>
  <c r="F897" i="18" s="1"/>
  <c r="AI162" i="5"/>
  <c r="AR162" i="5"/>
  <c r="AS162" i="5"/>
  <c r="E162" i="10"/>
  <c r="N162" i="10"/>
  <c r="B162" i="17" s="1"/>
  <c r="B653" i="18" s="1"/>
  <c r="AP161" i="5"/>
  <c r="T161" i="10"/>
  <c r="H897" i="18" s="1"/>
  <c r="AO161" i="5"/>
  <c r="R161" i="10"/>
  <c r="D897" i="18" s="1"/>
  <c r="T159" i="5"/>
  <c r="D159" i="10"/>
  <c r="AB159" i="10"/>
  <c r="R159" i="5"/>
  <c r="S159" i="5"/>
  <c r="U159" i="5"/>
  <c r="V158" i="5"/>
  <c r="Q158" i="10"/>
  <c r="B894" i="18" s="1"/>
  <c r="W158" i="5"/>
  <c r="S158" i="10"/>
  <c r="F894" i="18" s="1"/>
  <c r="AR159" i="5"/>
  <c r="E159" i="10"/>
  <c r="N159" i="10"/>
  <c r="B159" i="17" s="1"/>
  <c r="B650" i="18" s="1"/>
  <c r="AI159" i="5"/>
  <c r="AS159" i="5"/>
  <c r="AP158" i="5"/>
  <c r="T158" i="10"/>
  <c r="H894" i="18" s="1"/>
  <c r="R158" i="10"/>
  <c r="D894" i="18" s="1"/>
  <c r="AO158" i="5"/>
  <c r="S157" i="5"/>
  <c r="U157" i="5"/>
  <c r="D157" i="10"/>
  <c r="AB157" i="10"/>
  <c r="R157" i="5"/>
  <c r="T157" i="5"/>
  <c r="W156" i="5"/>
  <c r="S156" i="10"/>
  <c r="F892" i="18" s="1"/>
  <c r="Q156" i="10"/>
  <c r="B892" i="18" s="1"/>
  <c r="V156" i="5"/>
  <c r="AI157" i="5"/>
  <c r="AR157" i="5"/>
  <c r="AS157" i="5"/>
  <c r="E157" i="10"/>
  <c r="N157" i="10"/>
  <c r="B157" i="17" s="1"/>
  <c r="B648" i="18" s="1"/>
  <c r="T156" i="10"/>
  <c r="H892" i="18" s="1"/>
  <c r="AP156" i="5"/>
  <c r="AO156" i="5"/>
  <c r="R156" i="10"/>
  <c r="D892" i="18" s="1"/>
  <c r="AR156" i="5"/>
  <c r="AS156" i="5"/>
  <c r="AI156" i="5"/>
  <c r="E156" i="10"/>
  <c r="N156" i="10"/>
  <c r="B156" i="17" s="1"/>
  <c r="B647" i="18" s="1"/>
  <c r="AO155" i="5"/>
  <c r="R155" i="10"/>
  <c r="D891" i="18" s="1"/>
  <c r="AP155" i="5"/>
  <c r="T155" i="10"/>
  <c r="H891" i="18" s="1"/>
  <c r="T156" i="5"/>
  <c r="R156" i="5"/>
  <c r="S156" i="5"/>
  <c r="D156" i="10"/>
  <c r="AB156" i="10"/>
  <c r="U156" i="5"/>
  <c r="S155" i="10"/>
  <c r="F891" i="18" s="1"/>
  <c r="W155" i="5"/>
  <c r="V155" i="5"/>
  <c r="Q155" i="10"/>
  <c r="B891" i="18" s="1"/>
  <c r="R154" i="5"/>
  <c r="U154" i="5"/>
  <c r="T154" i="5"/>
  <c r="S154" i="5"/>
  <c r="D154" i="10"/>
  <c r="AB154" i="10"/>
  <c r="W153" i="5"/>
  <c r="S153" i="10"/>
  <c r="F889" i="18" s="1"/>
  <c r="V153" i="5"/>
  <c r="Q153" i="10"/>
  <c r="B889" i="18" s="1"/>
  <c r="AS154" i="5"/>
  <c r="AI154" i="5"/>
  <c r="AR154" i="5"/>
  <c r="E154" i="10"/>
  <c r="N154" i="10"/>
  <c r="B154" i="17" s="1"/>
  <c r="B645" i="18" s="1"/>
  <c r="AO153" i="5"/>
  <c r="R153" i="10"/>
  <c r="D889" i="18" s="1"/>
  <c r="AP153" i="5"/>
  <c r="T153" i="10"/>
  <c r="H889" i="18" s="1"/>
  <c r="R152" i="10"/>
  <c r="D888" i="18" s="1"/>
  <c r="AO152" i="5"/>
  <c r="T152" i="10"/>
  <c r="H888" i="18" s="1"/>
  <c r="AP152" i="5"/>
  <c r="AI153" i="5"/>
  <c r="AR153" i="5"/>
  <c r="AS153" i="5"/>
  <c r="E153" i="10"/>
  <c r="N153" i="10"/>
  <c r="B153" i="17" s="1"/>
  <c r="B644" i="18" s="1"/>
  <c r="R153" i="5"/>
  <c r="T153" i="5"/>
  <c r="U153" i="5"/>
  <c r="D153" i="10"/>
  <c r="AB153" i="10"/>
  <c r="S153" i="5"/>
  <c r="V152" i="5"/>
  <c r="Q152" i="10"/>
  <c r="B888" i="18" s="1"/>
  <c r="S152" i="10"/>
  <c r="F888" i="18" s="1"/>
  <c r="W152" i="5"/>
  <c r="R152" i="5"/>
  <c r="U152" i="5"/>
  <c r="S152" i="5"/>
  <c r="T152" i="5"/>
  <c r="D152" i="10"/>
  <c r="AB152" i="10"/>
  <c r="Q151" i="10"/>
  <c r="B887" i="18" s="1"/>
  <c r="V151" i="5"/>
  <c r="W151" i="5"/>
  <c r="S151" i="10"/>
  <c r="F887" i="18" s="1"/>
  <c r="E152" i="10"/>
  <c r="N152" i="10"/>
  <c r="B152" i="17" s="1"/>
  <c r="B643" i="18" s="1"/>
  <c r="AI152" i="5"/>
  <c r="AR152" i="5"/>
  <c r="AS152" i="5"/>
  <c r="AO151" i="5"/>
  <c r="R151" i="10"/>
  <c r="D887" i="18" s="1"/>
  <c r="AP151" i="5"/>
  <c r="T151" i="10"/>
  <c r="H887" i="18" s="1"/>
  <c r="AI150" i="5"/>
  <c r="AR150" i="5"/>
  <c r="AS150" i="5"/>
  <c r="E150" i="10"/>
  <c r="N150" i="10"/>
  <c r="B150" i="17" s="1"/>
  <c r="B641" i="18" s="1"/>
  <c r="AP149" i="5"/>
  <c r="T149" i="10"/>
  <c r="H885" i="18" s="1"/>
  <c r="AO149" i="5"/>
  <c r="R149" i="10"/>
  <c r="D885" i="18" s="1"/>
  <c r="R150" i="5"/>
  <c r="D150" i="10"/>
  <c r="AB150" i="10"/>
  <c r="S150" i="5"/>
  <c r="U150" i="5"/>
  <c r="T150" i="5"/>
  <c r="V149" i="5"/>
  <c r="Q149" i="10"/>
  <c r="B885" i="18" s="1"/>
  <c r="W149" i="5"/>
  <c r="S149" i="10"/>
  <c r="F885" i="18" s="1"/>
  <c r="AR149" i="5"/>
  <c r="AS149" i="5"/>
  <c r="E149" i="10"/>
  <c r="N149" i="10"/>
  <c r="B149" i="17" s="1"/>
  <c r="B640" i="18" s="1"/>
  <c r="AI149" i="5"/>
  <c r="AO148" i="5"/>
  <c r="R148" i="10"/>
  <c r="D884" i="18" s="1"/>
  <c r="AP148" i="5"/>
  <c r="T148" i="10"/>
  <c r="H884" i="18" s="1"/>
  <c r="R149" i="5"/>
  <c r="S149" i="5"/>
  <c r="T149" i="5"/>
  <c r="U149" i="5"/>
  <c r="D149" i="10"/>
  <c r="AB149" i="10"/>
  <c r="V148" i="5"/>
  <c r="Q148" i="10"/>
  <c r="B884" i="18" s="1"/>
  <c r="W148" i="5"/>
  <c r="S148" i="10"/>
  <c r="F884" i="18" s="1"/>
  <c r="V145" i="5"/>
  <c r="Q145" i="10"/>
  <c r="B881" i="18" s="1"/>
  <c r="W145" i="5"/>
  <c r="S145" i="10"/>
  <c r="F881" i="18" s="1"/>
  <c r="S146" i="5"/>
  <c r="D146" i="10"/>
  <c r="AB146" i="10"/>
  <c r="R146" i="5"/>
  <c r="T146" i="5"/>
  <c r="U146" i="5"/>
  <c r="AR146" i="5"/>
  <c r="AI146" i="5"/>
  <c r="AS146" i="5"/>
  <c r="E146" i="10"/>
  <c r="N146" i="10"/>
  <c r="B146" i="17" s="1"/>
  <c r="B637" i="18" s="1"/>
  <c r="AO145" i="5"/>
  <c r="R145" i="10"/>
  <c r="D881" i="18" s="1"/>
  <c r="AP145" i="5"/>
  <c r="T145" i="10"/>
  <c r="H881" i="18" s="1"/>
  <c r="U137" i="5"/>
  <c r="D137" i="10"/>
  <c r="AB137" i="10"/>
  <c r="S137" i="5"/>
  <c r="R137" i="5"/>
  <c r="T137" i="5"/>
  <c r="S136" i="10"/>
  <c r="F872" i="18" s="1"/>
  <c r="W136" i="5"/>
  <c r="Q136" i="10"/>
  <c r="B872" i="18" s="1"/>
  <c r="V136" i="5"/>
  <c r="AI137" i="5"/>
  <c r="AS137" i="5"/>
  <c r="E137" i="10"/>
  <c r="N137" i="10"/>
  <c r="B137" i="17" s="1"/>
  <c r="B628" i="18" s="1"/>
  <c r="AR137" i="5"/>
  <c r="AO136" i="5"/>
  <c r="R136" i="10"/>
  <c r="D872" i="18" s="1"/>
  <c r="AP136" i="5"/>
  <c r="T136" i="10"/>
  <c r="H872" i="18" s="1"/>
  <c r="Q132" i="10"/>
  <c r="B868" i="18" s="1"/>
  <c r="V132" i="5"/>
  <c r="S132" i="10"/>
  <c r="F868" i="18" s="1"/>
  <c r="W132" i="5"/>
  <c r="R133" i="5"/>
  <c r="T133" i="5"/>
  <c r="D133" i="10"/>
  <c r="AB133" i="10"/>
  <c r="S133" i="5"/>
  <c r="U133" i="5"/>
  <c r="R132" i="10"/>
  <c r="D868" i="18" s="1"/>
  <c r="AO132" i="5"/>
  <c r="AP132" i="5"/>
  <c r="T132" i="10"/>
  <c r="H868" i="18" s="1"/>
  <c r="AS133" i="5"/>
  <c r="E133" i="10"/>
  <c r="N133" i="10"/>
  <c r="B133" i="17" s="1"/>
  <c r="B624" i="18" s="1"/>
  <c r="AI133" i="5"/>
  <c r="AR133" i="5"/>
  <c r="Q127" i="10"/>
  <c r="B863" i="18" s="1"/>
  <c r="V127" i="5"/>
  <c r="S127" i="10"/>
  <c r="F863" i="18" s="1"/>
  <c r="W127" i="5"/>
  <c r="S128" i="5"/>
  <c r="T128" i="5"/>
  <c r="U128" i="5"/>
  <c r="R128" i="5"/>
  <c r="D128" i="10"/>
  <c r="AB128" i="10"/>
  <c r="AS128" i="5"/>
  <c r="AR128" i="5"/>
  <c r="E128" i="10"/>
  <c r="N128" i="10"/>
  <c r="B128" i="17" s="1"/>
  <c r="B619" i="18" s="1"/>
  <c r="AI128" i="5"/>
  <c r="R127" i="10"/>
  <c r="D863" i="18" s="1"/>
  <c r="AO127" i="5"/>
  <c r="T127" i="10"/>
  <c r="H863" i="18" s="1"/>
  <c r="AP127" i="5"/>
  <c r="S126" i="5"/>
  <c r="R126" i="5"/>
  <c r="U126" i="5"/>
  <c r="D126" i="10"/>
  <c r="AB126" i="10"/>
  <c r="T126" i="5"/>
  <c r="V125" i="5"/>
  <c r="Q125" i="10"/>
  <c r="B861" i="18" s="1"/>
  <c r="W125" i="5"/>
  <c r="S125" i="10"/>
  <c r="F861" i="18" s="1"/>
  <c r="E126" i="10"/>
  <c r="N126" i="10"/>
  <c r="B126" i="17" s="1"/>
  <c r="B617" i="18" s="1"/>
  <c r="AI126" i="5"/>
  <c r="AS126" i="5"/>
  <c r="AR126" i="5"/>
  <c r="AO125" i="5"/>
  <c r="R125" i="10"/>
  <c r="D861" i="18" s="1"/>
  <c r="AP125" i="5"/>
  <c r="T125" i="10"/>
  <c r="H861" i="18" s="1"/>
  <c r="S103" i="10"/>
  <c r="F839" i="18" s="1"/>
  <c r="W103" i="5"/>
  <c r="V103" i="5"/>
  <c r="Q103" i="10"/>
  <c r="B839" i="18" s="1"/>
  <c r="D104" i="10"/>
  <c r="AB104" i="10"/>
  <c r="T104" i="5"/>
  <c r="U104" i="5"/>
  <c r="S104" i="5"/>
  <c r="R104" i="5"/>
  <c r="AO103" i="5"/>
  <c r="R103" i="10"/>
  <c r="D839" i="18" s="1"/>
  <c r="AP103" i="5"/>
  <c r="T103" i="10"/>
  <c r="H839" i="18" s="1"/>
  <c r="AS104" i="5"/>
  <c r="AR104" i="5"/>
  <c r="E104" i="10"/>
  <c r="N104" i="10"/>
  <c r="B104" i="17" s="1"/>
  <c r="B595" i="18" s="1"/>
  <c r="AI104" i="5"/>
  <c r="R224" i="5"/>
  <c r="S224" i="5"/>
  <c r="T224" i="5"/>
  <c r="U224" i="5"/>
  <c r="D224" i="10"/>
  <c r="AB224" i="10"/>
  <c r="V223" i="5"/>
  <c r="Q223" i="10"/>
  <c r="B959" i="18" s="1"/>
  <c r="W223" i="5"/>
  <c r="S223" i="10"/>
  <c r="F959" i="18" s="1"/>
  <c r="AI224" i="5"/>
  <c r="AR224" i="5"/>
  <c r="AS224" i="5"/>
  <c r="E224" i="10"/>
  <c r="N224" i="10"/>
  <c r="B224" i="17" s="1"/>
  <c r="B715" i="18" s="1"/>
  <c r="AO223" i="5"/>
  <c r="R223" i="10"/>
  <c r="D959" i="18" s="1"/>
  <c r="AP223" i="5"/>
  <c r="T223" i="10"/>
  <c r="H959" i="18" s="1"/>
  <c r="R223" i="5"/>
  <c r="S223" i="5"/>
  <c r="T223" i="5"/>
  <c r="U223" i="5"/>
  <c r="D223" i="10"/>
  <c r="AB223" i="10"/>
  <c r="V222" i="5"/>
  <c r="Q222" i="10"/>
  <c r="B958" i="18" s="1"/>
  <c r="W222" i="5"/>
  <c r="S222" i="10"/>
  <c r="F958" i="18" s="1"/>
  <c r="AI223" i="5"/>
  <c r="AR223" i="5"/>
  <c r="AS223" i="5"/>
  <c r="E223" i="10"/>
  <c r="N223" i="10"/>
  <c r="B223" i="17" s="1"/>
  <c r="B714" i="18" s="1"/>
  <c r="AO222" i="5"/>
  <c r="R222" i="10"/>
  <c r="D958" i="18" s="1"/>
  <c r="AP222" i="5"/>
  <c r="T222" i="10"/>
  <c r="H958" i="18" s="1"/>
  <c r="R222" i="5"/>
  <c r="S222" i="5"/>
  <c r="T222" i="5"/>
  <c r="U222" i="5"/>
  <c r="AB222" i="10"/>
  <c r="D222" i="10"/>
  <c r="V221" i="5"/>
  <c r="Q221" i="10"/>
  <c r="B957" i="18" s="1"/>
  <c r="W221" i="5"/>
  <c r="S221" i="10"/>
  <c r="F957" i="18" s="1"/>
  <c r="AI222" i="5"/>
  <c r="AR222" i="5"/>
  <c r="AS222" i="5"/>
  <c r="E222" i="10"/>
  <c r="N222" i="10"/>
  <c r="B222" i="17" s="1"/>
  <c r="B713" i="18" s="1"/>
  <c r="AO221" i="5"/>
  <c r="R221" i="10"/>
  <c r="D957" i="18" s="1"/>
  <c r="AP221" i="5"/>
  <c r="T221" i="10"/>
  <c r="H957" i="18" s="1"/>
  <c r="R221" i="5"/>
  <c r="S221" i="5"/>
  <c r="T221" i="5"/>
  <c r="U221" i="5"/>
  <c r="D221" i="10"/>
  <c r="AB221" i="10"/>
  <c r="V220" i="5"/>
  <c r="Q220" i="10"/>
  <c r="B956" i="18" s="1"/>
  <c r="W220" i="5"/>
  <c r="S220" i="10"/>
  <c r="F956" i="18" s="1"/>
  <c r="AI221" i="5"/>
  <c r="AR221" i="5"/>
  <c r="AS221" i="5"/>
  <c r="E221" i="10"/>
  <c r="N221" i="10"/>
  <c r="B221" i="17" s="1"/>
  <c r="B712" i="18" s="1"/>
  <c r="AO220" i="5"/>
  <c r="R220" i="10"/>
  <c r="D956" i="18" s="1"/>
  <c r="AP220" i="5"/>
  <c r="T220" i="10"/>
  <c r="H956" i="18" s="1"/>
  <c r="R220" i="5"/>
  <c r="S220" i="5"/>
  <c r="T220" i="5"/>
  <c r="U220" i="5"/>
  <c r="D220" i="10"/>
  <c r="AB220" i="10"/>
  <c r="V219" i="5"/>
  <c r="Q219" i="10"/>
  <c r="B955" i="18" s="1"/>
  <c r="W219" i="5"/>
  <c r="S219" i="10"/>
  <c r="F955" i="18" s="1"/>
  <c r="AI220" i="5"/>
  <c r="AR220" i="5"/>
  <c r="AS220" i="5"/>
  <c r="N220" i="10"/>
  <c r="B220" i="17" s="1"/>
  <c r="B711" i="18" s="1"/>
  <c r="E220" i="10"/>
  <c r="AO219" i="5"/>
  <c r="R219" i="10"/>
  <c r="D955" i="18" s="1"/>
  <c r="AP219" i="5"/>
  <c r="T219" i="10"/>
  <c r="H955" i="18" s="1"/>
  <c r="R219" i="5"/>
  <c r="S219" i="5"/>
  <c r="T219" i="5"/>
  <c r="U219" i="5"/>
  <c r="D219" i="10"/>
  <c r="AB219" i="10"/>
  <c r="V218" i="5"/>
  <c r="Q218" i="10"/>
  <c r="B954" i="18" s="1"/>
  <c r="W218" i="5"/>
  <c r="S218" i="10"/>
  <c r="F954" i="18" s="1"/>
  <c r="AI219" i="5"/>
  <c r="AR219" i="5"/>
  <c r="AS219" i="5"/>
  <c r="N219" i="10"/>
  <c r="B219" i="17" s="1"/>
  <c r="B710" i="18" s="1"/>
  <c r="E219" i="10"/>
  <c r="AO218" i="5"/>
  <c r="R218" i="10"/>
  <c r="D954" i="18" s="1"/>
  <c r="AP218" i="5"/>
  <c r="T218" i="10"/>
  <c r="H954" i="18" s="1"/>
  <c r="R218" i="5"/>
  <c r="S218" i="5"/>
  <c r="T218" i="5"/>
  <c r="U218" i="5"/>
  <c r="AB218" i="10"/>
  <c r="D218" i="10"/>
  <c r="V217" i="5"/>
  <c r="Q217" i="10"/>
  <c r="B953" i="18" s="1"/>
  <c r="W217" i="5"/>
  <c r="S217" i="10"/>
  <c r="F953" i="18" s="1"/>
  <c r="AI218" i="5"/>
  <c r="AR218" i="5"/>
  <c r="AS218" i="5"/>
  <c r="N218" i="10"/>
  <c r="B218" i="17" s="1"/>
  <c r="B709" i="18" s="1"/>
  <c r="E218" i="10"/>
  <c r="AO217" i="5"/>
  <c r="R217" i="10"/>
  <c r="D953" i="18" s="1"/>
  <c r="AP217" i="5"/>
  <c r="T217" i="10"/>
  <c r="H953" i="18" s="1"/>
  <c r="R217" i="5"/>
  <c r="S217" i="5"/>
  <c r="T217" i="5"/>
  <c r="U217" i="5"/>
  <c r="D217" i="10"/>
  <c r="AB217" i="10"/>
  <c r="V216" i="5"/>
  <c r="Q216" i="10"/>
  <c r="B952" i="18" s="1"/>
  <c r="W216" i="5"/>
  <c r="S216" i="10"/>
  <c r="F952" i="18" s="1"/>
  <c r="AI217" i="5"/>
  <c r="AR217" i="5"/>
  <c r="AS217" i="5"/>
  <c r="E217" i="10"/>
  <c r="N217" i="10"/>
  <c r="B217" i="17" s="1"/>
  <c r="B708" i="18" s="1"/>
  <c r="AO216" i="5"/>
  <c r="R216" i="10"/>
  <c r="D952" i="18" s="1"/>
  <c r="AP216" i="5"/>
  <c r="T216" i="10"/>
  <c r="H952" i="18" s="1"/>
  <c r="R216" i="5"/>
  <c r="S216" i="5"/>
  <c r="T216" i="5"/>
  <c r="U216" i="5"/>
  <c r="D216" i="10"/>
  <c r="AB216" i="10"/>
  <c r="V215" i="5"/>
  <c r="Q215" i="10"/>
  <c r="B951" i="18" s="1"/>
  <c r="W215" i="5"/>
  <c r="S215" i="10"/>
  <c r="F951" i="18" s="1"/>
  <c r="AI216" i="5"/>
  <c r="AR216" i="5"/>
  <c r="AS216" i="5"/>
  <c r="E216" i="10"/>
  <c r="N216" i="10"/>
  <c r="B216" i="17" s="1"/>
  <c r="B707" i="18" s="1"/>
  <c r="AO215" i="5"/>
  <c r="R215" i="10"/>
  <c r="D951" i="18" s="1"/>
  <c r="AP215" i="5"/>
  <c r="T215" i="10"/>
  <c r="H951" i="18" s="1"/>
  <c r="R215" i="5"/>
  <c r="S215" i="5"/>
  <c r="T215" i="5"/>
  <c r="U215" i="5"/>
  <c r="D215" i="10"/>
  <c r="AB215" i="10"/>
  <c r="V214" i="5"/>
  <c r="Q214" i="10"/>
  <c r="B950" i="18" s="1"/>
  <c r="W214" i="5"/>
  <c r="S214" i="10"/>
  <c r="F950" i="18" s="1"/>
  <c r="AI215" i="5"/>
  <c r="AR215" i="5"/>
  <c r="AS215" i="5"/>
  <c r="E215" i="10"/>
  <c r="N215" i="10"/>
  <c r="B215" i="17" s="1"/>
  <c r="B706" i="18" s="1"/>
  <c r="AO214" i="5"/>
  <c r="R214" i="10"/>
  <c r="D950" i="18" s="1"/>
  <c r="AP214" i="5"/>
  <c r="T214" i="10"/>
  <c r="H950" i="18" s="1"/>
  <c r="R214" i="5"/>
  <c r="S214" i="5"/>
  <c r="T214" i="5"/>
  <c r="U214" i="5"/>
  <c r="D214" i="10"/>
  <c r="AB214" i="10"/>
  <c r="V213" i="5"/>
  <c r="Q213" i="10"/>
  <c r="B949" i="18" s="1"/>
  <c r="W213" i="5"/>
  <c r="S213" i="10"/>
  <c r="F949" i="18" s="1"/>
  <c r="AI214" i="5"/>
  <c r="AR214" i="5"/>
  <c r="AS214" i="5"/>
  <c r="E214" i="10"/>
  <c r="N214" i="10"/>
  <c r="B214" i="17" s="1"/>
  <c r="B705" i="18" s="1"/>
  <c r="AO213" i="5"/>
  <c r="R213" i="10"/>
  <c r="D949" i="18" s="1"/>
  <c r="AP213" i="5"/>
  <c r="T213" i="10"/>
  <c r="H949" i="18" s="1"/>
  <c r="R213" i="5"/>
  <c r="S213" i="5"/>
  <c r="T213" i="5"/>
  <c r="U213" i="5"/>
  <c r="D213" i="10"/>
  <c r="AB213" i="10"/>
  <c r="V212" i="5"/>
  <c r="Q212" i="10"/>
  <c r="B948" i="18" s="1"/>
  <c r="W212" i="5"/>
  <c r="S212" i="10"/>
  <c r="F948" i="18" s="1"/>
  <c r="AI213" i="5"/>
  <c r="AR213" i="5"/>
  <c r="AS213" i="5"/>
  <c r="E213" i="10"/>
  <c r="N213" i="10"/>
  <c r="B213" i="17" s="1"/>
  <c r="B704" i="18" s="1"/>
  <c r="AO212" i="5"/>
  <c r="R212" i="10"/>
  <c r="D948" i="18" s="1"/>
  <c r="AP212" i="5"/>
  <c r="T212" i="10"/>
  <c r="H948" i="18" s="1"/>
  <c r="R212" i="5"/>
  <c r="S212" i="5"/>
  <c r="T212" i="5"/>
  <c r="U212" i="5"/>
  <c r="D212" i="10"/>
  <c r="AB212" i="10"/>
  <c r="V211" i="5"/>
  <c r="Q211" i="10"/>
  <c r="B947" i="18" s="1"/>
  <c r="W211" i="5"/>
  <c r="S211" i="10"/>
  <c r="F947" i="18" s="1"/>
  <c r="AI212" i="5"/>
  <c r="AR212" i="5"/>
  <c r="AS212" i="5"/>
  <c r="E212" i="10"/>
  <c r="N212" i="10"/>
  <c r="B212" i="17" s="1"/>
  <c r="B703" i="18" s="1"/>
  <c r="AO211" i="5"/>
  <c r="R211" i="10"/>
  <c r="D947" i="18" s="1"/>
  <c r="AP211" i="5"/>
  <c r="T211" i="10"/>
  <c r="H947" i="18" s="1"/>
  <c r="R211" i="5"/>
  <c r="S211" i="5"/>
  <c r="T211" i="5"/>
  <c r="U211" i="5"/>
  <c r="D211" i="10"/>
  <c r="AB211" i="10"/>
  <c r="V210" i="5"/>
  <c r="Q210" i="10"/>
  <c r="B946" i="18" s="1"/>
  <c r="W210" i="5"/>
  <c r="S210" i="10"/>
  <c r="F946" i="18" s="1"/>
  <c r="AI211" i="5"/>
  <c r="AR211" i="5"/>
  <c r="AS211" i="5"/>
  <c r="E211" i="10"/>
  <c r="N211" i="10"/>
  <c r="B211" i="17" s="1"/>
  <c r="B702" i="18" s="1"/>
  <c r="AO210" i="5"/>
  <c r="R210" i="10"/>
  <c r="D946" i="18" s="1"/>
  <c r="AP210" i="5"/>
  <c r="T210" i="10"/>
  <c r="H946" i="18" s="1"/>
  <c r="R210" i="5"/>
  <c r="S210" i="5"/>
  <c r="T210" i="5"/>
  <c r="U210" i="5"/>
  <c r="D210" i="10"/>
  <c r="AB210" i="10"/>
  <c r="V209" i="5"/>
  <c r="Q209" i="10"/>
  <c r="B945" i="18" s="1"/>
  <c r="W209" i="5"/>
  <c r="S209" i="10"/>
  <c r="F945" i="18" s="1"/>
  <c r="AI210" i="5"/>
  <c r="AR210" i="5"/>
  <c r="AS210" i="5"/>
  <c r="E210" i="10"/>
  <c r="N210" i="10"/>
  <c r="B210" i="17" s="1"/>
  <c r="B701" i="18" s="1"/>
  <c r="AO209" i="5"/>
  <c r="R209" i="10"/>
  <c r="D945" i="18" s="1"/>
  <c r="AP209" i="5"/>
  <c r="T209" i="10"/>
  <c r="H945" i="18" s="1"/>
  <c r="R209" i="5"/>
  <c r="S209" i="5"/>
  <c r="T209" i="5"/>
  <c r="U209" i="5"/>
  <c r="D209" i="10"/>
  <c r="AB209" i="10"/>
  <c r="V208" i="5"/>
  <c r="Q208" i="10"/>
  <c r="B944" i="18" s="1"/>
  <c r="W208" i="5"/>
  <c r="S208" i="10"/>
  <c r="F944" i="18" s="1"/>
  <c r="AI209" i="5"/>
  <c r="AR209" i="5"/>
  <c r="AS209" i="5"/>
  <c r="E209" i="10"/>
  <c r="N209" i="10"/>
  <c r="B209" i="17" s="1"/>
  <c r="B700" i="18" s="1"/>
  <c r="AO208" i="5"/>
  <c r="R208" i="10"/>
  <c r="D944" i="18" s="1"/>
  <c r="AP208" i="5"/>
  <c r="T208" i="10"/>
  <c r="H944" i="18" s="1"/>
  <c r="R208" i="5"/>
  <c r="S208" i="5"/>
  <c r="T208" i="5"/>
  <c r="U208" i="5"/>
  <c r="D208" i="10"/>
  <c r="AB208" i="10"/>
  <c r="V207" i="5"/>
  <c r="Q207" i="10"/>
  <c r="B943" i="18" s="1"/>
  <c r="W207" i="5"/>
  <c r="S207" i="10"/>
  <c r="F943" i="18" s="1"/>
  <c r="AI208" i="5"/>
  <c r="AR208" i="5"/>
  <c r="AS208" i="5"/>
  <c r="E208" i="10"/>
  <c r="N208" i="10"/>
  <c r="B208" i="17" s="1"/>
  <c r="B699" i="18" s="1"/>
  <c r="AO207" i="5"/>
  <c r="R207" i="10"/>
  <c r="D943" i="18" s="1"/>
  <c r="AP207" i="5"/>
  <c r="T207" i="10"/>
  <c r="H943" i="18" s="1"/>
  <c r="R207" i="5"/>
  <c r="S207" i="5"/>
  <c r="T207" i="5"/>
  <c r="U207" i="5"/>
  <c r="D207" i="10"/>
  <c r="AB207" i="10"/>
  <c r="V206" i="5"/>
  <c r="Q206" i="10"/>
  <c r="B942" i="18" s="1"/>
  <c r="W206" i="5"/>
  <c r="S206" i="10"/>
  <c r="F942" i="18" s="1"/>
  <c r="AI207" i="5"/>
  <c r="AR207" i="5"/>
  <c r="AS207" i="5"/>
  <c r="E207" i="10"/>
  <c r="N207" i="10"/>
  <c r="B207" i="17" s="1"/>
  <c r="B698" i="18" s="1"/>
  <c r="AO206" i="5"/>
  <c r="R206" i="10"/>
  <c r="D942" i="18" s="1"/>
  <c r="AP206" i="5"/>
  <c r="T206" i="10"/>
  <c r="H942" i="18" s="1"/>
  <c r="R206" i="5"/>
  <c r="S206" i="5"/>
  <c r="T206" i="5"/>
  <c r="U206" i="5"/>
  <c r="D206" i="10"/>
  <c r="AB206" i="10"/>
  <c r="V205" i="5"/>
  <c r="Q205" i="10"/>
  <c r="B941" i="18" s="1"/>
  <c r="W205" i="5"/>
  <c r="S205" i="10"/>
  <c r="F941" i="18" s="1"/>
  <c r="AI206" i="5"/>
  <c r="AR206" i="5"/>
  <c r="AS206" i="5"/>
  <c r="E206" i="10"/>
  <c r="N206" i="10"/>
  <c r="B206" i="17" s="1"/>
  <c r="B697" i="18" s="1"/>
  <c r="AO205" i="5"/>
  <c r="R205" i="10"/>
  <c r="D941" i="18" s="1"/>
  <c r="AP205" i="5"/>
  <c r="T205" i="10"/>
  <c r="H941" i="18" s="1"/>
  <c r="R205" i="5"/>
  <c r="S205" i="5"/>
  <c r="T205" i="5"/>
  <c r="U205" i="5"/>
  <c r="D205" i="10"/>
  <c r="AB205" i="10"/>
  <c r="V204" i="5"/>
  <c r="Q204" i="10"/>
  <c r="B940" i="18" s="1"/>
  <c r="W204" i="5"/>
  <c r="S204" i="10"/>
  <c r="F940" i="18" s="1"/>
  <c r="AI205" i="5"/>
  <c r="AR205" i="5"/>
  <c r="AS205" i="5"/>
  <c r="E205" i="10"/>
  <c r="N205" i="10"/>
  <c r="B205" i="17" s="1"/>
  <c r="B696" i="18" s="1"/>
  <c r="AO204" i="5"/>
  <c r="R204" i="10"/>
  <c r="D940" i="18" s="1"/>
  <c r="AP204" i="5"/>
  <c r="T204" i="10"/>
  <c r="H940" i="18" s="1"/>
  <c r="R204" i="5"/>
  <c r="S204" i="5"/>
  <c r="T204" i="5"/>
  <c r="U204" i="5"/>
  <c r="D204" i="10"/>
  <c r="AB204" i="10"/>
  <c r="V203" i="5"/>
  <c r="Q203" i="10"/>
  <c r="B939" i="18" s="1"/>
  <c r="W203" i="5"/>
  <c r="S203" i="10"/>
  <c r="F939" i="18" s="1"/>
  <c r="AI204" i="5"/>
  <c r="AR204" i="5"/>
  <c r="AS204" i="5"/>
  <c r="E204" i="10"/>
  <c r="N204" i="10"/>
  <c r="B204" i="17" s="1"/>
  <c r="B695" i="18" s="1"/>
  <c r="AO203" i="5"/>
  <c r="R203" i="10"/>
  <c r="D939" i="18" s="1"/>
  <c r="AP203" i="5"/>
  <c r="T203" i="10"/>
  <c r="H939" i="18" s="1"/>
  <c r="R203" i="5"/>
  <c r="S203" i="5"/>
  <c r="T203" i="5"/>
  <c r="U203" i="5"/>
  <c r="D203" i="10"/>
  <c r="AB203" i="10"/>
  <c r="V202" i="5"/>
  <c r="Q202" i="10"/>
  <c r="B938" i="18" s="1"/>
  <c r="W202" i="5"/>
  <c r="S202" i="10"/>
  <c r="F938" i="18" s="1"/>
  <c r="AI203" i="5"/>
  <c r="AR203" i="5"/>
  <c r="AS203" i="5"/>
  <c r="E203" i="10"/>
  <c r="N203" i="10"/>
  <c r="B203" i="17" s="1"/>
  <c r="B694" i="18" s="1"/>
  <c r="AO202" i="5"/>
  <c r="R202" i="10"/>
  <c r="D938" i="18" s="1"/>
  <c r="AP202" i="5"/>
  <c r="T202" i="10"/>
  <c r="H938" i="18" s="1"/>
  <c r="R202" i="5"/>
  <c r="S202" i="5"/>
  <c r="T202" i="5"/>
  <c r="U202" i="5"/>
  <c r="D202" i="10"/>
  <c r="AB202" i="10"/>
  <c r="V201" i="5"/>
  <c r="Q201" i="10"/>
  <c r="B937" i="18" s="1"/>
  <c r="W201" i="5"/>
  <c r="S201" i="10"/>
  <c r="F937" i="18" s="1"/>
  <c r="AI202" i="5"/>
  <c r="AR202" i="5"/>
  <c r="AS202" i="5"/>
  <c r="E202" i="10"/>
  <c r="N202" i="10"/>
  <c r="B202" i="17" s="1"/>
  <c r="B693" i="18" s="1"/>
  <c r="AO201" i="5"/>
  <c r="R201" i="10"/>
  <c r="D937" i="18" s="1"/>
  <c r="AP201" i="5"/>
  <c r="T201" i="10"/>
  <c r="H937" i="18" s="1"/>
  <c r="R201" i="5"/>
  <c r="S201" i="5"/>
  <c r="T201" i="5"/>
  <c r="U201" i="5"/>
  <c r="D201" i="10"/>
  <c r="AB201" i="10"/>
  <c r="V200" i="5"/>
  <c r="Q200" i="10"/>
  <c r="B936" i="18" s="1"/>
  <c r="W200" i="5"/>
  <c r="S200" i="10"/>
  <c r="F936" i="18" s="1"/>
  <c r="AI201" i="5"/>
  <c r="AR201" i="5"/>
  <c r="AS201" i="5"/>
  <c r="E201" i="10"/>
  <c r="N201" i="10"/>
  <c r="B201" i="17" s="1"/>
  <c r="B692" i="18" s="1"/>
  <c r="AO200" i="5"/>
  <c r="R200" i="10"/>
  <c r="D936" i="18" s="1"/>
  <c r="AP200" i="5"/>
  <c r="T200" i="10"/>
  <c r="H936" i="18" s="1"/>
  <c r="R200" i="5"/>
  <c r="S200" i="5"/>
  <c r="T200" i="5"/>
  <c r="U200" i="5"/>
  <c r="D200" i="10"/>
  <c r="AB200" i="10"/>
  <c r="V199" i="5"/>
  <c r="Q199" i="10"/>
  <c r="B935" i="18" s="1"/>
  <c r="W199" i="5"/>
  <c r="S199" i="10"/>
  <c r="F935" i="18" s="1"/>
  <c r="AI200" i="5"/>
  <c r="AR200" i="5"/>
  <c r="AS200" i="5"/>
  <c r="E200" i="10"/>
  <c r="N200" i="10"/>
  <c r="B200" i="17" s="1"/>
  <c r="B691" i="18" s="1"/>
  <c r="AO199" i="5"/>
  <c r="R199" i="10"/>
  <c r="D935" i="18" s="1"/>
  <c r="AP199" i="5"/>
  <c r="T199" i="10"/>
  <c r="H935" i="18" s="1"/>
  <c r="R199" i="5"/>
  <c r="S199" i="5"/>
  <c r="T199" i="5"/>
  <c r="U199" i="5"/>
  <c r="D199" i="10"/>
  <c r="AB199" i="10"/>
  <c r="V198" i="5"/>
  <c r="Q198" i="10"/>
  <c r="B934" i="18" s="1"/>
  <c r="W198" i="5"/>
  <c r="S198" i="10"/>
  <c r="F934" i="18" s="1"/>
  <c r="AI199" i="5"/>
  <c r="AR199" i="5"/>
  <c r="AS199" i="5"/>
  <c r="E199" i="10"/>
  <c r="N199" i="10"/>
  <c r="B199" i="17" s="1"/>
  <c r="B690" i="18" s="1"/>
  <c r="AO198" i="5"/>
  <c r="R198" i="10"/>
  <c r="D934" i="18" s="1"/>
  <c r="AP198" i="5"/>
  <c r="T198" i="10"/>
  <c r="H934" i="18" s="1"/>
  <c r="R198" i="5"/>
  <c r="S198" i="5"/>
  <c r="T198" i="5"/>
  <c r="U198" i="5"/>
  <c r="D198" i="10"/>
  <c r="AB198" i="10"/>
  <c r="V197" i="5"/>
  <c r="Q197" i="10"/>
  <c r="B933" i="18" s="1"/>
  <c r="W197" i="5"/>
  <c r="S197" i="10"/>
  <c r="F933" i="18" s="1"/>
  <c r="AI198" i="5"/>
  <c r="AR198" i="5"/>
  <c r="AS198" i="5"/>
  <c r="E198" i="10"/>
  <c r="N198" i="10"/>
  <c r="B198" i="17" s="1"/>
  <c r="B689" i="18" s="1"/>
  <c r="AO197" i="5"/>
  <c r="R197" i="10"/>
  <c r="D933" i="18" s="1"/>
  <c r="AP197" i="5"/>
  <c r="T197" i="10"/>
  <c r="H933" i="18" s="1"/>
  <c r="R197" i="5"/>
  <c r="S197" i="5"/>
  <c r="T197" i="5"/>
  <c r="U197" i="5"/>
  <c r="D197" i="10"/>
  <c r="AB197" i="10"/>
  <c r="V196" i="5"/>
  <c r="Q196" i="10"/>
  <c r="B932" i="18" s="1"/>
  <c r="W196" i="5"/>
  <c r="S196" i="10"/>
  <c r="F932" i="18" s="1"/>
  <c r="AI197" i="5"/>
  <c r="AR197" i="5"/>
  <c r="AS197" i="5"/>
  <c r="E197" i="10"/>
  <c r="N197" i="10"/>
  <c r="B197" i="17" s="1"/>
  <c r="B688" i="18" s="1"/>
  <c r="AO196" i="5"/>
  <c r="R196" i="10"/>
  <c r="D932" i="18" s="1"/>
  <c r="AP196" i="5"/>
  <c r="T196" i="10"/>
  <c r="H932" i="18" s="1"/>
  <c r="R196" i="5"/>
  <c r="S196" i="5"/>
  <c r="T196" i="5"/>
  <c r="U196" i="5"/>
  <c r="D196" i="10"/>
  <c r="AB196" i="10"/>
  <c r="V195" i="5"/>
  <c r="Q195" i="10"/>
  <c r="B931" i="18" s="1"/>
  <c r="W195" i="5"/>
  <c r="S195" i="10"/>
  <c r="F931" i="18" s="1"/>
  <c r="AI196" i="5"/>
  <c r="AR196" i="5"/>
  <c r="AS196" i="5"/>
  <c r="E196" i="10"/>
  <c r="N196" i="10"/>
  <c r="B196" i="17" s="1"/>
  <c r="B687" i="18" s="1"/>
  <c r="AO195" i="5"/>
  <c r="R195" i="10"/>
  <c r="D931" i="18" s="1"/>
  <c r="AP195" i="5"/>
  <c r="T195" i="10"/>
  <c r="H931" i="18" s="1"/>
  <c r="R195" i="5"/>
  <c r="S195" i="5"/>
  <c r="T195" i="5"/>
  <c r="U195" i="5"/>
  <c r="D195" i="10"/>
  <c r="AB195" i="10"/>
  <c r="V194" i="5"/>
  <c r="Q194" i="10"/>
  <c r="B930" i="18" s="1"/>
  <c r="W194" i="5"/>
  <c r="S194" i="10"/>
  <c r="F930" i="18" s="1"/>
  <c r="AI195" i="5"/>
  <c r="AR195" i="5"/>
  <c r="AS195" i="5"/>
  <c r="E195" i="10"/>
  <c r="N195" i="10"/>
  <c r="B195" i="17" s="1"/>
  <c r="B686" i="18" s="1"/>
  <c r="AO194" i="5"/>
  <c r="R194" i="10"/>
  <c r="D930" i="18" s="1"/>
  <c r="AP194" i="5"/>
  <c r="T194" i="10"/>
  <c r="H930" i="18" s="1"/>
  <c r="R194" i="5"/>
  <c r="S194" i="5"/>
  <c r="T194" i="5"/>
  <c r="U194" i="5"/>
  <c r="D194" i="10"/>
  <c r="AB194" i="10"/>
  <c r="V193" i="5"/>
  <c r="Q193" i="10"/>
  <c r="B929" i="18" s="1"/>
  <c r="W193" i="5"/>
  <c r="S193" i="10"/>
  <c r="F929" i="18" s="1"/>
  <c r="AI194" i="5"/>
  <c r="AR194" i="5"/>
  <c r="AS194" i="5"/>
  <c r="E194" i="10"/>
  <c r="N194" i="10"/>
  <c r="B194" i="17" s="1"/>
  <c r="B685" i="18" s="1"/>
  <c r="AO193" i="5"/>
  <c r="R193" i="10"/>
  <c r="D929" i="18" s="1"/>
  <c r="AP193" i="5"/>
  <c r="T193" i="10"/>
  <c r="H929" i="18" s="1"/>
  <c r="R193" i="5"/>
  <c r="S193" i="5"/>
  <c r="T193" i="5"/>
  <c r="U193" i="5"/>
  <c r="D193" i="10"/>
  <c r="AB193" i="10"/>
  <c r="V192" i="5"/>
  <c r="Q192" i="10"/>
  <c r="B928" i="18" s="1"/>
  <c r="W192" i="5"/>
  <c r="S192" i="10"/>
  <c r="F928" i="18" s="1"/>
  <c r="AI193" i="5"/>
  <c r="AR193" i="5"/>
  <c r="AS193" i="5"/>
  <c r="E193" i="10"/>
  <c r="N193" i="10"/>
  <c r="B193" i="17" s="1"/>
  <c r="B684" i="18" s="1"/>
  <c r="AO192" i="5"/>
  <c r="R192" i="10"/>
  <c r="D928" i="18" s="1"/>
  <c r="AP192" i="5"/>
  <c r="T192" i="10"/>
  <c r="H928" i="18" s="1"/>
  <c r="R190" i="5"/>
  <c r="S190" i="5"/>
  <c r="T190" i="5"/>
  <c r="U190" i="5"/>
  <c r="D190" i="10"/>
  <c r="AB190" i="10"/>
  <c r="V189" i="5"/>
  <c r="Q189" i="10"/>
  <c r="B925" i="18" s="1"/>
  <c r="W189" i="5"/>
  <c r="S189" i="10"/>
  <c r="F925" i="18" s="1"/>
  <c r="AI190" i="5"/>
  <c r="E190" i="10"/>
  <c r="N190" i="10"/>
  <c r="B190" i="17" s="1"/>
  <c r="B681" i="18" s="1"/>
  <c r="AR190" i="5"/>
  <c r="AS190" i="5"/>
  <c r="AO189" i="5"/>
  <c r="R189" i="10"/>
  <c r="D925" i="18" s="1"/>
  <c r="AP189" i="5"/>
  <c r="T189" i="10"/>
  <c r="H925" i="18" s="1"/>
  <c r="R189" i="5"/>
  <c r="S189" i="5"/>
  <c r="T189" i="5"/>
  <c r="U189" i="5"/>
  <c r="D189" i="10"/>
  <c r="AB189" i="10"/>
  <c r="V188" i="5"/>
  <c r="Q188" i="10"/>
  <c r="B924" i="18" s="1"/>
  <c r="W188" i="5"/>
  <c r="S188" i="10"/>
  <c r="F924" i="18" s="1"/>
  <c r="AI189" i="5"/>
  <c r="AR189" i="5"/>
  <c r="AS189" i="5"/>
  <c r="E189" i="10"/>
  <c r="N189" i="10"/>
  <c r="B189" i="17" s="1"/>
  <c r="B680" i="18" s="1"/>
  <c r="AO188" i="5"/>
  <c r="R188" i="10"/>
  <c r="D924" i="18" s="1"/>
  <c r="AP188" i="5"/>
  <c r="T188" i="10"/>
  <c r="H924" i="18" s="1"/>
  <c r="R188" i="5"/>
  <c r="S188" i="5"/>
  <c r="T188" i="5"/>
  <c r="U188" i="5"/>
  <c r="D188" i="10"/>
  <c r="AB188" i="10"/>
  <c r="V187" i="5"/>
  <c r="Q187" i="10"/>
  <c r="B923" i="18" s="1"/>
  <c r="W187" i="5"/>
  <c r="S187" i="10"/>
  <c r="F923" i="18" s="1"/>
  <c r="AI188" i="5"/>
  <c r="AR188" i="5"/>
  <c r="AS188" i="5"/>
  <c r="E188" i="10"/>
  <c r="N188" i="10"/>
  <c r="B188" i="17" s="1"/>
  <c r="B679" i="18" s="1"/>
  <c r="AO187" i="5"/>
  <c r="R187" i="10"/>
  <c r="D923" i="18" s="1"/>
  <c r="AP187" i="5"/>
  <c r="T187" i="10"/>
  <c r="H923" i="18" s="1"/>
  <c r="R187" i="5"/>
  <c r="S187" i="5"/>
  <c r="T187" i="5"/>
  <c r="U187" i="5"/>
  <c r="D187" i="10"/>
  <c r="AB187" i="10"/>
  <c r="V186" i="5"/>
  <c r="Q186" i="10"/>
  <c r="B922" i="18" s="1"/>
  <c r="W186" i="5"/>
  <c r="S186" i="10"/>
  <c r="F922" i="18" s="1"/>
  <c r="AI187" i="5"/>
  <c r="AR187" i="5"/>
  <c r="AS187" i="5"/>
  <c r="E187" i="10"/>
  <c r="N187" i="10"/>
  <c r="B187" i="17" s="1"/>
  <c r="B678" i="18" s="1"/>
  <c r="AO186" i="5"/>
  <c r="R186" i="10"/>
  <c r="D922" i="18" s="1"/>
  <c r="AP186" i="5"/>
  <c r="T186" i="10"/>
  <c r="H922" i="18" s="1"/>
  <c r="R186" i="5"/>
  <c r="S186" i="5"/>
  <c r="T186" i="5"/>
  <c r="U186" i="5"/>
  <c r="D186" i="10"/>
  <c r="AB186" i="10"/>
  <c r="V185" i="5"/>
  <c r="Q185" i="10"/>
  <c r="B921" i="18" s="1"/>
  <c r="W185" i="5"/>
  <c r="S185" i="10"/>
  <c r="F921" i="18" s="1"/>
  <c r="AI186" i="5"/>
  <c r="AR186" i="5"/>
  <c r="AS186" i="5"/>
  <c r="E186" i="10"/>
  <c r="N186" i="10"/>
  <c r="B186" i="17" s="1"/>
  <c r="B677" i="18" s="1"/>
  <c r="AO185" i="5"/>
  <c r="R185" i="10"/>
  <c r="D921" i="18" s="1"/>
  <c r="AP185" i="5"/>
  <c r="T185" i="10"/>
  <c r="H921" i="18" s="1"/>
  <c r="R185" i="5"/>
  <c r="S185" i="5"/>
  <c r="T185" i="5"/>
  <c r="U185" i="5"/>
  <c r="D185" i="10"/>
  <c r="AB185" i="10"/>
  <c r="V184" i="5"/>
  <c r="Q184" i="10"/>
  <c r="B920" i="18" s="1"/>
  <c r="W184" i="5"/>
  <c r="S184" i="10"/>
  <c r="F920" i="18" s="1"/>
  <c r="AI185" i="5"/>
  <c r="AR185" i="5"/>
  <c r="AS185" i="5"/>
  <c r="E185" i="10"/>
  <c r="N185" i="10"/>
  <c r="B185" i="17" s="1"/>
  <c r="B676" i="18" s="1"/>
  <c r="AO184" i="5"/>
  <c r="R184" i="10"/>
  <c r="D920" i="18" s="1"/>
  <c r="AP184" i="5"/>
  <c r="T184" i="10"/>
  <c r="H920" i="18" s="1"/>
  <c r="R184" i="5"/>
  <c r="S184" i="5"/>
  <c r="T184" i="5"/>
  <c r="U184" i="5"/>
  <c r="D184" i="10"/>
  <c r="AB184" i="10"/>
  <c r="V183" i="5"/>
  <c r="Q183" i="10"/>
  <c r="B919" i="18" s="1"/>
  <c r="W183" i="5"/>
  <c r="S183" i="10"/>
  <c r="F919" i="18" s="1"/>
  <c r="AI184" i="5"/>
  <c r="AR184" i="5"/>
  <c r="AS184" i="5"/>
  <c r="E184" i="10"/>
  <c r="N184" i="10"/>
  <c r="B184" i="17" s="1"/>
  <c r="B675" i="18" s="1"/>
  <c r="AO183" i="5"/>
  <c r="R183" i="10"/>
  <c r="D919" i="18" s="1"/>
  <c r="AP183" i="5"/>
  <c r="T183" i="10"/>
  <c r="H919" i="18" s="1"/>
  <c r="R183" i="5"/>
  <c r="S183" i="5"/>
  <c r="T183" i="5"/>
  <c r="U183" i="5"/>
  <c r="D183" i="10"/>
  <c r="AB183" i="10"/>
  <c r="W182" i="5"/>
  <c r="S182" i="10"/>
  <c r="F918" i="18" s="1"/>
  <c r="V182" i="5"/>
  <c r="Q182" i="10"/>
  <c r="B918" i="18" s="1"/>
  <c r="AI183" i="5"/>
  <c r="AR183" i="5"/>
  <c r="AS183" i="5"/>
  <c r="E183" i="10"/>
  <c r="N183" i="10"/>
  <c r="B183" i="17" s="1"/>
  <c r="B674" i="18" s="1"/>
  <c r="AO182" i="5"/>
  <c r="R182" i="10"/>
  <c r="D918" i="18" s="1"/>
  <c r="AP182" i="5"/>
  <c r="T182" i="10"/>
  <c r="H918" i="18" s="1"/>
  <c r="R169" i="5"/>
  <c r="U169" i="5"/>
  <c r="S169" i="5"/>
  <c r="T169" i="5"/>
  <c r="D169" i="10"/>
  <c r="AB169" i="10"/>
  <c r="W168" i="5"/>
  <c r="S168" i="10"/>
  <c r="F904" i="18" s="1"/>
  <c r="V168" i="5"/>
  <c r="Q168" i="10"/>
  <c r="B904" i="18" s="1"/>
  <c r="AO168" i="5"/>
  <c r="R168" i="10"/>
  <c r="D904" i="18" s="1"/>
  <c r="AP168" i="5"/>
  <c r="T168" i="10"/>
  <c r="H904" i="18" s="1"/>
  <c r="E169" i="10"/>
  <c r="N169" i="10"/>
  <c r="B169" i="17" s="1"/>
  <c r="B660" i="18" s="1"/>
  <c r="AR169" i="5"/>
  <c r="AS169" i="5"/>
  <c r="AI169" i="5"/>
  <c r="W167" i="5"/>
  <c r="S167" i="10"/>
  <c r="F903" i="18" s="1"/>
  <c r="Q167" i="10"/>
  <c r="B903" i="18" s="1"/>
  <c r="V167" i="5"/>
  <c r="D168" i="10"/>
  <c r="AB168" i="10"/>
  <c r="R168" i="5"/>
  <c r="S168" i="5"/>
  <c r="T168" i="5"/>
  <c r="U168" i="5"/>
  <c r="AI168" i="5"/>
  <c r="AR168" i="5"/>
  <c r="AS168" i="5"/>
  <c r="E168" i="10"/>
  <c r="N168" i="10"/>
  <c r="B168" i="17" s="1"/>
  <c r="B659" i="18" s="1"/>
  <c r="AP167" i="5"/>
  <c r="T167" i="10"/>
  <c r="H903" i="18" s="1"/>
  <c r="AO167" i="5"/>
  <c r="R167" i="10"/>
  <c r="D903" i="18" s="1"/>
  <c r="W163" i="5"/>
  <c r="S163" i="10"/>
  <c r="F899" i="18" s="1"/>
  <c r="Q163" i="10"/>
  <c r="B899" i="18" s="1"/>
  <c r="V163" i="5"/>
  <c r="T164" i="5"/>
  <c r="U164" i="5"/>
  <c r="D164" i="10"/>
  <c r="AB164" i="10"/>
  <c r="S164" i="5"/>
  <c r="R164" i="5"/>
  <c r="AP163" i="5"/>
  <c r="T163" i="10"/>
  <c r="H899" i="18" s="1"/>
  <c r="R163" i="10"/>
  <c r="D899" i="18" s="1"/>
  <c r="AO163" i="5"/>
  <c r="AR164" i="5"/>
  <c r="AS164" i="5"/>
  <c r="AI164" i="5"/>
  <c r="E164" i="10"/>
  <c r="N164" i="10"/>
  <c r="B164" i="17" s="1"/>
  <c r="B655" i="18" s="1"/>
  <c r="D158" i="10"/>
  <c r="AB158" i="10"/>
  <c r="R158" i="5"/>
  <c r="S158" i="5"/>
  <c r="T158" i="5"/>
  <c r="U158" i="5"/>
  <c r="S157" i="10"/>
  <c r="F893" i="18" s="1"/>
  <c r="W157" i="5"/>
  <c r="V157" i="5"/>
  <c r="Q157" i="10"/>
  <c r="B893" i="18" s="1"/>
  <c r="AO157" i="5"/>
  <c r="R157" i="10"/>
  <c r="D893" i="18" s="1"/>
  <c r="AP157" i="5"/>
  <c r="T157" i="10"/>
  <c r="H893" i="18" s="1"/>
  <c r="AI158" i="5"/>
  <c r="E158" i="10"/>
  <c r="N158" i="10"/>
  <c r="B158" i="17" s="1"/>
  <c r="B649" i="18" s="1"/>
  <c r="AR158" i="5"/>
  <c r="AS158" i="5"/>
  <c r="AI148" i="5"/>
  <c r="AR148" i="5"/>
  <c r="AS148" i="5"/>
  <c r="E148" i="10"/>
  <c r="N148" i="10"/>
  <c r="B148" i="17" s="1"/>
  <c r="B639" i="18" s="1"/>
  <c r="T147" i="10"/>
  <c r="H883" i="18" s="1"/>
  <c r="AP147" i="5"/>
  <c r="AO147" i="5"/>
  <c r="R147" i="10"/>
  <c r="D883" i="18" s="1"/>
  <c r="D148" i="10"/>
  <c r="AB148" i="10"/>
  <c r="R148" i="5"/>
  <c r="S148" i="5"/>
  <c r="T148" i="5"/>
  <c r="U148" i="5"/>
  <c r="W147" i="5"/>
  <c r="S147" i="10"/>
  <c r="F883" i="18" s="1"/>
  <c r="V147" i="5"/>
  <c r="Q147" i="10"/>
  <c r="B883" i="18" s="1"/>
  <c r="AR145" i="5"/>
  <c r="E145" i="10"/>
  <c r="N145" i="10"/>
  <c r="B145" i="17" s="1"/>
  <c r="B636" i="18" s="1"/>
  <c r="AI145" i="5"/>
  <c r="AS145" i="5"/>
  <c r="T144" i="10"/>
  <c r="H880" i="18" s="1"/>
  <c r="AP144" i="5"/>
  <c r="R144" i="10"/>
  <c r="D880" i="18" s="1"/>
  <c r="AO144" i="5"/>
  <c r="T145" i="5"/>
  <c r="D145" i="10"/>
  <c r="AB145" i="10"/>
  <c r="R145" i="5"/>
  <c r="S145" i="5"/>
  <c r="U145" i="5"/>
  <c r="S144" i="10"/>
  <c r="F880" i="18" s="1"/>
  <c r="W144" i="5"/>
  <c r="V144" i="5"/>
  <c r="Q144" i="10"/>
  <c r="B880" i="18" s="1"/>
  <c r="U142" i="5"/>
  <c r="T142" i="5"/>
  <c r="R142" i="5"/>
  <c r="D142" i="10"/>
  <c r="AB142" i="10"/>
  <c r="S142" i="5"/>
  <c r="V141" i="5"/>
  <c r="Q141" i="10"/>
  <c r="B877" i="18" s="1"/>
  <c r="S141" i="10"/>
  <c r="F877" i="18" s="1"/>
  <c r="W141" i="5"/>
  <c r="AP141" i="5"/>
  <c r="T141" i="10"/>
  <c r="H877" i="18" s="1"/>
  <c r="AO141" i="5"/>
  <c r="R141" i="10"/>
  <c r="D877" i="18" s="1"/>
  <c r="AS142" i="5"/>
  <c r="AR142" i="5"/>
  <c r="AI142" i="5"/>
  <c r="E142" i="10"/>
  <c r="N142" i="10"/>
  <c r="B142" i="17" s="1"/>
  <c r="B633" i="18" s="1"/>
  <c r="R242" i="5"/>
  <c r="S242" i="5"/>
  <c r="T242" i="5"/>
  <c r="U242" i="5"/>
  <c r="D242" i="10"/>
  <c r="AB242" i="10"/>
  <c r="V242" i="5"/>
  <c r="Q242" i="10"/>
  <c r="B978" i="18" s="1"/>
  <c r="W242" i="5"/>
  <c r="S242" i="10"/>
  <c r="F978" i="18" s="1"/>
  <c r="V241" i="5"/>
  <c r="Q241" i="10"/>
  <c r="B977" i="18" s="1"/>
  <c r="W241" i="5"/>
  <c r="S241" i="10"/>
  <c r="F977" i="18" s="1"/>
  <c r="AI242" i="5"/>
  <c r="AR242" i="5"/>
  <c r="AS242" i="5"/>
  <c r="E242" i="10"/>
  <c r="N242" i="10"/>
  <c r="B242" i="17" s="1"/>
  <c r="B733" i="18" s="1"/>
  <c r="AO242" i="5"/>
  <c r="R242" i="10"/>
  <c r="D978" i="18" s="1"/>
  <c r="AP242" i="5"/>
  <c r="T242" i="10"/>
  <c r="H978" i="18" s="1"/>
  <c r="AO241" i="5"/>
  <c r="R241" i="10"/>
  <c r="D977" i="18" s="1"/>
  <c r="AP241" i="5"/>
  <c r="T241" i="10"/>
  <c r="H977" i="18" s="1"/>
  <c r="R241" i="5"/>
  <c r="S241" i="5"/>
  <c r="T241" i="5"/>
  <c r="U241" i="5"/>
  <c r="AB241" i="10"/>
  <c r="D241" i="10"/>
  <c r="V240" i="5"/>
  <c r="Q240" i="10"/>
  <c r="B976" i="18" s="1"/>
  <c r="W240" i="5"/>
  <c r="S240" i="10"/>
  <c r="F976" i="18" s="1"/>
  <c r="AI241" i="5"/>
  <c r="AR241" i="5"/>
  <c r="AS241" i="5"/>
  <c r="N241" i="10"/>
  <c r="B241" i="17" s="1"/>
  <c r="B732" i="18" s="1"/>
  <c r="E241" i="10"/>
  <c r="AO240" i="5"/>
  <c r="R240" i="10"/>
  <c r="D976" i="18" s="1"/>
  <c r="AP240" i="5"/>
  <c r="T240" i="10"/>
  <c r="H976" i="18" s="1"/>
  <c r="R240" i="5"/>
  <c r="S240" i="5"/>
  <c r="T240" i="5"/>
  <c r="U240" i="5"/>
  <c r="AB240" i="10"/>
  <c r="D240" i="10"/>
  <c r="V239" i="5"/>
  <c r="Q239" i="10"/>
  <c r="B975" i="18" s="1"/>
  <c r="W239" i="5"/>
  <c r="S239" i="10"/>
  <c r="F975" i="18" s="1"/>
  <c r="AI240" i="5"/>
  <c r="AR240" i="5"/>
  <c r="AS240" i="5"/>
  <c r="E240" i="10"/>
  <c r="N240" i="10"/>
  <c r="B240" i="17" s="1"/>
  <c r="B731" i="18" s="1"/>
  <c r="AO239" i="5"/>
  <c r="R239" i="10"/>
  <c r="D975" i="18" s="1"/>
  <c r="AP239" i="5"/>
  <c r="T239" i="10"/>
  <c r="H975" i="18" s="1"/>
  <c r="R239" i="5"/>
  <c r="S239" i="5"/>
  <c r="T239" i="5"/>
  <c r="U239" i="5"/>
  <c r="D239" i="10"/>
  <c r="AB239" i="10"/>
  <c r="V238" i="5"/>
  <c r="Q238" i="10"/>
  <c r="B974" i="18" s="1"/>
  <c r="W238" i="5"/>
  <c r="S238" i="10"/>
  <c r="F974" i="18" s="1"/>
  <c r="AI239" i="5"/>
  <c r="AR239" i="5"/>
  <c r="AS239" i="5"/>
  <c r="N239" i="10"/>
  <c r="B239" i="17" s="1"/>
  <c r="B730" i="18" s="1"/>
  <c r="E239" i="10"/>
  <c r="AO238" i="5"/>
  <c r="R238" i="10"/>
  <c r="D974" i="18" s="1"/>
  <c r="AP238" i="5"/>
  <c r="T238" i="10"/>
  <c r="H974" i="18" s="1"/>
  <c r="R238" i="5"/>
  <c r="S238" i="5"/>
  <c r="T238" i="5"/>
  <c r="U238" i="5"/>
  <c r="AB238" i="10"/>
  <c r="D238" i="10"/>
  <c r="V237" i="5"/>
  <c r="Q237" i="10"/>
  <c r="B973" i="18" s="1"/>
  <c r="W237" i="5"/>
  <c r="S237" i="10"/>
  <c r="F973" i="18" s="1"/>
  <c r="AI238" i="5"/>
  <c r="AR238" i="5"/>
  <c r="AS238" i="5"/>
  <c r="E238" i="10"/>
  <c r="N238" i="10"/>
  <c r="B238" i="17" s="1"/>
  <c r="B729" i="18" s="1"/>
  <c r="AO237" i="5"/>
  <c r="R237" i="10"/>
  <c r="D973" i="18" s="1"/>
  <c r="AP237" i="5"/>
  <c r="T237" i="10"/>
  <c r="H973" i="18" s="1"/>
  <c r="R237" i="5"/>
  <c r="S237" i="5"/>
  <c r="T237" i="5"/>
  <c r="U237" i="5"/>
  <c r="D237" i="10"/>
  <c r="AB237" i="10"/>
  <c r="V236" i="5"/>
  <c r="Q236" i="10"/>
  <c r="B972" i="18" s="1"/>
  <c r="W236" i="5"/>
  <c r="S236" i="10"/>
  <c r="F972" i="18" s="1"/>
  <c r="AI237" i="5"/>
  <c r="AR237" i="5"/>
  <c r="AS237" i="5"/>
  <c r="E237" i="10"/>
  <c r="N237" i="10"/>
  <c r="B237" i="17" s="1"/>
  <c r="B728" i="18" s="1"/>
  <c r="AO236" i="5"/>
  <c r="R236" i="10"/>
  <c r="D972" i="18" s="1"/>
  <c r="AP236" i="5"/>
  <c r="T236" i="10"/>
  <c r="H972" i="18" s="1"/>
  <c r="R236" i="5"/>
  <c r="S236" i="5"/>
  <c r="T236" i="5"/>
  <c r="U236" i="5"/>
  <c r="D236" i="10"/>
  <c r="AB236" i="10"/>
  <c r="V235" i="5"/>
  <c r="Q235" i="10"/>
  <c r="B971" i="18" s="1"/>
  <c r="W235" i="5"/>
  <c r="S235" i="10"/>
  <c r="F971" i="18" s="1"/>
  <c r="AI236" i="5"/>
  <c r="AR236" i="5"/>
  <c r="AS236" i="5"/>
  <c r="N236" i="10"/>
  <c r="B236" i="17" s="1"/>
  <c r="B727" i="18" s="1"/>
  <c r="E236" i="10"/>
  <c r="AO235" i="5"/>
  <c r="R235" i="10"/>
  <c r="D971" i="18" s="1"/>
  <c r="AP235" i="5"/>
  <c r="T235" i="10"/>
  <c r="H971" i="18" s="1"/>
  <c r="R235" i="5"/>
  <c r="S235" i="5"/>
  <c r="T235" i="5"/>
  <c r="U235" i="5"/>
  <c r="AB235" i="10"/>
  <c r="D235" i="10"/>
  <c r="V234" i="5"/>
  <c r="Q234" i="10"/>
  <c r="B970" i="18" s="1"/>
  <c r="W234" i="5"/>
  <c r="S234" i="10"/>
  <c r="F970" i="18" s="1"/>
  <c r="AI235" i="5"/>
  <c r="AR235" i="5"/>
  <c r="AS235" i="5"/>
  <c r="E235" i="10"/>
  <c r="N235" i="10"/>
  <c r="B235" i="17" s="1"/>
  <c r="B726" i="18" s="1"/>
  <c r="AO234" i="5"/>
  <c r="R234" i="10"/>
  <c r="D970" i="18" s="1"/>
  <c r="AP234" i="5"/>
  <c r="T234" i="10"/>
  <c r="H970" i="18" s="1"/>
  <c r="R234" i="5"/>
  <c r="S234" i="5"/>
  <c r="T234" i="5"/>
  <c r="U234" i="5"/>
  <c r="D234" i="10"/>
  <c r="AB234" i="10"/>
  <c r="V233" i="5"/>
  <c r="Q233" i="10"/>
  <c r="B969" i="18" s="1"/>
  <c r="W233" i="5"/>
  <c r="S233" i="10"/>
  <c r="F969" i="18" s="1"/>
  <c r="AI234" i="5"/>
  <c r="AR234" i="5"/>
  <c r="AS234" i="5"/>
  <c r="N234" i="10"/>
  <c r="B234" i="17" s="1"/>
  <c r="B725" i="18" s="1"/>
  <c r="E234" i="10"/>
  <c r="AO233" i="5"/>
  <c r="R233" i="10"/>
  <c r="D969" i="18" s="1"/>
  <c r="AP233" i="5"/>
  <c r="T233" i="10"/>
  <c r="H969" i="18" s="1"/>
  <c r="R233" i="5"/>
  <c r="S233" i="5"/>
  <c r="T233" i="5"/>
  <c r="U233" i="5"/>
  <c r="D233" i="10"/>
  <c r="AB233" i="10"/>
  <c r="V232" i="5"/>
  <c r="Q232" i="10"/>
  <c r="B968" i="18" s="1"/>
  <c r="W232" i="5"/>
  <c r="S232" i="10"/>
  <c r="F968" i="18" s="1"/>
  <c r="AI233" i="5"/>
  <c r="AR233" i="5"/>
  <c r="AS233" i="5"/>
  <c r="E233" i="10"/>
  <c r="N233" i="10"/>
  <c r="B233" i="17" s="1"/>
  <c r="B724" i="18" s="1"/>
  <c r="AO232" i="5"/>
  <c r="R232" i="10"/>
  <c r="D968" i="18" s="1"/>
  <c r="AP232" i="5"/>
  <c r="T232" i="10"/>
  <c r="H968" i="18" s="1"/>
  <c r="R232" i="5"/>
  <c r="S232" i="5"/>
  <c r="T232" i="5"/>
  <c r="U232" i="5"/>
  <c r="D232" i="10"/>
  <c r="AB232" i="10"/>
  <c r="V231" i="5"/>
  <c r="Q231" i="10"/>
  <c r="B967" i="18" s="1"/>
  <c r="W231" i="5"/>
  <c r="S231" i="10"/>
  <c r="F967" i="18" s="1"/>
  <c r="AI232" i="5"/>
  <c r="AR232" i="5"/>
  <c r="AS232" i="5"/>
  <c r="E232" i="10"/>
  <c r="N232" i="10"/>
  <c r="B232" i="17" s="1"/>
  <c r="B723" i="18" s="1"/>
  <c r="AO231" i="5"/>
  <c r="R231" i="10"/>
  <c r="D967" i="18" s="1"/>
  <c r="AP231" i="5"/>
  <c r="T231" i="10"/>
  <c r="H967" i="18" s="1"/>
  <c r="R231" i="5"/>
  <c r="S231" i="5"/>
  <c r="T231" i="5"/>
  <c r="U231" i="5"/>
  <c r="D231" i="10"/>
  <c r="AB231" i="10"/>
  <c r="V230" i="5"/>
  <c r="Q230" i="10"/>
  <c r="B966" i="18" s="1"/>
  <c r="W230" i="5"/>
  <c r="S230" i="10"/>
  <c r="F966" i="18" s="1"/>
  <c r="AI231" i="5"/>
  <c r="AR231" i="5"/>
  <c r="AS231" i="5"/>
  <c r="N231" i="10"/>
  <c r="B231" i="17" s="1"/>
  <c r="B722" i="18" s="1"/>
  <c r="E231" i="10"/>
  <c r="AO230" i="5"/>
  <c r="R230" i="10"/>
  <c r="D966" i="18" s="1"/>
  <c r="AP230" i="5"/>
  <c r="T230" i="10"/>
  <c r="H966" i="18" s="1"/>
  <c r="R230" i="5"/>
  <c r="S230" i="5"/>
  <c r="T230" i="5"/>
  <c r="U230" i="5"/>
  <c r="D230" i="10"/>
  <c r="AB230" i="10"/>
  <c r="V229" i="5"/>
  <c r="Q229" i="10"/>
  <c r="B965" i="18" s="1"/>
  <c r="W229" i="5"/>
  <c r="S229" i="10"/>
  <c r="F965" i="18" s="1"/>
  <c r="AI230" i="5"/>
  <c r="AR230" i="5"/>
  <c r="AS230" i="5"/>
  <c r="E230" i="10"/>
  <c r="N230" i="10"/>
  <c r="B230" i="17" s="1"/>
  <c r="B721" i="18" s="1"/>
  <c r="AO229" i="5"/>
  <c r="R229" i="10"/>
  <c r="D965" i="18" s="1"/>
  <c r="AP229" i="5"/>
  <c r="T229" i="10"/>
  <c r="H965" i="18" s="1"/>
  <c r="R229" i="5"/>
  <c r="S229" i="5"/>
  <c r="T229" i="5"/>
  <c r="U229" i="5"/>
  <c r="AB229" i="10"/>
  <c r="D229" i="10"/>
  <c r="V228" i="5"/>
  <c r="Q228" i="10"/>
  <c r="B964" i="18" s="1"/>
  <c r="W228" i="5"/>
  <c r="S228" i="10"/>
  <c r="F964" i="18" s="1"/>
  <c r="AI229" i="5"/>
  <c r="AR229" i="5"/>
  <c r="AS229" i="5"/>
  <c r="E229" i="10"/>
  <c r="N229" i="10"/>
  <c r="B229" i="17" s="1"/>
  <c r="B720" i="18" s="1"/>
  <c r="AO228" i="5"/>
  <c r="R228" i="10"/>
  <c r="D964" i="18" s="1"/>
  <c r="AP228" i="5"/>
  <c r="T228" i="10"/>
  <c r="H964" i="18" s="1"/>
  <c r="R228" i="5"/>
  <c r="S228" i="5"/>
  <c r="T228" i="5"/>
  <c r="U228" i="5"/>
  <c r="AB228" i="10"/>
  <c r="D228" i="10"/>
  <c r="V227" i="5"/>
  <c r="Q227" i="10"/>
  <c r="B963" i="18" s="1"/>
  <c r="W227" i="5"/>
  <c r="S227" i="10"/>
  <c r="F963" i="18" s="1"/>
  <c r="AI228" i="5"/>
  <c r="AR228" i="5"/>
  <c r="AS228" i="5"/>
  <c r="N228" i="10"/>
  <c r="B228" i="17" s="1"/>
  <c r="B719" i="18" s="1"/>
  <c r="E228" i="10"/>
  <c r="AO227" i="5"/>
  <c r="R227" i="10"/>
  <c r="D963" i="18" s="1"/>
  <c r="AP227" i="5"/>
  <c r="T227" i="10"/>
  <c r="H963" i="18" s="1"/>
  <c r="R227" i="5"/>
  <c r="S227" i="5"/>
  <c r="T227" i="5"/>
  <c r="U227" i="5"/>
  <c r="D227" i="10"/>
  <c r="AB227" i="10"/>
  <c r="V226" i="5"/>
  <c r="Q226" i="10"/>
  <c r="B962" i="18" s="1"/>
  <c r="W226" i="5"/>
  <c r="S226" i="10"/>
  <c r="F962" i="18" s="1"/>
  <c r="AI227" i="5"/>
  <c r="AR227" i="5"/>
  <c r="AS227" i="5"/>
  <c r="N227" i="10"/>
  <c r="B227" i="17" s="1"/>
  <c r="B718" i="18" s="1"/>
  <c r="E227" i="10"/>
  <c r="AO226" i="5"/>
  <c r="R226" i="10"/>
  <c r="D962" i="18" s="1"/>
  <c r="AP226" i="5"/>
  <c r="T226" i="10"/>
  <c r="H962" i="18" s="1"/>
  <c r="R226" i="5"/>
  <c r="S226" i="5"/>
  <c r="T226" i="5"/>
  <c r="U226" i="5"/>
  <c r="D226" i="10"/>
  <c r="AB226" i="10"/>
  <c r="V225" i="5"/>
  <c r="Q225" i="10"/>
  <c r="B961" i="18" s="1"/>
  <c r="W225" i="5"/>
  <c r="S225" i="10"/>
  <c r="F961" i="18" s="1"/>
  <c r="AI226" i="5"/>
  <c r="AR226" i="5"/>
  <c r="AS226" i="5"/>
  <c r="E226" i="10"/>
  <c r="N226" i="10"/>
  <c r="B226" i="17" s="1"/>
  <c r="B717" i="18" s="1"/>
  <c r="AO225" i="5"/>
  <c r="R225" i="10"/>
  <c r="D961" i="18" s="1"/>
  <c r="AP225" i="5"/>
  <c r="T225" i="10"/>
  <c r="H961" i="18" s="1"/>
  <c r="R225" i="5"/>
  <c r="S225" i="5"/>
  <c r="T225" i="5"/>
  <c r="U225" i="5"/>
  <c r="D225" i="10"/>
  <c r="AB225" i="10"/>
  <c r="V224" i="5"/>
  <c r="Q224" i="10"/>
  <c r="B960" i="18" s="1"/>
  <c r="W224" i="5"/>
  <c r="S224" i="10"/>
  <c r="F960" i="18" s="1"/>
  <c r="AI225" i="5"/>
  <c r="AR225" i="5"/>
  <c r="AS225" i="5"/>
  <c r="E225" i="10"/>
  <c r="N225" i="10"/>
  <c r="B225" i="17" s="1"/>
  <c r="B716" i="18" s="1"/>
  <c r="AO224" i="5"/>
  <c r="R224" i="10"/>
  <c r="D960" i="18" s="1"/>
  <c r="AP224" i="5"/>
  <c r="T224" i="10"/>
  <c r="H960" i="18" s="1"/>
  <c r="C192" i="7"/>
  <c r="D192" i="7"/>
  <c r="E192" i="7"/>
  <c r="F192" i="7"/>
  <c r="G192" i="7"/>
  <c r="R192" i="5"/>
  <c r="S192" i="5"/>
  <c r="T192" i="5"/>
  <c r="U192" i="5"/>
  <c r="D192" i="10"/>
  <c r="AB192" i="10"/>
  <c r="V191" i="5"/>
  <c r="Q191" i="10"/>
  <c r="B927" i="18" s="1"/>
  <c r="W191" i="5"/>
  <c r="S191" i="10"/>
  <c r="F927" i="18" s="1"/>
  <c r="AI192" i="5"/>
  <c r="AR192" i="5"/>
  <c r="AS192" i="5"/>
  <c r="E192" i="10"/>
  <c r="N192" i="10"/>
  <c r="B192" i="17" s="1"/>
  <c r="B683" i="18" s="1"/>
  <c r="AO191" i="5"/>
  <c r="R191" i="10"/>
  <c r="D927" i="18" s="1"/>
  <c r="AP191" i="5"/>
  <c r="T191" i="10"/>
  <c r="H927" i="18" s="1"/>
  <c r="D191" i="7"/>
  <c r="E191" i="7"/>
  <c r="F191" i="7"/>
  <c r="C191" i="7"/>
  <c r="G191" i="7"/>
  <c r="R191" i="5"/>
  <c r="S191" i="5"/>
  <c r="T191" i="5"/>
  <c r="U191" i="5"/>
  <c r="D191" i="10"/>
  <c r="AB191" i="10"/>
  <c r="V190" i="5"/>
  <c r="Q190" i="10"/>
  <c r="B926" i="18" s="1"/>
  <c r="W190" i="5"/>
  <c r="S190" i="10"/>
  <c r="F926" i="18" s="1"/>
  <c r="AI191" i="5"/>
  <c r="AR191" i="5"/>
  <c r="AS191" i="5"/>
  <c r="E191" i="10"/>
  <c r="N191" i="10"/>
  <c r="B191" i="17" s="1"/>
  <c r="B682" i="18" s="1"/>
  <c r="R190" i="10"/>
  <c r="D926" i="18" s="1"/>
  <c r="AO190" i="5"/>
  <c r="AP190" i="5"/>
  <c r="T190" i="10"/>
  <c r="H926" i="18" s="1"/>
  <c r="D96" i="7"/>
  <c r="F96" i="7"/>
  <c r="C96" i="7"/>
  <c r="E96" i="7"/>
  <c r="G96" i="7"/>
  <c r="R96" i="5"/>
  <c r="S96" i="5"/>
  <c r="T96" i="5"/>
  <c r="U96" i="5"/>
  <c r="D96" i="10"/>
  <c r="AB96" i="10"/>
  <c r="V95" i="5"/>
  <c r="Q95" i="10"/>
  <c r="B831" i="18" s="1"/>
  <c r="W95" i="5"/>
  <c r="S95" i="10"/>
  <c r="F831" i="18" s="1"/>
  <c r="AS96" i="5"/>
  <c r="AI96" i="5"/>
  <c r="E96" i="10"/>
  <c r="N96" i="10"/>
  <c r="B96" i="17" s="1"/>
  <c r="B587" i="18" s="1"/>
  <c r="AR96" i="5"/>
  <c r="AO95" i="5"/>
  <c r="R95" i="10"/>
  <c r="D831" i="18" s="1"/>
  <c r="AP95" i="5"/>
  <c r="T95" i="10"/>
  <c r="H831" i="18" s="1"/>
  <c r="C95" i="7"/>
  <c r="D95" i="7"/>
  <c r="G95" i="7"/>
  <c r="E95" i="7"/>
  <c r="F95" i="7"/>
  <c r="R95" i="5"/>
  <c r="S95" i="5"/>
  <c r="T95" i="5"/>
  <c r="U95" i="5"/>
  <c r="D95" i="10"/>
  <c r="AB95" i="10"/>
  <c r="V94" i="5"/>
  <c r="Q94" i="10"/>
  <c r="B830" i="18" s="1"/>
  <c r="W94" i="5"/>
  <c r="S94" i="10"/>
  <c r="F830" i="18" s="1"/>
  <c r="AI95" i="5"/>
  <c r="AR95" i="5"/>
  <c r="AS95" i="5"/>
  <c r="E95" i="10"/>
  <c r="N95" i="10"/>
  <c r="B95" i="17" s="1"/>
  <c r="B586" i="18" s="1"/>
  <c r="AO94" i="5"/>
  <c r="R94" i="10"/>
  <c r="D830" i="18" s="1"/>
  <c r="AP94" i="5"/>
  <c r="T94" i="10"/>
  <c r="H830" i="18" s="1"/>
  <c r="D94" i="7"/>
  <c r="C94" i="7"/>
  <c r="E94" i="7"/>
  <c r="F94" i="7"/>
  <c r="G94" i="7"/>
  <c r="R94" i="5"/>
  <c r="S94" i="5"/>
  <c r="T94" i="5"/>
  <c r="U94" i="5"/>
  <c r="D94" i="10"/>
  <c r="AB94" i="10"/>
  <c r="V93" i="5"/>
  <c r="Q93" i="10"/>
  <c r="B829" i="18" s="1"/>
  <c r="W93" i="5"/>
  <c r="S93" i="10"/>
  <c r="F829" i="18" s="1"/>
  <c r="AI94" i="5"/>
  <c r="AR94" i="5"/>
  <c r="AS94" i="5"/>
  <c r="E94" i="10"/>
  <c r="N94" i="10"/>
  <c r="B94" i="17" s="1"/>
  <c r="B585" i="18" s="1"/>
  <c r="AO93" i="5"/>
  <c r="R93" i="10"/>
  <c r="D829" i="18" s="1"/>
  <c r="AP93" i="5"/>
  <c r="T93" i="10"/>
  <c r="H829" i="18" s="1"/>
  <c r="D93" i="7"/>
  <c r="E93" i="7"/>
  <c r="C93" i="7"/>
  <c r="F93" i="7"/>
  <c r="G93" i="7"/>
  <c r="R93" i="5"/>
  <c r="S93" i="5"/>
  <c r="T93" i="5"/>
  <c r="U93" i="5"/>
  <c r="D93" i="10"/>
  <c r="AB93" i="10"/>
  <c r="V92" i="5"/>
  <c r="Q92" i="10"/>
  <c r="B828" i="18" s="1"/>
  <c r="W92" i="5"/>
  <c r="S92" i="10"/>
  <c r="F828" i="18" s="1"/>
  <c r="AI93" i="5"/>
  <c r="AR93" i="5"/>
  <c r="AS93" i="5"/>
  <c r="E93" i="10"/>
  <c r="N93" i="10"/>
  <c r="B93" i="17" s="1"/>
  <c r="B584" i="18" s="1"/>
  <c r="AO92" i="5"/>
  <c r="R92" i="10"/>
  <c r="D828" i="18" s="1"/>
  <c r="AP92" i="5"/>
  <c r="T92" i="10"/>
  <c r="H828" i="18" s="1"/>
  <c r="C92" i="7"/>
  <c r="D92" i="7"/>
  <c r="E92" i="7"/>
  <c r="F92" i="7"/>
  <c r="G92" i="7"/>
  <c r="R92" i="5"/>
  <c r="S92" i="5"/>
  <c r="T92" i="5"/>
  <c r="U92" i="5"/>
  <c r="D92" i="10"/>
  <c r="AB92" i="10"/>
  <c r="V91" i="5"/>
  <c r="Q91" i="10"/>
  <c r="B827" i="18" s="1"/>
  <c r="W91" i="5"/>
  <c r="S91" i="10"/>
  <c r="F827" i="18" s="1"/>
  <c r="AI92" i="5"/>
  <c r="AR92" i="5"/>
  <c r="AS92" i="5"/>
  <c r="E92" i="10"/>
  <c r="N92" i="10"/>
  <c r="B92" i="17" s="1"/>
  <c r="B583" i="18" s="1"/>
  <c r="AO91" i="5"/>
  <c r="R91" i="10"/>
  <c r="D827" i="18" s="1"/>
  <c r="AP91" i="5"/>
  <c r="T91" i="10"/>
  <c r="H827" i="18" s="1"/>
  <c r="C91" i="7"/>
  <c r="F91" i="7"/>
  <c r="D91" i="7"/>
  <c r="E91" i="7"/>
  <c r="G91" i="7"/>
  <c r="R91" i="5"/>
  <c r="S91" i="5"/>
  <c r="T91" i="5"/>
  <c r="U91" i="5"/>
  <c r="D91" i="10"/>
  <c r="AB91" i="10"/>
  <c r="V90" i="5"/>
  <c r="Q90" i="10"/>
  <c r="B826" i="18" s="1"/>
  <c r="W90" i="5"/>
  <c r="S90" i="10"/>
  <c r="F826" i="18" s="1"/>
  <c r="AI91" i="5"/>
  <c r="AR91" i="5"/>
  <c r="AS91" i="5"/>
  <c r="E91" i="10"/>
  <c r="N91" i="10"/>
  <c r="B91" i="17" s="1"/>
  <c r="B582" i="18" s="1"/>
  <c r="AO90" i="5"/>
  <c r="R90" i="10"/>
  <c r="D826" i="18" s="1"/>
  <c r="AP90" i="5"/>
  <c r="T90" i="10"/>
  <c r="H826" i="18" s="1"/>
  <c r="C90" i="7"/>
  <c r="E90" i="7"/>
  <c r="G90" i="7"/>
  <c r="D90" i="7"/>
  <c r="F90" i="7"/>
  <c r="R90" i="5"/>
  <c r="S90" i="5"/>
  <c r="T90" i="5"/>
  <c r="U90" i="5"/>
  <c r="D90" i="10"/>
  <c r="AB90" i="10"/>
  <c r="V89" i="5"/>
  <c r="Q89" i="10"/>
  <c r="B825" i="18" s="1"/>
  <c r="W89" i="5"/>
  <c r="S89" i="10"/>
  <c r="F825" i="18" s="1"/>
  <c r="AI90" i="5"/>
  <c r="AR90" i="5"/>
  <c r="AS90" i="5"/>
  <c r="E90" i="10"/>
  <c r="N90" i="10"/>
  <c r="B90" i="17" s="1"/>
  <c r="B581" i="18" s="1"/>
  <c r="AO89" i="5"/>
  <c r="R89" i="10"/>
  <c r="D825" i="18" s="1"/>
  <c r="AP89" i="5"/>
  <c r="T89" i="10"/>
  <c r="H825" i="18" s="1"/>
  <c r="F89" i="7"/>
  <c r="G89" i="7"/>
  <c r="C89" i="7"/>
  <c r="D89" i="7"/>
  <c r="E89" i="7"/>
  <c r="R89" i="5"/>
  <c r="S89" i="5"/>
  <c r="T89" i="5"/>
  <c r="U89" i="5"/>
  <c r="D89" i="10"/>
  <c r="AB89" i="10"/>
  <c r="V88" i="5"/>
  <c r="Q88" i="10"/>
  <c r="B824" i="18" s="1"/>
  <c r="W88" i="5"/>
  <c r="S88" i="10"/>
  <c r="F824" i="18" s="1"/>
  <c r="AI89" i="5"/>
  <c r="AR89" i="5"/>
  <c r="AS89" i="5"/>
  <c r="E89" i="10"/>
  <c r="N89" i="10"/>
  <c r="B89" i="17" s="1"/>
  <c r="B580" i="18" s="1"/>
  <c r="AO88" i="5"/>
  <c r="R88" i="10"/>
  <c r="D824" i="18" s="1"/>
  <c r="AP88" i="5"/>
  <c r="T88" i="10"/>
  <c r="H824" i="18" s="1"/>
  <c r="C88" i="7"/>
  <c r="E88" i="7"/>
  <c r="F88" i="7"/>
  <c r="G88" i="7"/>
  <c r="D88" i="7"/>
  <c r="R88" i="5"/>
  <c r="S88" i="5"/>
  <c r="T88" i="5"/>
  <c r="U88" i="5"/>
  <c r="D88" i="10"/>
  <c r="AB88" i="10"/>
  <c r="V87" i="5"/>
  <c r="Q87" i="10"/>
  <c r="B823" i="18" s="1"/>
  <c r="W87" i="5"/>
  <c r="S87" i="10"/>
  <c r="F823" i="18" s="1"/>
  <c r="AI88" i="5"/>
  <c r="AR88" i="5"/>
  <c r="AS88" i="5"/>
  <c r="E88" i="10"/>
  <c r="N88" i="10"/>
  <c r="B88" i="17" s="1"/>
  <c r="B579" i="18" s="1"/>
  <c r="AO87" i="5"/>
  <c r="R87" i="10"/>
  <c r="D823" i="18" s="1"/>
  <c r="AP87" i="5"/>
  <c r="T87" i="10"/>
  <c r="H823" i="18" s="1"/>
  <c r="E87" i="7"/>
  <c r="G87" i="7"/>
  <c r="C87" i="7"/>
  <c r="D87" i="7"/>
  <c r="F87" i="7"/>
  <c r="R87" i="5"/>
  <c r="S87" i="5"/>
  <c r="T87" i="5"/>
  <c r="U87" i="5"/>
  <c r="D87" i="10"/>
  <c r="AB87" i="10"/>
  <c r="V86" i="5"/>
  <c r="Q86" i="10"/>
  <c r="B822" i="18" s="1"/>
  <c r="W86" i="5"/>
  <c r="S86" i="10"/>
  <c r="F822" i="18" s="1"/>
  <c r="AI87" i="5"/>
  <c r="AR87" i="5"/>
  <c r="AS87" i="5"/>
  <c r="E87" i="10"/>
  <c r="N87" i="10"/>
  <c r="B87" i="17" s="1"/>
  <c r="B578" i="18" s="1"/>
  <c r="AO86" i="5"/>
  <c r="R86" i="10"/>
  <c r="D822" i="18" s="1"/>
  <c r="AP86" i="5"/>
  <c r="T86" i="10"/>
  <c r="H822" i="18" s="1"/>
  <c r="D86" i="7"/>
  <c r="G86" i="7"/>
  <c r="C86" i="7"/>
  <c r="E86" i="7"/>
  <c r="F86" i="7"/>
  <c r="R86" i="5"/>
  <c r="S86" i="5"/>
  <c r="T86" i="5"/>
  <c r="U86" i="5"/>
  <c r="D86" i="10"/>
  <c r="AB86" i="10"/>
  <c r="V85" i="5"/>
  <c r="Q85" i="10"/>
  <c r="B821" i="18" s="1"/>
  <c r="W85" i="5"/>
  <c r="S85" i="10"/>
  <c r="F821" i="18" s="1"/>
  <c r="AI86" i="5"/>
  <c r="AR86" i="5"/>
  <c r="AS86" i="5"/>
  <c r="E86" i="10"/>
  <c r="N86" i="10"/>
  <c r="B86" i="17" s="1"/>
  <c r="B577" i="18" s="1"/>
  <c r="AO85" i="5"/>
  <c r="R85" i="10"/>
  <c r="D821" i="18" s="1"/>
  <c r="AP85" i="5"/>
  <c r="T85" i="10"/>
  <c r="H821" i="18" s="1"/>
  <c r="D85" i="7"/>
  <c r="F85" i="7"/>
  <c r="C85" i="7"/>
  <c r="E85" i="7"/>
  <c r="G85" i="7"/>
  <c r="R85" i="5"/>
  <c r="S85" i="5"/>
  <c r="T85" i="5"/>
  <c r="U85" i="5"/>
  <c r="D85" i="10"/>
  <c r="AB85" i="10"/>
  <c r="V84" i="5"/>
  <c r="Q84" i="10"/>
  <c r="B820" i="18" s="1"/>
  <c r="W84" i="5"/>
  <c r="S84" i="10"/>
  <c r="F820" i="18" s="1"/>
  <c r="AI85" i="5"/>
  <c r="AR85" i="5"/>
  <c r="AS85" i="5"/>
  <c r="E85" i="10"/>
  <c r="N85" i="10"/>
  <c r="B85" i="17" s="1"/>
  <c r="B576" i="18" s="1"/>
  <c r="AO84" i="5"/>
  <c r="R84" i="10"/>
  <c r="D820" i="18" s="1"/>
  <c r="AP84" i="5"/>
  <c r="T84" i="10"/>
  <c r="H820" i="18" s="1"/>
  <c r="D84" i="7"/>
  <c r="G84" i="7"/>
  <c r="C84" i="7"/>
  <c r="E84" i="7"/>
  <c r="F84" i="7"/>
  <c r="R84" i="5"/>
  <c r="S84" i="5"/>
  <c r="T84" i="5"/>
  <c r="U84" i="5"/>
  <c r="D84" i="10"/>
  <c r="AB84" i="10"/>
  <c r="V83" i="5"/>
  <c r="Q83" i="10"/>
  <c r="B819" i="18" s="1"/>
  <c r="W83" i="5"/>
  <c r="S83" i="10"/>
  <c r="F819" i="18" s="1"/>
  <c r="AI84" i="5"/>
  <c r="AR84" i="5"/>
  <c r="AS84" i="5"/>
  <c r="E84" i="10"/>
  <c r="N84" i="10"/>
  <c r="B84" i="17" s="1"/>
  <c r="B575" i="18" s="1"/>
  <c r="AO83" i="5"/>
  <c r="R83" i="10"/>
  <c r="D819" i="18" s="1"/>
  <c r="AP83" i="5"/>
  <c r="T83" i="10"/>
  <c r="H819" i="18" s="1"/>
  <c r="C83" i="7"/>
  <c r="E83" i="7"/>
  <c r="D83" i="7"/>
  <c r="F83" i="7"/>
  <c r="G83" i="7"/>
  <c r="R83" i="5"/>
  <c r="S83" i="5"/>
  <c r="T83" i="5"/>
  <c r="U83" i="5"/>
  <c r="D83" i="10"/>
  <c r="AB83" i="10"/>
  <c r="V82" i="5"/>
  <c r="Q82" i="10"/>
  <c r="B818" i="18" s="1"/>
  <c r="W82" i="5"/>
  <c r="S82" i="10"/>
  <c r="F818" i="18" s="1"/>
  <c r="AI83" i="5"/>
  <c r="AR83" i="5"/>
  <c r="AS83" i="5"/>
  <c r="E83" i="10"/>
  <c r="N83" i="10"/>
  <c r="B83" i="17" s="1"/>
  <c r="B574" i="18" s="1"/>
  <c r="AO82" i="5"/>
  <c r="R82" i="10"/>
  <c r="D818" i="18" s="1"/>
  <c r="AP82" i="5"/>
  <c r="T82" i="10"/>
  <c r="H818" i="18" s="1"/>
  <c r="C82" i="7"/>
  <c r="E82" i="7"/>
  <c r="G82" i="7"/>
  <c r="D82" i="7"/>
  <c r="F82" i="7"/>
  <c r="R82" i="5"/>
  <c r="S82" i="5"/>
  <c r="T82" i="5"/>
  <c r="U82" i="5"/>
  <c r="D82" i="10"/>
  <c r="AB82" i="10"/>
  <c r="V81" i="5"/>
  <c r="Q81" i="10"/>
  <c r="B817" i="18" s="1"/>
  <c r="W81" i="5"/>
  <c r="S81" i="10"/>
  <c r="F817" i="18" s="1"/>
  <c r="AI82" i="5"/>
  <c r="AR82" i="5"/>
  <c r="AS82" i="5"/>
  <c r="E82" i="10"/>
  <c r="N82" i="10"/>
  <c r="B82" i="17" s="1"/>
  <c r="B573" i="18" s="1"/>
  <c r="AO81" i="5"/>
  <c r="R81" i="10"/>
  <c r="D817" i="18" s="1"/>
  <c r="AP81" i="5"/>
  <c r="T81" i="10"/>
  <c r="H817" i="18" s="1"/>
  <c r="R81" i="5"/>
  <c r="S81" i="5"/>
  <c r="T81" i="5"/>
  <c r="U81" i="5"/>
  <c r="D81" i="10"/>
  <c r="AB81" i="10"/>
  <c r="V80" i="5"/>
  <c r="Q80" i="10"/>
  <c r="B816" i="18" s="1"/>
  <c r="W80" i="5"/>
  <c r="S80" i="10"/>
  <c r="F816" i="18" s="1"/>
  <c r="AI81" i="5"/>
  <c r="AR81" i="5"/>
  <c r="AS81" i="5"/>
  <c r="E81" i="10"/>
  <c r="N81" i="10"/>
  <c r="B81" i="17" s="1"/>
  <c r="B572" i="18" s="1"/>
  <c r="AO80" i="5"/>
  <c r="R80" i="10"/>
  <c r="D816" i="18" s="1"/>
  <c r="AP80" i="5"/>
  <c r="T80" i="10"/>
  <c r="H816" i="18" s="1"/>
  <c r="R80" i="5"/>
  <c r="S80" i="5"/>
  <c r="T80" i="5"/>
  <c r="U80" i="5"/>
  <c r="D80" i="10"/>
  <c r="AB80" i="10"/>
  <c r="V79" i="5"/>
  <c r="Q79" i="10"/>
  <c r="B815" i="18" s="1"/>
  <c r="W79" i="5"/>
  <c r="S79" i="10"/>
  <c r="F815" i="18" s="1"/>
  <c r="AI80" i="5"/>
  <c r="AR80" i="5"/>
  <c r="AS80" i="5"/>
  <c r="E80" i="10"/>
  <c r="N80" i="10"/>
  <c r="B80" i="17" s="1"/>
  <c r="B571" i="18" s="1"/>
  <c r="AO79" i="5"/>
  <c r="R79" i="10"/>
  <c r="D815" i="18" s="1"/>
  <c r="AP79" i="5"/>
  <c r="T79" i="10"/>
  <c r="H815" i="18" s="1"/>
  <c r="R79" i="5"/>
  <c r="S79" i="5"/>
  <c r="T79" i="5"/>
  <c r="U79" i="5"/>
  <c r="D79" i="10"/>
  <c r="AB79" i="10"/>
  <c r="V78" i="5"/>
  <c r="Q78" i="10"/>
  <c r="B814" i="18" s="1"/>
  <c r="W78" i="5"/>
  <c r="S78" i="10"/>
  <c r="F814" i="18" s="1"/>
  <c r="AI79" i="5"/>
  <c r="AR79" i="5"/>
  <c r="AS79" i="5"/>
  <c r="E79" i="10"/>
  <c r="N79" i="10"/>
  <c r="B79" i="17" s="1"/>
  <c r="B570" i="18" s="1"/>
  <c r="AO78" i="5"/>
  <c r="R78" i="10"/>
  <c r="D814" i="18" s="1"/>
  <c r="AP78" i="5"/>
  <c r="T78" i="10"/>
  <c r="H814" i="18" s="1"/>
  <c r="R78" i="5"/>
  <c r="S78" i="5"/>
  <c r="T78" i="5"/>
  <c r="U78" i="5"/>
  <c r="D78" i="10"/>
  <c r="AB78" i="10"/>
  <c r="V77" i="5"/>
  <c r="Q77" i="10"/>
  <c r="B813" i="18" s="1"/>
  <c r="W77" i="5"/>
  <c r="S77" i="10"/>
  <c r="F813" i="18" s="1"/>
  <c r="AI78" i="5"/>
  <c r="AR78" i="5"/>
  <c r="AS78" i="5"/>
  <c r="E78" i="10"/>
  <c r="N78" i="10"/>
  <c r="B78" i="17" s="1"/>
  <c r="B569" i="18" s="1"/>
  <c r="AO77" i="5"/>
  <c r="R77" i="10"/>
  <c r="D813" i="18" s="1"/>
  <c r="AP77" i="5"/>
  <c r="T77" i="10"/>
  <c r="H813" i="18" s="1"/>
  <c r="R77" i="5"/>
  <c r="S77" i="5"/>
  <c r="T77" i="5"/>
  <c r="U77" i="5"/>
  <c r="D77" i="10"/>
  <c r="AB77" i="10"/>
  <c r="V76" i="5"/>
  <c r="Q76" i="10"/>
  <c r="B812" i="18" s="1"/>
  <c r="W76" i="5"/>
  <c r="S76" i="10"/>
  <c r="F812" i="18" s="1"/>
  <c r="AI77" i="5"/>
  <c r="AR77" i="5"/>
  <c r="AS77" i="5"/>
  <c r="E77" i="10"/>
  <c r="N77" i="10"/>
  <c r="B77" i="17" s="1"/>
  <c r="B568" i="18" s="1"/>
  <c r="AO76" i="5"/>
  <c r="R76" i="10"/>
  <c r="D812" i="18" s="1"/>
  <c r="AP76" i="5"/>
  <c r="T76" i="10"/>
  <c r="H812" i="18" s="1"/>
  <c r="R76" i="5"/>
  <c r="S76" i="5"/>
  <c r="T76" i="5"/>
  <c r="U76" i="5"/>
  <c r="D76" i="10"/>
  <c r="AB76" i="10"/>
  <c r="V75" i="5"/>
  <c r="Q75" i="10"/>
  <c r="B811" i="18" s="1"/>
  <c r="W75" i="5"/>
  <c r="S75" i="10"/>
  <c r="F811" i="18" s="1"/>
  <c r="AI76" i="5"/>
  <c r="AR76" i="5"/>
  <c r="AS76" i="5"/>
  <c r="E76" i="10"/>
  <c r="N76" i="10"/>
  <c r="B76" i="17" s="1"/>
  <c r="B567" i="18" s="1"/>
  <c r="AO75" i="5"/>
  <c r="R75" i="10"/>
  <c r="D811" i="18" s="1"/>
  <c r="AP75" i="5"/>
  <c r="T75" i="10"/>
  <c r="H811" i="18" s="1"/>
  <c r="R75" i="5"/>
  <c r="S75" i="5"/>
  <c r="T75" i="5"/>
  <c r="U75" i="5"/>
  <c r="D75" i="10"/>
  <c r="AB75" i="10"/>
  <c r="V74" i="5"/>
  <c r="Q74" i="10"/>
  <c r="B810" i="18" s="1"/>
  <c r="W74" i="5"/>
  <c r="S74" i="10"/>
  <c r="F810" i="18" s="1"/>
  <c r="AI75" i="5"/>
  <c r="AR75" i="5"/>
  <c r="AS75" i="5"/>
  <c r="E75" i="10"/>
  <c r="N75" i="10"/>
  <c r="B75" i="17" s="1"/>
  <c r="B566" i="18" s="1"/>
  <c r="AO74" i="5"/>
  <c r="R74" i="10"/>
  <c r="D810" i="18" s="1"/>
  <c r="AP74" i="5"/>
  <c r="T74" i="10"/>
  <c r="H810" i="18" s="1"/>
  <c r="R74" i="5"/>
  <c r="S74" i="5"/>
  <c r="T74" i="5"/>
  <c r="U74" i="5"/>
  <c r="D74" i="10"/>
  <c r="AB74" i="10"/>
  <c r="V73" i="5"/>
  <c r="Q73" i="10"/>
  <c r="B809" i="18" s="1"/>
  <c r="W73" i="5"/>
  <c r="S73" i="10"/>
  <c r="F809" i="18" s="1"/>
  <c r="AI74" i="5"/>
  <c r="AR74" i="5"/>
  <c r="AS74" i="5"/>
  <c r="E74" i="10"/>
  <c r="N74" i="10"/>
  <c r="B74" i="17" s="1"/>
  <c r="B565" i="18" s="1"/>
  <c r="AO73" i="5"/>
  <c r="R73" i="10"/>
  <c r="D809" i="18" s="1"/>
  <c r="AP73" i="5"/>
  <c r="T73" i="10"/>
  <c r="H809" i="18" s="1"/>
  <c r="R73" i="5"/>
  <c r="S73" i="5"/>
  <c r="T73" i="5"/>
  <c r="U73" i="5"/>
  <c r="D73" i="10"/>
  <c r="AB73" i="10"/>
  <c r="V72" i="5"/>
  <c r="Q72" i="10"/>
  <c r="B808" i="18" s="1"/>
  <c r="W72" i="5"/>
  <c r="S72" i="10"/>
  <c r="F808" i="18" s="1"/>
  <c r="AI73" i="5"/>
  <c r="AR73" i="5"/>
  <c r="AS73" i="5"/>
  <c r="E73" i="10"/>
  <c r="N73" i="10"/>
  <c r="B73" i="17" s="1"/>
  <c r="B564" i="18" s="1"/>
  <c r="AO72" i="5"/>
  <c r="R72" i="10"/>
  <c r="D808" i="18" s="1"/>
  <c r="AP72" i="5"/>
  <c r="T72" i="10"/>
  <c r="H808" i="18" s="1"/>
  <c r="R72" i="5"/>
  <c r="S72" i="5"/>
  <c r="T72" i="5"/>
  <c r="U72" i="5"/>
  <c r="D72" i="10"/>
  <c r="AB72" i="10"/>
  <c r="V71" i="5"/>
  <c r="Q71" i="10"/>
  <c r="B807" i="18" s="1"/>
  <c r="W71" i="5"/>
  <c r="S71" i="10"/>
  <c r="F807" i="18" s="1"/>
  <c r="AI72" i="5"/>
  <c r="AR72" i="5"/>
  <c r="AS72" i="5"/>
  <c r="E72" i="10"/>
  <c r="N72" i="10"/>
  <c r="B72" i="17" s="1"/>
  <c r="B563" i="18" s="1"/>
  <c r="AO71" i="5"/>
  <c r="R71" i="10"/>
  <c r="D807" i="18" s="1"/>
  <c r="AP71" i="5"/>
  <c r="T71" i="10"/>
  <c r="H807" i="18" s="1"/>
  <c r="R71" i="5"/>
  <c r="S71" i="5"/>
  <c r="T71" i="5"/>
  <c r="U71" i="5"/>
  <c r="D71" i="10"/>
  <c r="AB71" i="10"/>
  <c r="V70" i="5"/>
  <c r="Q70" i="10"/>
  <c r="B806" i="18" s="1"/>
  <c r="W70" i="5"/>
  <c r="S70" i="10"/>
  <c r="F806" i="18" s="1"/>
  <c r="AI71" i="5"/>
  <c r="AR71" i="5"/>
  <c r="AS71" i="5"/>
  <c r="E71" i="10"/>
  <c r="N71" i="10"/>
  <c r="B71" i="17" s="1"/>
  <c r="B562" i="18" s="1"/>
  <c r="AO70" i="5"/>
  <c r="R70" i="10"/>
  <c r="D806" i="18" s="1"/>
  <c r="AP70" i="5"/>
  <c r="T70" i="10"/>
  <c r="H806" i="18" s="1"/>
  <c r="R70" i="5"/>
  <c r="S70" i="5"/>
  <c r="T70" i="5"/>
  <c r="U70" i="5"/>
  <c r="D70" i="10"/>
  <c r="AB70" i="10"/>
  <c r="V69" i="5"/>
  <c r="Q69" i="10"/>
  <c r="B805" i="18" s="1"/>
  <c r="W69" i="5"/>
  <c r="S69" i="10"/>
  <c r="F805" i="18" s="1"/>
  <c r="AI70" i="5"/>
  <c r="AR70" i="5"/>
  <c r="AS70" i="5"/>
  <c r="E70" i="10"/>
  <c r="N70" i="10"/>
  <c r="B70" i="17" s="1"/>
  <c r="B561" i="18" s="1"/>
  <c r="AO69" i="5"/>
  <c r="R69" i="10"/>
  <c r="D805" i="18" s="1"/>
  <c r="AP69" i="5"/>
  <c r="T69" i="10"/>
  <c r="H805" i="18" s="1"/>
  <c r="R69" i="5"/>
  <c r="S69" i="5"/>
  <c r="T69" i="5"/>
  <c r="U69" i="5"/>
  <c r="D69" i="10"/>
  <c r="AB69" i="10"/>
  <c r="V68" i="5"/>
  <c r="Q68" i="10"/>
  <c r="B804" i="18" s="1"/>
  <c r="W68" i="5"/>
  <c r="S68" i="10"/>
  <c r="F804" i="18" s="1"/>
  <c r="AI69" i="5"/>
  <c r="AR69" i="5"/>
  <c r="AS69" i="5"/>
  <c r="E69" i="10"/>
  <c r="N69" i="10"/>
  <c r="B69" i="17" s="1"/>
  <c r="B560" i="18" s="1"/>
  <c r="AO68" i="5"/>
  <c r="R68" i="10"/>
  <c r="D804" i="18" s="1"/>
  <c r="AP68" i="5"/>
  <c r="T68" i="10"/>
  <c r="H804" i="18" s="1"/>
  <c r="R68" i="5"/>
  <c r="S68" i="5"/>
  <c r="T68" i="5"/>
  <c r="U68" i="5"/>
  <c r="D68" i="10"/>
  <c r="AB68" i="10"/>
  <c r="V67" i="5"/>
  <c r="Q67" i="10"/>
  <c r="B803" i="18" s="1"/>
  <c r="W67" i="5"/>
  <c r="S67" i="10"/>
  <c r="F803" i="18" s="1"/>
  <c r="AI68" i="5"/>
  <c r="AR68" i="5"/>
  <c r="AS68" i="5"/>
  <c r="E68" i="10"/>
  <c r="N68" i="10"/>
  <c r="B68" i="17" s="1"/>
  <c r="B559" i="18" s="1"/>
  <c r="AO67" i="5"/>
  <c r="R67" i="10"/>
  <c r="D803" i="18" s="1"/>
  <c r="AP67" i="5"/>
  <c r="T67" i="10"/>
  <c r="H803" i="18" s="1"/>
  <c r="R67" i="5"/>
  <c r="S67" i="5"/>
  <c r="T67" i="5"/>
  <c r="U67" i="5"/>
  <c r="D67" i="10"/>
  <c r="AB67" i="10"/>
  <c r="V66" i="5"/>
  <c r="Q66" i="10"/>
  <c r="B802" i="18" s="1"/>
  <c r="W66" i="5"/>
  <c r="S66" i="10"/>
  <c r="F802" i="18" s="1"/>
  <c r="AI67" i="5"/>
  <c r="AR67" i="5"/>
  <c r="AS67" i="5"/>
  <c r="E67" i="10"/>
  <c r="N67" i="10"/>
  <c r="B67" i="17" s="1"/>
  <c r="B558" i="18" s="1"/>
  <c r="AO66" i="5"/>
  <c r="R66" i="10"/>
  <c r="D802" i="18" s="1"/>
  <c r="AP66" i="5"/>
  <c r="T66" i="10"/>
  <c r="H802" i="18" s="1"/>
  <c r="R66" i="5"/>
  <c r="S66" i="5"/>
  <c r="T66" i="5"/>
  <c r="U66" i="5"/>
  <c r="D66" i="10"/>
  <c r="AB66" i="10"/>
  <c r="V65" i="5"/>
  <c r="Q65" i="10"/>
  <c r="B801" i="18" s="1"/>
  <c r="W65" i="5"/>
  <c r="S65" i="10"/>
  <c r="F801" i="18" s="1"/>
  <c r="AI66" i="5"/>
  <c r="AR66" i="5"/>
  <c r="AS66" i="5"/>
  <c r="E66" i="10"/>
  <c r="N66" i="10"/>
  <c r="B66" i="17" s="1"/>
  <c r="B557" i="18" s="1"/>
  <c r="AO65" i="5"/>
  <c r="R65" i="10"/>
  <c r="D801" i="18" s="1"/>
  <c r="AP65" i="5"/>
  <c r="T65" i="10"/>
  <c r="H801" i="18" s="1"/>
  <c r="R65" i="5"/>
  <c r="S65" i="5"/>
  <c r="T65" i="5"/>
  <c r="U65" i="5"/>
  <c r="D65" i="10"/>
  <c r="AB65" i="10"/>
  <c r="V64" i="5"/>
  <c r="Q64" i="10"/>
  <c r="B800" i="18" s="1"/>
  <c r="W64" i="5"/>
  <c r="S64" i="10"/>
  <c r="F800" i="18" s="1"/>
  <c r="AI65" i="5"/>
  <c r="AR65" i="5"/>
  <c r="AS65" i="5"/>
  <c r="E65" i="10"/>
  <c r="N65" i="10"/>
  <c r="B65" i="17" s="1"/>
  <c r="B556" i="18" s="1"/>
  <c r="AO64" i="5"/>
  <c r="R64" i="10"/>
  <c r="D800" i="18" s="1"/>
  <c r="AP64" i="5"/>
  <c r="T64" i="10"/>
  <c r="H800" i="18" s="1"/>
  <c r="R64" i="5"/>
  <c r="S64" i="5"/>
  <c r="T64" i="5"/>
  <c r="U64" i="5"/>
  <c r="D64" i="10"/>
  <c r="AB64" i="10"/>
  <c r="V63" i="5"/>
  <c r="Q63" i="10"/>
  <c r="B799" i="18" s="1"/>
  <c r="W63" i="5"/>
  <c r="S63" i="10"/>
  <c r="F799" i="18" s="1"/>
  <c r="AI64" i="5"/>
  <c r="AR64" i="5"/>
  <c r="AS64" i="5"/>
  <c r="E64" i="10"/>
  <c r="N64" i="10"/>
  <c r="B64" i="17" s="1"/>
  <c r="B555" i="18" s="1"/>
  <c r="AO63" i="5"/>
  <c r="R63" i="10"/>
  <c r="D799" i="18" s="1"/>
  <c r="AP63" i="5"/>
  <c r="T63" i="10"/>
  <c r="H799" i="18" s="1"/>
  <c r="R63" i="5"/>
  <c r="S63" i="5"/>
  <c r="T63" i="5"/>
  <c r="U63" i="5"/>
  <c r="D63" i="10"/>
  <c r="AB63" i="10"/>
  <c r="V62" i="5"/>
  <c r="Q62" i="10"/>
  <c r="B798" i="18" s="1"/>
  <c r="W62" i="5"/>
  <c r="S62" i="10"/>
  <c r="F798" i="18" s="1"/>
  <c r="AI63" i="5"/>
  <c r="AR63" i="5"/>
  <c r="AS63" i="5"/>
  <c r="E63" i="10"/>
  <c r="N63" i="10"/>
  <c r="B63" i="17" s="1"/>
  <c r="B554" i="18" s="1"/>
  <c r="AO62" i="5"/>
  <c r="R62" i="10"/>
  <c r="D798" i="18" s="1"/>
  <c r="AP62" i="5"/>
  <c r="T62" i="10"/>
  <c r="H798" i="18" s="1"/>
  <c r="R62" i="5"/>
  <c r="S62" i="5"/>
  <c r="T62" i="5"/>
  <c r="U62" i="5"/>
  <c r="D62" i="10"/>
  <c r="AB62" i="10"/>
  <c r="V61" i="5"/>
  <c r="Q61" i="10"/>
  <c r="B797" i="18" s="1"/>
  <c r="W61" i="5"/>
  <c r="S61" i="10"/>
  <c r="F797" i="18" s="1"/>
  <c r="AI62" i="5"/>
  <c r="AR62" i="5"/>
  <c r="AS62" i="5"/>
  <c r="E62" i="10"/>
  <c r="N62" i="10"/>
  <c r="B62" i="17" s="1"/>
  <c r="B553" i="18" s="1"/>
  <c r="AO61" i="5"/>
  <c r="R61" i="10"/>
  <c r="D797" i="18" s="1"/>
  <c r="AP61" i="5"/>
  <c r="T61" i="10"/>
  <c r="H797" i="18" s="1"/>
  <c r="R61" i="5"/>
  <c r="S61" i="5"/>
  <c r="T61" i="5"/>
  <c r="U61" i="5"/>
  <c r="D61" i="10"/>
  <c r="AB61" i="10"/>
  <c r="V60" i="5"/>
  <c r="Q60" i="10"/>
  <c r="B796" i="18" s="1"/>
  <c r="W60" i="5"/>
  <c r="S60" i="10"/>
  <c r="F796" i="18" s="1"/>
  <c r="AI61" i="5"/>
  <c r="AR61" i="5"/>
  <c r="AS61" i="5"/>
  <c r="E61" i="10"/>
  <c r="N61" i="10"/>
  <c r="B61" i="17" s="1"/>
  <c r="B552" i="18" s="1"/>
  <c r="AO60" i="5"/>
  <c r="R60" i="10"/>
  <c r="D796" i="18" s="1"/>
  <c r="AP60" i="5"/>
  <c r="T60" i="10"/>
  <c r="H796" i="18" s="1"/>
  <c r="R60" i="5"/>
  <c r="S60" i="5"/>
  <c r="T60" i="5"/>
  <c r="U60" i="5"/>
  <c r="D60" i="10"/>
  <c r="AB60" i="10"/>
  <c r="V59" i="5"/>
  <c r="Q59" i="10"/>
  <c r="B795" i="18" s="1"/>
  <c r="W59" i="5"/>
  <c r="S59" i="10"/>
  <c r="F795" i="18" s="1"/>
  <c r="AI60" i="5"/>
  <c r="AR60" i="5"/>
  <c r="AS60" i="5"/>
  <c r="E60" i="10"/>
  <c r="N60" i="10"/>
  <c r="B60" i="17" s="1"/>
  <c r="B551" i="18" s="1"/>
  <c r="AO59" i="5"/>
  <c r="R59" i="10"/>
  <c r="D795" i="18" s="1"/>
  <c r="AP59" i="5"/>
  <c r="T59" i="10"/>
  <c r="H795" i="18" s="1"/>
  <c r="R59" i="5"/>
  <c r="S59" i="5"/>
  <c r="T59" i="5"/>
  <c r="U59" i="5"/>
  <c r="D59" i="10"/>
  <c r="AB59" i="10"/>
  <c r="V58" i="5"/>
  <c r="Q58" i="10"/>
  <c r="B794" i="18" s="1"/>
  <c r="W58" i="5"/>
  <c r="S58" i="10"/>
  <c r="F794" i="18" s="1"/>
  <c r="AI59" i="5"/>
  <c r="AR59" i="5"/>
  <c r="AS59" i="5"/>
  <c r="E59" i="10"/>
  <c r="N59" i="10"/>
  <c r="B59" i="17" s="1"/>
  <c r="B550" i="18" s="1"/>
  <c r="AO58" i="5"/>
  <c r="R58" i="10"/>
  <c r="D794" i="18" s="1"/>
  <c r="AP58" i="5"/>
  <c r="T58" i="10"/>
  <c r="H794" i="18" s="1"/>
  <c r="R58" i="5"/>
  <c r="S58" i="5"/>
  <c r="T58" i="5"/>
  <c r="U58" i="5"/>
  <c r="D58" i="10"/>
  <c r="AB58" i="10"/>
  <c r="V57" i="5"/>
  <c r="Q57" i="10"/>
  <c r="B793" i="18" s="1"/>
  <c r="W57" i="5"/>
  <c r="S57" i="10"/>
  <c r="F793" i="18" s="1"/>
  <c r="AI58" i="5"/>
  <c r="AR58" i="5"/>
  <c r="AS58" i="5"/>
  <c r="E58" i="10"/>
  <c r="N58" i="10"/>
  <c r="B58" i="17" s="1"/>
  <c r="B549" i="18" s="1"/>
  <c r="AO57" i="5"/>
  <c r="R57" i="10"/>
  <c r="D793" i="18" s="1"/>
  <c r="AP57" i="5"/>
  <c r="T57" i="10"/>
  <c r="H793" i="18" s="1"/>
  <c r="R57" i="5"/>
  <c r="S57" i="5"/>
  <c r="T57" i="5"/>
  <c r="U57" i="5"/>
  <c r="D57" i="10"/>
  <c r="AB57" i="10"/>
  <c r="V56" i="5"/>
  <c r="Q56" i="10"/>
  <c r="B792" i="18" s="1"/>
  <c r="W56" i="5"/>
  <c r="S56" i="10"/>
  <c r="F792" i="18" s="1"/>
  <c r="AI57" i="5"/>
  <c r="AR57" i="5"/>
  <c r="AS57" i="5"/>
  <c r="E57" i="10"/>
  <c r="N57" i="10"/>
  <c r="B57" i="17" s="1"/>
  <c r="B548" i="18" s="1"/>
  <c r="AO56" i="5"/>
  <c r="R56" i="10"/>
  <c r="D792" i="18" s="1"/>
  <c r="AP56" i="5"/>
  <c r="T56" i="10"/>
  <c r="H792" i="18" s="1"/>
  <c r="R56" i="5"/>
  <c r="S56" i="5"/>
  <c r="T56" i="5"/>
  <c r="U56" i="5"/>
  <c r="D56" i="10"/>
  <c r="AB56" i="10"/>
  <c r="V55" i="5"/>
  <c r="Q55" i="10"/>
  <c r="B791" i="18" s="1"/>
  <c r="W55" i="5"/>
  <c r="S55" i="10"/>
  <c r="F791" i="18" s="1"/>
  <c r="AI56" i="5"/>
  <c r="AR56" i="5"/>
  <c r="AS56" i="5"/>
  <c r="E56" i="10"/>
  <c r="N56" i="10"/>
  <c r="B56" i="17" s="1"/>
  <c r="B547" i="18" s="1"/>
  <c r="AO55" i="5"/>
  <c r="R55" i="10"/>
  <c r="D791" i="18" s="1"/>
  <c r="AP55" i="5"/>
  <c r="T55" i="10"/>
  <c r="H791" i="18" s="1"/>
  <c r="R55" i="5"/>
  <c r="S55" i="5"/>
  <c r="T55" i="5"/>
  <c r="U55" i="5"/>
  <c r="D55" i="10"/>
  <c r="AB55" i="10"/>
  <c r="V54" i="5"/>
  <c r="Q54" i="10"/>
  <c r="B790" i="18" s="1"/>
  <c r="W54" i="5"/>
  <c r="S54" i="10"/>
  <c r="F790" i="18" s="1"/>
  <c r="AI55" i="5"/>
  <c r="AR55" i="5"/>
  <c r="AS55" i="5"/>
  <c r="E55" i="10"/>
  <c r="N55" i="10"/>
  <c r="B55" i="17" s="1"/>
  <c r="B546" i="18" s="1"/>
  <c r="AO54" i="5"/>
  <c r="R54" i="10"/>
  <c r="D790" i="18" s="1"/>
  <c r="AP54" i="5"/>
  <c r="T54" i="10"/>
  <c r="H790" i="18" s="1"/>
  <c r="R54" i="5"/>
  <c r="S54" i="5"/>
  <c r="T54" i="5"/>
  <c r="U54" i="5"/>
  <c r="D54" i="10"/>
  <c r="AB54" i="10"/>
  <c r="V53" i="5"/>
  <c r="Q53" i="10"/>
  <c r="B789" i="18" s="1"/>
  <c r="W53" i="5"/>
  <c r="S53" i="10"/>
  <c r="F789" i="18" s="1"/>
  <c r="AI54" i="5"/>
  <c r="AR54" i="5"/>
  <c r="AS54" i="5"/>
  <c r="E54" i="10"/>
  <c r="N54" i="10"/>
  <c r="B54" i="17" s="1"/>
  <c r="B545" i="18" s="1"/>
  <c r="AO53" i="5"/>
  <c r="R53" i="10"/>
  <c r="D789" i="18" s="1"/>
  <c r="AP53" i="5"/>
  <c r="T53" i="10"/>
  <c r="H789" i="18" s="1"/>
  <c r="R53" i="5"/>
  <c r="S53" i="5"/>
  <c r="T53" i="5"/>
  <c r="U53" i="5"/>
  <c r="D53" i="10"/>
  <c r="AB53" i="10"/>
  <c r="V52" i="5"/>
  <c r="Q52" i="10"/>
  <c r="B788" i="18" s="1"/>
  <c r="W52" i="5"/>
  <c r="S52" i="10"/>
  <c r="F788" i="18" s="1"/>
  <c r="AI53" i="5"/>
  <c r="AR53" i="5"/>
  <c r="AS53" i="5"/>
  <c r="E53" i="10"/>
  <c r="N53" i="10"/>
  <c r="B53" i="17" s="1"/>
  <c r="B544" i="18" s="1"/>
  <c r="AO52" i="5"/>
  <c r="R52" i="10"/>
  <c r="D788" i="18" s="1"/>
  <c r="AP52" i="5"/>
  <c r="T52" i="10"/>
  <c r="H788" i="18" s="1"/>
  <c r="R52" i="5"/>
  <c r="S52" i="5"/>
  <c r="T52" i="5"/>
  <c r="U52" i="5"/>
  <c r="D52" i="10"/>
  <c r="AB52" i="10"/>
  <c r="V51" i="5"/>
  <c r="Q51" i="10"/>
  <c r="B787" i="18" s="1"/>
  <c r="W51" i="5"/>
  <c r="S51" i="10"/>
  <c r="F787" i="18" s="1"/>
  <c r="AI52" i="5"/>
  <c r="AR52" i="5"/>
  <c r="AS52" i="5"/>
  <c r="E52" i="10"/>
  <c r="N52" i="10"/>
  <c r="B52" i="17" s="1"/>
  <c r="B543" i="18" s="1"/>
  <c r="AO51" i="5"/>
  <c r="R51" i="10"/>
  <c r="D787" i="18" s="1"/>
  <c r="AP51" i="5"/>
  <c r="T51" i="10"/>
  <c r="H787" i="18" s="1"/>
  <c r="R51" i="5"/>
  <c r="S51" i="5"/>
  <c r="T51" i="5"/>
  <c r="U51" i="5"/>
  <c r="D51" i="10"/>
  <c r="AB51" i="10"/>
  <c r="V50" i="5"/>
  <c r="Q50" i="10"/>
  <c r="B786" i="18" s="1"/>
  <c r="W50" i="5"/>
  <c r="S50" i="10"/>
  <c r="F786" i="18" s="1"/>
  <c r="AI51" i="5"/>
  <c r="AR51" i="5"/>
  <c r="AS51" i="5"/>
  <c r="E51" i="10"/>
  <c r="N51" i="10"/>
  <c r="B51" i="17" s="1"/>
  <c r="B542" i="18" s="1"/>
  <c r="AO50" i="5"/>
  <c r="R50" i="10"/>
  <c r="D786" i="18" s="1"/>
  <c r="AP50" i="5"/>
  <c r="T50" i="10"/>
  <c r="H786" i="18" s="1"/>
  <c r="R50" i="5"/>
  <c r="S50" i="5"/>
  <c r="T50" i="5"/>
  <c r="U50" i="5"/>
  <c r="D50" i="10"/>
  <c r="AB50" i="10"/>
  <c r="V49" i="5"/>
  <c r="Q49" i="10"/>
  <c r="B785" i="18" s="1"/>
  <c r="W49" i="5"/>
  <c r="S49" i="10"/>
  <c r="F785" i="18" s="1"/>
  <c r="AI50" i="5"/>
  <c r="AR50" i="5"/>
  <c r="AS50" i="5"/>
  <c r="E50" i="10"/>
  <c r="N50" i="10"/>
  <c r="B50" i="17" s="1"/>
  <c r="B541" i="18" s="1"/>
  <c r="AO49" i="5"/>
  <c r="R49" i="10"/>
  <c r="D785" i="18" s="1"/>
  <c r="AP49" i="5"/>
  <c r="T49" i="10"/>
  <c r="H785" i="18" s="1"/>
  <c r="R49" i="5"/>
  <c r="S49" i="5"/>
  <c r="T49" i="5"/>
  <c r="U49" i="5"/>
  <c r="D49" i="10"/>
  <c r="AB49" i="10"/>
  <c r="V48" i="5"/>
  <c r="Q48" i="10"/>
  <c r="B784" i="18" s="1"/>
  <c r="W48" i="5"/>
  <c r="S48" i="10"/>
  <c r="F784" i="18" s="1"/>
  <c r="AI49" i="5"/>
  <c r="AR49" i="5"/>
  <c r="AS49" i="5"/>
  <c r="E49" i="10"/>
  <c r="N49" i="10"/>
  <c r="B49" i="17" s="1"/>
  <c r="B540" i="18" s="1"/>
  <c r="AO48" i="5"/>
  <c r="R48" i="10"/>
  <c r="D784" i="18" s="1"/>
  <c r="AP48" i="5"/>
  <c r="T48" i="10"/>
  <c r="H784" i="18" s="1"/>
  <c r="R48" i="5"/>
  <c r="S48" i="5"/>
  <c r="T48" i="5"/>
  <c r="U48" i="5"/>
  <c r="D48" i="10"/>
  <c r="AB48" i="10"/>
  <c r="V47" i="5"/>
  <c r="Q47" i="10"/>
  <c r="B783" i="18" s="1"/>
  <c r="W47" i="5"/>
  <c r="S47" i="10"/>
  <c r="F783" i="18" s="1"/>
  <c r="AI48" i="5"/>
  <c r="AR48" i="5"/>
  <c r="AS48" i="5"/>
  <c r="E48" i="10"/>
  <c r="N48" i="10"/>
  <c r="B48" i="17" s="1"/>
  <c r="B539" i="18" s="1"/>
  <c r="AO47" i="5"/>
  <c r="R47" i="10"/>
  <c r="D783" i="18" s="1"/>
  <c r="AP47" i="5"/>
  <c r="T47" i="10"/>
  <c r="H783" i="18" s="1"/>
  <c r="R47" i="5"/>
  <c r="S47" i="5"/>
  <c r="T47" i="5"/>
  <c r="U47" i="5"/>
  <c r="D47" i="10"/>
  <c r="AB47" i="10"/>
  <c r="V46" i="5"/>
  <c r="Q46" i="10"/>
  <c r="B782" i="18" s="1"/>
  <c r="W46" i="5"/>
  <c r="S46" i="10"/>
  <c r="F782" i="18" s="1"/>
  <c r="AI47" i="5"/>
  <c r="AR47" i="5"/>
  <c r="AS47" i="5"/>
  <c r="E47" i="10"/>
  <c r="N47" i="10"/>
  <c r="B47" i="17" s="1"/>
  <c r="B538" i="18" s="1"/>
  <c r="AO46" i="5"/>
  <c r="R46" i="10"/>
  <c r="D782" i="18" s="1"/>
  <c r="AP46" i="5"/>
  <c r="T46" i="10"/>
  <c r="H782" i="18" s="1"/>
  <c r="R46" i="5"/>
  <c r="S46" i="5"/>
  <c r="T46" i="5"/>
  <c r="U46" i="5"/>
  <c r="D46" i="10"/>
  <c r="AB46" i="10"/>
  <c r="V45" i="5"/>
  <c r="Q45" i="10"/>
  <c r="B781" i="18" s="1"/>
  <c r="W45" i="5"/>
  <c r="S45" i="10"/>
  <c r="F781" i="18" s="1"/>
  <c r="AI46" i="5"/>
  <c r="AR46" i="5"/>
  <c r="AS46" i="5"/>
  <c r="E46" i="10"/>
  <c r="N46" i="10"/>
  <c r="B46" i="17" s="1"/>
  <c r="B537" i="18" s="1"/>
  <c r="AO45" i="5"/>
  <c r="R45" i="10"/>
  <c r="D781" i="18" s="1"/>
  <c r="AP45" i="5"/>
  <c r="T45" i="10"/>
  <c r="H781" i="18" s="1"/>
  <c r="R45" i="5"/>
  <c r="S45" i="5"/>
  <c r="T45" i="5"/>
  <c r="U45" i="5"/>
  <c r="D45" i="10"/>
  <c r="AB45" i="10"/>
  <c r="V44" i="5"/>
  <c r="Q44" i="10"/>
  <c r="B780" i="18" s="1"/>
  <c r="W44" i="5"/>
  <c r="S44" i="10"/>
  <c r="F780" i="18" s="1"/>
  <c r="AI45" i="5"/>
  <c r="AR45" i="5"/>
  <c r="AS45" i="5"/>
  <c r="E45" i="10"/>
  <c r="N45" i="10"/>
  <c r="B45" i="17" s="1"/>
  <c r="B536" i="18" s="1"/>
  <c r="AO44" i="5"/>
  <c r="R44" i="10"/>
  <c r="D780" i="18" s="1"/>
  <c r="AP44" i="5"/>
  <c r="T44" i="10"/>
  <c r="H780" i="18" s="1"/>
  <c r="R44" i="5"/>
  <c r="S44" i="5"/>
  <c r="T44" i="5"/>
  <c r="U44" i="5"/>
  <c r="D44" i="10"/>
  <c r="AB44" i="10"/>
  <c r="V43" i="5"/>
  <c r="Q43" i="10"/>
  <c r="B779" i="18" s="1"/>
  <c r="W43" i="5"/>
  <c r="S43" i="10"/>
  <c r="F779" i="18" s="1"/>
  <c r="AI44" i="5"/>
  <c r="AR44" i="5"/>
  <c r="AS44" i="5"/>
  <c r="E44" i="10"/>
  <c r="N44" i="10"/>
  <c r="B44" i="17" s="1"/>
  <c r="B535" i="18" s="1"/>
  <c r="AO43" i="5"/>
  <c r="R43" i="10"/>
  <c r="D779" i="18" s="1"/>
  <c r="AP43" i="5"/>
  <c r="T43" i="10"/>
  <c r="H779" i="18" s="1"/>
  <c r="R43" i="5"/>
  <c r="S43" i="5"/>
  <c r="T43" i="5"/>
  <c r="U43" i="5"/>
  <c r="D43" i="10"/>
  <c r="AB43" i="10"/>
  <c r="V42" i="5"/>
  <c r="Q42" i="10"/>
  <c r="B778" i="18" s="1"/>
  <c r="W42" i="5"/>
  <c r="S42" i="10"/>
  <c r="F778" i="18" s="1"/>
  <c r="AI43" i="5"/>
  <c r="AR43" i="5"/>
  <c r="AS43" i="5"/>
  <c r="E43" i="10"/>
  <c r="N43" i="10"/>
  <c r="B43" i="17" s="1"/>
  <c r="B534" i="18" s="1"/>
  <c r="AO42" i="5"/>
  <c r="R42" i="10"/>
  <c r="D778" i="18" s="1"/>
  <c r="AP42" i="5"/>
  <c r="T42" i="10"/>
  <c r="H778" i="18" s="1"/>
  <c r="R42" i="5"/>
  <c r="S42" i="5"/>
  <c r="T42" i="5"/>
  <c r="U42" i="5"/>
  <c r="D42" i="10"/>
  <c r="AB42" i="10"/>
  <c r="V41" i="5"/>
  <c r="Q41" i="10"/>
  <c r="B777" i="18" s="1"/>
  <c r="W41" i="5"/>
  <c r="S41" i="10"/>
  <c r="F777" i="18" s="1"/>
  <c r="AI42" i="5"/>
  <c r="AR42" i="5"/>
  <c r="AS42" i="5"/>
  <c r="E42" i="10"/>
  <c r="N42" i="10"/>
  <c r="B42" i="17" s="1"/>
  <c r="B533" i="18" s="1"/>
  <c r="AO41" i="5"/>
  <c r="R41" i="10"/>
  <c r="D777" i="18" s="1"/>
  <c r="AP41" i="5"/>
  <c r="T41" i="10"/>
  <c r="H777" i="18" s="1"/>
  <c r="R41" i="5"/>
  <c r="S41" i="5"/>
  <c r="T41" i="5"/>
  <c r="U41" i="5"/>
  <c r="D41" i="10"/>
  <c r="AB41" i="10"/>
  <c r="V40" i="5"/>
  <c r="Q40" i="10"/>
  <c r="B776" i="18" s="1"/>
  <c r="W40" i="5"/>
  <c r="S40" i="10"/>
  <c r="F776" i="18" s="1"/>
  <c r="AI41" i="5"/>
  <c r="AR41" i="5"/>
  <c r="AS41" i="5"/>
  <c r="E41" i="10"/>
  <c r="N41" i="10"/>
  <c r="B41" i="17" s="1"/>
  <c r="B532" i="18" s="1"/>
  <c r="AO40" i="5"/>
  <c r="R40" i="10"/>
  <c r="D776" i="18" s="1"/>
  <c r="AP40" i="5"/>
  <c r="T40" i="10"/>
  <c r="H776" i="18" s="1"/>
  <c r="R40" i="5"/>
  <c r="S40" i="5"/>
  <c r="T40" i="5"/>
  <c r="U40" i="5"/>
  <c r="D40" i="10"/>
  <c r="AB40" i="10"/>
  <c r="V39" i="5"/>
  <c r="Q39" i="10"/>
  <c r="B775" i="18" s="1"/>
  <c r="W39" i="5"/>
  <c r="S39" i="10"/>
  <c r="F775" i="18" s="1"/>
  <c r="AI40" i="5"/>
  <c r="AR40" i="5"/>
  <c r="AS40" i="5"/>
  <c r="E40" i="10"/>
  <c r="N40" i="10"/>
  <c r="B40" i="17" s="1"/>
  <c r="B531" i="18" s="1"/>
  <c r="AO39" i="5"/>
  <c r="R39" i="10"/>
  <c r="D775" i="18" s="1"/>
  <c r="AP39" i="5"/>
  <c r="T39" i="10"/>
  <c r="H775" i="18" s="1"/>
  <c r="R39" i="5"/>
  <c r="S39" i="5"/>
  <c r="T39" i="5"/>
  <c r="U39" i="5"/>
  <c r="D39" i="10"/>
  <c r="AB39" i="10"/>
  <c r="V38" i="5"/>
  <c r="Q38" i="10"/>
  <c r="B774" i="18" s="1"/>
  <c r="W38" i="5"/>
  <c r="S38" i="10"/>
  <c r="F774" i="18" s="1"/>
  <c r="AI39" i="5"/>
  <c r="AR39" i="5"/>
  <c r="AS39" i="5"/>
  <c r="E39" i="10"/>
  <c r="N39" i="10"/>
  <c r="B39" i="17" s="1"/>
  <c r="B530" i="18" s="1"/>
  <c r="AO38" i="5"/>
  <c r="R38" i="10"/>
  <c r="D774" i="18" s="1"/>
  <c r="AP38" i="5"/>
  <c r="T38" i="10"/>
  <c r="H774" i="18" s="1"/>
  <c r="R38" i="5"/>
  <c r="S38" i="5"/>
  <c r="T38" i="5"/>
  <c r="U38" i="5"/>
  <c r="D38" i="10"/>
  <c r="AB38" i="10"/>
  <c r="V37" i="5"/>
  <c r="Q37" i="10"/>
  <c r="B773" i="18" s="1"/>
  <c r="W37" i="5"/>
  <c r="S37" i="10"/>
  <c r="F773" i="18" s="1"/>
  <c r="AI38" i="5"/>
  <c r="AR38" i="5"/>
  <c r="AS38" i="5"/>
  <c r="E38" i="10"/>
  <c r="N38" i="10"/>
  <c r="B38" i="17" s="1"/>
  <c r="B529" i="18" s="1"/>
  <c r="AO37" i="5"/>
  <c r="R37" i="10"/>
  <c r="D773" i="18" s="1"/>
  <c r="AP37" i="5"/>
  <c r="T37" i="10"/>
  <c r="H773" i="18" s="1"/>
  <c r="R37" i="5"/>
  <c r="S37" i="5"/>
  <c r="T37" i="5"/>
  <c r="U37" i="5"/>
  <c r="D37" i="10"/>
  <c r="AB37" i="10"/>
  <c r="V36" i="5"/>
  <c r="Q36" i="10"/>
  <c r="B772" i="18" s="1"/>
  <c r="W36" i="5"/>
  <c r="S36" i="10"/>
  <c r="F772" i="18" s="1"/>
  <c r="AI37" i="5"/>
  <c r="AR37" i="5"/>
  <c r="AS37" i="5"/>
  <c r="E37" i="10"/>
  <c r="N37" i="10"/>
  <c r="B37" i="17" s="1"/>
  <c r="B528" i="18" s="1"/>
  <c r="AO36" i="5"/>
  <c r="R36" i="10"/>
  <c r="D772" i="18" s="1"/>
  <c r="AP36" i="5"/>
  <c r="T36" i="10"/>
  <c r="H772" i="18" s="1"/>
  <c r="R36" i="5"/>
  <c r="S36" i="5"/>
  <c r="T36" i="5"/>
  <c r="U36" i="5"/>
  <c r="D36" i="10"/>
  <c r="AB36" i="10"/>
  <c r="V35" i="5"/>
  <c r="Q35" i="10"/>
  <c r="B771" i="18" s="1"/>
  <c r="W35" i="5"/>
  <c r="S35" i="10"/>
  <c r="F771" i="18" s="1"/>
  <c r="AI36" i="5"/>
  <c r="AR36" i="5"/>
  <c r="AS36" i="5"/>
  <c r="E36" i="10"/>
  <c r="N36" i="10"/>
  <c r="B36" i="17" s="1"/>
  <c r="B527" i="18" s="1"/>
  <c r="AO35" i="5"/>
  <c r="R35" i="10"/>
  <c r="D771" i="18" s="1"/>
  <c r="AP35" i="5"/>
  <c r="T35" i="10"/>
  <c r="H771" i="18" s="1"/>
  <c r="R35" i="5"/>
  <c r="S35" i="5"/>
  <c r="T35" i="5"/>
  <c r="U35" i="5"/>
  <c r="D35" i="10"/>
  <c r="AB35" i="10"/>
  <c r="V34" i="5"/>
  <c r="Q34" i="10"/>
  <c r="B770" i="18" s="1"/>
  <c r="W34" i="5"/>
  <c r="S34" i="10"/>
  <c r="F770" i="18" s="1"/>
  <c r="AI35" i="5"/>
  <c r="AR35" i="5"/>
  <c r="AS35" i="5"/>
  <c r="E35" i="10"/>
  <c r="N35" i="10"/>
  <c r="B35" i="17" s="1"/>
  <c r="B526" i="18" s="1"/>
  <c r="AO34" i="5"/>
  <c r="R34" i="10"/>
  <c r="D770" i="18" s="1"/>
  <c r="AP34" i="5"/>
  <c r="T34" i="10"/>
  <c r="H770" i="18" s="1"/>
  <c r="R34" i="5"/>
  <c r="S34" i="5"/>
  <c r="T34" i="5"/>
  <c r="U34" i="5"/>
  <c r="D34" i="10"/>
  <c r="AB34" i="10"/>
  <c r="V33" i="5"/>
  <c r="Q33" i="10"/>
  <c r="B769" i="18" s="1"/>
  <c r="W33" i="5"/>
  <c r="S33" i="10"/>
  <c r="F769" i="18" s="1"/>
  <c r="AI34" i="5"/>
  <c r="AR34" i="5"/>
  <c r="AS34" i="5"/>
  <c r="E34" i="10"/>
  <c r="N34" i="10"/>
  <c r="B34" i="17" s="1"/>
  <c r="B525" i="18" s="1"/>
  <c r="AO33" i="5"/>
  <c r="R33" i="10"/>
  <c r="D769" i="18" s="1"/>
  <c r="AP33" i="5"/>
  <c r="T33" i="10"/>
  <c r="H769" i="18" s="1"/>
  <c r="R33" i="5"/>
  <c r="S33" i="5"/>
  <c r="T33" i="5"/>
  <c r="U33" i="5"/>
  <c r="D33" i="10"/>
  <c r="AB33" i="10"/>
  <c r="V32" i="5"/>
  <c r="Q32" i="10"/>
  <c r="B768" i="18" s="1"/>
  <c r="W32" i="5"/>
  <c r="S32" i="10"/>
  <c r="F768" i="18" s="1"/>
  <c r="AI33" i="5"/>
  <c r="AR33" i="5"/>
  <c r="AS33" i="5"/>
  <c r="E33" i="10"/>
  <c r="N33" i="10"/>
  <c r="B33" i="17" s="1"/>
  <c r="B524" i="18" s="1"/>
  <c r="AO32" i="5"/>
  <c r="R32" i="10"/>
  <c r="D768" i="18" s="1"/>
  <c r="AP32" i="5"/>
  <c r="T32" i="10"/>
  <c r="H768" i="18" s="1"/>
  <c r="R32" i="5"/>
  <c r="S32" i="5"/>
  <c r="T32" i="5"/>
  <c r="U32" i="5"/>
  <c r="D32" i="10"/>
  <c r="AB32" i="10"/>
  <c r="V31" i="5"/>
  <c r="Q31" i="10"/>
  <c r="B767" i="18" s="1"/>
  <c r="W31" i="5"/>
  <c r="S31" i="10"/>
  <c r="F767" i="18" s="1"/>
  <c r="AI32" i="5"/>
  <c r="AR32" i="5"/>
  <c r="AS32" i="5"/>
  <c r="E32" i="10"/>
  <c r="N32" i="10"/>
  <c r="B32" i="17" s="1"/>
  <c r="B523" i="18" s="1"/>
  <c r="AO31" i="5"/>
  <c r="R31" i="10"/>
  <c r="D767" i="18" s="1"/>
  <c r="AP31" i="5"/>
  <c r="T31" i="10"/>
  <c r="H767" i="18" s="1"/>
  <c r="R31" i="5"/>
  <c r="S31" i="5"/>
  <c r="T31" i="5"/>
  <c r="U31" i="5"/>
  <c r="D31" i="10"/>
  <c r="AB31" i="10"/>
  <c r="V30" i="5"/>
  <c r="Q30" i="10"/>
  <c r="B766" i="18" s="1"/>
  <c r="W30" i="5"/>
  <c r="S30" i="10"/>
  <c r="F766" i="18" s="1"/>
  <c r="AI31" i="5"/>
  <c r="AR31" i="5"/>
  <c r="AS31" i="5"/>
  <c r="E31" i="10"/>
  <c r="N31" i="10"/>
  <c r="B31" i="17" s="1"/>
  <c r="B522" i="18" s="1"/>
  <c r="AO30" i="5"/>
  <c r="R30" i="10"/>
  <c r="D766" i="18" s="1"/>
  <c r="AP30" i="5"/>
  <c r="T30" i="10"/>
  <c r="H766" i="18" s="1"/>
  <c r="R30" i="5"/>
  <c r="S30" i="5"/>
  <c r="T30" i="5"/>
  <c r="U30" i="5"/>
  <c r="D30" i="10"/>
  <c r="AB30" i="10"/>
  <c r="V29" i="5"/>
  <c r="Q29" i="10"/>
  <c r="B765" i="18" s="1"/>
  <c r="W29" i="5"/>
  <c r="S29" i="10"/>
  <c r="F765" i="18" s="1"/>
  <c r="AI30" i="5"/>
  <c r="AR30" i="5"/>
  <c r="AS30" i="5"/>
  <c r="E30" i="10"/>
  <c r="N30" i="10"/>
  <c r="B30" i="17" s="1"/>
  <c r="B521" i="18" s="1"/>
  <c r="AO29" i="5"/>
  <c r="R29" i="10"/>
  <c r="D765" i="18" s="1"/>
  <c r="AP29" i="5"/>
  <c r="T29" i="10"/>
  <c r="H765" i="18" s="1"/>
  <c r="R29" i="5"/>
  <c r="S29" i="5"/>
  <c r="T29" i="5"/>
  <c r="U29" i="5"/>
  <c r="D29" i="10"/>
  <c r="AB29" i="10"/>
  <c r="V28" i="5"/>
  <c r="Q28" i="10"/>
  <c r="B764" i="18" s="1"/>
  <c r="W28" i="5"/>
  <c r="S28" i="10"/>
  <c r="F764" i="18" s="1"/>
  <c r="AI29" i="5"/>
  <c r="AR29" i="5"/>
  <c r="AS29" i="5"/>
  <c r="E29" i="10"/>
  <c r="N29" i="10"/>
  <c r="B29" i="17" s="1"/>
  <c r="B520" i="18" s="1"/>
  <c r="AO28" i="5"/>
  <c r="R28" i="10"/>
  <c r="D764" i="18" s="1"/>
  <c r="AP28" i="5"/>
  <c r="T28" i="10"/>
  <c r="H764" i="18" s="1"/>
  <c r="R28" i="5"/>
  <c r="S28" i="5"/>
  <c r="T28" i="5"/>
  <c r="U28" i="5"/>
  <c r="D28" i="10"/>
  <c r="AB28" i="10"/>
  <c r="V27" i="5"/>
  <c r="Q27" i="10"/>
  <c r="B763" i="18" s="1"/>
  <c r="W27" i="5"/>
  <c r="S27" i="10"/>
  <c r="F763" i="18" s="1"/>
  <c r="AI28" i="5"/>
  <c r="AR28" i="5"/>
  <c r="AS28" i="5"/>
  <c r="E28" i="10"/>
  <c r="N28" i="10"/>
  <c r="B28" i="17" s="1"/>
  <c r="B519" i="18" s="1"/>
  <c r="AO27" i="5"/>
  <c r="R27" i="10"/>
  <c r="D763" i="18" s="1"/>
  <c r="AP27" i="5"/>
  <c r="T27" i="10"/>
  <c r="H763" i="18" s="1"/>
  <c r="R27" i="5"/>
  <c r="S27" i="5"/>
  <c r="T27" i="5"/>
  <c r="U27" i="5"/>
  <c r="D27" i="10"/>
  <c r="AB27" i="10"/>
  <c r="V26" i="5"/>
  <c r="Q26" i="10"/>
  <c r="B762" i="18" s="1"/>
  <c r="W26" i="5"/>
  <c r="S26" i="10"/>
  <c r="F762" i="18" s="1"/>
  <c r="AI27" i="5"/>
  <c r="AR27" i="5"/>
  <c r="AS27" i="5"/>
  <c r="E27" i="10"/>
  <c r="N27" i="10"/>
  <c r="B27" i="17" s="1"/>
  <c r="B518" i="18" s="1"/>
  <c r="AO26" i="5"/>
  <c r="R26" i="10"/>
  <c r="D762" i="18" s="1"/>
  <c r="AP26" i="5"/>
  <c r="T26" i="10"/>
  <c r="H762" i="18" s="1"/>
  <c r="R26" i="5"/>
  <c r="S26" i="5"/>
  <c r="T26" i="5"/>
  <c r="U26" i="5"/>
  <c r="D26" i="10"/>
  <c r="AB26" i="10"/>
  <c r="V25" i="5"/>
  <c r="Q25" i="10"/>
  <c r="B761" i="18" s="1"/>
  <c r="W25" i="5"/>
  <c r="S25" i="10"/>
  <c r="F761" i="18" s="1"/>
  <c r="AI26" i="5"/>
  <c r="AR26" i="5"/>
  <c r="AS26" i="5"/>
  <c r="E26" i="10"/>
  <c r="N26" i="10"/>
  <c r="B26" i="17" s="1"/>
  <c r="B517" i="18" s="1"/>
  <c r="AO25" i="5"/>
  <c r="R25" i="10"/>
  <c r="D761" i="18" s="1"/>
  <c r="AP25" i="5"/>
  <c r="T25" i="10"/>
  <c r="H761" i="18" s="1"/>
  <c r="R25" i="5"/>
  <c r="S25" i="5"/>
  <c r="T25" i="5"/>
  <c r="U25" i="5"/>
  <c r="D25" i="10"/>
  <c r="AB25" i="10"/>
  <c r="V24" i="5"/>
  <c r="Q24" i="10"/>
  <c r="B760" i="18" s="1"/>
  <c r="W24" i="5"/>
  <c r="S24" i="10"/>
  <c r="F760" i="18" s="1"/>
  <c r="AI25" i="5"/>
  <c r="AR25" i="5"/>
  <c r="AS25" i="5"/>
  <c r="E25" i="10"/>
  <c r="N25" i="10"/>
  <c r="B25" i="17" s="1"/>
  <c r="B516" i="18" s="1"/>
  <c r="AO24" i="5"/>
  <c r="R24" i="10"/>
  <c r="D760" i="18" s="1"/>
  <c r="AP24" i="5"/>
  <c r="T24" i="10"/>
  <c r="H760" i="18" s="1"/>
  <c r="R24" i="5"/>
  <c r="S24" i="5"/>
  <c r="T24" i="5"/>
  <c r="U24" i="5"/>
  <c r="D24" i="10"/>
  <c r="AB24" i="10"/>
  <c r="V23" i="5"/>
  <c r="Q23" i="10"/>
  <c r="B759" i="18" s="1"/>
  <c r="W23" i="5"/>
  <c r="S23" i="10"/>
  <c r="F759" i="18" s="1"/>
  <c r="AI24" i="5"/>
  <c r="AR24" i="5"/>
  <c r="AS24" i="5"/>
  <c r="E24" i="10"/>
  <c r="N24" i="10"/>
  <c r="B24" i="17" s="1"/>
  <c r="B515" i="18" s="1"/>
  <c r="AO23" i="5"/>
  <c r="R23" i="10"/>
  <c r="D759" i="18" s="1"/>
  <c r="AP23" i="5"/>
  <c r="T23" i="10"/>
  <c r="H759" i="18" s="1"/>
  <c r="R23" i="5"/>
  <c r="S23" i="5"/>
  <c r="T23" i="5"/>
  <c r="U23" i="5"/>
  <c r="D23" i="10"/>
  <c r="AB23" i="10"/>
  <c r="V22" i="5"/>
  <c r="Q22" i="10"/>
  <c r="B758" i="18" s="1"/>
  <c r="W22" i="5"/>
  <c r="S22" i="10"/>
  <c r="F758" i="18" s="1"/>
  <c r="AI23" i="5"/>
  <c r="AR23" i="5"/>
  <c r="AS23" i="5"/>
  <c r="E23" i="10"/>
  <c r="N23" i="10"/>
  <c r="B23" i="17" s="1"/>
  <c r="B514" i="18" s="1"/>
  <c r="AO22" i="5"/>
  <c r="R22" i="10"/>
  <c r="D758" i="18" s="1"/>
  <c r="AP22" i="5"/>
  <c r="T22" i="10"/>
  <c r="H758" i="18" s="1"/>
  <c r="R22" i="5"/>
  <c r="S22" i="5"/>
  <c r="T22" i="5"/>
  <c r="U22" i="5"/>
  <c r="D22" i="10"/>
  <c r="AB22" i="10"/>
  <c r="V21" i="5"/>
  <c r="Q21" i="10"/>
  <c r="B757" i="18" s="1"/>
  <c r="W21" i="5"/>
  <c r="S21" i="10"/>
  <c r="F757" i="18" s="1"/>
  <c r="AI22" i="5"/>
  <c r="AR22" i="5"/>
  <c r="AS22" i="5"/>
  <c r="E22" i="10"/>
  <c r="N22" i="10"/>
  <c r="B22" i="17" s="1"/>
  <c r="B513" i="18" s="1"/>
  <c r="AO21" i="5"/>
  <c r="R21" i="10"/>
  <c r="D757" i="18" s="1"/>
  <c r="AP21" i="5"/>
  <c r="T21" i="10"/>
  <c r="H757" i="18" s="1"/>
  <c r="R21" i="5"/>
  <c r="S21" i="5"/>
  <c r="T21" i="5"/>
  <c r="U21" i="5"/>
  <c r="D21" i="10"/>
  <c r="AB21" i="10"/>
  <c r="V20" i="5"/>
  <c r="Q20" i="10"/>
  <c r="B756" i="18" s="1"/>
  <c r="W20" i="5"/>
  <c r="S20" i="10"/>
  <c r="F756" i="18" s="1"/>
  <c r="AI21" i="5"/>
  <c r="AR21" i="5"/>
  <c r="AS21" i="5"/>
  <c r="E21" i="10"/>
  <c r="N21" i="10"/>
  <c r="B21" i="17" s="1"/>
  <c r="B512" i="18" s="1"/>
  <c r="AO20" i="5"/>
  <c r="R20" i="10"/>
  <c r="D756" i="18" s="1"/>
  <c r="AP20" i="5"/>
  <c r="T20" i="10"/>
  <c r="H756" i="18" s="1"/>
  <c r="R20" i="5"/>
  <c r="S20" i="5"/>
  <c r="T20" i="5"/>
  <c r="U20" i="5"/>
  <c r="D20" i="10"/>
  <c r="AB20" i="10"/>
  <c r="V19" i="5"/>
  <c r="Q19" i="10"/>
  <c r="B755" i="18" s="1"/>
  <c r="W19" i="5"/>
  <c r="S19" i="10"/>
  <c r="F755" i="18" s="1"/>
  <c r="AI20" i="5"/>
  <c r="AR20" i="5"/>
  <c r="AS20" i="5"/>
  <c r="E20" i="10"/>
  <c r="N20" i="10"/>
  <c r="B20" i="17" s="1"/>
  <c r="B511" i="18" s="1"/>
  <c r="AO19" i="5"/>
  <c r="R19" i="10"/>
  <c r="D755" i="18" s="1"/>
  <c r="AP19" i="5"/>
  <c r="T19" i="10"/>
  <c r="H755" i="18" s="1"/>
  <c r="R19" i="5"/>
  <c r="S19" i="5"/>
  <c r="T19" i="5"/>
  <c r="U19" i="5"/>
  <c r="D19" i="10"/>
  <c r="AB19" i="10"/>
  <c r="V18" i="5"/>
  <c r="Q18" i="10"/>
  <c r="B754" i="18" s="1"/>
  <c r="W18" i="5"/>
  <c r="S18" i="10"/>
  <c r="F754" i="18" s="1"/>
  <c r="AI19" i="5"/>
  <c r="AR19" i="5"/>
  <c r="AS19" i="5"/>
  <c r="E19" i="10"/>
  <c r="N19" i="10"/>
  <c r="B19" i="17" s="1"/>
  <c r="B510" i="18" s="1"/>
  <c r="AO18" i="5"/>
  <c r="R18" i="10"/>
  <c r="D754" i="18" s="1"/>
  <c r="AP18" i="5"/>
  <c r="T18" i="10"/>
  <c r="H754" i="18" s="1"/>
  <c r="R18" i="5"/>
  <c r="S18" i="5"/>
  <c r="T18" i="5"/>
  <c r="U18" i="5"/>
  <c r="D18" i="10"/>
  <c r="AB18" i="10"/>
  <c r="V17" i="5"/>
  <c r="Q17" i="10"/>
  <c r="B753" i="18" s="1"/>
  <c r="W17" i="5"/>
  <c r="S17" i="10"/>
  <c r="F753" i="18" s="1"/>
  <c r="AI18" i="5"/>
  <c r="AR18" i="5"/>
  <c r="AS18" i="5"/>
  <c r="E18" i="10"/>
  <c r="N18" i="10"/>
  <c r="B18" i="17" s="1"/>
  <c r="B509" i="18" s="1"/>
  <c r="AO17" i="5"/>
  <c r="R17" i="10"/>
  <c r="D753" i="18" s="1"/>
  <c r="AP17" i="5"/>
  <c r="T17" i="10"/>
  <c r="H753" i="18" s="1"/>
  <c r="R17" i="5"/>
  <c r="S17" i="5"/>
  <c r="T17" i="5"/>
  <c r="U17" i="5"/>
  <c r="D17" i="10"/>
  <c r="AB17" i="10"/>
  <c r="V16" i="5"/>
  <c r="Q16" i="10"/>
  <c r="B752" i="18" s="1"/>
  <c r="W16" i="5"/>
  <c r="S16" i="10"/>
  <c r="F752" i="18" s="1"/>
  <c r="AI17" i="5"/>
  <c r="AR17" i="5"/>
  <c r="AS17" i="5"/>
  <c r="E17" i="10"/>
  <c r="N17" i="10"/>
  <c r="B17" i="17" s="1"/>
  <c r="B508" i="18" s="1"/>
  <c r="AO16" i="5"/>
  <c r="R16" i="10"/>
  <c r="D752" i="18" s="1"/>
  <c r="AP16" i="5"/>
  <c r="T16" i="10"/>
  <c r="H752" i="18" s="1"/>
  <c r="R16" i="5"/>
  <c r="S16" i="5"/>
  <c r="T16" i="5"/>
  <c r="U16" i="5"/>
  <c r="D16" i="10"/>
  <c r="AB16" i="10"/>
  <c r="V15" i="5"/>
  <c r="Q15" i="10"/>
  <c r="B751" i="18" s="1"/>
  <c r="W15" i="5"/>
  <c r="S15" i="10"/>
  <c r="F751" i="18" s="1"/>
  <c r="AI16" i="5"/>
  <c r="AR16" i="5"/>
  <c r="AS16" i="5"/>
  <c r="E16" i="10"/>
  <c r="N16" i="10"/>
  <c r="B16" i="17" s="1"/>
  <c r="B507" i="18" s="1"/>
  <c r="AO15" i="5"/>
  <c r="R15" i="10"/>
  <c r="D751" i="18" s="1"/>
  <c r="AP15" i="5"/>
  <c r="T15" i="10"/>
  <c r="H751" i="18" s="1"/>
  <c r="R15" i="5"/>
  <c r="S15" i="5"/>
  <c r="T15" i="5"/>
  <c r="U15" i="5"/>
  <c r="D15" i="10"/>
  <c r="AB15" i="10"/>
  <c r="V14" i="5"/>
  <c r="Q14" i="10"/>
  <c r="B750" i="18" s="1"/>
  <c r="W14" i="5"/>
  <c r="S14" i="10"/>
  <c r="F750" i="18" s="1"/>
  <c r="AI15" i="5"/>
  <c r="AR15" i="5"/>
  <c r="AS15" i="5"/>
  <c r="E15" i="10"/>
  <c r="N15" i="10"/>
  <c r="B15" i="17" s="1"/>
  <c r="B506" i="18" s="1"/>
  <c r="AO14" i="5"/>
  <c r="R14" i="10"/>
  <c r="D750" i="18" s="1"/>
  <c r="AP14" i="5"/>
  <c r="T14" i="10"/>
  <c r="H750" i="18" s="1"/>
  <c r="R14" i="5"/>
  <c r="S14" i="5"/>
  <c r="T14" i="5"/>
  <c r="U14" i="5"/>
  <c r="D14" i="10"/>
  <c r="AB14" i="10"/>
  <c r="V13" i="5"/>
  <c r="Q13" i="10"/>
  <c r="B749" i="18" s="1"/>
  <c r="W13" i="5"/>
  <c r="S13" i="10"/>
  <c r="F749" i="18" s="1"/>
  <c r="AI14" i="5"/>
  <c r="AR14" i="5"/>
  <c r="AS14" i="5"/>
  <c r="E14" i="10"/>
  <c r="N14" i="10"/>
  <c r="B14" i="17" s="1"/>
  <c r="B505" i="18" s="1"/>
  <c r="AO13" i="5"/>
  <c r="R13" i="10"/>
  <c r="D749" i="18" s="1"/>
  <c r="AP13" i="5"/>
  <c r="T13" i="10"/>
  <c r="H749" i="18" s="1"/>
  <c r="R13" i="5"/>
  <c r="S13" i="5"/>
  <c r="T13" i="5"/>
  <c r="U13" i="5"/>
  <c r="D13" i="10"/>
  <c r="AB13" i="10"/>
  <c r="V12" i="5"/>
  <c r="Q12" i="10"/>
  <c r="B748" i="18" s="1"/>
  <c r="W12" i="5"/>
  <c r="S12" i="10"/>
  <c r="F748" i="18" s="1"/>
  <c r="AI13" i="5"/>
  <c r="AR13" i="5"/>
  <c r="AS13" i="5"/>
  <c r="E13" i="10"/>
  <c r="N13" i="10"/>
  <c r="B13" i="17" s="1"/>
  <c r="B504" i="18" s="1"/>
  <c r="AO12" i="5"/>
  <c r="R12" i="10"/>
  <c r="D748" i="18" s="1"/>
  <c r="AP12" i="5"/>
  <c r="T12" i="10"/>
  <c r="H748" i="18" s="1"/>
  <c r="R12" i="5"/>
  <c r="S12" i="5"/>
  <c r="T12" i="5"/>
  <c r="U12" i="5"/>
  <c r="D12" i="10"/>
  <c r="AB12" i="10"/>
  <c r="V11" i="5"/>
  <c r="Q11" i="10"/>
  <c r="B747" i="18" s="1"/>
  <c r="W11" i="5"/>
  <c r="S11" i="10"/>
  <c r="F747" i="18" s="1"/>
  <c r="AI12" i="5"/>
  <c r="AR12" i="5"/>
  <c r="AS12" i="5"/>
  <c r="E12" i="10"/>
  <c r="N12" i="10"/>
  <c r="B12" i="17" s="1"/>
  <c r="B503" i="18" s="1"/>
  <c r="AO11" i="5"/>
  <c r="R11" i="10"/>
  <c r="D747" i="18" s="1"/>
  <c r="AP11" i="5"/>
  <c r="T11" i="10"/>
  <c r="H747" i="18" s="1"/>
  <c r="R11" i="5"/>
  <c r="S11" i="5"/>
  <c r="T11" i="5"/>
  <c r="U11" i="5"/>
  <c r="D11" i="10"/>
  <c r="AB11" i="10"/>
  <c r="V10" i="5"/>
  <c r="Q10" i="10"/>
  <c r="B746" i="18" s="1"/>
  <c r="W10" i="5"/>
  <c r="S10" i="10"/>
  <c r="F746" i="18" s="1"/>
  <c r="AI11" i="5"/>
  <c r="AR11" i="5"/>
  <c r="AS11" i="5"/>
  <c r="E11" i="10"/>
  <c r="N11" i="10"/>
  <c r="B11" i="17" s="1"/>
  <c r="B502" i="18" s="1"/>
  <c r="AO10" i="5"/>
  <c r="R10" i="10"/>
  <c r="D746" i="18" s="1"/>
  <c r="AP10" i="5"/>
  <c r="T10" i="10"/>
  <c r="H746" i="18" s="1"/>
  <c r="R10" i="5"/>
  <c r="S10" i="5"/>
  <c r="T10" i="5"/>
  <c r="U10" i="5"/>
  <c r="D10" i="10"/>
  <c r="AB10" i="10"/>
  <c r="V9" i="5"/>
  <c r="Q9" i="10"/>
  <c r="B745" i="18" s="1"/>
  <c r="W9" i="5"/>
  <c r="S9" i="10"/>
  <c r="F745" i="18" s="1"/>
  <c r="AI10" i="5"/>
  <c r="AR10" i="5"/>
  <c r="AS10" i="5"/>
  <c r="E10" i="10"/>
  <c r="N10" i="10"/>
  <c r="B10" i="17" s="1"/>
  <c r="B501" i="18" s="1"/>
  <c r="AO9" i="5"/>
  <c r="R9" i="10"/>
  <c r="D745" i="18" s="1"/>
  <c r="AP9" i="5"/>
  <c r="T9" i="10"/>
  <c r="H745" i="18" s="1"/>
  <c r="R9" i="5"/>
  <c r="S9" i="5"/>
  <c r="T9" i="5"/>
  <c r="U9" i="5"/>
  <c r="D9" i="10"/>
  <c r="AB9" i="10"/>
  <c r="V8" i="5"/>
  <c r="Q8" i="10"/>
  <c r="B744" i="18" s="1"/>
  <c r="W8" i="5"/>
  <c r="S8" i="10"/>
  <c r="F744" i="18" s="1"/>
  <c r="AI9" i="5"/>
  <c r="AR9" i="5"/>
  <c r="AS9" i="5"/>
  <c r="E9" i="10"/>
  <c r="N9" i="10"/>
  <c r="B9" i="17" s="1"/>
  <c r="B500" i="18" s="1"/>
  <c r="AO8" i="5"/>
  <c r="R8" i="10"/>
  <c r="D744" i="18" s="1"/>
  <c r="AP8" i="5"/>
  <c r="T8" i="10"/>
  <c r="H744" i="18" s="1"/>
  <c r="R8" i="5"/>
  <c r="S8" i="5"/>
  <c r="T8" i="5"/>
  <c r="U8" i="5"/>
  <c r="D8" i="10"/>
  <c r="AB8" i="10"/>
  <c r="V7" i="5"/>
  <c r="Q7" i="10"/>
  <c r="B743" i="18" s="1"/>
  <c r="W7" i="5"/>
  <c r="S7" i="10"/>
  <c r="F743" i="18" s="1"/>
  <c r="AI8" i="5"/>
  <c r="AR8" i="5"/>
  <c r="AS8" i="5"/>
  <c r="E8" i="10"/>
  <c r="N8" i="10"/>
  <c r="B8" i="17" s="1"/>
  <c r="B499" i="18" s="1"/>
  <c r="AO7" i="5"/>
  <c r="R7" i="10"/>
  <c r="D743" i="18" s="1"/>
  <c r="AP7" i="5"/>
  <c r="T7" i="10"/>
  <c r="H743" i="18" s="1"/>
  <c r="R7" i="5"/>
  <c r="S7" i="5"/>
  <c r="T7" i="5"/>
  <c r="U7" i="5"/>
  <c r="D7" i="10"/>
  <c r="AB7" i="10"/>
  <c r="V6" i="5"/>
  <c r="Q6" i="10"/>
  <c r="B742" i="18" s="1"/>
  <c r="W6" i="5"/>
  <c r="S6" i="10"/>
  <c r="F742" i="18" s="1"/>
  <c r="AI7" i="5"/>
  <c r="AR7" i="5"/>
  <c r="AS7" i="5"/>
  <c r="E7" i="10"/>
  <c r="N7" i="10"/>
  <c r="B7" i="17" s="1"/>
  <c r="B498" i="18" s="1"/>
  <c r="AO6" i="5"/>
  <c r="R6" i="10"/>
  <c r="D742" i="18" s="1"/>
  <c r="AP6" i="5"/>
  <c r="T6" i="10"/>
  <c r="H742" i="18" s="1"/>
  <c r="R6" i="5"/>
  <c r="S6" i="5"/>
  <c r="T6" i="5"/>
  <c r="U6" i="5"/>
  <c r="D6" i="10"/>
  <c r="AB6" i="10"/>
  <c r="V5" i="5"/>
  <c r="Q5" i="10"/>
  <c r="B741" i="18" s="1"/>
  <c r="W5" i="5"/>
  <c r="S5" i="10"/>
  <c r="F741" i="18" s="1"/>
  <c r="AI6" i="5"/>
  <c r="AR6" i="5"/>
  <c r="AS6" i="5"/>
  <c r="E6" i="10"/>
  <c r="N6" i="10"/>
  <c r="B6" i="17" s="1"/>
  <c r="B497" i="18" s="1"/>
  <c r="AO5" i="5"/>
  <c r="R5" i="10"/>
  <c r="D741" i="18" s="1"/>
  <c r="AP5" i="5"/>
  <c r="T5" i="10"/>
  <c r="H741" i="18" s="1"/>
  <c r="R5" i="5"/>
  <c r="S5" i="5"/>
  <c r="T5" i="5"/>
  <c r="U5" i="5"/>
  <c r="D5" i="10"/>
  <c r="AB5" i="10"/>
  <c r="V4" i="5"/>
  <c r="Q4" i="10"/>
  <c r="B740" i="18" s="1"/>
  <c r="W4" i="5"/>
  <c r="S4" i="10"/>
  <c r="F740" i="18" s="1"/>
  <c r="AI5" i="5"/>
  <c r="AR5" i="5"/>
  <c r="AS5" i="5"/>
  <c r="E5" i="10"/>
  <c r="N5" i="10"/>
  <c r="B5" i="17" s="1"/>
  <c r="B496" i="18" s="1"/>
  <c r="AO4" i="5"/>
  <c r="R4" i="10"/>
  <c r="D740" i="18" s="1"/>
  <c r="AP4" i="5"/>
  <c r="T4" i="10"/>
  <c r="H740" i="18" s="1"/>
  <c r="R4" i="5"/>
  <c r="S4" i="5"/>
  <c r="T4" i="5"/>
  <c r="U4" i="5"/>
  <c r="D4" i="10"/>
  <c r="AB4" i="10"/>
  <c r="V3" i="5"/>
  <c r="Q3" i="10"/>
  <c r="B739" i="18" s="1"/>
  <c r="W3" i="5"/>
  <c r="S3" i="10"/>
  <c r="F739" i="18" s="1"/>
  <c r="AI4" i="5"/>
  <c r="AR4" i="5"/>
  <c r="AS4" i="5"/>
  <c r="E4" i="10"/>
  <c r="N4" i="10"/>
  <c r="B4" i="17" s="1"/>
  <c r="B495" i="18" s="1"/>
  <c r="AO3" i="5"/>
  <c r="R3" i="10"/>
  <c r="D739" i="18" s="1"/>
  <c r="AP3" i="5"/>
  <c r="T3" i="10"/>
  <c r="H739" i="18" s="1"/>
  <c r="R3" i="5"/>
  <c r="S3" i="5"/>
  <c r="T3" i="5"/>
  <c r="U3" i="5"/>
  <c r="D3" i="10"/>
  <c r="AB3" i="10"/>
  <c r="V2" i="5"/>
  <c r="Q2" i="10"/>
  <c r="B738" i="18" s="1"/>
  <c r="W2" i="5"/>
  <c r="S2" i="10"/>
  <c r="F738" i="18" s="1"/>
  <c r="AI3" i="5"/>
  <c r="AR3" i="5"/>
  <c r="AS3" i="5"/>
  <c r="E3" i="10"/>
  <c r="N3" i="10"/>
  <c r="B3" i="17" s="1"/>
  <c r="B494" i="18" s="1"/>
  <c r="AO2" i="5"/>
  <c r="R2" i="10"/>
  <c r="D738" i="18" s="1"/>
  <c r="AP2" i="5"/>
  <c r="T2" i="10"/>
  <c r="H738" i="18" s="1"/>
  <c r="AR121" i="5"/>
  <c r="AS121" i="5"/>
  <c r="AI121" i="5"/>
  <c r="E121" i="10"/>
  <c r="N121" i="10"/>
  <c r="B121" i="17" s="1"/>
  <c r="B612" i="18" s="1"/>
  <c r="AP120" i="5"/>
  <c r="T120" i="10"/>
  <c r="H856" i="18" s="1"/>
  <c r="R120" i="10"/>
  <c r="D856" i="18" s="1"/>
  <c r="AO120" i="5"/>
  <c r="U121" i="5"/>
  <c r="S121" i="5"/>
  <c r="R121" i="5"/>
  <c r="D121" i="10"/>
  <c r="AB121" i="10"/>
  <c r="T121" i="5"/>
  <c r="Q120" i="10"/>
  <c r="B856" i="18" s="1"/>
  <c r="V120" i="5"/>
  <c r="S120" i="10"/>
  <c r="F856" i="18" s="1"/>
  <c r="W120" i="5"/>
  <c r="E111" i="10"/>
  <c r="N111" i="10"/>
  <c r="B111" i="17" s="1"/>
  <c r="B602" i="18" s="1"/>
  <c r="AR111" i="5"/>
  <c r="AS111" i="5"/>
  <c r="AI111" i="5"/>
  <c r="R110" i="10"/>
  <c r="D846" i="18" s="1"/>
  <c r="AO110" i="5"/>
  <c r="AP110" i="5"/>
  <c r="T110" i="10"/>
  <c r="H846" i="18" s="1"/>
  <c r="W110" i="5"/>
  <c r="S110" i="10"/>
  <c r="F846" i="18" s="1"/>
  <c r="Q110" i="10"/>
  <c r="B846" i="18" s="1"/>
  <c r="V110" i="5"/>
  <c r="U111" i="5"/>
  <c r="R111" i="5"/>
  <c r="T111" i="5"/>
  <c r="S111" i="5"/>
  <c r="D111" i="10"/>
  <c r="AB111" i="10"/>
  <c r="R107" i="10"/>
  <c r="D843" i="18" s="1"/>
  <c r="AO107" i="5"/>
  <c r="AP107" i="5"/>
  <c r="T107" i="10"/>
  <c r="H843" i="18" s="1"/>
  <c r="AI108" i="5"/>
  <c r="E108" i="10"/>
  <c r="N108" i="10"/>
  <c r="B108" i="17" s="1"/>
  <c r="B599" i="18" s="1"/>
  <c r="AS108" i="5"/>
  <c r="AR108" i="5"/>
  <c r="T108" i="5"/>
  <c r="S108" i="5"/>
  <c r="U108" i="5"/>
  <c r="D108" i="10"/>
  <c r="AB108" i="10"/>
  <c r="R108" i="5"/>
  <c r="V107" i="5"/>
  <c r="Q107" i="10"/>
  <c r="B843" i="18" s="1"/>
  <c r="W107" i="5"/>
  <c r="S107" i="10"/>
  <c r="F843" i="18" s="1"/>
  <c r="E105" i="10"/>
  <c r="N105" i="10"/>
  <c r="B105" i="17" s="1"/>
  <c r="B596" i="18" s="1"/>
  <c r="AR105" i="5"/>
  <c r="AI105" i="5"/>
  <c r="AS105" i="5"/>
  <c r="R104" i="10"/>
  <c r="D840" i="18" s="1"/>
  <c r="AO104" i="5"/>
  <c r="T104" i="10"/>
  <c r="H840" i="18" s="1"/>
  <c r="AP104" i="5"/>
  <c r="Q104" i="10"/>
  <c r="B840" i="18" s="1"/>
  <c r="V104" i="5"/>
  <c r="W104" i="5"/>
  <c r="S104" i="10"/>
  <c r="F840" i="18" s="1"/>
  <c r="U105" i="5"/>
  <c r="D105" i="10"/>
  <c r="AB105" i="10"/>
  <c r="S105" i="5"/>
  <c r="R105" i="5"/>
  <c r="T105" i="5"/>
  <c r="C198" i="7"/>
  <c r="D198" i="7"/>
  <c r="E198" i="7"/>
  <c r="F198" i="7"/>
  <c r="G198" i="7"/>
  <c r="D196" i="7"/>
  <c r="E196" i="7"/>
  <c r="G196" i="7"/>
  <c r="C196" i="7"/>
  <c r="F196" i="7"/>
  <c r="D194" i="7"/>
  <c r="F194" i="7"/>
  <c r="C194" i="7"/>
  <c r="E194" i="7"/>
  <c r="G194" i="7"/>
  <c r="C185" i="7"/>
  <c r="F185" i="7"/>
  <c r="D185" i="7"/>
  <c r="E185" i="7"/>
  <c r="G185" i="7"/>
  <c r="C184" i="7"/>
  <c r="E184" i="7"/>
  <c r="F184" i="7"/>
  <c r="D184" i="7"/>
  <c r="G184" i="7"/>
  <c r="C182" i="7"/>
  <c r="D182" i="7"/>
  <c r="F182" i="7"/>
  <c r="G182" i="7"/>
  <c r="E182" i="7"/>
  <c r="E181" i="7"/>
  <c r="F181" i="7"/>
  <c r="G181" i="7"/>
  <c r="C181" i="7"/>
  <c r="D181" i="7"/>
  <c r="D180" i="7"/>
  <c r="F180" i="7"/>
  <c r="G180" i="7"/>
  <c r="C180" i="7"/>
  <c r="E180" i="7"/>
  <c r="D178" i="7"/>
  <c r="C178" i="7"/>
  <c r="E178" i="7"/>
  <c r="F178" i="7"/>
  <c r="G178" i="7"/>
  <c r="D177" i="7"/>
  <c r="G177" i="7"/>
  <c r="C177" i="7"/>
  <c r="E177" i="7"/>
  <c r="F177" i="7"/>
  <c r="C175" i="7"/>
  <c r="D175" i="7"/>
  <c r="E175" i="7"/>
  <c r="F175" i="7"/>
  <c r="G175" i="7"/>
  <c r="C174" i="7"/>
  <c r="D174" i="7"/>
  <c r="E174" i="7"/>
  <c r="F174" i="7"/>
  <c r="G174" i="7"/>
  <c r="C172" i="7"/>
  <c r="D172" i="7"/>
  <c r="E172" i="7"/>
  <c r="F172" i="7"/>
  <c r="G172" i="7"/>
  <c r="C170" i="7"/>
  <c r="D170" i="7"/>
  <c r="E170" i="7"/>
  <c r="F170" i="7"/>
  <c r="G170" i="7"/>
  <c r="C169" i="7"/>
  <c r="D169" i="7"/>
  <c r="E169" i="7"/>
  <c r="F169" i="7"/>
  <c r="G169" i="7"/>
  <c r="C168" i="7"/>
  <c r="D168" i="7"/>
  <c r="E168" i="7"/>
  <c r="F168" i="7"/>
  <c r="G168" i="7"/>
  <c r="C164" i="7"/>
  <c r="D164" i="7"/>
  <c r="E164" i="7"/>
  <c r="F164" i="7"/>
  <c r="G164" i="7"/>
  <c r="C163" i="7"/>
  <c r="D163" i="7"/>
  <c r="E163" i="7"/>
  <c r="F163" i="7"/>
  <c r="G163" i="7"/>
  <c r="C161" i="7"/>
  <c r="D161" i="7"/>
  <c r="E161" i="7"/>
  <c r="F161" i="7"/>
  <c r="G161" i="7"/>
  <c r="E156" i="7"/>
  <c r="C156" i="7"/>
  <c r="D156" i="7"/>
  <c r="F156" i="7"/>
  <c r="G156" i="7"/>
  <c r="D155" i="7"/>
  <c r="E155" i="7"/>
  <c r="G155" i="7"/>
  <c r="C155" i="7"/>
  <c r="F155" i="7"/>
  <c r="C152" i="7"/>
  <c r="D152" i="7"/>
  <c r="E152" i="7"/>
  <c r="F152" i="7"/>
  <c r="G152" i="7"/>
  <c r="C151" i="7"/>
  <c r="E151" i="7"/>
  <c r="G151" i="7"/>
  <c r="D151" i="7"/>
  <c r="F151" i="7"/>
  <c r="D149" i="7"/>
  <c r="G149" i="7"/>
  <c r="C149" i="7"/>
  <c r="E149" i="7"/>
  <c r="F149" i="7"/>
  <c r="D148" i="7"/>
  <c r="F148" i="7"/>
  <c r="C148" i="7"/>
  <c r="E148" i="7"/>
  <c r="G148" i="7"/>
  <c r="C145" i="7"/>
  <c r="D145" i="7"/>
  <c r="E145" i="7"/>
  <c r="F145" i="7"/>
  <c r="G145" i="7"/>
  <c r="D144" i="7"/>
  <c r="F144" i="7"/>
  <c r="G144" i="7"/>
  <c r="C144" i="7"/>
  <c r="E144" i="7"/>
  <c r="D133" i="7"/>
  <c r="F133" i="7"/>
  <c r="C133" i="7"/>
  <c r="E133" i="7"/>
  <c r="G133" i="7"/>
  <c r="E132" i="7"/>
  <c r="G132" i="7"/>
  <c r="C132" i="7"/>
  <c r="D132" i="7"/>
  <c r="F132" i="7"/>
  <c r="E131" i="7"/>
  <c r="F131" i="7"/>
  <c r="G131" i="7"/>
  <c r="C131" i="7"/>
  <c r="D131" i="7"/>
  <c r="D130" i="7"/>
  <c r="E130" i="7"/>
  <c r="G130" i="7"/>
  <c r="C130" i="7"/>
  <c r="F130" i="7"/>
  <c r="D129" i="7"/>
  <c r="F129" i="7"/>
  <c r="C129" i="7"/>
  <c r="E129" i="7"/>
  <c r="G129" i="7"/>
  <c r="C128" i="7"/>
  <c r="E128" i="7"/>
  <c r="F128" i="7"/>
  <c r="D128" i="7"/>
  <c r="G128" i="7"/>
  <c r="C124" i="7"/>
  <c r="F124" i="7"/>
  <c r="D124" i="7"/>
  <c r="E124" i="7"/>
  <c r="G124" i="7"/>
  <c r="E119" i="7"/>
  <c r="F119" i="7"/>
  <c r="G119" i="7"/>
  <c r="C119" i="7"/>
  <c r="D119" i="7"/>
  <c r="D118" i="7"/>
  <c r="F118" i="7"/>
  <c r="C118" i="7"/>
  <c r="E118" i="7"/>
  <c r="G118" i="7"/>
  <c r="C116" i="7"/>
  <c r="F116" i="7"/>
  <c r="D116" i="7"/>
  <c r="E116" i="7"/>
  <c r="G116" i="7"/>
  <c r="D114" i="7"/>
  <c r="F114" i="7"/>
  <c r="G114" i="7"/>
  <c r="C114" i="7"/>
  <c r="E114" i="7"/>
  <c r="E113" i="7"/>
  <c r="C113" i="7"/>
  <c r="D113" i="7"/>
  <c r="F113" i="7"/>
  <c r="G113" i="7"/>
  <c r="C112" i="7"/>
  <c r="D112" i="7"/>
  <c r="E112" i="7"/>
  <c r="F112" i="7"/>
  <c r="G112" i="7"/>
  <c r="D110" i="7"/>
  <c r="G110" i="7"/>
  <c r="C110" i="7"/>
  <c r="E110" i="7"/>
  <c r="F110" i="7"/>
  <c r="E109" i="7"/>
  <c r="F109" i="7"/>
  <c r="G109" i="7"/>
  <c r="C109" i="7"/>
  <c r="D109" i="7"/>
  <c r="D107" i="7"/>
  <c r="F107" i="7"/>
  <c r="G107" i="7"/>
  <c r="C107" i="7"/>
  <c r="E107" i="7"/>
  <c r="C104" i="7"/>
  <c r="D104" i="7"/>
  <c r="F104" i="7"/>
  <c r="E104" i="7"/>
  <c r="G104" i="7"/>
  <c r="D103" i="7"/>
  <c r="F103" i="7"/>
  <c r="G103" i="7"/>
  <c r="C103" i="7"/>
  <c r="E103" i="7"/>
  <c r="C102" i="7"/>
  <c r="D102" i="7"/>
  <c r="G102" i="7"/>
  <c r="E102" i="7"/>
  <c r="F102" i="7"/>
  <c r="E100" i="7"/>
  <c r="F100" i="7"/>
  <c r="C100" i="7"/>
  <c r="D100" i="7"/>
  <c r="G100" i="7"/>
  <c r="C242" i="7"/>
  <c r="D242" i="7"/>
  <c r="E242" i="7"/>
  <c r="F242" i="7"/>
  <c r="G242" i="7"/>
  <c r="C241" i="7"/>
  <c r="D241" i="7"/>
  <c r="E241" i="7"/>
  <c r="F241" i="7"/>
  <c r="G241" i="7"/>
  <c r="C240" i="7"/>
  <c r="D240" i="7"/>
  <c r="E240" i="7"/>
  <c r="F240" i="7"/>
  <c r="G240" i="7"/>
  <c r="C239" i="7"/>
  <c r="D239" i="7"/>
  <c r="E239" i="7"/>
  <c r="F239" i="7"/>
  <c r="G239" i="7"/>
  <c r="C238" i="7"/>
  <c r="D238" i="7"/>
  <c r="E238" i="7"/>
  <c r="F238" i="7"/>
  <c r="G238" i="7"/>
  <c r="C237" i="7"/>
  <c r="D237" i="7"/>
  <c r="E237" i="7"/>
  <c r="F237" i="7"/>
  <c r="G237" i="7"/>
  <c r="C236" i="7"/>
  <c r="D236" i="7"/>
  <c r="E236" i="7"/>
  <c r="F236" i="7"/>
  <c r="G236" i="7"/>
  <c r="C235" i="7"/>
  <c r="D235" i="7"/>
  <c r="E235" i="7"/>
  <c r="F235" i="7"/>
  <c r="G235" i="7"/>
  <c r="C234" i="7"/>
  <c r="D234" i="7"/>
  <c r="E234" i="7"/>
  <c r="F234" i="7"/>
  <c r="G234" i="7"/>
  <c r="C233" i="7"/>
  <c r="D233" i="7"/>
  <c r="E233" i="7"/>
  <c r="F233" i="7"/>
  <c r="G233" i="7"/>
  <c r="C232" i="7"/>
  <c r="D232" i="7"/>
  <c r="E232" i="7"/>
  <c r="F232" i="7"/>
  <c r="G232" i="7"/>
  <c r="C231" i="7"/>
  <c r="D231" i="7"/>
  <c r="E231" i="7"/>
  <c r="F231" i="7"/>
  <c r="G231" i="7"/>
  <c r="C230" i="7"/>
  <c r="D230" i="7"/>
  <c r="E230" i="7"/>
  <c r="F230" i="7"/>
  <c r="G230" i="7"/>
  <c r="C229" i="7"/>
  <c r="D229" i="7"/>
  <c r="E229" i="7"/>
  <c r="F229" i="7"/>
  <c r="G229" i="7"/>
  <c r="C228" i="7"/>
  <c r="D228" i="7"/>
  <c r="E228" i="7"/>
  <c r="F228" i="7"/>
  <c r="G228" i="7"/>
  <c r="C227" i="7"/>
  <c r="D227" i="7"/>
  <c r="E227" i="7"/>
  <c r="F227" i="7"/>
  <c r="G227" i="7"/>
  <c r="C226" i="7"/>
  <c r="D226" i="7"/>
  <c r="E226" i="7"/>
  <c r="F226" i="7"/>
  <c r="G226" i="7"/>
  <c r="C225" i="7"/>
  <c r="D225" i="7"/>
  <c r="E225" i="7"/>
  <c r="F225" i="7"/>
  <c r="G225" i="7"/>
  <c r="C224" i="7"/>
  <c r="D224" i="7"/>
  <c r="E224" i="7"/>
  <c r="F224" i="7"/>
  <c r="G224" i="7"/>
  <c r="C223" i="7"/>
  <c r="D223" i="7"/>
  <c r="E223" i="7"/>
  <c r="F223" i="7"/>
  <c r="G223" i="7"/>
  <c r="C222" i="7"/>
  <c r="D222" i="7"/>
  <c r="E222" i="7"/>
  <c r="F222" i="7"/>
  <c r="G222" i="7"/>
  <c r="C221" i="7"/>
  <c r="D221" i="7"/>
  <c r="E221" i="7"/>
  <c r="F221" i="7"/>
  <c r="G221" i="7"/>
  <c r="C220" i="7"/>
  <c r="D220" i="7"/>
  <c r="E220" i="7"/>
  <c r="F220" i="7"/>
  <c r="G220" i="7"/>
  <c r="C219" i="7"/>
  <c r="D219" i="7"/>
  <c r="E219" i="7"/>
  <c r="F219" i="7"/>
  <c r="G219" i="7"/>
  <c r="C218" i="7"/>
  <c r="D218" i="7"/>
  <c r="E218" i="7"/>
  <c r="F218" i="7"/>
  <c r="G218" i="7"/>
  <c r="C217" i="7"/>
  <c r="D217" i="7"/>
  <c r="E217" i="7"/>
  <c r="F217" i="7"/>
  <c r="G217" i="7"/>
  <c r="C216" i="7"/>
  <c r="D216" i="7"/>
  <c r="E216" i="7"/>
  <c r="F216" i="7"/>
  <c r="G216" i="7"/>
  <c r="C215" i="7"/>
  <c r="D215" i="7"/>
  <c r="E215" i="7"/>
  <c r="F215" i="7"/>
  <c r="G215" i="7"/>
  <c r="C214" i="7"/>
  <c r="D214" i="7"/>
  <c r="E214" i="7"/>
  <c r="F214" i="7"/>
  <c r="G214" i="7"/>
  <c r="C213" i="7"/>
  <c r="D213" i="7"/>
  <c r="E213" i="7"/>
  <c r="F213" i="7"/>
  <c r="G213" i="7"/>
  <c r="C212" i="7"/>
  <c r="D212" i="7"/>
  <c r="E212" i="7"/>
  <c r="F212" i="7"/>
  <c r="G212" i="7"/>
  <c r="C211" i="7"/>
  <c r="D211" i="7"/>
  <c r="E211" i="7"/>
  <c r="F211" i="7"/>
  <c r="G211" i="7"/>
  <c r="C210" i="7"/>
  <c r="D210" i="7"/>
  <c r="E210" i="7"/>
  <c r="F210" i="7"/>
  <c r="G210" i="7"/>
  <c r="C209" i="7"/>
  <c r="D209" i="7"/>
  <c r="E209" i="7"/>
  <c r="F209" i="7"/>
  <c r="G209" i="7"/>
  <c r="C208" i="7"/>
  <c r="D208" i="7"/>
  <c r="E208" i="7"/>
  <c r="F208" i="7"/>
  <c r="G208" i="7"/>
  <c r="C207" i="7"/>
  <c r="D207" i="7"/>
  <c r="E207" i="7"/>
  <c r="F207" i="7"/>
  <c r="G207" i="7"/>
  <c r="C206" i="7"/>
  <c r="D206" i="7"/>
  <c r="E206" i="7"/>
  <c r="F206" i="7"/>
  <c r="G206" i="7"/>
  <c r="C205" i="7"/>
  <c r="D205" i="7"/>
  <c r="E205" i="7"/>
  <c r="F205" i="7"/>
  <c r="G205" i="7"/>
  <c r="C204" i="7"/>
  <c r="D204" i="7"/>
  <c r="E204" i="7"/>
  <c r="F204" i="7"/>
  <c r="G204" i="7"/>
  <c r="C203" i="7"/>
  <c r="D203" i="7"/>
  <c r="E203" i="7"/>
  <c r="F203" i="7"/>
  <c r="G203" i="7"/>
  <c r="C202" i="7"/>
  <c r="D202" i="7"/>
  <c r="E202" i="7"/>
  <c r="F202" i="7"/>
  <c r="G202" i="7"/>
  <c r="C201" i="7"/>
  <c r="D201" i="7"/>
  <c r="E201" i="7"/>
  <c r="F201" i="7"/>
  <c r="G201" i="7"/>
  <c r="C200" i="7"/>
  <c r="D200" i="7"/>
  <c r="E200" i="7"/>
  <c r="F200" i="7"/>
  <c r="G200" i="7"/>
  <c r="C199" i="7"/>
  <c r="D199" i="7"/>
  <c r="E199" i="7"/>
  <c r="F199" i="7"/>
  <c r="G199" i="7"/>
  <c r="V199" i="6"/>
  <c r="Y199" i="6"/>
  <c r="H199" i="7" s="1"/>
  <c r="C197" i="7"/>
  <c r="D197" i="7"/>
  <c r="E197" i="7"/>
  <c r="F197" i="7"/>
  <c r="G197" i="7"/>
  <c r="V197" i="6"/>
  <c r="Y197" i="6"/>
  <c r="H197" i="7" s="1"/>
  <c r="C195" i="7"/>
  <c r="E195" i="7"/>
  <c r="G195" i="7"/>
  <c r="D195" i="7"/>
  <c r="F195" i="7"/>
  <c r="F193" i="7"/>
  <c r="G193" i="7"/>
  <c r="C193" i="7"/>
  <c r="D193" i="7"/>
  <c r="E193" i="7"/>
  <c r="G190" i="7"/>
  <c r="C190" i="7"/>
  <c r="D190" i="7"/>
  <c r="E190" i="7"/>
  <c r="F190" i="7"/>
  <c r="D189" i="7"/>
  <c r="F189" i="7"/>
  <c r="G189" i="7"/>
  <c r="C189" i="7"/>
  <c r="E189" i="7"/>
  <c r="D188" i="7"/>
  <c r="F188" i="7"/>
  <c r="G188" i="7"/>
  <c r="C188" i="7"/>
  <c r="E188" i="7"/>
  <c r="D187" i="7"/>
  <c r="C187" i="7"/>
  <c r="E187" i="7"/>
  <c r="F187" i="7"/>
  <c r="G187" i="7"/>
  <c r="D186" i="7"/>
  <c r="C186" i="7"/>
  <c r="E186" i="7"/>
  <c r="F186" i="7"/>
  <c r="G186" i="7"/>
  <c r="D183" i="7"/>
  <c r="E183" i="7"/>
  <c r="F183" i="7"/>
  <c r="C183" i="7"/>
  <c r="G183" i="7"/>
  <c r="D179" i="7"/>
  <c r="F179" i="7"/>
  <c r="G179" i="7"/>
  <c r="C179" i="7"/>
  <c r="E179" i="7"/>
  <c r="C176" i="7"/>
  <c r="D176" i="7"/>
  <c r="E176" i="7"/>
  <c r="F176" i="7"/>
  <c r="G176" i="7"/>
  <c r="C173" i="7"/>
  <c r="D173" i="7"/>
  <c r="E173" i="7"/>
  <c r="F173" i="7"/>
  <c r="G173" i="7"/>
  <c r="C171" i="7"/>
  <c r="D171" i="7"/>
  <c r="E171" i="7"/>
  <c r="F171" i="7"/>
  <c r="G171" i="7"/>
  <c r="C167" i="7"/>
  <c r="D167" i="7"/>
  <c r="E167" i="7"/>
  <c r="F167" i="7"/>
  <c r="G167" i="7"/>
  <c r="C166" i="7"/>
  <c r="D166" i="7"/>
  <c r="E166" i="7"/>
  <c r="F166" i="7"/>
  <c r="G166" i="7"/>
  <c r="C165" i="7"/>
  <c r="D165" i="7"/>
  <c r="E165" i="7"/>
  <c r="F165" i="7"/>
  <c r="G165" i="7"/>
  <c r="C162" i="7"/>
  <c r="D162" i="7"/>
  <c r="E162" i="7"/>
  <c r="F162" i="7"/>
  <c r="G162" i="7"/>
  <c r="C160" i="7"/>
  <c r="D160" i="7"/>
  <c r="E160" i="7"/>
  <c r="F160" i="7"/>
  <c r="G160" i="7"/>
  <c r="E159" i="7"/>
  <c r="G159" i="7"/>
  <c r="C159" i="7"/>
  <c r="D159" i="7"/>
  <c r="F159" i="7"/>
  <c r="C158" i="7"/>
  <c r="E158" i="7"/>
  <c r="G158" i="7"/>
  <c r="D158" i="7"/>
  <c r="F158" i="7"/>
  <c r="E157" i="7"/>
  <c r="F157" i="7"/>
  <c r="C157" i="7"/>
  <c r="D157" i="7"/>
  <c r="G157" i="7"/>
  <c r="C154" i="7"/>
  <c r="D154" i="7"/>
  <c r="E154" i="7"/>
  <c r="F154" i="7"/>
  <c r="G154" i="7"/>
  <c r="D153" i="7"/>
  <c r="G153" i="7"/>
  <c r="C153" i="7"/>
  <c r="E153" i="7"/>
  <c r="F153" i="7"/>
  <c r="D150" i="7"/>
  <c r="F150" i="7"/>
  <c r="G150" i="7"/>
  <c r="C150" i="7"/>
  <c r="E150" i="7"/>
  <c r="D147" i="7"/>
  <c r="F147" i="7"/>
  <c r="C147" i="7"/>
  <c r="E147" i="7"/>
  <c r="G147" i="7"/>
  <c r="C146" i="7"/>
  <c r="E146" i="7"/>
  <c r="F146" i="7"/>
  <c r="G146" i="7"/>
  <c r="D146" i="7"/>
  <c r="F143" i="7"/>
  <c r="G143" i="7"/>
  <c r="C143" i="7"/>
  <c r="D143" i="7"/>
  <c r="E143" i="7"/>
  <c r="D142" i="7"/>
  <c r="F142" i="7"/>
  <c r="G142" i="7"/>
  <c r="C142" i="7"/>
  <c r="E142" i="7"/>
  <c r="D141" i="7"/>
  <c r="F141" i="7"/>
  <c r="C141" i="7"/>
  <c r="E141" i="7"/>
  <c r="G141" i="7"/>
  <c r="D140" i="7"/>
  <c r="F140" i="7"/>
  <c r="G140" i="7"/>
  <c r="C140" i="7"/>
  <c r="E140" i="7"/>
  <c r="E139" i="7"/>
  <c r="C139" i="7"/>
  <c r="D139" i="7"/>
  <c r="F139" i="7"/>
  <c r="G139" i="7"/>
  <c r="D138" i="7"/>
  <c r="E138" i="7"/>
  <c r="G138" i="7"/>
  <c r="C138" i="7"/>
  <c r="F138" i="7"/>
  <c r="D137" i="7"/>
  <c r="G137" i="7"/>
  <c r="C137" i="7"/>
  <c r="E137" i="7"/>
  <c r="F137" i="7"/>
  <c r="C136" i="7"/>
  <c r="D136" i="7"/>
  <c r="E136" i="7"/>
  <c r="F136" i="7"/>
  <c r="G136" i="7"/>
  <c r="C135" i="7"/>
  <c r="D135" i="7"/>
  <c r="E135" i="7"/>
  <c r="F135" i="7"/>
  <c r="G135" i="7"/>
  <c r="D134" i="7"/>
  <c r="E134" i="7"/>
  <c r="G134" i="7"/>
  <c r="C134" i="7"/>
  <c r="F134" i="7"/>
  <c r="D127" i="7"/>
  <c r="C127" i="7"/>
  <c r="E127" i="7"/>
  <c r="F127" i="7"/>
  <c r="G127" i="7"/>
  <c r="E126" i="7"/>
  <c r="C126" i="7"/>
  <c r="D126" i="7"/>
  <c r="F126" i="7"/>
  <c r="G126" i="7"/>
  <c r="C125" i="7"/>
  <c r="D125" i="7"/>
  <c r="E125" i="7"/>
  <c r="F125" i="7"/>
  <c r="G125" i="7"/>
  <c r="V125" i="6"/>
  <c r="Y125" i="6"/>
  <c r="H125" i="7" s="1"/>
  <c r="C123" i="7"/>
  <c r="D123" i="7"/>
  <c r="G123" i="7"/>
  <c r="E123" i="7"/>
  <c r="F123" i="7"/>
  <c r="C122" i="7"/>
  <c r="D122" i="7"/>
  <c r="F122" i="7"/>
  <c r="E122" i="7"/>
  <c r="G122" i="7"/>
  <c r="D121" i="7"/>
  <c r="F121" i="7"/>
  <c r="C121" i="7"/>
  <c r="E121" i="7"/>
  <c r="G121" i="7"/>
  <c r="E120" i="7"/>
  <c r="F120" i="7"/>
  <c r="C120" i="7"/>
  <c r="D120" i="7"/>
  <c r="G120" i="7"/>
  <c r="D117" i="7"/>
  <c r="C117" i="7"/>
  <c r="E117" i="7"/>
  <c r="F117" i="7"/>
  <c r="G117" i="7"/>
  <c r="C115" i="7"/>
  <c r="D115" i="7"/>
  <c r="E115" i="7"/>
  <c r="F115" i="7"/>
  <c r="G115" i="7"/>
  <c r="D111" i="7"/>
  <c r="C111" i="7"/>
  <c r="E111" i="7"/>
  <c r="F111" i="7"/>
  <c r="G111" i="7"/>
  <c r="D108" i="7"/>
  <c r="F108" i="7"/>
  <c r="G108" i="7"/>
  <c r="C108" i="7"/>
  <c r="E108" i="7"/>
  <c r="D106" i="7"/>
  <c r="E106" i="7"/>
  <c r="F106" i="7"/>
  <c r="G106" i="7"/>
  <c r="C106" i="7"/>
  <c r="C105" i="7"/>
  <c r="D105" i="7"/>
  <c r="F105" i="7"/>
  <c r="E105" i="7"/>
  <c r="G105" i="7"/>
  <c r="E101" i="7"/>
  <c r="C101" i="7"/>
  <c r="D101" i="7"/>
  <c r="F101" i="7"/>
  <c r="G101" i="7"/>
  <c r="D99" i="7"/>
  <c r="C99" i="7"/>
  <c r="E99" i="7"/>
  <c r="F99" i="7"/>
  <c r="G99" i="7"/>
  <c r="D98" i="7"/>
  <c r="E98" i="7"/>
  <c r="C98" i="7"/>
  <c r="F98" i="7"/>
  <c r="G98" i="7"/>
  <c r="C97" i="7"/>
  <c r="D97" i="7"/>
  <c r="E97" i="7"/>
  <c r="F97" i="7"/>
  <c r="G97" i="7"/>
  <c r="C81" i="7"/>
  <c r="E81" i="7"/>
  <c r="G81" i="7"/>
  <c r="D81" i="7"/>
  <c r="F81" i="7"/>
  <c r="D80" i="7"/>
  <c r="E80" i="7"/>
  <c r="F80" i="7"/>
  <c r="C80" i="7"/>
  <c r="G80" i="7"/>
  <c r="D79" i="7"/>
  <c r="C79" i="7"/>
  <c r="E79" i="7"/>
  <c r="F79" i="7"/>
  <c r="G79" i="7"/>
  <c r="E78" i="7"/>
  <c r="F78" i="7"/>
  <c r="C78" i="7"/>
  <c r="D78" i="7"/>
  <c r="G78" i="7"/>
  <c r="D77" i="7"/>
  <c r="E77" i="7"/>
  <c r="G77" i="7"/>
  <c r="C77" i="7"/>
  <c r="F77" i="7"/>
  <c r="C76" i="7"/>
  <c r="D76" i="7"/>
  <c r="E76" i="7"/>
  <c r="F76" i="7"/>
  <c r="G76" i="7"/>
  <c r="C75" i="7"/>
  <c r="E75" i="7"/>
  <c r="D75" i="7"/>
  <c r="F75" i="7"/>
  <c r="G75" i="7"/>
  <c r="D74" i="7"/>
  <c r="F74" i="7"/>
  <c r="G74" i="7"/>
  <c r="C74" i="7"/>
  <c r="E74" i="7"/>
  <c r="D73" i="7"/>
  <c r="F73" i="7"/>
  <c r="G73" i="7"/>
  <c r="C73" i="7"/>
  <c r="E73" i="7"/>
  <c r="F72" i="7"/>
  <c r="C72" i="7"/>
  <c r="D72" i="7"/>
  <c r="E72" i="7"/>
  <c r="G72" i="7"/>
  <c r="C71" i="7"/>
  <c r="D71" i="7"/>
  <c r="F71" i="7"/>
  <c r="E71" i="7"/>
  <c r="G71" i="7"/>
  <c r="C70" i="7"/>
  <c r="D70" i="7"/>
  <c r="E70" i="7"/>
  <c r="G70" i="7"/>
  <c r="F70" i="7"/>
  <c r="E69" i="7"/>
  <c r="F69" i="7"/>
  <c r="C69" i="7"/>
  <c r="D69" i="7"/>
  <c r="G69" i="7"/>
  <c r="F68" i="7"/>
  <c r="G68" i="7"/>
  <c r="C68" i="7"/>
  <c r="D68" i="7"/>
  <c r="E68" i="7"/>
  <c r="D67" i="7"/>
  <c r="C67" i="7"/>
  <c r="E67" i="7"/>
  <c r="F67" i="7"/>
  <c r="G67" i="7"/>
  <c r="D66" i="7"/>
  <c r="E66" i="7"/>
  <c r="G66" i="7"/>
  <c r="C66" i="7"/>
  <c r="F66" i="7"/>
  <c r="V66" i="6"/>
  <c r="Y66" i="6"/>
  <c r="H66" i="7" s="1"/>
  <c r="D65" i="7"/>
  <c r="F65" i="7"/>
  <c r="G65" i="7"/>
  <c r="C65" i="7"/>
  <c r="E65" i="7"/>
  <c r="V65" i="6"/>
  <c r="Y65" i="6"/>
  <c r="H65" i="7" s="1"/>
  <c r="E64" i="7"/>
  <c r="C64" i="7"/>
  <c r="D64" i="7"/>
  <c r="F64" i="7"/>
  <c r="G64" i="7"/>
  <c r="V64" i="6"/>
  <c r="Y64" i="6"/>
  <c r="H64" i="7" s="1"/>
  <c r="D63" i="7"/>
  <c r="G63" i="7"/>
  <c r="C63" i="7"/>
  <c r="E63" i="7"/>
  <c r="F63" i="7"/>
  <c r="V63" i="6"/>
  <c r="Y63" i="6"/>
  <c r="H63" i="7" s="1"/>
  <c r="D62" i="7"/>
  <c r="F62" i="7"/>
  <c r="G62" i="7"/>
  <c r="C62" i="7"/>
  <c r="E62" i="7"/>
  <c r="V62" i="6"/>
  <c r="Y62" i="6"/>
  <c r="H62" i="7" s="1"/>
  <c r="E61" i="7"/>
  <c r="C61" i="7"/>
  <c r="D61" i="7"/>
  <c r="F61" i="7"/>
  <c r="G61" i="7"/>
  <c r="V61" i="6"/>
  <c r="Y61" i="6"/>
  <c r="H61" i="7" s="1"/>
  <c r="E60" i="7"/>
  <c r="G60" i="7"/>
  <c r="C60" i="7"/>
  <c r="D60" i="7"/>
  <c r="F60" i="7"/>
  <c r="V60" i="6"/>
  <c r="Y60" i="6"/>
  <c r="H60" i="7" s="1"/>
  <c r="D59" i="7"/>
  <c r="F59" i="7"/>
  <c r="C59" i="7"/>
  <c r="E59" i="7"/>
  <c r="G59" i="7"/>
  <c r="V59" i="6"/>
  <c r="Y59" i="6"/>
  <c r="H59" i="7" s="1"/>
  <c r="C58" i="7"/>
  <c r="D58" i="7"/>
  <c r="G58" i="7"/>
  <c r="E58" i="7"/>
  <c r="F58" i="7"/>
  <c r="D57" i="7"/>
  <c r="E57" i="7"/>
  <c r="C57" i="7"/>
  <c r="F57" i="7"/>
  <c r="G57" i="7"/>
  <c r="D56" i="7"/>
  <c r="F56" i="7"/>
  <c r="G56" i="7"/>
  <c r="C56" i="7"/>
  <c r="E56" i="7"/>
  <c r="E55" i="7"/>
  <c r="G55" i="7"/>
  <c r="C55" i="7"/>
  <c r="D55" i="7"/>
  <c r="F55" i="7"/>
  <c r="D54" i="7"/>
  <c r="E54" i="7"/>
  <c r="F54" i="7"/>
  <c r="G54" i="7"/>
  <c r="C54" i="7"/>
  <c r="D53" i="7"/>
  <c r="F53" i="7"/>
  <c r="C53" i="7"/>
  <c r="E53" i="7"/>
  <c r="G53" i="7"/>
  <c r="C52" i="7"/>
  <c r="D52" i="7"/>
  <c r="E52" i="7"/>
  <c r="F52" i="7"/>
  <c r="G52" i="7"/>
  <c r="D51" i="7"/>
  <c r="G51" i="7"/>
  <c r="C51" i="7"/>
  <c r="E51" i="7"/>
  <c r="F51" i="7"/>
  <c r="D50" i="7"/>
  <c r="E50" i="7"/>
  <c r="C50" i="7"/>
  <c r="F50" i="7"/>
  <c r="G50" i="7"/>
  <c r="D49" i="7"/>
  <c r="G49" i="7"/>
  <c r="C49" i="7"/>
  <c r="E49" i="7"/>
  <c r="F49" i="7"/>
  <c r="D48" i="7"/>
  <c r="F48" i="7"/>
  <c r="C48" i="7"/>
  <c r="E48" i="7"/>
  <c r="G48" i="7"/>
  <c r="E47" i="7"/>
  <c r="C47" i="7"/>
  <c r="D47" i="7"/>
  <c r="F47" i="7"/>
  <c r="G47" i="7"/>
  <c r="D46" i="7"/>
  <c r="E46" i="7"/>
  <c r="G46" i="7"/>
  <c r="C46" i="7"/>
  <c r="F46" i="7"/>
  <c r="D45" i="7"/>
  <c r="C45" i="7"/>
  <c r="E45" i="7"/>
  <c r="F45" i="7"/>
  <c r="G45" i="7"/>
  <c r="D44" i="7"/>
  <c r="F44" i="7"/>
  <c r="G44" i="7"/>
  <c r="C44" i="7"/>
  <c r="E44" i="7"/>
  <c r="D43" i="7"/>
  <c r="F43" i="7"/>
  <c r="C43" i="7"/>
  <c r="E43" i="7"/>
  <c r="G43" i="7"/>
  <c r="D42" i="7"/>
  <c r="F42" i="7"/>
  <c r="G42" i="7"/>
  <c r="C42" i="7"/>
  <c r="E42" i="7"/>
  <c r="D41" i="7"/>
  <c r="E41" i="7"/>
  <c r="F41" i="7"/>
  <c r="C41" i="7"/>
  <c r="G41" i="7"/>
  <c r="D40" i="7"/>
  <c r="F40" i="7"/>
  <c r="C40" i="7"/>
  <c r="E40" i="7"/>
  <c r="G40" i="7"/>
  <c r="E39" i="7"/>
  <c r="C39" i="7"/>
  <c r="D39" i="7"/>
  <c r="F39" i="7"/>
  <c r="G39" i="7"/>
  <c r="C38" i="7"/>
  <c r="D38" i="7"/>
  <c r="E38" i="7"/>
  <c r="F38" i="7"/>
  <c r="G38" i="7"/>
  <c r="D37" i="7"/>
  <c r="F37" i="7"/>
  <c r="G37" i="7"/>
  <c r="C37" i="7"/>
  <c r="E37" i="7"/>
  <c r="D36" i="7"/>
  <c r="F36" i="7"/>
  <c r="C36" i="7"/>
  <c r="E36" i="7"/>
  <c r="G36" i="7"/>
  <c r="D35" i="7"/>
  <c r="F35" i="7"/>
  <c r="C35" i="7"/>
  <c r="E35" i="7"/>
  <c r="G35" i="7"/>
  <c r="D34" i="7"/>
  <c r="G34" i="7"/>
  <c r="C34" i="7"/>
  <c r="E34" i="7"/>
  <c r="F34" i="7"/>
  <c r="D33" i="7"/>
  <c r="E33" i="7"/>
  <c r="G33" i="7"/>
  <c r="C33" i="7"/>
  <c r="F33" i="7"/>
  <c r="E32" i="7"/>
  <c r="C32" i="7"/>
  <c r="D32" i="7"/>
  <c r="F32" i="7"/>
  <c r="G32" i="7"/>
  <c r="E31" i="7"/>
  <c r="C31" i="7"/>
  <c r="D31" i="7"/>
  <c r="F31" i="7"/>
  <c r="G31" i="7"/>
  <c r="D30" i="7"/>
  <c r="G30" i="7"/>
  <c r="C30" i="7"/>
  <c r="E30" i="7"/>
  <c r="F30" i="7"/>
  <c r="G29" i="7"/>
  <c r="C29" i="7"/>
  <c r="D29" i="7"/>
  <c r="E29" i="7"/>
  <c r="F29" i="7"/>
  <c r="C28" i="7"/>
  <c r="D28" i="7"/>
  <c r="F28" i="7"/>
  <c r="G28" i="7"/>
  <c r="E28" i="7"/>
  <c r="C27" i="7"/>
  <c r="D27" i="7"/>
  <c r="F27" i="7"/>
  <c r="E27" i="7"/>
  <c r="G27" i="7"/>
  <c r="C26" i="7"/>
  <c r="E26" i="7"/>
  <c r="D26" i="7"/>
  <c r="F26" i="7"/>
  <c r="G26" i="7"/>
  <c r="C25" i="7"/>
  <c r="F25" i="7"/>
  <c r="D25" i="7"/>
  <c r="E25" i="7"/>
  <c r="G25" i="7"/>
  <c r="D24" i="7"/>
  <c r="F24" i="7"/>
  <c r="C24" i="7"/>
  <c r="E24" i="7"/>
  <c r="G24" i="7"/>
  <c r="D23" i="7"/>
  <c r="F23" i="7"/>
  <c r="C23" i="7"/>
  <c r="E23" i="7"/>
  <c r="G23" i="7"/>
  <c r="E22" i="7"/>
  <c r="F22" i="7"/>
  <c r="C22" i="7"/>
  <c r="D22" i="7"/>
  <c r="G22" i="7"/>
  <c r="C21" i="7"/>
  <c r="D21" i="7"/>
  <c r="E21" i="7"/>
  <c r="G21" i="7"/>
  <c r="F21" i="7"/>
  <c r="D20" i="7"/>
  <c r="C20" i="7"/>
  <c r="E20" i="7"/>
  <c r="F20" i="7"/>
  <c r="G20" i="7"/>
  <c r="C19" i="7"/>
  <c r="D19" i="7"/>
  <c r="F19" i="7"/>
  <c r="E19" i="7"/>
  <c r="G19" i="7"/>
  <c r="C18" i="7"/>
  <c r="D18" i="7"/>
  <c r="F18" i="7"/>
  <c r="E18" i="7"/>
  <c r="G18" i="7"/>
  <c r="C17" i="7"/>
  <c r="D17" i="7"/>
  <c r="E17" i="7"/>
  <c r="F17" i="7"/>
  <c r="G17" i="7"/>
  <c r="C16" i="7"/>
  <c r="D16" i="7"/>
  <c r="E16" i="7"/>
  <c r="F16" i="7"/>
  <c r="G16" i="7"/>
  <c r="C15" i="7"/>
  <c r="D15" i="7"/>
  <c r="E15" i="7"/>
  <c r="F15" i="7"/>
  <c r="G15" i="7"/>
  <c r="C14" i="7"/>
  <c r="D14" i="7"/>
  <c r="E14" i="7"/>
  <c r="F14" i="7"/>
  <c r="G14" i="7"/>
  <c r="C13" i="7"/>
  <c r="D13" i="7"/>
  <c r="E13" i="7"/>
  <c r="F13" i="7"/>
  <c r="G13" i="7"/>
  <c r="C12" i="7"/>
  <c r="D12" i="7"/>
  <c r="E12" i="7"/>
  <c r="F12" i="7"/>
  <c r="G12" i="7"/>
  <c r="C11" i="7"/>
  <c r="D11" i="7"/>
  <c r="E11" i="7"/>
  <c r="F11" i="7"/>
  <c r="G11" i="7"/>
  <c r="C10" i="7"/>
  <c r="D10" i="7"/>
  <c r="E10" i="7"/>
  <c r="F10" i="7"/>
  <c r="G10" i="7"/>
  <c r="C9" i="7"/>
  <c r="D9" i="7"/>
  <c r="E9" i="7"/>
  <c r="F9" i="7"/>
  <c r="G9" i="7"/>
  <c r="C8" i="7"/>
  <c r="D8" i="7"/>
  <c r="E8" i="7"/>
  <c r="F8" i="7"/>
  <c r="G8" i="7"/>
  <c r="C7" i="7"/>
  <c r="D7" i="7"/>
  <c r="E7" i="7"/>
  <c r="F7" i="7"/>
  <c r="G7" i="7"/>
  <c r="C6" i="7"/>
  <c r="D6" i="7"/>
  <c r="E6" i="7"/>
  <c r="F6" i="7"/>
  <c r="G6" i="7"/>
  <c r="C5" i="7"/>
  <c r="D5" i="7"/>
  <c r="E5" i="7"/>
  <c r="F5" i="7"/>
  <c r="G5" i="7"/>
  <c r="C4" i="7"/>
  <c r="D4" i="7"/>
  <c r="E4" i="7"/>
  <c r="F4" i="7"/>
  <c r="G4" i="7"/>
  <c r="C3" i="7"/>
  <c r="D3" i="7"/>
  <c r="E3" i="7"/>
  <c r="F3" i="7"/>
  <c r="G3" i="7"/>
  <c r="C2" i="7"/>
  <c r="D2" i="7"/>
  <c r="E2" i="7"/>
  <c r="F2" i="7"/>
  <c r="G2" i="7"/>
  <c r="X175" i="6"/>
  <c r="X199" i="6"/>
  <c r="X174" i="6"/>
  <c r="X169" i="6"/>
  <c r="X165" i="6"/>
  <c r="X143" i="6"/>
  <c r="X133" i="6"/>
  <c r="X113" i="6"/>
  <c r="X108" i="6"/>
  <c r="X106" i="6"/>
  <c r="X105" i="6"/>
  <c r="X99" i="6"/>
  <c r="AJ119" i="5"/>
  <c r="AJ112" i="5"/>
  <c r="AJ130" i="5"/>
  <c r="AJ110" i="5"/>
  <c r="AJ141" i="5"/>
  <c r="AJ106" i="5"/>
  <c r="AJ125" i="5"/>
  <c r="AJ99" i="5"/>
  <c r="AJ98" i="5"/>
  <c r="AJ139" i="5"/>
  <c r="AJ132" i="5"/>
  <c r="AJ124" i="5"/>
  <c r="AJ123" i="5"/>
  <c r="AJ113" i="5"/>
  <c r="AJ115" i="5"/>
  <c r="AJ101" i="5"/>
  <c r="AJ103" i="5"/>
  <c r="AJ129" i="5"/>
  <c r="AJ120" i="5"/>
  <c r="AJ100" i="5"/>
  <c r="AJ182" i="5"/>
  <c r="AJ171" i="5"/>
  <c r="AJ166" i="5"/>
  <c r="AJ165" i="5"/>
  <c r="AJ131" i="5"/>
  <c r="AJ116" i="5"/>
  <c r="AJ179" i="5"/>
  <c r="AJ172" i="5"/>
  <c r="AJ149" i="5"/>
  <c r="Z197" i="6"/>
  <c r="Z139" i="6"/>
  <c r="Z125" i="6"/>
  <c r="R89" i="6"/>
  <c r="R83" i="6"/>
  <c r="R132" i="6"/>
  <c r="R119" i="6"/>
  <c r="R205" i="6"/>
  <c r="R202" i="6"/>
  <c r="AJ164" i="5"/>
  <c r="AJ148" i="5"/>
  <c r="AJ145" i="5"/>
  <c r="Z62" i="6"/>
  <c r="Z59" i="6"/>
  <c r="Z24" i="6"/>
  <c r="Z22" i="6"/>
  <c r="R87" i="6"/>
  <c r="R149" i="6"/>
  <c r="R148" i="6"/>
  <c r="R131" i="6"/>
  <c r="R130" i="6"/>
  <c r="R128" i="6"/>
  <c r="R102" i="6"/>
  <c r="R100" i="6"/>
  <c r="R192" i="6"/>
  <c r="R191" i="6"/>
  <c r="R96" i="6"/>
  <c r="R95" i="6"/>
  <c r="R94" i="6"/>
  <c r="R93" i="6"/>
  <c r="R92" i="6"/>
  <c r="R91" i="6"/>
  <c r="R90" i="6"/>
  <c r="R88" i="6"/>
  <c r="R86" i="6"/>
  <c r="R85" i="6"/>
  <c r="R84" i="6"/>
  <c r="R133" i="6"/>
  <c r="R129" i="6"/>
  <c r="R124" i="6"/>
  <c r="R118" i="6"/>
  <c r="R116" i="6"/>
  <c r="R240" i="6"/>
  <c r="R203" i="6"/>
  <c r="R201" i="6"/>
  <c r="R82" i="6"/>
  <c r="R178" i="6"/>
  <c r="R170" i="6"/>
  <c r="R168" i="6"/>
  <c r="R163" i="6"/>
  <c r="R152" i="6"/>
  <c r="R151" i="6"/>
  <c r="R145" i="6"/>
  <c r="R241" i="6"/>
  <c r="R239" i="6"/>
  <c r="R237" i="6"/>
  <c r="AJ46" i="5"/>
  <c r="R177" i="6"/>
  <c r="R169" i="6"/>
  <c r="R164" i="6"/>
  <c r="R156" i="6"/>
  <c r="R144" i="6"/>
  <c r="R114" i="6"/>
  <c r="R113" i="6"/>
  <c r="R238" i="6"/>
  <c r="R236" i="6"/>
  <c r="R204" i="6"/>
  <c r="AJ121" i="5"/>
  <c r="AJ111" i="5"/>
  <c r="AJ108" i="5"/>
  <c r="AJ105" i="5"/>
  <c r="R198" i="6"/>
  <c r="R196" i="6"/>
  <c r="R194" i="6"/>
  <c r="R185" i="6"/>
  <c r="R184" i="6"/>
  <c r="R182" i="6"/>
  <c r="R181" i="6"/>
  <c r="R180" i="6"/>
  <c r="R175" i="6"/>
  <c r="R174" i="6"/>
  <c r="R172" i="6"/>
  <c r="R161" i="6"/>
  <c r="R155" i="6"/>
  <c r="R112" i="6"/>
  <c r="R110" i="6"/>
  <c r="R109" i="6"/>
  <c r="R107" i="6"/>
  <c r="R104" i="6"/>
  <c r="R103" i="6"/>
  <c r="R242" i="6"/>
  <c r="R235" i="6"/>
  <c r="R200" i="6"/>
  <c r="R234" i="6"/>
  <c r="R233" i="6"/>
  <c r="R232" i="6"/>
  <c r="R231" i="6"/>
  <c r="R230" i="6"/>
  <c r="R229" i="6"/>
  <c r="R228" i="6"/>
  <c r="R227" i="6"/>
  <c r="R226" i="6"/>
  <c r="R225" i="6"/>
  <c r="R224" i="6"/>
  <c r="R223" i="6"/>
  <c r="R222" i="6"/>
  <c r="R221" i="6"/>
  <c r="R220" i="6"/>
  <c r="R219" i="6"/>
  <c r="R218" i="6"/>
  <c r="R217" i="6"/>
  <c r="R216" i="6"/>
  <c r="R215" i="6"/>
  <c r="R214" i="6"/>
  <c r="R213" i="6"/>
  <c r="R212" i="6"/>
  <c r="R211" i="6"/>
  <c r="R210" i="6"/>
  <c r="R209" i="6"/>
  <c r="R208" i="6"/>
  <c r="R207" i="6"/>
  <c r="R206" i="6"/>
  <c r="R195" i="6"/>
  <c r="R193" i="6"/>
  <c r="R190" i="6"/>
  <c r="R189" i="6"/>
  <c r="R188" i="6"/>
  <c r="R187" i="6"/>
  <c r="R186" i="6"/>
  <c r="R183" i="6"/>
  <c r="R179" i="6"/>
  <c r="R176" i="6"/>
  <c r="R173" i="6"/>
  <c r="R171" i="6"/>
  <c r="R167" i="6"/>
  <c r="R166" i="6"/>
  <c r="R165" i="6"/>
  <c r="R162" i="6"/>
  <c r="R160" i="6"/>
  <c r="R159" i="6"/>
  <c r="R158" i="6"/>
  <c r="R157" i="6"/>
  <c r="R154" i="6"/>
  <c r="R153" i="6"/>
  <c r="R150" i="6"/>
  <c r="R147" i="6"/>
  <c r="R146" i="6"/>
  <c r="R143" i="6"/>
  <c r="R142" i="6"/>
  <c r="R141" i="6"/>
  <c r="R140" i="6"/>
  <c r="R121" i="6"/>
  <c r="R120" i="6"/>
  <c r="R117" i="6"/>
  <c r="R115" i="6"/>
  <c r="R111" i="6"/>
  <c r="R108" i="6"/>
  <c r="R106" i="6"/>
  <c r="R105" i="6"/>
  <c r="R101" i="6"/>
  <c r="R99" i="6"/>
  <c r="R98" i="6"/>
  <c r="R97" i="6"/>
  <c r="R81" i="6"/>
  <c r="R80" i="6"/>
  <c r="R79" i="6"/>
  <c r="R78" i="6"/>
  <c r="R77" i="6"/>
  <c r="R76" i="6"/>
  <c r="R75" i="6"/>
  <c r="R74" i="6"/>
  <c r="R73" i="6"/>
  <c r="R72" i="6"/>
  <c r="R71" i="6"/>
  <c r="R70" i="6"/>
  <c r="R69" i="6"/>
  <c r="R68" i="6"/>
  <c r="R67" i="6"/>
  <c r="R58" i="6"/>
  <c r="R57" i="6"/>
  <c r="R56" i="6"/>
  <c r="R55" i="6"/>
  <c r="R54" i="6"/>
  <c r="R53" i="6"/>
  <c r="R52" i="6"/>
  <c r="R51" i="6"/>
  <c r="R50" i="6"/>
  <c r="R49" i="6"/>
  <c r="R48" i="6"/>
  <c r="R47" i="6"/>
  <c r="R46" i="6"/>
  <c r="R45" i="6"/>
  <c r="R44" i="6"/>
  <c r="R43" i="6"/>
  <c r="R42" i="6"/>
  <c r="R41" i="6"/>
  <c r="R40" i="6"/>
  <c r="R39" i="6"/>
  <c r="R38" i="6"/>
  <c r="R37" i="6"/>
  <c r="R36" i="6"/>
  <c r="R35" i="6"/>
  <c r="R34" i="6"/>
  <c r="R33" i="6"/>
  <c r="R32" i="6"/>
  <c r="R31" i="6"/>
  <c r="R21" i="6"/>
  <c r="R20" i="6"/>
  <c r="R19" i="6"/>
  <c r="R18" i="6"/>
  <c r="R17" i="6"/>
  <c r="R16" i="6"/>
  <c r="R15" i="6"/>
  <c r="R14" i="6"/>
  <c r="R13" i="6"/>
  <c r="R12" i="6"/>
  <c r="R11" i="6"/>
  <c r="R10" i="6"/>
  <c r="R9" i="6"/>
  <c r="R8" i="6"/>
  <c r="R7" i="6"/>
  <c r="R6" i="6"/>
  <c r="R5" i="6"/>
  <c r="R4" i="6"/>
  <c r="R3" i="6"/>
  <c r="B5" i="19"/>
  <c r="B14" i="19"/>
  <c r="R2" i="6"/>
  <c r="AJ107" i="5"/>
  <c r="AJ160" i="5"/>
  <c r="AJ151" i="5"/>
  <c r="AJ143" i="5"/>
  <c r="AJ170" i="5"/>
  <c r="AJ156" i="5"/>
  <c r="AJ153" i="5"/>
  <c r="AJ150" i="5"/>
  <c r="Z137" i="6"/>
  <c r="Z127" i="6"/>
  <c r="Z123" i="6"/>
  <c r="V139" i="6" l="1"/>
  <c r="Y139" i="6"/>
  <c r="H139" i="7" s="1"/>
  <c r="V137" i="6"/>
  <c r="Y137" i="6"/>
  <c r="H137" i="7" s="1"/>
  <c r="V136" i="6"/>
  <c r="Y136" i="6"/>
  <c r="H136" i="7" s="1"/>
  <c r="V135" i="6"/>
  <c r="Y135" i="6"/>
  <c r="H135" i="7" s="1"/>
  <c r="V127" i="6"/>
  <c r="Y127" i="6"/>
  <c r="H127" i="7" s="1"/>
  <c r="V122" i="6"/>
  <c r="Y122" i="6"/>
  <c r="H122" i="7" s="1"/>
  <c r="V22" i="6"/>
  <c r="Y22" i="6"/>
  <c r="H22" i="7" s="1"/>
  <c r="Z199" i="6"/>
  <c r="Z136" i="6"/>
  <c r="Z135" i="6"/>
  <c r="Z122" i="6"/>
  <c r="Z66" i="6"/>
  <c r="Z65" i="6"/>
  <c r="Z64" i="6"/>
  <c r="Z63" i="6"/>
  <c r="Z60" i="6"/>
  <c r="V138" i="6"/>
  <c r="Y138" i="6"/>
  <c r="H138" i="7" s="1"/>
  <c r="V134" i="6"/>
  <c r="Y134" i="6"/>
  <c r="H134" i="7" s="1"/>
  <c r="V126" i="6"/>
  <c r="Y126" i="6"/>
  <c r="H126" i="7" s="1"/>
  <c r="V123" i="6"/>
  <c r="Y123" i="6"/>
  <c r="H123" i="7" s="1"/>
  <c r="V30" i="6"/>
  <c r="Y30" i="6"/>
  <c r="H30" i="7" s="1"/>
  <c r="V29" i="6"/>
  <c r="Y29" i="6"/>
  <c r="H29" i="7" s="1"/>
  <c r="V28" i="6"/>
  <c r="Y28" i="6"/>
  <c r="H28" i="7" s="1"/>
  <c r="V27" i="6"/>
  <c r="Y27" i="6"/>
  <c r="H27" i="7" s="1"/>
  <c r="V26" i="6"/>
  <c r="Y26" i="6"/>
  <c r="H26" i="7" s="1"/>
  <c r="V25" i="6"/>
  <c r="Y25" i="6"/>
  <c r="H25" i="7" s="1"/>
  <c r="V24" i="6"/>
  <c r="Y24" i="6"/>
  <c r="H24" i="7" s="1"/>
  <c r="V23" i="6"/>
  <c r="Y23" i="6"/>
  <c r="H23" i="7" s="1"/>
  <c r="B13" i="19"/>
  <c r="Z138" i="6"/>
  <c r="Z134" i="6"/>
  <c r="Z126" i="6"/>
  <c r="Z61" i="6"/>
  <c r="Z30" i="6"/>
  <c r="Z29" i="6"/>
  <c r="Z28" i="6"/>
  <c r="Z27" i="6"/>
  <c r="Z26" i="6"/>
  <c r="Z25" i="6"/>
  <c r="Z23" i="6"/>
  <c r="B122" i="17"/>
  <c r="B613" i="18" s="1"/>
  <c r="B23" i="15"/>
  <c r="Y89" i="6"/>
  <c r="H89" i="7" s="1"/>
  <c r="V89" i="6"/>
  <c r="Z89" i="6"/>
  <c r="Y83" i="6"/>
  <c r="H83" i="7" s="1"/>
  <c r="V83" i="6"/>
  <c r="Z83" i="6"/>
  <c r="Z132" i="6"/>
  <c r="Y132" i="6"/>
  <c r="H132" i="7" s="1"/>
  <c r="V132" i="6"/>
  <c r="Y119" i="6"/>
  <c r="H119" i="7" s="1"/>
  <c r="V119" i="6"/>
  <c r="Z119" i="6"/>
  <c r="Y205" i="6"/>
  <c r="H205" i="7" s="1"/>
  <c r="V205" i="6"/>
  <c r="Z205" i="6"/>
  <c r="Y202" i="6"/>
  <c r="H202" i="7" s="1"/>
  <c r="V202" i="6"/>
  <c r="Z202" i="6"/>
  <c r="Y87" i="6"/>
  <c r="H87" i="7" s="1"/>
  <c r="V87" i="6"/>
  <c r="Z87" i="6"/>
  <c r="Z149" i="6"/>
  <c r="Y149" i="6"/>
  <c r="H149" i="7" s="1"/>
  <c r="V149" i="6"/>
  <c r="Z148" i="6"/>
  <c r="Y148" i="6"/>
  <c r="H148" i="7" s="1"/>
  <c r="V148" i="6"/>
  <c r="Y131" i="6"/>
  <c r="H131" i="7" s="1"/>
  <c r="V131" i="6"/>
  <c r="Z131" i="6"/>
  <c r="Z130" i="6"/>
  <c r="Y130" i="6"/>
  <c r="H130" i="7" s="1"/>
  <c r="V130" i="6"/>
  <c r="Y128" i="6"/>
  <c r="H128" i="7" s="1"/>
  <c r="V128" i="6"/>
  <c r="Z128" i="6"/>
  <c r="Y102" i="6"/>
  <c r="H102" i="7" s="1"/>
  <c r="V102" i="6"/>
  <c r="Z102" i="6"/>
  <c r="Y100" i="6"/>
  <c r="H100" i="7" s="1"/>
  <c r="V100" i="6"/>
  <c r="Z100" i="6"/>
  <c r="Y192" i="6"/>
  <c r="H192" i="7" s="1"/>
  <c r="V192" i="6"/>
  <c r="Z192" i="6"/>
  <c r="Y191" i="6"/>
  <c r="H191" i="7" s="1"/>
  <c r="V191" i="6"/>
  <c r="Z191" i="6"/>
  <c r="Y96" i="6"/>
  <c r="H96" i="7" s="1"/>
  <c r="V96" i="6"/>
  <c r="Z96" i="6"/>
  <c r="Y95" i="6"/>
  <c r="H95" i="7" s="1"/>
  <c r="V95" i="6"/>
  <c r="Z95" i="6"/>
  <c r="Y94" i="6"/>
  <c r="H94" i="7" s="1"/>
  <c r="V94" i="6"/>
  <c r="Z94" i="6"/>
  <c r="Y93" i="6"/>
  <c r="H93" i="7" s="1"/>
  <c r="V93" i="6"/>
  <c r="Z93" i="6"/>
  <c r="Y92" i="6"/>
  <c r="H92" i="7" s="1"/>
  <c r="V92" i="6"/>
  <c r="Z92" i="6"/>
  <c r="Y91" i="6"/>
  <c r="H91" i="7" s="1"/>
  <c r="V91" i="6"/>
  <c r="Z91" i="6"/>
  <c r="Y90" i="6"/>
  <c r="H90" i="7" s="1"/>
  <c r="V90" i="6"/>
  <c r="Z90" i="6"/>
  <c r="Z88" i="6"/>
  <c r="Y88" i="6"/>
  <c r="H88" i="7" s="1"/>
  <c r="V88" i="6"/>
  <c r="Y86" i="6"/>
  <c r="H86" i="7" s="1"/>
  <c r="V86" i="6"/>
  <c r="Z86" i="6"/>
  <c r="Y85" i="6"/>
  <c r="H85" i="7" s="1"/>
  <c r="V85" i="6"/>
  <c r="Z85" i="6"/>
  <c r="Y84" i="6"/>
  <c r="H84" i="7" s="1"/>
  <c r="V84" i="6"/>
  <c r="Z84" i="6"/>
  <c r="Y133" i="6"/>
  <c r="H133" i="7" s="1"/>
  <c r="V133" i="6"/>
  <c r="Y129" i="6"/>
  <c r="H129" i="7" s="1"/>
  <c r="V129" i="6"/>
  <c r="Z129" i="6"/>
  <c r="Y124" i="6"/>
  <c r="H124" i="7" s="1"/>
  <c r="V124" i="6"/>
  <c r="Z124" i="6"/>
  <c r="Y118" i="6"/>
  <c r="H118" i="7" s="1"/>
  <c r="V118" i="6"/>
  <c r="Z118" i="6"/>
  <c r="Z116" i="6"/>
  <c r="Y116" i="6"/>
  <c r="H116" i="7" s="1"/>
  <c r="V116" i="6"/>
  <c r="Y240" i="6"/>
  <c r="H240" i="7" s="1"/>
  <c r="V240" i="6"/>
  <c r="Z240" i="6"/>
  <c r="Z203" i="6"/>
  <c r="Y203" i="6"/>
  <c r="H203" i="7" s="1"/>
  <c r="V203" i="6"/>
  <c r="Y201" i="6"/>
  <c r="H201" i="7" s="1"/>
  <c r="V201" i="6"/>
  <c r="Z201" i="6"/>
  <c r="Y82" i="6"/>
  <c r="H82" i="7" s="1"/>
  <c r="V82" i="6"/>
  <c r="Z82" i="6"/>
  <c r="Z178" i="6"/>
  <c r="Y178" i="6"/>
  <c r="H178" i="7" s="1"/>
  <c r="V178" i="6"/>
  <c r="Z170" i="6"/>
  <c r="Y170" i="6"/>
  <c r="H170" i="7" s="1"/>
  <c r="V170" i="6"/>
  <c r="Y168" i="6"/>
  <c r="H168" i="7" s="1"/>
  <c r="V168" i="6"/>
  <c r="Z168" i="6"/>
  <c r="Z163" i="6"/>
  <c r="Y163" i="6"/>
  <c r="H163" i="7" s="1"/>
  <c r="V163" i="6"/>
  <c r="Y152" i="6"/>
  <c r="H152" i="7" s="1"/>
  <c r="V152" i="6"/>
  <c r="Z152" i="6"/>
  <c r="Y151" i="6"/>
  <c r="H151" i="7" s="1"/>
  <c r="V151" i="6"/>
  <c r="Z151" i="6"/>
  <c r="Y145" i="6"/>
  <c r="H145" i="7" s="1"/>
  <c r="V145" i="6"/>
  <c r="Z145" i="6"/>
  <c r="Y241" i="6"/>
  <c r="H241" i="7" s="1"/>
  <c r="V241" i="6"/>
  <c r="Z241" i="6"/>
  <c r="Y239" i="6"/>
  <c r="H239" i="7" s="1"/>
  <c r="V239" i="6"/>
  <c r="Z239" i="6"/>
  <c r="Y237" i="6"/>
  <c r="H237" i="7" s="1"/>
  <c r="V237" i="6"/>
  <c r="Z237" i="6"/>
  <c r="Y177" i="6"/>
  <c r="H177" i="7" s="1"/>
  <c r="V177" i="6"/>
  <c r="Z177" i="6"/>
  <c r="Y169" i="6"/>
  <c r="H169" i="7" s="1"/>
  <c r="V169" i="6"/>
  <c r="Y164" i="6"/>
  <c r="H164" i="7" s="1"/>
  <c r="V164" i="6"/>
  <c r="Z164" i="6"/>
  <c r="Z156" i="6"/>
  <c r="Y156" i="6"/>
  <c r="H156" i="7" s="1"/>
  <c r="V156" i="6"/>
  <c r="Y144" i="6"/>
  <c r="H144" i="7" s="1"/>
  <c r="V144" i="6"/>
  <c r="Z144" i="6"/>
  <c r="Z114" i="6"/>
  <c r="Y114" i="6"/>
  <c r="H114" i="7" s="1"/>
  <c r="V114" i="6"/>
  <c r="Y113" i="6"/>
  <c r="H113" i="7" s="1"/>
  <c r="V113" i="6"/>
  <c r="Y238" i="6"/>
  <c r="H238" i="7" s="1"/>
  <c r="V238" i="6"/>
  <c r="Z238" i="6"/>
  <c r="Z236" i="6"/>
  <c r="Y236" i="6"/>
  <c r="H236" i="7" s="1"/>
  <c r="V236" i="6"/>
  <c r="Y204" i="6"/>
  <c r="H204" i="7" s="1"/>
  <c r="V204" i="6"/>
  <c r="Z204" i="6"/>
  <c r="Y198" i="6"/>
  <c r="H198" i="7" s="1"/>
  <c r="V198" i="6"/>
  <c r="Z198" i="6"/>
  <c r="Y196" i="6"/>
  <c r="H196" i="7" s="1"/>
  <c r="V196" i="6"/>
  <c r="Z196" i="6"/>
  <c r="Y194" i="6"/>
  <c r="H194" i="7" s="1"/>
  <c r="V194" i="6"/>
  <c r="Z194" i="6"/>
  <c r="Y185" i="6"/>
  <c r="H185" i="7" s="1"/>
  <c r="V185" i="6"/>
  <c r="Z185" i="6"/>
  <c r="Y184" i="6"/>
  <c r="H184" i="7" s="1"/>
  <c r="V184" i="6"/>
  <c r="Z184" i="6"/>
  <c r="Y182" i="6"/>
  <c r="H182" i="7" s="1"/>
  <c r="V182" i="6"/>
  <c r="Z182" i="6"/>
  <c r="Z181" i="6"/>
  <c r="Y181" i="6"/>
  <c r="H181" i="7" s="1"/>
  <c r="V181" i="6"/>
  <c r="Y180" i="6"/>
  <c r="H180" i="7" s="1"/>
  <c r="V180" i="6"/>
  <c r="Z180" i="6"/>
  <c r="Y175" i="6"/>
  <c r="H175" i="7" s="1"/>
  <c r="V175" i="6"/>
  <c r="Y174" i="6"/>
  <c r="H174" i="7" s="1"/>
  <c r="V174" i="6"/>
  <c r="Z172" i="6"/>
  <c r="Y172" i="6"/>
  <c r="H172" i="7" s="1"/>
  <c r="V172" i="6"/>
  <c r="Y161" i="6"/>
  <c r="H161" i="7" s="1"/>
  <c r="V161" i="6"/>
  <c r="Z161" i="6"/>
  <c r="Z155" i="6"/>
  <c r="Y155" i="6"/>
  <c r="H155" i="7" s="1"/>
  <c r="V155" i="6"/>
  <c r="Y112" i="6"/>
  <c r="H112" i="7" s="1"/>
  <c r="V112" i="6"/>
  <c r="Z112" i="6"/>
  <c r="Z110" i="6"/>
  <c r="Y110" i="6"/>
  <c r="H110" i="7" s="1"/>
  <c r="V110" i="6"/>
  <c r="Y109" i="6"/>
  <c r="H109" i="7" s="1"/>
  <c r="V109" i="6"/>
  <c r="Z109" i="6"/>
  <c r="Z107" i="6"/>
  <c r="Y107" i="6"/>
  <c r="H107" i="7" s="1"/>
  <c r="V107" i="6"/>
  <c r="Y104" i="6"/>
  <c r="H104" i="7" s="1"/>
  <c r="V104" i="6"/>
  <c r="Z104" i="6"/>
  <c r="Z103" i="6"/>
  <c r="Y103" i="6"/>
  <c r="H103" i="7" s="1"/>
  <c r="V103" i="6"/>
  <c r="Z242" i="6"/>
  <c r="Y242" i="6"/>
  <c r="H242" i="7" s="1"/>
  <c r="V242" i="6"/>
  <c r="Y235" i="6"/>
  <c r="H235" i="7" s="1"/>
  <c r="V235" i="6"/>
  <c r="Z235" i="6"/>
  <c r="Z200" i="6"/>
  <c r="Y200" i="6"/>
  <c r="H200" i="7" s="1"/>
  <c r="V200" i="6"/>
  <c r="Z234" i="6"/>
  <c r="Y234" i="6"/>
  <c r="H234" i="7" s="1"/>
  <c r="V234" i="6"/>
  <c r="Y233" i="6"/>
  <c r="H233" i="7" s="1"/>
  <c r="V233" i="6"/>
  <c r="Z233" i="6"/>
  <c r="Z232" i="6"/>
  <c r="Y232" i="6"/>
  <c r="H232" i="7" s="1"/>
  <c r="V232" i="6"/>
  <c r="Y231" i="6"/>
  <c r="H231" i="7" s="1"/>
  <c r="V231" i="6"/>
  <c r="Z231" i="6"/>
  <c r="Z230" i="6"/>
  <c r="Y230" i="6"/>
  <c r="H230" i="7" s="1"/>
  <c r="V230" i="6"/>
  <c r="Y229" i="6"/>
  <c r="H229" i="7" s="1"/>
  <c r="V229" i="6"/>
  <c r="Z229" i="6"/>
  <c r="Y228" i="6"/>
  <c r="H228" i="7" s="1"/>
  <c r="V228" i="6"/>
  <c r="Z228" i="6"/>
  <c r="Z227" i="6"/>
  <c r="Y227" i="6"/>
  <c r="H227" i="7" s="1"/>
  <c r="V227" i="6"/>
  <c r="Z226" i="6"/>
  <c r="Y226" i="6"/>
  <c r="H226" i="7" s="1"/>
  <c r="V226" i="6"/>
  <c r="Z225" i="6"/>
  <c r="Y225" i="6"/>
  <c r="H225" i="7" s="1"/>
  <c r="V225" i="6"/>
  <c r="Y224" i="6"/>
  <c r="H224" i="7" s="1"/>
  <c r="V224" i="6"/>
  <c r="Z224" i="6"/>
  <c r="Y223" i="6"/>
  <c r="H223" i="7" s="1"/>
  <c r="V223" i="6"/>
  <c r="Z223" i="6"/>
  <c r="Z222" i="6"/>
  <c r="Y222" i="6"/>
  <c r="H222" i="7" s="1"/>
  <c r="V222" i="6"/>
  <c r="Z221" i="6"/>
  <c r="Y221" i="6"/>
  <c r="H221" i="7" s="1"/>
  <c r="V221" i="6"/>
  <c r="Y220" i="6"/>
  <c r="H220" i="7" s="1"/>
  <c r="V220" i="6"/>
  <c r="Z220" i="6"/>
  <c r="Y219" i="6"/>
  <c r="H219" i="7" s="1"/>
  <c r="V219" i="6"/>
  <c r="Z219" i="6"/>
  <c r="Z218" i="6"/>
  <c r="Y218" i="6"/>
  <c r="H218" i="7" s="1"/>
  <c r="V218" i="6"/>
  <c r="Z217" i="6"/>
  <c r="Y217" i="6"/>
  <c r="H217" i="7" s="1"/>
  <c r="V217" i="6"/>
  <c r="Y216" i="6"/>
  <c r="H216" i="7" s="1"/>
  <c r="V216" i="6"/>
  <c r="Z216" i="6"/>
  <c r="Z215" i="6"/>
  <c r="Y215" i="6"/>
  <c r="H215" i="7" s="1"/>
  <c r="V215" i="6"/>
  <c r="Y214" i="6"/>
  <c r="H214" i="7" s="1"/>
  <c r="V214" i="6"/>
  <c r="Z214" i="6"/>
  <c r="Z213" i="6"/>
  <c r="Y213" i="6"/>
  <c r="H213" i="7" s="1"/>
  <c r="V213" i="6"/>
  <c r="Y212" i="6"/>
  <c r="H212" i="7" s="1"/>
  <c r="V212" i="6"/>
  <c r="Z212" i="6"/>
  <c r="Z211" i="6"/>
  <c r="Y211" i="6"/>
  <c r="H211" i="7" s="1"/>
  <c r="V211" i="6"/>
  <c r="Y210" i="6"/>
  <c r="H210" i="7" s="1"/>
  <c r="V210" i="6"/>
  <c r="Z210" i="6"/>
  <c r="Z209" i="6"/>
  <c r="Y209" i="6"/>
  <c r="H209" i="7" s="1"/>
  <c r="V209" i="6"/>
  <c r="Y208" i="6"/>
  <c r="H208" i="7" s="1"/>
  <c r="V208" i="6"/>
  <c r="Z208" i="6"/>
  <c r="Y207" i="6"/>
  <c r="H207" i="7" s="1"/>
  <c r="V207" i="6"/>
  <c r="Z207" i="6"/>
  <c r="Z206" i="6"/>
  <c r="Y206" i="6"/>
  <c r="H206" i="7" s="1"/>
  <c r="V206" i="6"/>
  <c r="Y195" i="6"/>
  <c r="H195" i="7" s="1"/>
  <c r="V195" i="6"/>
  <c r="Z195" i="6"/>
  <c r="Z193" i="6"/>
  <c r="Y193" i="6"/>
  <c r="H193" i="7" s="1"/>
  <c r="V193" i="6"/>
  <c r="Y190" i="6"/>
  <c r="H190" i="7" s="1"/>
  <c r="V190" i="6"/>
  <c r="Z190" i="6"/>
  <c r="Y189" i="6"/>
  <c r="H189" i="7" s="1"/>
  <c r="V189" i="6"/>
  <c r="Z189" i="6"/>
  <c r="Z188" i="6"/>
  <c r="Y188" i="6"/>
  <c r="H188" i="7" s="1"/>
  <c r="V188" i="6"/>
  <c r="Y187" i="6"/>
  <c r="H187" i="7" s="1"/>
  <c r="V187" i="6"/>
  <c r="Z187" i="6"/>
  <c r="Z186" i="6"/>
  <c r="Y186" i="6"/>
  <c r="H186" i="7" s="1"/>
  <c r="V186" i="6"/>
  <c r="Z183" i="6"/>
  <c r="Y183" i="6"/>
  <c r="H183" i="7" s="1"/>
  <c r="V183" i="6"/>
  <c r="Z179" i="6"/>
  <c r="Y179" i="6"/>
  <c r="H179" i="7" s="1"/>
  <c r="V179" i="6"/>
  <c r="Z176" i="6"/>
  <c r="Y176" i="6"/>
  <c r="H176" i="7" s="1"/>
  <c r="V176" i="6"/>
  <c r="Y173" i="6"/>
  <c r="H173" i="7" s="1"/>
  <c r="V173" i="6"/>
  <c r="Z173" i="6"/>
  <c r="Y171" i="6"/>
  <c r="H171" i="7" s="1"/>
  <c r="V171" i="6"/>
  <c r="Z171" i="6"/>
  <c r="Y167" i="6"/>
  <c r="H167" i="7" s="1"/>
  <c r="V167" i="6"/>
  <c r="Z167" i="6"/>
  <c r="Z166" i="6"/>
  <c r="Y166" i="6"/>
  <c r="H166" i="7" s="1"/>
  <c r="V166" i="6"/>
  <c r="Y165" i="6"/>
  <c r="H165" i="7" s="1"/>
  <c r="V165" i="6"/>
  <c r="Y162" i="6"/>
  <c r="H162" i="7" s="1"/>
  <c r="V162" i="6"/>
  <c r="Z162" i="6"/>
  <c r="Z160" i="6"/>
  <c r="Y160" i="6"/>
  <c r="H160" i="7" s="1"/>
  <c r="V160" i="6"/>
  <c r="Z159" i="6"/>
  <c r="Y159" i="6"/>
  <c r="H159" i="7" s="1"/>
  <c r="V159" i="6"/>
  <c r="Y158" i="6"/>
  <c r="H158" i="7" s="1"/>
  <c r="V158" i="6"/>
  <c r="Z158" i="6"/>
  <c r="Y157" i="6"/>
  <c r="H157" i="7" s="1"/>
  <c r="V157" i="6"/>
  <c r="Z157" i="6"/>
  <c r="Y154" i="6"/>
  <c r="H154" i="7" s="1"/>
  <c r="V154" i="6"/>
  <c r="Z154" i="6"/>
  <c r="Z153" i="6"/>
  <c r="Y153" i="6"/>
  <c r="H153" i="7" s="1"/>
  <c r="V153" i="6"/>
  <c r="Z150" i="6"/>
  <c r="Y150" i="6"/>
  <c r="H150" i="7" s="1"/>
  <c r="V150" i="6"/>
  <c r="Z147" i="6"/>
  <c r="Y147" i="6"/>
  <c r="H147" i="7" s="1"/>
  <c r="V147" i="6"/>
  <c r="Y146" i="6"/>
  <c r="H146" i="7" s="1"/>
  <c r="V146" i="6"/>
  <c r="Z146" i="6"/>
  <c r="Y143" i="6"/>
  <c r="H143" i="7" s="1"/>
  <c r="V143" i="6"/>
  <c r="Z142" i="6"/>
  <c r="Y142" i="6"/>
  <c r="H142" i="7" s="1"/>
  <c r="V142" i="6"/>
  <c r="Y141" i="6"/>
  <c r="H141" i="7" s="1"/>
  <c r="V141" i="6"/>
  <c r="Z141" i="6"/>
  <c r="Y140" i="6"/>
  <c r="H140" i="7" s="1"/>
  <c r="V140" i="6"/>
  <c r="Z140" i="6"/>
  <c r="Y121" i="6"/>
  <c r="H121" i="7" s="1"/>
  <c r="V121" i="6"/>
  <c r="Z121" i="6"/>
  <c r="Z120" i="6"/>
  <c r="Y120" i="6"/>
  <c r="H120" i="7" s="1"/>
  <c r="V120" i="6"/>
  <c r="Z117" i="6"/>
  <c r="Y117" i="6"/>
  <c r="H117" i="7" s="1"/>
  <c r="V117" i="6"/>
  <c r="Y115" i="6"/>
  <c r="H115" i="7" s="1"/>
  <c r="V115" i="6"/>
  <c r="Z115" i="6"/>
  <c r="Y111" i="6"/>
  <c r="H111" i="7" s="1"/>
  <c r="V111" i="6"/>
  <c r="Z111" i="6"/>
  <c r="Y108" i="6"/>
  <c r="H108" i="7" s="1"/>
  <c r="V108" i="6"/>
  <c r="Y106" i="6"/>
  <c r="H106" i="7" s="1"/>
  <c r="V106" i="6"/>
  <c r="Y105" i="6"/>
  <c r="H105" i="7" s="1"/>
  <c r="V105" i="6"/>
  <c r="Z101" i="6"/>
  <c r="Y101" i="6"/>
  <c r="H101" i="7" s="1"/>
  <c r="V101" i="6"/>
  <c r="Y99" i="6"/>
  <c r="H99" i="7" s="1"/>
  <c r="V99" i="6"/>
  <c r="Z98" i="6"/>
  <c r="Y98" i="6"/>
  <c r="H98" i="7" s="1"/>
  <c r="V98" i="6"/>
  <c r="Y97" i="6"/>
  <c r="H97" i="7" s="1"/>
  <c r="V97" i="6"/>
  <c r="Z97" i="6"/>
  <c r="Z81" i="6"/>
  <c r="Y81" i="6"/>
  <c r="H81" i="7" s="1"/>
  <c r="V81" i="6"/>
  <c r="Z80" i="6"/>
  <c r="Y80" i="6"/>
  <c r="H80" i="7" s="1"/>
  <c r="V80" i="6"/>
  <c r="Z79" i="6"/>
  <c r="Y79" i="6"/>
  <c r="H79" i="7" s="1"/>
  <c r="V79" i="6"/>
  <c r="Z78" i="6"/>
  <c r="Y78" i="6"/>
  <c r="H78" i="7" s="1"/>
  <c r="V78" i="6"/>
  <c r="Z77" i="6"/>
  <c r="Y77" i="6"/>
  <c r="H77" i="7" s="1"/>
  <c r="V77" i="6"/>
  <c r="Z76" i="6"/>
  <c r="Y76" i="6"/>
  <c r="H76" i="7" s="1"/>
  <c r="V76" i="6"/>
  <c r="Z75" i="6"/>
  <c r="Y75" i="6"/>
  <c r="H75" i="7" s="1"/>
  <c r="V75" i="6"/>
  <c r="Z74" i="6"/>
  <c r="Y74" i="6"/>
  <c r="H74" i="7" s="1"/>
  <c r="V74" i="6"/>
  <c r="Z73" i="6"/>
  <c r="Y73" i="6"/>
  <c r="H73" i="7" s="1"/>
  <c r="V73" i="6"/>
  <c r="Z72" i="6"/>
  <c r="Y72" i="6"/>
  <c r="H72" i="7" s="1"/>
  <c r="V72" i="6"/>
  <c r="Z71" i="6"/>
  <c r="Y71" i="6"/>
  <c r="H71" i="7" s="1"/>
  <c r="V71" i="6"/>
  <c r="Z70" i="6"/>
  <c r="Y70" i="6"/>
  <c r="H70" i="7" s="1"/>
  <c r="V70" i="6"/>
  <c r="Z69" i="6"/>
  <c r="Y69" i="6"/>
  <c r="H69" i="7" s="1"/>
  <c r="V69" i="6"/>
  <c r="Z68" i="6"/>
  <c r="Y68" i="6"/>
  <c r="H68" i="7" s="1"/>
  <c r="V68" i="6"/>
  <c r="Z67" i="6"/>
  <c r="Y67" i="6"/>
  <c r="H67" i="7" s="1"/>
  <c r="V67" i="6"/>
  <c r="Z58" i="6"/>
  <c r="Y58" i="6"/>
  <c r="H58" i="7" s="1"/>
  <c r="V58" i="6"/>
  <c r="Z57" i="6"/>
  <c r="Y57" i="6"/>
  <c r="H57" i="7" s="1"/>
  <c r="V57" i="6"/>
  <c r="Z56" i="6"/>
  <c r="Y56" i="6"/>
  <c r="H56" i="7" s="1"/>
  <c r="V56" i="6"/>
  <c r="Z55" i="6"/>
  <c r="Y55" i="6"/>
  <c r="H55" i="7" s="1"/>
  <c r="V55" i="6"/>
  <c r="Z54" i="6"/>
  <c r="Y54" i="6"/>
  <c r="H54" i="7" s="1"/>
  <c r="V54" i="6"/>
  <c r="Z53" i="6"/>
  <c r="Y53" i="6"/>
  <c r="H53" i="7" s="1"/>
  <c r="V53" i="6"/>
  <c r="Z52" i="6"/>
  <c r="Y52" i="6"/>
  <c r="H52" i="7" s="1"/>
  <c r="V52" i="6"/>
  <c r="Z51" i="6"/>
  <c r="Y51" i="6"/>
  <c r="H51" i="7" s="1"/>
  <c r="V51" i="6"/>
  <c r="Z50" i="6"/>
  <c r="Y50" i="6"/>
  <c r="H50" i="7" s="1"/>
  <c r="V50" i="6"/>
  <c r="Z49" i="6"/>
  <c r="Y49" i="6"/>
  <c r="H49" i="7" s="1"/>
  <c r="V49" i="6"/>
  <c r="Z48" i="6"/>
  <c r="Y48" i="6"/>
  <c r="H48" i="7" s="1"/>
  <c r="V48" i="6"/>
  <c r="Z47" i="6"/>
  <c r="Y47" i="6"/>
  <c r="H47" i="7" s="1"/>
  <c r="V47" i="6"/>
  <c r="Z46" i="6"/>
  <c r="Y46" i="6"/>
  <c r="H46" i="7" s="1"/>
  <c r="V46" i="6"/>
  <c r="Z45" i="6"/>
  <c r="Y45" i="6"/>
  <c r="H45" i="7" s="1"/>
  <c r="V45" i="6"/>
  <c r="Z44" i="6"/>
  <c r="Y44" i="6"/>
  <c r="H44" i="7" s="1"/>
  <c r="V44" i="6"/>
  <c r="Z43" i="6"/>
  <c r="Y43" i="6"/>
  <c r="H43" i="7" s="1"/>
  <c r="V43" i="6"/>
  <c r="Z42" i="6"/>
  <c r="Y42" i="6"/>
  <c r="H42" i="7" s="1"/>
  <c r="V42" i="6"/>
  <c r="Z41" i="6"/>
  <c r="Y41" i="6"/>
  <c r="H41" i="7" s="1"/>
  <c r="V41" i="6"/>
  <c r="Z40" i="6"/>
  <c r="Y40" i="6"/>
  <c r="H40" i="7" s="1"/>
  <c r="V40" i="6"/>
  <c r="Z39" i="6"/>
  <c r="Y39" i="6"/>
  <c r="H39" i="7" s="1"/>
  <c r="V39" i="6"/>
  <c r="Z38" i="6"/>
  <c r="Y38" i="6"/>
  <c r="H38" i="7" s="1"/>
  <c r="V38" i="6"/>
  <c r="Z37" i="6"/>
  <c r="Y37" i="6"/>
  <c r="H37" i="7" s="1"/>
  <c r="V37" i="6"/>
  <c r="Z36" i="6"/>
  <c r="Y36" i="6"/>
  <c r="H36" i="7" s="1"/>
  <c r="V36" i="6"/>
  <c r="Z35" i="6"/>
  <c r="Y35" i="6"/>
  <c r="H35" i="7" s="1"/>
  <c r="V35" i="6"/>
  <c r="Z34" i="6"/>
  <c r="Y34" i="6"/>
  <c r="H34" i="7" s="1"/>
  <c r="V34" i="6"/>
  <c r="Z33" i="6"/>
  <c r="Y33" i="6"/>
  <c r="H33" i="7" s="1"/>
  <c r="V33" i="6"/>
  <c r="Z32" i="6"/>
  <c r="Y32" i="6"/>
  <c r="H32" i="7" s="1"/>
  <c r="V32" i="6"/>
  <c r="Z31" i="6"/>
  <c r="Y31" i="6"/>
  <c r="H31" i="7" s="1"/>
  <c r="V31" i="6"/>
  <c r="Z21" i="6"/>
  <c r="Y21" i="6"/>
  <c r="H21" i="7" s="1"/>
  <c r="V21" i="6"/>
  <c r="Z20" i="6"/>
  <c r="Y20" i="6"/>
  <c r="H20" i="7" s="1"/>
  <c r="V20" i="6"/>
  <c r="Z19" i="6"/>
  <c r="Y19" i="6"/>
  <c r="H19" i="7" s="1"/>
  <c r="V19" i="6"/>
  <c r="Z18" i="6"/>
  <c r="Y18" i="6"/>
  <c r="H18" i="7" s="1"/>
  <c r="V18" i="6"/>
  <c r="Z17" i="6"/>
  <c r="Y17" i="6"/>
  <c r="H17" i="7" s="1"/>
  <c r="V17" i="6"/>
  <c r="Z16" i="6"/>
  <c r="Y16" i="6"/>
  <c r="H16" i="7" s="1"/>
  <c r="V16" i="6"/>
  <c r="Z15" i="6"/>
  <c r="Y15" i="6"/>
  <c r="H15" i="7" s="1"/>
  <c r="V15" i="6"/>
  <c r="Z14" i="6"/>
  <c r="Y14" i="6"/>
  <c r="H14" i="7" s="1"/>
  <c r="V14" i="6"/>
  <c r="Z13" i="6"/>
  <c r="Y13" i="6"/>
  <c r="H13" i="7" s="1"/>
  <c r="V13" i="6"/>
  <c r="Z12" i="6"/>
  <c r="Y12" i="6"/>
  <c r="H12" i="7" s="1"/>
  <c r="V12" i="6"/>
  <c r="Z11" i="6"/>
  <c r="Y11" i="6"/>
  <c r="H11" i="7" s="1"/>
  <c r="V11" i="6"/>
  <c r="Z10" i="6"/>
  <c r="Y10" i="6"/>
  <c r="H10" i="7" s="1"/>
  <c r="V10" i="6"/>
  <c r="Z9" i="6"/>
  <c r="Y9" i="6"/>
  <c r="H9" i="7" s="1"/>
  <c r="V9" i="6"/>
  <c r="Z8" i="6"/>
  <c r="Y8" i="6"/>
  <c r="H8" i="7" s="1"/>
  <c r="V8" i="6"/>
  <c r="Z7" i="6"/>
  <c r="Y7" i="6"/>
  <c r="H7" i="7" s="1"/>
  <c r="V7" i="6"/>
  <c r="Z6" i="6"/>
  <c r="Y6" i="6"/>
  <c r="H6" i="7" s="1"/>
  <c r="V6" i="6"/>
  <c r="Z5" i="6"/>
  <c r="Y5" i="6"/>
  <c r="H5" i="7" s="1"/>
  <c r="V5" i="6"/>
  <c r="Z4" i="6"/>
  <c r="Y4" i="6"/>
  <c r="H4" i="7" s="1"/>
  <c r="V4" i="6"/>
  <c r="Z3" i="6"/>
  <c r="Y3" i="6"/>
  <c r="H3" i="7" s="1"/>
  <c r="V3" i="6"/>
  <c r="B7" i="19"/>
  <c r="Z2" i="6"/>
  <c r="Y2" i="6"/>
  <c r="V2" i="6"/>
  <c r="Z174" i="6"/>
  <c r="Z165" i="6"/>
  <c r="Z169" i="6"/>
  <c r="B9" i="2"/>
  <c r="Z113" i="6"/>
  <c r="Z105" i="6"/>
  <c r="Z99" i="6"/>
  <c r="Z143" i="6"/>
  <c r="Z108" i="6"/>
  <c r="B14" i="1"/>
  <c r="B15" i="1"/>
  <c r="B16" i="1" s="1"/>
  <c r="Z106" i="6"/>
  <c r="Z175" i="6"/>
  <c r="Z133" i="6"/>
  <c r="B10" i="19" l="1"/>
  <c r="H2" i="7"/>
  <c r="B8" i="2"/>
  <c r="B19" i="15"/>
  <c r="B15" i="16" s="1"/>
  <c r="B19" i="16"/>
  <c r="F6" i="12"/>
  <c r="F23" i="1" s="1"/>
  <c r="F4" i="12"/>
  <c r="F21" i="1" s="1"/>
  <c r="F5" i="12"/>
  <c r="F22" i="1" s="1"/>
  <c r="B10" i="2"/>
</calcChain>
</file>

<file path=xl/sharedStrings.xml><?xml version="1.0" encoding="utf-8"?>
<sst xmlns="http://schemas.openxmlformats.org/spreadsheetml/2006/main" count="1451" uniqueCount="1152">
  <si>
    <t>Parabolic Motion Radar + Topography Parameter Model</t>
  </si>
  <si>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</si>
  <si>
    <t>Key Output Results</t>
  </si>
  <si>
    <t>Output</t>
  </si>
  <si>
    <t>Value</t>
  </si>
  <si>
    <t>Unit</t>
  </si>
  <si>
    <t>What it means</t>
  </si>
  <si>
    <t>Topography toggle</t>
  </si>
  <si>
    <t>Set Inputs!C27 to TRUE to include terrain, or FALSE to return to a flat surface. Change Inputs!C47 to test a new terrain case.</t>
  </si>
  <si>
    <t>Flat apparent depth at mid-pass</t>
  </si>
  <si>
    <t>m</t>
  </si>
  <si>
    <t>Original flat-surface result.</t>
  </si>
  <si>
    <t>Topo apparent depth at mid-pass</t>
  </si>
  <si>
    <t>Apparent depth after terrain height changes the range geometry.</t>
  </si>
  <si>
    <t>Depth change from topography</t>
  </si>
  <si>
    <t>Topo apparent depth minus flat apparent depth.</t>
  </si>
  <si>
    <t>Topo extra two-way delay</t>
  </si>
  <si>
    <t>us</t>
  </si>
  <si>
    <t>Two-way delay after topography is included.</t>
  </si>
  <si>
    <t>Topo VHF interferometric phase</t>
  </si>
  <si>
    <t>deg</t>
  </si>
  <si>
    <t>VHF phase after topography changes the look geometry.</t>
  </si>
  <si>
    <t>Max target terrain height</t>
  </si>
  <si>
    <t>Highest modeled terrain at the side-offset target path.</t>
  </si>
  <si>
    <t>Min target terrain height</t>
  </si>
  <si>
    <t>Lowest modeled terrain at the side-offset target path.</t>
  </si>
  <si>
    <t>Max absolute topo depth change</t>
  </si>
  <si>
    <t>Largest magnitude of topography-driven apparent-depth change.</t>
  </si>
  <si>
    <t>Max topo VHF Doppler magnitude</t>
  </si>
  <si>
    <t>Hz</t>
  </si>
  <si>
    <t>Largest VHF Doppler after topography is included.</t>
  </si>
  <si>
    <t>Simple minimum PRF with topo</t>
  </si>
  <si>
    <t>Twice max topo VHF Doppler, a simple no-alias floor.</t>
  </si>
  <si>
    <t>Topo depth uncertainty band</t>
  </si>
  <si>
    <t>Representative vertical uncertainty converted to apparent-depth uncertainty.</t>
  </si>
  <si>
    <t>PRF Choices</t>
  </si>
  <si>
    <t>PRF (Hz)</t>
  </si>
  <si>
    <t>Pulse interval (ms)</t>
  </si>
  <si>
    <t>Along-track spacing (m)</t>
  </si>
  <si>
    <t>Unambiguous range (km)</t>
  </si>
  <si>
    <t>Pulses in air at z0</t>
  </si>
  <si>
    <t>Status</t>
  </si>
  <si>
    <t>How to read this model</t>
  </si>
  <si>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</si>
  <si>
    <t>Paper Pass Scenario Comparison</t>
  </si>
  <si>
    <t>Scenario</t>
  </si>
  <si>
    <t>Show</t>
  </si>
  <si>
    <t>z0 (km)</t>
  </si>
  <si>
    <t>Length (km)</t>
  </si>
  <si>
    <t>Edge alt (km)</t>
  </si>
  <si>
    <t>Mid depth (m)</t>
  </si>
  <si>
    <t>Max VHF (Hz)</t>
  </si>
  <si>
    <t>PRF floor (Hz)</t>
  </si>
  <si>
    <t>Basis</t>
  </si>
  <si>
    <t>Current editable</t>
  </si>
  <si>
    <t>800 km below 400</t>
  </si>
  <si>
    <t>1600 km below 1000</t>
  </si>
  <si>
    <t>25-1000 km range</t>
  </si>
  <si>
    <t>Scenario note</t>
  </si>
  <si>
    <t>Paper numbers are converted into this workbook's simplified parabola so the outcomes can be compared. The paper states altitude ranges and groundtrack requirements, not an exact parabolic spacecraft trajectory.</t>
  </si>
  <si>
    <t>Quick Graph Guide</t>
  </si>
  <si>
    <t>Graph</t>
  </si>
  <si>
    <t>What it is trying to show</t>
  </si>
  <si>
    <t>How to read the baseline</t>
  </si>
  <si>
    <t>Apparent depth</t>
  </si>
  <si>
    <t>Motion and topography change the apparent radar depth relative to the nadir reference.</t>
  </si>
  <si>
    <t>Grey zero line is a reference, not a plotted terrain/run result.</t>
  </si>
  <si>
    <t>Surface height</t>
  </si>
  <si>
    <t>Shows the generated topography used as the reference floor, plus the off-nadir target and nadir terrain heights. The satellite path is curved/parabolic, not flat.</t>
  </si>
  <si>
    <t>Grey floor now follows the generated topography instead of 0 m; colored lines show target and nadir terrain.</t>
  </si>
  <si>
    <t>Doppler</t>
  </si>
  <si>
    <t>Range-rate-driven VHF/HF Doppler, with flat geometry compared against topography-adjusted geometry.</t>
  </si>
  <si>
    <t>Crossing 0 Hz means the radial motion changes sign near closest approach.</t>
  </si>
  <si>
    <t>Motion-only / scenarios</t>
  </si>
  <si>
    <t>The motion-only chart is a radar reading from flat ground. It is not ground height; the curve comes from satellite path and slant-range geometry.</t>
  </si>
  <si>
    <t>Scenario baselines are grey reference floors; they are intentionally not orange model lines.</t>
  </si>
  <si>
    <t>Detailed notes</t>
  </si>
  <si>
    <t>See the Graph_Guide tab for every chart, source range, formula basis, and audit status.</t>
  </si>
  <si>
    <t>Checks!B4:B23 remains the formula-health checklist.</t>
  </si>
  <si>
    <t>Europa Ice Subsurface Interface</t>
  </si>
  <si>
    <t>Live subsurface outputs from Subsurface_Inputs. The model is synthetic: it helps test what radar might see below icy topography, but it does not prove real Europa layers by itself.</t>
  </si>
  <si>
    <t>Key Subsurface Results</t>
  </si>
  <si>
    <t>Realism / Proof Strength</t>
  </si>
  <si>
    <t>Score</t>
  </si>
  <si>
    <t>Meaning</t>
  </si>
  <si>
    <t>Improve by</t>
  </si>
  <si>
    <t>Average bottom depth</t>
  </si>
  <si>
    <t>Mean proposed ice-ocean boundary depth.</t>
  </si>
  <si>
    <t>Concept realism</t>
  </si>
  <si>
    <t>Good for showing layered-ice radar behavior.</t>
  </si>
  <si>
    <t>Compare more scenarios.</t>
  </si>
  <si>
    <t>Boundary uncertainty band</t>
  </si>
  <si>
    <t>Plus/minus range around bottom reflector.</t>
  </si>
  <si>
    <t>Europa prediction realism</t>
  </si>
  <si>
    <t>Plausible, but synthetic and not measured.</t>
  </si>
  <si>
    <t>Use published constraints or real mission data.</t>
  </si>
  <si>
    <t>Best ocean echo margin</t>
  </si>
  <si>
    <t>dB</t>
  </si>
  <si>
    <t>How far deep reflector rises above/below threshold.</t>
  </si>
  <si>
    <t>Proof strength</t>
  </si>
  <si>
    <t>Supports a hypothesis; does not prove a real layer.</t>
  </si>
  <si>
    <t>Validate with radar, thermal, composition, and magnetic/plasma data.</t>
  </si>
  <si>
    <t>Best lens echo margin</t>
  </si>
  <si>
    <t>How far internal lens return rises above/below threshold.</t>
  </si>
  <si>
    <t>Likely visible ocean samples</t>
  </si>
  <si>
    <t>count</t>
  </si>
  <si>
    <t>Pass samples clearing the detection threshold.</t>
  </si>
  <si>
    <t>Total evidence support</t>
  </si>
  <si>
    <t>%</t>
  </si>
  <si>
    <t>Radar + thermal + composition + magnetic/plasma support.</t>
  </si>
  <si>
    <t>Subsurface Graph Guide</t>
  </si>
  <si>
    <t>What it shows</t>
  </si>
  <si>
    <t>How to read it</t>
  </si>
  <si>
    <t>Icy layers</t>
  </si>
  <si>
    <t>Top surface, internal ice, lens, and possible ocean boundary.</t>
  </si>
  <si>
    <t>Lower lines are deeper.</t>
  </si>
  <si>
    <t>Scenarios</t>
  </si>
  <si>
    <t>Thin / medium / thick ice shell cases.</t>
  </si>
  <si>
    <t>Different assumptions change boundary depth.</t>
  </si>
  <si>
    <t>Uncertainty</t>
  </si>
  <si>
    <t>Mean bottom boundary with lower/upper bounds.</t>
  </si>
  <si>
    <t>Band width comes from Subsurface_Inputs.</t>
  </si>
  <si>
    <t>Control</t>
  </si>
  <si>
    <t>Ocean model compared with no-ocean control.</t>
  </si>
  <si>
    <t>Positive margin clears threshold.</t>
  </si>
  <si>
    <t>Radargram timing</t>
  </si>
  <si>
    <t>Return delay with surface clutter and jitter.</t>
  </si>
  <si>
    <t>Later delay means deeper reflector.</t>
  </si>
  <si>
    <t>Detectability</t>
  </si>
  <si>
    <t>Lens/ocean echo margin above threshold.</t>
  </si>
  <si>
    <t>Above 0 dB is easier to detect.</t>
  </si>
  <si>
    <t>Materials</t>
  </si>
  <si>
    <t>Reflector strength by material/interface.</t>
  </si>
  <si>
    <t>Less negative is stronger.</t>
  </si>
  <si>
    <t>Evidence</t>
  </si>
  <si>
    <t>Radar, thermal, composition, magnetic/plasma support.</t>
  </si>
  <si>
    <t>Higher percent means stronger support.</t>
  </si>
  <si>
    <t>Parabolic Motion Radar Model - Editable Inputs</t>
  </si>
  <si>
    <t>Change the yellow cells in column C for the custom model. Use the TRUE/FALSE scenario toggles at the right to overlay paper-derived pass cases on the Dashboard charts.</t>
  </si>
  <si>
    <t>Parameter</t>
  </si>
  <si>
    <t>Symbol</t>
  </si>
  <si>
    <t>Notes</t>
  </si>
  <si>
    <t>Paper-Derived Pass Scenario Overlays</t>
  </si>
  <si>
    <t>Closest altitude</t>
  </si>
  <si>
    <t>z0</t>
  </si>
  <si>
    <t>km</t>
  </si>
  <si>
    <t>Altitude at closest approach. Change this to test other flyby heights.</t>
  </si>
  <si>
    <t>x_min</t>
  </si>
  <si>
    <t>x_max</t>
  </si>
  <si>
    <t>x_edge</t>
  </si>
  <si>
    <t>Delta_z_edge</t>
  </si>
  <si>
    <t>Edge altitude</t>
  </si>
  <si>
    <t>Paper basis / meaning</t>
  </si>
  <si>
    <t>Side/cross-track offset</t>
  </si>
  <si>
    <t>y</t>
  </si>
  <si>
    <t>Horizontal offset of the modeled target from nadir.</t>
  </si>
  <si>
    <t>Current custom inputs</t>
  </si>
  <si>
    <t>Your editable custom case from the left table. It remains the main model used by the topography dashboard.</t>
  </si>
  <si>
    <t>Along-track minimum</t>
  </si>
  <si>
    <t>Left/start side of the modeled pass.</t>
  </si>
  <si>
    <t>Paper low-altitude 800-km pass</t>
  </si>
  <si>
    <t>Paper coverage requirement: groundtrack segments at least 800 km long below 400 km for most REASON datasets. This model makes that a parabola.</t>
  </si>
  <si>
    <t>Along-track maximum</t>
  </si>
  <si>
    <t>Right/end side of the modeled pass.</t>
  </si>
  <si>
    <t>Paper ice-ocean 1600-km pass</t>
  </si>
  <si>
    <t>Paper ice-ocean interface requirement: at least 1600 km below 1000 km. This model makes that a parabola.</t>
  </si>
  <si>
    <t>Altitude rise at edge</t>
  </si>
  <si>
    <t>How much altitude rises at +/- x_edge.</t>
  </si>
  <si>
    <t>Paper operating 25-to-1000-km pass</t>
  </si>
  <si>
    <t>Paper instrument table lists operational altitudes of 25 km to 1000 km. This shows the lower-bound closest-approach case.</t>
  </si>
  <si>
    <t>Parabola edge location</t>
  </si>
  <si>
    <t>Controls curvature together with Delta_z_edge.</t>
  </si>
  <si>
    <t>Along-track speed</t>
  </si>
  <si>
    <t>v</t>
  </si>
  <si>
    <t>km/s</t>
  </si>
  <si>
    <t>Used for range rate, Doppler, and pulse spacing.</t>
  </si>
  <si>
    <t>The paper gives altitude ranges and required groundtrack lengths, not exact parabolic equations. These rows convert those paper values into the same simplified parabola equation so outcomes can be compared on one dashboard.</t>
  </si>
  <si>
    <t>Ice refractive index</t>
  </si>
  <si>
    <t>n</t>
  </si>
  <si>
    <t>Used to convert extra slant path into apparent depth.</t>
  </si>
  <si>
    <t>VHF wavelength</t>
  </si>
  <si>
    <t>lambda_vhf</t>
  </si>
  <si>
    <t>REASON-like VHF wavelength.</t>
  </si>
  <si>
    <t>HF wavelength</t>
  </si>
  <si>
    <t>lambda_hf</t>
  </si>
  <si>
    <t>REASON-like HF wavelength.</t>
  </si>
  <si>
    <t>Interferometer baseline</t>
  </si>
  <si>
    <t>b</t>
  </si>
  <si>
    <t>Used for VHF phase estimate.</t>
  </si>
  <si>
    <t>VHF range resolution</t>
  </si>
  <si>
    <t>res_vhf</t>
  </si>
  <si>
    <t>Used for VHF apparent-depth uncertainty band.</t>
  </si>
  <si>
    <t>HF range resolution</t>
  </si>
  <si>
    <t>res_hf</t>
  </si>
  <si>
    <t>Used for HF apparent-depth uncertainty band.</t>
  </si>
  <si>
    <t>PRF choice 1</t>
  </si>
  <si>
    <t>PRF_1</t>
  </si>
  <si>
    <t>Example low PRF.</t>
  </si>
  <si>
    <t>PRF choice 2</t>
  </si>
  <si>
    <t>PRF_2</t>
  </si>
  <si>
    <t>Example medium PRF.</t>
  </si>
  <si>
    <t>PRF choice 3</t>
  </si>
  <si>
    <t>PRF_3</t>
  </si>
  <si>
    <t>Example high PRF.</t>
  </si>
  <si>
    <t>Speed of light</t>
  </si>
  <si>
    <t>c</t>
  </si>
  <si>
    <t>m/s</t>
  </si>
  <si>
    <t>Physical constant used for delay and timing.</t>
  </si>
  <si>
    <t>Model note</t>
  </si>
  <si>
    <t>The parabola is a simplified local path, not a real mission trajectory. Use it to see how geometry changes radar outputs.</t>
  </si>
  <si>
    <t>Representative Europa Topography Controls</t>
  </si>
  <si>
    <t>Topography enabled</t>
  </si>
  <si>
    <t>topography_on</t>
  </si>
  <si>
    <t>TRUE</t>
  </si>
  <si>
    <t>Dropdown-style toggle. TRUE adds terrain height to the radar geometry; FALSE returns to flat surface.</t>
  </si>
  <si>
    <t>Ridge height</t>
  </si>
  <si>
    <t>A_ridge</t>
  </si>
  <si>
    <t>Positive height for a representative double-ridge / raised band.</t>
  </si>
  <si>
    <t>Ridge center x</t>
  </si>
  <si>
    <t>ridge_x0</t>
  </si>
  <si>
    <t>Along-track center of the ridge.</t>
  </si>
  <si>
    <t>Ridge center y</t>
  </si>
  <si>
    <t>ridge_y0</t>
  </si>
  <si>
    <t>Cross-track center of the ridge.</t>
  </si>
  <si>
    <t>Ridge length sigma</t>
  </si>
  <si>
    <t>ridge_sigma_x</t>
  </si>
  <si>
    <t>Long direction of the ridge feature.</t>
  </si>
  <si>
    <t>Ridge width sigma</t>
  </si>
  <si>
    <t>ridge_sigma_y</t>
  </si>
  <si>
    <t>Narrow cross-track width of the ridge.</t>
  </si>
  <si>
    <t>Crater/depression depth</t>
  </si>
  <si>
    <t>D_crater</t>
  </si>
  <si>
    <t>Positive number becomes a negative depression in the surface model.</t>
  </si>
  <si>
    <t>Crater center x</t>
  </si>
  <si>
    <t>crater_x0</t>
  </si>
  <si>
    <t>Along-track center of depression.</t>
  </si>
  <si>
    <t>Crater center y</t>
  </si>
  <si>
    <t>crater_y0</t>
  </si>
  <si>
    <t>Cross-track center of depression.</t>
  </si>
  <si>
    <t>Crater width sigma</t>
  </si>
  <si>
    <t>crater_sigma</t>
  </si>
  <si>
    <t>Controls how broad the depression is.</t>
  </si>
  <si>
    <t>Chaos amplitude</t>
  </si>
  <si>
    <t>A_chaos</t>
  </si>
  <si>
    <t>Mixed sinusoidal terrain term for irregular chaos-like height variation.</t>
  </si>
  <si>
    <t>Fine roughness amplitude</t>
  </si>
  <si>
    <t>A_rough</t>
  </si>
  <si>
    <t>Smaller surface roughness term.</t>
  </si>
  <si>
    <t>Roughness wavelength x</t>
  </si>
  <si>
    <t>Lx</t>
  </si>
  <si>
    <t>Along-track roughness wavelength.</t>
  </si>
  <si>
    <t>Roughness wavelength y</t>
  </si>
  <si>
    <t>Ly</t>
  </si>
  <si>
    <t>Cross-track roughness wavelength.</t>
  </si>
  <si>
    <t>Trough depth</t>
  </si>
  <si>
    <t>D_trough</t>
  </si>
  <si>
    <t>Negative linear feature, like a fracture/trough.</t>
  </si>
  <si>
    <t>Trough center x</t>
  </si>
  <si>
    <t>trough_x0</t>
  </si>
  <si>
    <t>Along-track center of trough.</t>
  </si>
  <si>
    <t>Trough center y</t>
  </si>
  <si>
    <t>trough_y0</t>
  </si>
  <si>
    <t>Cross-track center of trough.</t>
  </si>
  <si>
    <t>Trough width sigma</t>
  </si>
  <si>
    <t>trough_sigma_y</t>
  </si>
  <si>
    <t>Narrow width of trough.</t>
  </si>
  <si>
    <t>Trough length sigma</t>
  </si>
  <si>
    <t>trough_sigma_x</t>
  </si>
  <si>
    <t>Long direction of trough.</t>
  </si>
  <si>
    <t>Terrain vertical uncertainty</t>
  </si>
  <si>
    <t>sigma_h</t>
  </si>
  <si>
    <t>Representative uncertainty band for the topographic height model.</t>
  </si>
  <si>
    <t>Terrain seed</t>
  </si>
  <si>
    <t>terrain_seed</t>
  </si>
  <si>
    <t>Change this number to generate a different repeatable random-looking surface. Same seed gives the same graphs.</t>
  </si>
  <si>
    <t>Seeded random amplitude</t>
  </si>
  <si>
    <t>A_seeded</t>
  </si>
  <si>
    <t>Strength of the generated terrain added on top of the DEM-style surface.</t>
  </si>
  <si>
    <t>Seeded random scale x</t>
  </si>
  <si>
    <t>L_seed_x</t>
  </si>
  <si>
    <t>Along-track scale for seeded terrain waves.</t>
  </si>
  <si>
    <t>Seeded random scale y</t>
  </si>
  <si>
    <t>L_seed_y</t>
  </si>
  <si>
    <t>Cross-track scale for seeded terrain waves.</t>
  </si>
  <si>
    <t>Existing DEM-style scale</t>
  </si>
  <si>
    <t>S_dem</t>
  </si>
  <si>
    <t>Multiplier for the project synthetic DEM pattern from reason_common.py.</t>
  </si>
  <si>
    <t>Europa radius</t>
  </si>
  <si>
    <t>R_e</t>
  </si>
  <si>
    <t>Europa mean radius used for spherical slant-range geometry.</t>
  </si>
  <si>
    <t>Topography note</t>
  </si>
  <si>
    <t>This is a detailed representative terrain model, not a real imported Europa DEM. It now combines the local project synthetic DEM shape with a seed-controlled random terrain term so you can test multiple possible surfaces.</t>
  </si>
  <si>
    <t>Europa Ice Subsurface Editable Inputs</t>
  </si>
  <si>
    <t>Change the yellow values in column C. Subsurface_Live_Data and Subsurface_Dashboard update from these formulas.</t>
  </si>
  <si>
    <t>All editable values live on this tab. Subsurface_Dashboard is output-only.</t>
  </si>
  <si>
    <t>Section</t>
  </si>
  <si>
    <t>Surface</t>
  </si>
  <si>
    <t>Use generated icy topography</t>
  </si>
  <si>
    <t>Surface/topography is modeled as icy terrain, not rock.</t>
  </si>
  <si>
    <t>Shallow ice</t>
  </si>
  <si>
    <t>Upper ice layer mean depth</t>
  </si>
  <si>
    <t>Depth below the local icy surface.</t>
  </si>
  <si>
    <t>Upper ice sine amplitude</t>
  </si>
  <si>
    <t>Smooth undulation in shallow internal ice.</t>
  </si>
  <si>
    <t>Upper ice phase shift</t>
  </si>
  <si>
    <t>Moves the shallow layer pattern left/right.</t>
  </si>
  <si>
    <t>Upper ice sine wavelength</t>
  </si>
  <si>
    <t>Longer number means smoother/larger features.</t>
  </si>
  <si>
    <t>Upper ice cosine amplitude</t>
  </si>
  <si>
    <t>Secondary shallow-layer variation.</t>
  </si>
  <si>
    <t>Upper ice cosine wavelength</t>
  </si>
  <si>
    <t>Secondary shallow-layer spacing.</t>
  </si>
  <si>
    <t>Surface coupling factor</t>
  </si>
  <si>
    <t>How much surface relief carries into shallow ice.</t>
  </si>
  <si>
    <t>Warm/briny lens</t>
  </si>
  <si>
    <t>Lens A strength</t>
  </si>
  <si>
    <t>0-1</t>
  </si>
  <si>
    <t>Local possible warm/briny contrast, not proven.</t>
  </si>
  <si>
    <t>Lens A center</t>
  </si>
  <si>
    <t>Along-track center of first possible lens.</t>
  </si>
  <si>
    <t>Lens A width</t>
  </si>
  <si>
    <t>Controls how broad lens A is.</t>
  </si>
  <si>
    <t>Lens B strength</t>
  </si>
  <si>
    <t>Second possible lens.</t>
  </si>
  <si>
    <t>Lens B center</t>
  </si>
  <si>
    <t>Along-track center of second possible lens.</t>
  </si>
  <si>
    <t>Lens B width</t>
  </si>
  <si>
    <t>Controls how broad lens B is.</t>
  </si>
  <si>
    <t>Lens mean depth</t>
  </si>
  <si>
    <t>Depth below local surface.</t>
  </si>
  <si>
    <t>Lens depth wave amplitude</t>
  </si>
  <si>
    <t>Broad depth variation.</t>
  </si>
  <si>
    <t>Lens depth phase shift</t>
  </si>
  <si>
    <t>Moves lens-depth wave left/right.</t>
  </si>
  <si>
    <t>Lens depth wavelength</t>
  </si>
  <si>
    <t>Lens-depth wave spacing.</t>
  </si>
  <si>
    <t>Lens uplift when strong</t>
  </si>
  <si>
    <t>Strong lens sits slightly shallower.</t>
  </si>
  <si>
    <t>Ice-ocean boundary</t>
  </si>
  <si>
    <t>Nominal ice shell thickness</t>
  </si>
  <si>
    <t>Possible bottom reflector depth.</t>
  </si>
  <si>
    <t>Ocean boundary sine amplitude</t>
  </si>
  <si>
    <t>Broad thickness variation.</t>
  </si>
  <si>
    <t>Ocean boundary sine phase</t>
  </si>
  <si>
    <t>Moves basal pattern left/right.</t>
  </si>
  <si>
    <t>Ocean boundary sine wavelength</t>
  </si>
  <si>
    <t>Large-scale basal relief.</t>
  </si>
  <si>
    <t>Ocean boundary cosine amplitude</t>
  </si>
  <si>
    <t>Secondary basal relief.</t>
  </si>
  <si>
    <t>Ocean boundary cosine phase</t>
  </si>
  <si>
    <t>Moves secondary basal pattern.</t>
  </si>
  <si>
    <t>Ocean boundary cosine wavelength</t>
  </si>
  <si>
    <t>Secondary basal spacing.</t>
  </si>
  <si>
    <t>Surface anti-coupling factor</t>
  </si>
  <si>
    <t>Surface highs slightly reduce thickness.</t>
  </si>
  <si>
    <t>Radar</t>
  </si>
  <si>
    <t>Uses workbook ice index by default.</t>
  </si>
  <si>
    <t>Used for two-way delay.</t>
  </si>
  <si>
    <t>One-way ice attenuation</t>
  </si>
  <si>
    <t>dB/km</t>
  </si>
  <si>
    <t>Simple signal loss through ice.</t>
  </si>
  <si>
    <t>Shallow layer base echo</t>
  </si>
  <si>
    <t>Relative reflector strength before attenuation.</t>
  </si>
  <si>
    <t>Lens base echo</t>
  </si>
  <si>
    <t>Relative lens strength before lens multiplier and attenuation.</t>
  </si>
  <si>
    <t>Lens strength echo bonus</t>
  </si>
  <si>
    <t>A stronger lens creates a stronger reflector.</t>
  </si>
  <si>
    <t>Ocean boundary base echo</t>
  </si>
  <si>
    <t>Large material contrast from ice to possible ocean.</t>
  </si>
  <si>
    <t>Basal roughness penalty</t>
  </si>
  <si>
    <t>dB/m</t>
  </si>
  <si>
    <t>Rougher boundary weakens coherent echo.</t>
  </si>
  <si>
    <t>Lens display threshold</t>
  </si>
  <si>
    <t>Below this, lens is treated as too weak for chart focus.</t>
  </si>
  <si>
    <t>Detection threshold</t>
  </si>
  <si>
    <t>Simple threshold for treating a return as easier to see.</t>
  </si>
  <si>
    <t>Plus/minus range around the possible ice-ocean boundary.</t>
  </si>
  <si>
    <t>Thin shell multiplier</t>
  </si>
  <si>
    <t>Creates a thinner-shell scenario from the live depth.</t>
  </si>
  <si>
    <t>Thick shell multiplier</t>
  </si>
  <si>
    <t>Creates a thicker-shell scenario from the live depth.</t>
  </si>
  <si>
    <t>No-ocean control echo</t>
  </si>
  <si>
    <t>Weak baseline return for a no-bottom-reflector control case.</t>
  </si>
  <si>
    <t>Radar support score</t>
  </si>
  <si>
    <t>How strongly radar outputs support the proposed subsurface.</t>
  </si>
  <si>
    <t>Thermal support score</t>
  </si>
  <si>
    <t>Proxy for E-THEMIS-style warm-region support.</t>
  </si>
  <si>
    <t>Composition support score</t>
  </si>
  <si>
    <t>Proxy for MISE-style salts/ice/organic context.</t>
  </si>
  <si>
    <t>Magnetic/plasma support score</t>
  </si>
  <si>
    <t>Proxy for ECM/PIMS-style ocean support.</t>
  </si>
  <si>
    <t>Radar evidence weight</t>
  </si>
  <si>
    <t>Radar should carry the most weight here.</t>
  </si>
  <si>
    <t>Thermal evidence weight</t>
  </si>
  <si>
    <t>Thermal evidence is supporting context.</t>
  </si>
  <si>
    <t>Composition evidence weight</t>
  </si>
  <si>
    <t>Surface composition is supporting context.</t>
  </si>
  <si>
    <t>Magnetic/plasma evidence weight</t>
  </si>
  <si>
    <t>Interior/ocean support from non-radar instruments.</t>
  </si>
  <si>
    <t>Radargram</t>
  </si>
  <si>
    <t>Radargram timing jitter</t>
  </si>
  <si>
    <t>Adds deterministic timing wiggle to radargram-style chart.</t>
  </si>
  <si>
    <t>Surface clutter band</t>
  </si>
  <si>
    <t>Approximate near-surface clutter window.</t>
  </si>
  <si>
    <t>x_km</t>
  </si>
  <si>
    <t>z_km</t>
  </si>
  <si>
    <t>R_nadir_km</t>
  </si>
  <si>
    <t>R_off_km</t>
  </si>
  <si>
    <t>Delta_R_m</t>
  </si>
  <si>
    <t>apparent_depth_m</t>
  </si>
  <si>
    <t>extra_delay_us</t>
  </si>
  <si>
    <t>horizontal_offset_km</t>
  </si>
  <si>
    <t>look_angle_deg</t>
  </si>
  <si>
    <t>vhf_phase_deg</t>
  </si>
  <si>
    <t>relative_power</t>
  </si>
  <si>
    <t>power_dB</t>
  </si>
  <si>
    <t>dz_dx</t>
  </si>
  <si>
    <t>dz_dt_km_s</t>
  </si>
  <si>
    <t>range_rate_m_s</t>
  </si>
  <si>
    <t>vhf_doppler_hz</t>
  </si>
  <si>
    <t>hf_doppler_hz</t>
  </si>
  <si>
    <t>vhf_band_low_m</t>
  </si>
  <si>
    <t>vhf_band_high_m</t>
  </si>
  <si>
    <t>hf_band_low_m</t>
  </si>
  <si>
    <t>hf_band_high_m</t>
  </si>
  <si>
    <t>abs_vhf_doppler_hz</t>
  </si>
  <si>
    <t>abs_hf_doppler_hz</t>
  </si>
  <si>
    <t>h_nadir_m</t>
  </si>
  <si>
    <t>h_target_m</t>
  </si>
  <si>
    <t>R_nadir_topo_km</t>
  </si>
  <si>
    <t>R_off_topo_km</t>
  </si>
  <si>
    <t>Delta_R_topo_m</t>
  </si>
  <si>
    <t>apparent_depth_topo_m</t>
  </si>
  <si>
    <t>extra_delay_topo_us</t>
  </si>
  <si>
    <t>look_angle_topo_deg</t>
  </si>
  <si>
    <t>vhf_phase_topo_deg</t>
  </si>
  <si>
    <t>relative_power_topo</t>
  </si>
  <si>
    <t>power_dB_topo</t>
  </si>
  <si>
    <t>depth_change_topo_minus_flat_m</t>
  </si>
  <si>
    <t>delay_change_topo_minus_flat_us</t>
  </si>
  <si>
    <t>target_minus_nadir_height_m</t>
  </si>
  <si>
    <t>range_rate_topo_m_s</t>
  </si>
  <si>
    <t>vhf_doppler_topo_hz</t>
  </si>
  <si>
    <t>hf_doppler_topo_hz</t>
  </si>
  <si>
    <t>abs_vhf_doppler_topo_hz</t>
  </si>
  <si>
    <t>abs_hf_doppler_topo_hz</t>
  </si>
  <si>
    <t>topo_depth_uncertainty_m</t>
  </si>
  <si>
    <t>topo_depth_low_m</t>
  </si>
  <si>
    <t>topo_depth_high_m</t>
  </si>
  <si>
    <t>surface_height_m</t>
  </si>
  <si>
    <t>nadir_height_m</t>
  </si>
  <si>
    <t>spacecraft_altitude_km</t>
  </si>
  <si>
    <t>target_y_km</t>
  </si>
  <si>
    <t>upper_ice_layer_depth_m</t>
  </si>
  <si>
    <t>upper_ice_layer_elevation_m</t>
  </si>
  <si>
    <t>lens_strength_0to1</t>
  </si>
  <si>
    <t>briny_warm_lens_depth_m</t>
  </si>
  <si>
    <t>briny_warm_lens_elevation_m</t>
  </si>
  <si>
    <t>ice_ocean_boundary_depth_m</t>
  </si>
  <si>
    <t>ice_ocean_boundary_elevation_m</t>
  </si>
  <si>
    <t>upper_ice_layer_delay_us</t>
  </si>
  <si>
    <t>briny_warm_lens_delay_us</t>
  </si>
  <si>
    <t>ice_ocean_boundary_delay_us</t>
  </si>
  <si>
    <t>upper_ice_layer_echo_db</t>
  </si>
  <si>
    <t>briny_warm_lens_echo_db</t>
  </si>
  <si>
    <t>ice_ocean_boundary_echo_db</t>
  </si>
  <si>
    <t>ice_thickness_variation_m</t>
  </si>
  <si>
    <t>ocean_to_shallow_depth_ratio</t>
  </si>
  <si>
    <t>lens_visible_flag</t>
  </si>
  <si>
    <t>ocean_echo_flag</t>
  </si>
  <si>
    <t>detection_threshold_db</t>
  </si>
  <si>
    <t>lens_echo_margin_db</t>
  </si>
  <si>
    <t>ocean_echo_margin_db</t>
  </si>
  <si>
    <t>best_deep_return_margin_db</t>
  </si>
  <si>
    <t>zero_margin_reference</t>
  </si>
  <si>
    <t>mean_boundary_depth_m</t>
  </si>
  <si>
    <t>boundary_low_m</t>
  </si>
  <si>
    <t>boundary_high_m</t>
  </si>
  <si>
    <t>thin_shell_depth_m</t>
  </si>
  <si>
    <t>medium_shell_depth_m</t>
  </si>
  <si>
    <t>thick_shell_depth_m</t>
  </si>
  <si>
    <t>ocean_model_margin_db</t>
  </si>
  <si>
    <t>no_ocean_control_margin_db</t>
  </si>
  <si>
    <t>Material / interface</t>
  </si>
  <si>
    <t>Reflection strength before depth loss (dB)</t>
  </si>
  <si>
    <t>One-way attenuation (dB/km)</t>
  </si>
  <si>
    <t>Why it matters</t>
  </si>
  <si>
    <t>material_index</t>
  </si>
  <si>
    <t>material_reflection_strength_db</t>
  </si>
  <si>
    <t>evidence_index</t>
  </si>
  <si>
    <t>evidence_support_score</t>
  </si>
  <si>
    <t>Cold clean ice layer</t>
  </si>
  <si>
    <t>Weak internal contrast; often harder to see.</t>
  </si>
  <si>
    <t>Warmer ice boundary</t>
  </si>
  <si>
    <t>Temperature/structure contrast can strengthen a reflector.</t>
  </si>
  <si>
    <t>Dirty/salty ice layer</t>
  </si>
  <si>
    <t>Impurities can create stronger dielectric contrast and more loss.</t>
  </si>
  <si>
    <t>Briny pocket/lens</t>
  </si>
  <si>
    <t>High contrast but can be lossy.</t>
  </si>
  <si>
    <t>Liquid salty ocean boundary</t>
  </si>
  <si>
    <t>Strong material contrast at the bottom boundary.</t>
  </si>
  <si>
    <t>Evidence source</t>
  </si>
  <si>
    <t>Support score (%)</t>
  </si>
  <si>
    <t>Weight (%)</t>
  </si>
  <si>
    <t>Weighted contribution</t>
  </si>
  <si>
    <t>Radar sounding</t>
  </si>
  <si>
    <t>REASON-like radar structure support.</t>
  </si>
  <si>
    <t>Thermal context</t>
  </si>
  <si>
    <t>E-THEMIS-style warm-region support.</t>
  </si>
  <si>
    <t>Surface composition</t>
  </si>
  <si>
    <t>MISE-style salts/ice/organics support.</t>
  </si>
  <si>
    <t>Magnetic/plasma ocean support</t>
  </si>
  <si>
    <t>ECM/PIMS-style ocean support.</t>
  </si>
  <si>
    <t>Total weighted support</t>
  </si>
  <si>
    <t>Combined evidence score.</t>
  </si>
  <si>
    <t>surface_clutter_lower_us</t>
  </si>
  <si>
    <t>surface_clutter_upper_us</t>
  </si>
  <si>
    <t>shallow_return_delay_with_jitter_us</t>
  </si>
  <si>
    <t>lens_return_delay_with_jitter_us</t>
  </si>
  <si>
    <t>ocean_return_delay_with_jitter_us</t>
  </si>
  <si>
    <t>noise_floor_proxy</t>
  </si>
  <si>
    <t>x (km)</t>
  </si>
  <si>
    <t>Zero-depth nadir reference (0 m)</t>
  </si>
  <si>
    <t>Constant-altitude off-nadir reading (m)</t>
  </si>
  <si>
    <t>Parabolic flat-surface reading (m)</t>
  </si>
  <si>
    <t>Parabolic topography-adjusted reading (m)</t>
  </si>
  <si>
    <t>Reference floor (generated topography, m)</t>
  </si>
  <si>
    <t>Off-nadir target topography height (m)</t>
  </si>
  <si>
    <t>Nadir topography height (m)</t>
  </si>
  <si>
    <t>Off-nadir target surface height (m)</t>
  </si>
  <si>
    <t>Nadir surface height (m)</t>
  </si>
  <si>
    <t>Off-nadir satellite apparent surface height equivalent (m)</t>
  </si>
  <si>
    <t>Flat-geometry VHF Doppler (Hz)</t>
  </si>
  <si>
    <t>Topography-adjusted VHF Doppler (Hz)</t>
  </si>
  <si>
    <t>Flat-geometry HF Doppler (Hz)</t>
  </si>
  <si>
    <t>Topography-adjusted HF Doppler (Hz)</t>
  </si>
  <si>
    <t>Altitude rise above z0 (km)</t>
  </si>
  <si>
    <t>Flat ground + constant satellite altitude reading (m)</t>
  </si>
  <si>
    <t>Flat ground + parabolic satellite path reading (m)</t>
  </si>
  <si>
    <t>pass fraction</t>
  </si>
  <si>
    <t>Current custom inputs altitude (km)</t>
  </si>
  <si>
    <t>Paper low-altitude 800-km pass altitude (km)</t>
  </si>
  <si>
    <t>Paper ice-ocean 1600-km pass altitude (km)</t>
  </si>
  <si>
    <t>Paper operating 25-to-1000-km pass altitude (km)</t>
  </si>
  <si>
    <t>Current custom inputs apparent depth (m)</t>
  </si>
  <si>
    <t>Paper low-altitude 800-km pass apparent depth (m)</t>
  </si>
  <si>
    <t>Paper ice-ocean 1600-km pass apparent depth (m)</t>
  </si>
  <si>
    <t>Paper operating 25-to-1000-km pass apparent depth (m)</t>
  </si>
  <si>
    <t>Current custom inputs VHF Doppler (Hz)</t>
  </si>
  <si>
    <t>Paper low-altitude 800-km pass VHF Doppler (Hz)</t>
  </si>
  <si>
    <t>Paper ice-ocean 1600-km pass VHF Doppler (Hz)</t>
  </si>
  <si>
    <t>Paper operating 25-to-1000-km pass VHF Doppler (Hz)</t>
  </si>
  <si>
    <t>Current custom inputs x (km)</t>
  </si>
  <si>
    <t>Paper low-altitude 800-km pass x (km)</t>
  </si>
  <si>
    <t>Paper ice-ocean 1600-km pass x (km)</t>
  </si>
  <si>
    <t>Paper operating 25-to-1000-km pass x (km)</t>
  </si>
  <si>
    <t>Current custom inputs raw altitude (km)</t>
  </si>
  <si>
    <t>Paper low-altitude 800-km pass raw altitude (km)</t>
  </si>
  <si>
    <t>Paper ice-ocean 1600-km pass raw altitude (km)</t>
  </si>
  <si>
    <t>Paper operating 25-to-1000-km pass raw altitude (km)</t>
  </si>
  <si>
    <t>Current custom inputs raw apparent depth (m)</t>
  </si>
  <si>
    <t>Paper low-altitude 800-km pass raw apparent depth (m)</t>
  </si>
  <si>
    <t>Paper ice-ocean 1600-km pass raw apparent depth (m)</t>
  </si>
  <si>
    <t>Paper operating 25-to-1000-km pass raw apparent depth (m)</t>
  </si>
  <si>
    <t>Current custom inputs raw VHF Doppler (Hz)</t>
  </si>
  <si>
    <t>Paper low-altitude 800-km pass raw VHF Doppler (Hz)</t>
  </si>
  <si>
    <t>Paper ice-ocean 1600-km pass raw VHF Doppler (Hz)</t>
  </si>
  <si>
    <t>Paper operating 25-to-1000-km pass raw VHF Doppler (Hz)</t>
  </si>
  <si>
    <t>Reference floor (0 m, not a run)</t>
  </si>
  <si>
    <t>Current custom inputs off-nadir surface (m)</t>
  </si>
  <si>
    <t>Paper low-altitude 800-km pass off-nadir surface (m)</t>
  </si>
  <si>
    <t>Paper ice-ocean 1600-km pass off-nadir surface (m)</t>
  </si>
  <si>
    <t>Paper operating 25-to-1000-km pass off-nadir surface (m)</t>
  </si>
  <si>
    <t>Reference surface floor (0 km, not a run)</t>
  </si>
  <si>
    <t>Zero-depth reference (0 m, not a run)</t>
  </si>
  <si>
    <t>PRF and Pulse Timing Results</t>
  </si>
  <si>
    <t>Doppler sampling status</t>
  </si>
  <si>
    <t>Formula Guide</t>
  </si>
  <si>
    <t>Formula</t>
  </si>
  <si>
    <t>Inputs used</t>
  </si>
  <si>
    <t>Output produced</t>
  </si>
  <si>
    <t>z(x) = z0 + Delta_z_edge*(x/x_edge)^2</t>
  </si>
  <si>
    <t>Parabolic altitude path.</t>
  </si>
  <si>
    <t>z0, Delta_z_edge, x, x_edge</t>
  </si>
  <si>
    <t>altitude z</t>
  </si>
  <si>
    <t>Paper pass scenario = paper altitude/length values inserted into z(x)</t>
  </si>
  <si>
    <t>The paper gives altitude ranges and groundtrack lengths; this workbook converts them into comparable parabolic cases.</t>
  </si>
  <si>
    <t>Inputs F6:N9</t>
  </si>
  <si>
    <t>scenario overlays</t>
  </si>
  <si>
    <t>scenario_show = TRUE/FALSE</t>
  </si>
  <si>
    <t>Controls whether a scenario line appears in the paper-pass charts. The summary table still calculates all scenarios.</t>
  </si>
  <si>
    <t>Inputs F6:F9</t>
  </si>
  <si>
    <t>visible chart series</t>
  </si>
  <si>
    <t>theta = sqrt(x^2 + y^2) / R_e</t>
  </si>
  <si>
    <t>Angular surface separation on Europa.</t>
  </si>
  <si>
    <t>x, y, Europa radius</t>
  </si>
  <si>
    <t>central angle</t>
  </si>
  <si>
    <t>R_off = sqrt((R_e+z)^2 + R_e^2 - 2*(R_e+z)*R_e*cos(theta))</t>
  </si>
  <si>
    <t>Curvature-corrected slant range from spacecraft to flat surface target.</t>
  </si>
  <si>
    <t>x, y, z, R_e</t>
  </si>
  <si>
    <t>off-nadir range</t>
  </si>
  <si>
    <t>R_nadir = z</t>
  </si>
  <si>
    <t>Range to target directly below platform.</t>
  </si>
  <si>
    <t>z</t>
  </si>
  <si>
    <t>nadir range</t>
  </si>
  <si>
    <t>Delta_R = R_off - R_nadir</t>
  </si>
  <si>
    <t>Extra one-way path from side offset.</t>
  </si>
  <si>
    <t>R_off, R_nadir</t>
  </si>
  <si>
    <t>extra range</t>
  </si>
  <si>
    <t>d_app = Delta_R / n</t>
  </si>
  <si>
    <t>Maps extra range onto apparent in-ice depth.</t>
  </si>
  <si>
    <t>Delta_R, n</t>
  </si>
  <si>
    <t>apparent depth</t>
  </si>
  <si>
    <t>Delta_t = 2*Delta_R/c</t>
  </si>
  <si>
    <t>Two-way extra echo delay.</t>
  </si>
  <si>
    <t>Delta_R, c</t>
  </si>
  <si>
    <t>extra delay</t>
  </si>
  <si>
    <t>theta = atan(horizontal/z)</t>
  </si>
  <si>
    <t>Look angle away from nadir.</t>
  </si>
  <si>
    <t>x, y, z</t>
  </si>
  <si>
    <t>look angle</t>
  </si>
  <si>
    <t>phi = (2*pi/lambda)*b*sin(theta)</t>
  </si>
  <si>
    <t>Interferometric phase for VHF baseline.</t>
  </si>
  <si>
    <t>lambda, b, theta</t>
  </si>
  <si>
    <t>phase</t>
  </si>
  <si>
    <t>P_rel = (R_nadir/R_off)^4</t>
  </si>
  <si>
    <t>Simple geometry-only two-way range-power ratio.</t>
  </si>
  <si>
    <t>R_nadir, R_off</t>
  </si>
  <si>
    <t>relative power</t>
  </si>
  <si>
    <t>dz/dx = 2*a*x</t>
  </si>
  <si>
    <t>Slope of parabolic altitude path.</t>
  </si>
  <si>
    <t>a, x</t>
  </si>
  <si>
    <t>vertical slope</t>
  </si>
  <si>
    <t>dz/dt = dz/dx * v</t>
  </si>
  <si>
    <t>Vertical speed caused by moving along the parabola.</t>
  </si>
  <si>
    <t>dz/dx, v</t>
  </si>
  <si>
    <t>vertical speed</t>
  </si>
  <si>
    <t>dR/dt = (x*v + z*dz/dt)/R</t>
  </si>
  <si>
    <t>Range rate from chain rule.</t>
  </si>
  <si>
    <t>x, v, z, dz/dt, R</t>
  </si>
  <si>
    <t>range rate</t>
  </si>
  <si>
    <t>f_D = -2*(dR/dt)/lambda</t>
  </si>
  <si>
    <t>Two-way Doppler shift.</t>
  </si>
  <si>
    <t>range rate, lambda</t>
  </si>
  <si>
    <t>PRF_min = 2*max(abs(f_D))</t>
  </si>
  <si>
    <t>Simple Doppler sampling floor.</t>
  </si>
  <si>
    <t>minimum PRF</t>
  </si>
  <si>
    <t>h_project = S_dem*(ridge + scallop + chaos + along_bulge)</t>
  </si>
  <si>
    <t>Project synthetic DEM-style terrain from reason_common.py, rewritten in Excel formulas.</t>
  </si>
  <si>
    <t>S_dem, x, y</t>
  </si>
  <si>
    <t>baseline representative surface</t>
  </si>
  <si>
    <t>h_seeded = A_seeded*(smooth waves + deterministic hash)</t>
  </si>
  <si>
    <t>Seed-controlled random-looking terrain. Same seed repeats the same surface; changing the seed changes the surface.</t>
  </si>
  <si>
    <t>terrain_seed, A_seeded, L_seed_x, L_seed_y</t>
  </si>
  <si>
    <t>dynamic terrain variation</t>
  </si>
  <si>
    <t>h_total = h_project + h_ridge + h_crater + h_chaos + h_rough + h_trough + h_seeded</t>
  </si>
  <si>
    <t>Representative Europa topography model.</t>
  </si>
  <si>
    <t>topography controls and seed controls</t>
  </si>
  <si>
    <t>surface height</t>
  </si>
  <si>
    <t>h_ridge = A*exp(-(x-x0)^2/(2*sx^2))*exp(-(y-y0)^2/(2*sy^2))</t>
  </si>
  <si>
    <t>Raised ridge / band feature.</t>
  </si>
  <si>
    <t>ridge height, center, length, width</t>
  </si>
  <si>
    <t>ridge height</t>
  </si>
  <si>
    <t>h_crater = -D*exp(-((x-x0)^2+(y-y0)^2)/(2*sigma^2))</t>
  </si>
  <si>
    <t>Depression or crater-like low area.</t>
  </si>
  <si>
    <t>crater depth, center, width</t>
  </si>
  <si>
    <t>depression height</t>
  </si>
  <si>
    <t>h_rough = A*sin(2*pi*x/Lx)*sin(2*pi*y/Ly)</t>
  </si>
  <si>
    <t>Fine roughness variation.</t>
  </si>
  <si>
    <t>roughness amplitude and wavelength</t>
  </si>
  <si>
    <t>roughness height</t>
  </si>
  <si>
    <t>R_off_topo = sqrt((R_e+z)^2 + (R_e+h_target/1000)^2 - 2*(R_e+z)*(R_e+h_target/1000)*cos(theta))</t>
  </si>
  <si>
    <t>Curvature-corrected slant range to the topographic target.</t>
  </si>
  <si>
    <t>x, y, z, h_target, R_e</t>
  </si>
  <si>
    <t>topographic range</t>
  </si>
  <si>
    <t>R_nadir_topo = z - h_nadir/1000</t>
  </si>
  <si>
    <t>Nadir range after local surface elevation is included.</t>
  </si>
  <si>
    <t>z, nadir height</t>
  </si>
  <si>
    <t>topographic nadir range</t>
  </si>
  <si>
    <t>d_app_topo = (R_off_topo - R_nadir_topo)/n</t>
  </si>
  <si>
    <t>Topography-adjusted apparent depth.</t>
  </si>
  <si>
    <t>topographic ranges, n</t>
  </si>
  <si>
    <t>apparent depth with topography</t>
  </si>
  <si>
    <t>surface_signal = h_target - h_nadir</t>
  </si>
  <si>
    <t>The original modeled surface/topography difference between the target path and nadir path.</t>
  </si>
  <si>
    <t>h_target, h_nadir</t>
  </si>
  <si>
    <t>true surface signal</t>
  </si>
  <si>
    <t>apparent_surface_height = -n*(d_app_topo - d_app_flat)</t>
  </si>
  <si>
    <t>Converts the topography-caused apparent-depth change back into surface-height-equivalent meters for comparison with h_target and h_nadir.</t>
  </si>
  <si>
    <t>d_app_topo, d_app_flat, n</t>
  </si>
  <si>
    <t>radar apparent surface height</t>
  </si>
  <si>
    <t>constant-altitude shift</t>
  </si>
  <si>
    <t>Same topography shift calculation, but with z held constant at z0 instead of using the parabola.</t>
  </si>
  <si>
    <t>z0, h_target, h_nadir</t>
  </si>
  <si>
    <t>path-motion comparison</t>
  </si>
  <si>
    <t>Subsurface simulation formulas</t>
  </si>
  <si>
    <t>upper_depth = mean + sinusoid + cosine + surface coupling</t>
  </si>
  <si>
    <t>Live shallow internal ice layer depth.</t>
  </si>
  <si>
    <t>Subsurface_Inputs, Model_Data h_target</t>
  </si>
  <si>
    <t>lens_strength = MIN(1,MAX(0,lensA Gaussian + lensB Gaussian))</t>
  </si>
  <si>
    <t>Possible warm/briny lens strength along track.</t>
  </si>
  <si>
    <t>lens strengths, centers, widths</t>
  </si>
  <si>
    <t>lens_depth = mean + sinusoid - uplift*lens_strength</t>
  </si>
  <si>
    <t>Possible lens depth below icy surface.</t>
  </si>
  <si>
    <t>lens controls</t>
  </si>
  <si>
    <t>ocean_depth = nominal + basal waves - surface coupling</t>
  </si>
  <si>
    <t>Possible ice-ocean boundary depth.</t>
  </si>
  <si>
    <t>ocean boundary controls</t>
  </si>
  <si>
    <t>delay_us = 2*n*depth/c*1e6</t>
  </si>
  <si>
    <t>Two-way delay after the surface return.</t>
  </si>
  <si>
    <t>ice refractive index, speed of light</t>
  </si>
  <si>
    <t>subsurface layer delay</t>
  </si>
  <si>
    <t>echo_dB = base contrast - two-way attenuation - roughness penalty</t>
  </si>
  <si>
    <t>Simple radar echo strength estimate.</t>
  </si>
  <si>
    <t>attenuation and layer depth/roughness</t>
  </si>
  <si>
    <t>relative echo strength</t>
  </si>
  <si>
    <t>detectability_margin = echo_dB - detection_threshold_dB</t>
  </si>
  <si>
    <t>Positive means the simulated return is above the simple detection threshold.</t>
  </si>
  <si>
    <t>Subsurface_Inputs detection threshold, echo estimates</t>
  </si>
  <si>
    <t>detectability margin</t>
  </si>
  <si>
    <t>realism/proof scores</t>
  </si>
  <si>
    <t>Judgment score for model credibility, not a measured science result.</t>
  </si>
  <si>
    <t>synthetic inputs and assumptions</t>
  </si>
  <si>
    <t>dashboard realism block</t>
  </si>
  <si>
    <t>scenario_depth = mean_depth * scenario_multiplier</t>
  </si>
  <si>
    <t>Thin/medium/thick ice comparison.</t>
  </si>
  <si>
    <t>Subsurface_Inputs scenario multipliers</t>
  </si>
  <si>
    <t>scenario boundary depths</t>
  </si>
  <si>
    <t>uncertainty band = boundary_depth +/- uncertainty_m</t>
  </si>
  <si>
    <t>Shows a range instead of one exact proposed boundary.</t>
  </si>
  <si>
    <t>Subsurface_Inputs boundary uncertainty</t>
  </si>
  <si>
    <t>low/high depth bounds</t>
  </si>
  <si>
    <t>no_ocean_control_margin = no_ocean_echo - detection_threshold + clutter</t>
  </si>
  <si>
    <t>Control case for comparing against the ocean model.</t>
  </si>
  <si>
    <t>no-ocean echo, detection threshold</t>
  </si>
  <si>
    <t>control margin</t>
  </si>
  <si>
    <t>evidence_score = weighted average of radar, thermal, composition, magnetic/plasma support</t>
  </si>
  <si>
    <t>Cross-instrument support estimate.</t>
  </si>
  <si>
    <t>Subsurface_Inputs evidence values and weights</t>
  </si>
  <si>
    <t>total evidence support</t>
  </si>
  <si>
    <t>radargram_delay_with_jitter = layer_delay + timing_jitter*sin(...)</t>
  </si>
  <si>
    <t>Simple radargram-style noisy timing view.</t>
  </si>
  <si>
    <t>layer delays and radargram jitter</t>
  </si>
  <si>
    <t>noisy return timing</t>
  </si>
  <si>
    <t>Topography Formula Explanation</t>
  </si>
  <si>
    <t>This sheet explains the representative Europa topography model used when Inputs!C27 is TRUE. It is not a real imported DEM; it combines the project's synthetic DEM-style terrain with a seed-controlled random terrain term for testing multiple possible surfaces.</t>
  </si>
  <si>
    <t>Piece</t>
  </si>
  <si>
    <t>What it represents</t>
  </si>
  <si>
    <t>Changeable inputs</t>
  </si>
  <si>
    <t>Effect on radar output</t>
  </si>
  <si>
    <t>Checkbox / toggle</t>
  </si>
  <si>
    <t>topography_factor = IF(OR(Inputs!C27=TRUE, Inputs!C27="TRUE", Inputs!C27=1), 1, 0)</t>
  </si>
  <si>
    <t>Turns all terrain terms on or off.</t>
  </si>
  <si>
    <t>Inputs!C27</t>
  </si>
  <si>
    <t>TRUE includes terrain height; FALSE makes all h(x,y) terms equal 0.</t>
  </si>
  <si>
    <t>Project DEM-style surface</t>
  </si>
  <si>
    <t>h_project = S_dem*(115*EXP(-((y-25)^2)/(4.5^2)) + 70*EXP(-((y+38)^2)/(7^2))*(0.55+0.45*SIN(2*PI()*x/45)) + 24*SIN(2*PI()*y/9+x/18)*EXP(-((y+5)^2)/(22^2)) + 18*SIN(2*PI()*x/70))</t>
  </si>
  <si>
    <t>The same style as the existing local make_synthetic_dem model: an off-nadir ridge, scalloped terrain, chaos-like variation, and along-track bulge.</t>
  </si>
  <si>
    <t>Provides a repeatable baseline terrain pattern based on the existing project model.</t>
  </si>
  <si>
    <t>Seeded dynamic terrain</t>
  </si>
  <si>
    <t>h_seeded = A_seeded*(0.70*smooth_seeded_waves + 0.30*deterministic_hash(x,y,seed))</t>
  </si>
  <si>
    <t>A random-looking but repeatable terrain term. It avoids volatile RAND(), so the graph stays stable until the seed is changed.</t>
  </si>
  <si>
    <t>Changing the seed tests a different possible topographic case.</t>
  </si>
  <si>
    <t>Raised ridge</t>
  </si>
  <si>
    <t>h_ridge = A_ridge*EXP(-((x-ridge_x0)^2)/(2*ridge_sigma_x^2))*EXP(-((y-ridge_y0)^2)/(2*ridge_sigma_y^2))</t>
  </si>
  <si>
    <t>A long, narrow positive-height ridge or band, similar to a simplified Europa lineament/ridge.</t>
  </si>
  <si>
    <t>A_ridge, ridge_x0, ridge_y0, ridge_sigma_x, ridge_sigma_y</t>
  </si>
  <si>
    <t>A raised target usually shortens the target range and can pull apparent depth upward/shallower.</t>
  </si>
  <si>
    <t>Crater/depression</t>
  </si>
  <si>
    <t>h_crater = -D_crater*EXP(-(((x-crater_x0)^2+(y-crater_y0)^2)/(2*crater_sigma^2)))</t>
  </si>
  <si>
    <t>A negative-height circular depression.</t>
  </si>
  <si>
    <t>D_crater, crater_x0, crater_y0, crater_sigma</t>
  </si>
  <si>
    <t>A depression usually lengthens the target range and can push apparent depth deeper.</t>
  </si>
  <si>
    <t>Chaos terrain</t>
  </si>
  <si>
    <t>h_chaos = A_chaos*(0.55*SIN(2*PI()*x/Lx)+0.35*COS(2*PI()*y/Ly)+0.2*SIN(2*PI()*(x+y)/(0.5*(Lx+Ly))))</t>
  </si>
  <si>
    <t>A mixed wave term that gives irregular terrain instead of a single smooth hill.</t>
  </si>
  <si>
    <t>A_chaos, Lx, Ly</t>
  </si>
  <si>
    <t>Adds broad, uneven changes to terrain height along the pass.</t>
  </si>
  <si>
    <t>Fine roughness</t>
  </si>
  <si>
    <t>h_rough = A_rough*SIN(2*PI()*x/Lx)*SIN(2*PI()*y/Ly)</t>
  </si>
  <si>
    <t>Smaller oscillating roughness on top of the larger terrain terms.</t>
  </si>
  <si>
    <t>A_rough, Lx, Ly</t>
  </si>
  <si>
    <t>Creates smaller-scale wiggles in topography-adjusted range/depth.</t>
  </si>
  <si>
    <t>Trough/fracture</t>
  </si>
  <si>
    <t>h_trough = -D_trough*EXP(-((y-trough_y0)^2)/(2*trough_sigma_y^2))*EXP(-((x-trough_x0)^2)/(2*trough_sigma_x^2))</t>
  </si>
  <si>
    <t>A long negative-height trough or fracture-like feature.</t>
  </si>
  <si>
    <t>D_trough, trough_x0, trough_y0, trough_sigma_y, trough_sigma_x</t>
  </si>
  <si>
    <t>Can create a localized deeper apparent-depth shift.</t>
  </si>
  <si>
    <t>Total surface height</t>
  </si>
  <si>
    <t>h_total(x,y) = topography_factor*(h_project + h_ridge + h_crater + h_chaos + h_rough + h_trough + h_seeded)</t>
  </si>
  <si>
    <t>The combined representative terrain surface used by the model.</t>
  </si>
  <si>
    <t>All topography and seed controls</t>
  </si>
  <si>
    <t>This is the terrain height used in the range equations.</t>
  </si>
  <si>
    <t>Nadir topographic height</t>
  </si>
  <si>
    <t>h_nadir = h_total(x, 0)</t>
  </si>
  <si>
    <t>Surface height directly below the spacecraft path.</t>
  </si>
  <si>
    <t>x plus all topography controls</t>
  </si>
  <si>
    <t>Changes the reference/nadir range.</t>
  </si>
  <si>
    <t>Target topographic height</t>
  </si>
  <si>
    <t>h_target = h_total(x, y)</t>
  </si>
  <si>
    <t>Surface height at the side-offset target path.</t>
  </si>
  <si>
    <t>x, y plus all topography controls</t>
  </si>
  <si>
    <t>Changes the off-nadir slant range.</t>
  </si>
  <si>
    <t>Topographic nadir range</t>
  </si>
  <si>
    <t>R_nadir_topo = z(x) - h_nadir/1000</t>
  </si>
  <si>
    <t>Distance from spacecraft to the raised/lowered nadir surface.</t>
  </si>
  <si>
    <t>z(x), h_nadir</t>
  </si>
  <si>
    <t>Raised nadir terrain shortens the reference range.</t>
  </si>
  <si>
    <t>Topographic off-nadir range</t>
  </si>
  <si>
    <t>theta = SQRT(x^2+y^2)/R_e; R_off_topo = SQRT((R_e+z)^2+(R_e+h_target/1000)^2-2*(R_e+z)*(R_e+h_target/1000)*COS(theta))</t>
  </si>
  <si>
    <t>Curvature-corrected slant range to the side-offset target after terrain height is included.</t>
  </si>
  <si>
    <t>x, y, z(x), h_target, R_e</t>
  </si>
  <si>
    <t>Raised target terrain changes the spherical slant range.</t>
  </si>
  <si>
    <t>Topographic apparent depth</t>
  </si>
  <si>
    <t>d_app_topo = (R_off_topo - R_nadir_topo)*1000/n</t>
  </si>
  <si>
    <t>The apparent depth after topography changes both reference and target ranges.</t>
  </si>
  <si>
    <t>R_off_topo, R_nadir_topo, n</t>
  </si>
  <si>
    <t>This is the main output compared against flat apparent depth.</t>
  </si>
  <si>
    <t>Topography depth difference</t>
  </si>
  <si>
    <t>depth_change = d_app_topo - d_app_flat</t>
  </si>
  <si>
    <t>How much terrain changes the apparent-depth result.</t>
  </si>
  <si>
    <t>d_app_topo, d_app_flat</t>
  </si>
  <si>
    <t>Negative means topography makes the echo appear shallower; positive means deeper.</t>
  </si>
  <si>
    <t>Workbook Checks</t>
  </si>
  <si>
    <t>Check</t>
  </si>
  <si>
    <t>x_min &lt; x_max</t>
  </si>
  <si>
    <t>Inputs!C7 must be less than Inputs!C8</t>
  </si>
  <si>
    <t>z0 positive</t>
  </si>
  <si>
    <t>Closest altitude must be positive</t>
  </si>
  <si>
    <t>x_edge positive</t>
  </si>
  <si>
    <t>Parabola edge must be positive</t>
  </si>
  <si>
    <t>ice refractive index positive</t>
  </si>
  <si>
    <t>n must be positive</t>
  </si>
  <si>
    <t>wavelengths positive</t>
  </si>
  <si>
    <t>HF and VHF wavelengths must be positive</t>
  </si>
  <si>
    <t>baseline positive</t>
  </si>
  <si>
    <t>Interferometry baseline must be positive</t>
  </si>
  <si>
    <t>topography toggle valid</t>
  </si>
  <si>
    <t>Inputs!C27 must be TRUE or FALSE</t>
  </si>
  <si>
    <t>topography widths positive</t>
  </si>
  <si>
    <t>Terrain sigma/width/wavelength values must be positive</t>
  </si>
  <si>
    <t>terrain uncertainty nonnegative</t>
  </si>
  <si>
    <t>Representative vertical uncertainty should be &gt;= 0</t>
  </si>
  <si>
    <t>seeded terrain scales positive</t>
  </si>
  <si>
    <t>Seeded random terrain scales must be positive</t>
  </si>
  <si>
    <t>seeded random amplitude nonnegative</t>
  </si>
  <si>
    <t>Seeded random terrain amplitude should be &gt;= 0</t>
  </si>
  <si>
    <t>project DEM scale nonnegative</t>
  </si>
  <si>
    <t>Existing DEM-style scale should be &gt;= 0</t>
  </si>
  <si>
    <t>Europa radius positive</t>
  </si>
  <si>
    <t>Europa radius must be positive for spherical geometry</t>
  </si>
  <si>
    <t>scenario toggles valid</t>
  </si>
  <si>
    <t>Inputs!F6:F9 must be TRUE or FALSE</t>
  </si>
  <si>
    <t>scenario lengths positive</t>
  </si>
  <si>
    <t>Each scenario must have x_min &lt; x_max and x_edge &gt; 0</t>
  </si>
  <si>
    <t>PRF high vs simple PRF floor</t>
  </si>
  <si>
    <t>PRF_3 should exceed Dashboard topo minimum PRF for the default check</t>
  </si>
  <si>
    <t>model rows available</t>
  </si>
  <si>
    <t>Model_Data contains 241 plotted positions</t>
  </si>
  <si>
    <t>chart off-nadir surface link</t>
  </si>
  <si>
    <t>Chart_Data off-nadir surface line must reference Model_Data h_target</t>
  </si>
  <si>
    <t>chart nadir surface link</t>
  </si>
  <si>
    <t>Chart_Data nadir surface line must reference Model_Data h_nadir</t>
  </si>
  <si>
    <t>chart apparent-height conversion</t>
  </si>
  <si>
    <t>Chart apparent surface height must equal -n*(topo depth - flat depth)</t>
  </si>
  <si>
    <t>Chart/graph communication checks</t>
  </si>
  <si>
    <t>Baseline legends</t>
  </si>
  <si>
    <t>OK</t>
  </si>
  <si>
    <t>Reference floor and zero-depth baselines are renamed/styled as neutral references, not scenario outputs.</t>
  </si>
  <si>
    <t>Graph explanations</t>
  </si>
  <si>
    <t>Dashboard rows 65-71 and Graph_Guide explain every chart and its source range.</t>
  </si>
  <si>
    <t>Graph Guide and Formula Audit</t>
  </si>
  <si>
    <t>Grey baseline lines are references only. For the motion-only chart, flat ground means terrain height is zero; the curved blue line is the radar reading caused by the satellite's parabolic path and changing slant range, not a curved ground surface.</t>
  </si>
  <si>
    <t>Source range</t>
  </si>
  <si>
    <t>Formula basis</t>
  </si>
  <si>
    <t>Audit status</t>
  </si>
  <si>
    <t>Apparent Depth: Motion vs Topography</t>
  </si>
  <si>
    <t>Compares the zero-depth nadir reference, a constant-altitude off-nadir reading, the parabolic flat-surface reading, and the parabolic topography-adjusted reading across x.</t>
  </si>
  <si>
    <t>Separates spacecraft motion effects from terrain effects in the radar apparent-depth output.</t>
  </si>
  <si>
    <t>The grey zero-depth line is just the nadir reference. It is not a floor/topography result.</t>
  </si>
  <si>
    <t>Chart_Data!A:E</t>
  </si>
  <si>
    <t>apparent_depth = (R_off - R_nadir)*1000/n; topo version uses h_nadir and h_target.</t>
  </si>
  <si>
    <t>Linked to Checks!B21:B23</t>
  </si>
  <si>
    <t>Surface Height: Generated Reference Floor, Target, and Nadir</t>
  </si>
  <si>
    <t>Plots the generated topography used as the reference floor, the side-looking target path, and the terrain directly below the spacecraft.</t>
  </si>
  <si>
    <t>Shows the terrain terms that feed the topography-adjusted range equations; the satellite travel path in this model is curved/parabolic, not flat.</t>
  </si>
  <si>
    <t>The grey reference floor now follows the generated off-nadir topography instead of a 0 m flat floor. Orange/green remain the target and nadir terrain profiles.</t>
  </si>
  <si>
    <t>Chart_Data!G:J</t>
  </si>
  <si>
    <t>h_total(x,y) = h_project + ridge + crater + chaos + roughness + trough + seeded terrain.</t>
  </si>
  <si>
    <t>Inputs validated in Checks!B10:B16</t>
  </si>
  <si>
    <t>Doppler: Flat Geometry vs Topography</t>
  </si>
  <si>
    <t>Compares VHF/HF Doppler shifts with flat geometry and with topography-adjusted geometry.</t>
  </si>
  <si>
    <t>Shows the PRF pressure caused by maximum modeled range-rate magnitude.</t>
  </si>
  <si>
    <t>Zero Hz is the sign-change reference around closest approach.</t>
  </si>
  <si>
    <t>Chart_Data!P:T</t>
  </si>
  <si>
    <t>doppler = -2*range_rate/lambda; range_rate is from adjacent slant-range samples.</t>
  </si>
  <si>
    <t>PRF check in Checks!B19</t>
  </si>
  <si>
    <t>Flat Ground Reading: Constant vs Parabolic Satellite Path</t>
  </si>
  <si>
    <t>This is not a ground-height chart. It calculates the apparent radar depth/readout to flat ground while changing only the satellite path geometry.</t>
  </si>
  <si>
    <t>Shows that a flat surface can still produce a curved radar reading because the satellite altitude and off-nadir slant range change along track.</t>
  </si>
  <si>
    <t>The grey zero-depth line is only the nadir reference. The blue curve is flat ground plus parabolic satellite motion, not a parabolic ground surface.</t>
  </si>
  <si>
    <t>Chart_Data!Y:AB</t>
  </si>
  <si>
    <t>Ground height is held at h=0. The reading is (R_off - R_nadir)*1000/n; blue uses z(x)=z0+Delta_z_edge*(x/x_edge)^2.</t>
  </si>
  <si>
    <t>Core inputs validated in Checks!B4:B9</t>
  </si>
  <si>
    <t>Scenario Off-Nadir Surface Height</t>
  </si>
  <si>
    <t>Plots the expected off-nadir surface height for each checked pass case on a normalized pass axis.</t>
  </si>
  <si>
    <t>Shows how the same terrain model is sampled under each scenario overlay.</t>
  </si>
  <si>
    <t>The grey reference floor is 0 m, not a selected scenario.</t>
  </si>
  <si>
    <t>Scenario_Data!AQ:AV</t>
  </si>
  <si>
    <t>Uses scenario x mapping plus h_total(x,y), gated by Inputs!F6:F9 and Inputs!C27.</t>
  </si>
  <si>
    <t>Scenario checks in Checks!B17:B18</t>
  </si>
  <si>
    <t>Scenario Apparent-Depth Outcomes</t>
  </si>
  <si>
    <t>Compares apparent-depth outcomes for the checked custom and paper-derived pass cases.</t>
  </si>
  <si>
    <t>Shows why long, low-altitude passes can dominate apparent-depth scale.</t>
  </si>
  <si>
    <t>The grey zero-depth reference is not a model run.</t>
  </si>
  <si>
    <t>Scenario_Data!BE:BJ</t>
  </si>
  <si>
    <t>Scenario apparent_depth = (R_off - R_nadir)*1000/n using each scenario z(x).</t>
  </si>
  <si>
    <t>Scenario Altitude Profiles</t>
  </si>
  <si>
    <t>Plots altitude versus normalized pass position for the checked custom and paper-derived pass cases.</t>
  </si>
  <si>
    <t>Shows the parabolic path assumptions used to convert the paper constraints into comparable runs.</t>
  </si>
  <si>
    <t>The grey surface floor is 0 km and is not a spacecraft trajectory.</t>
  </si>
  <si>
    <t>Scenario_Data!AX:BC</t>
  </si>
  <si>
    <t>z(x) = z0 + Delta_z_edge*(x/x_edge)^2.</t>
  </si>
  <si>
    <t>Formula Audit Summary</t>
  </si>
  <si>
    <t>Audit item</t>
  </si>
  <si>
    <t>Live result</t>
  </si>
  <si>
    <t>Formula / source</t>
  </si>
  <si>
    <t>Workbook checks</t>
  </si>
  <si>
    <t>=IF(COUNTIF(Checks!B4:B23,"OK")=ROWS(Checks!B4:B23),"OK","Review Checks")</t>
  </si>
  <si>
    <t>Confirms input bounds, chart helper links, and apparent-height conversion checks.</t>
  </si>
  <si>
    <t>=Dashboard!B7</t>
  </si>
  <si>
    <t>Expected flat-surface radar apparent depth before topography is applied.</t>
  </si>
  <si>
    <t>Topography-adjusted apparent depth at mid-pass</t>
  </si>
  <si>
    <t>=Dashboard!B8</t>
  </si>
  <si>
    <t>Same geometry after terrain height changes the nadir and target ranges.</t>
  </si>
  <si>
    <t>=Dashboard!B9</t>
  </si>
  <si>
    <t>Topo apparent depth minus flat apparent depth; negative means the echo appears shallower.</t>
  </si>
  <si>
    <t>=Dashboard!B16</t>
  </si>
  <si>
    <t>Twice max absolute topography-adjusted VHF Doppler.</t>
  </si>
  <si>
    <t>Chart baseline treatment</t>
  </si>
  <si>
    <t>Baselines renamed and styled neutral grey.</t>
  </si>
  <si>
    <t>Prevents reference floors from reading like orange model output lines.</t>
  </si>
  <si>
    <t>Subsurface Dashboard Graphs</t>
  </si>
  <si>
    <t>Subsurface Truth Model: Icy Layers</t>
  </si>
  <si>
    <t>Icy topography plus shallow ice, lens, and possible ocean boundary elevations.</t>
  </si>
  <si>
    <t>Shows the hidden simulated structure before radar distortion.</t>
  </si>
  <si>
    <t>Surface/topography is icy terrain, not rock.</t>
  </si>
  <si>
    <t>Subsurface_Live_Data!A:L</t>
  </si>
  <si>
    <t>Depth formulas from Subsurface_Inputs.</t>
  </si>
  <si>
    <t>See Subsurface_Checks</t>
  </si>
  <si>
    <t>Subsurface Radar Delay</t>
  </si>
  <si>
    <t>Two-way delay after the surface return for each modeled layer.</t>
  </si>
  <si>
    <t>Shows when each reflector would appear in a radargram.</t>
  </si>
  <si>
    <t>0 us means the surface return; larger delay means deeper ice.</t>
  </si>
  <si>
    <t>Subsurface_Live_Data!A:M:O</t>
  </si>
  <si>
    <t>Estimated Subsurface Echo Strength</t>
  </si>
  <si>
    <t>Relative echo strength for shallow ice, lens, and possible ocean boundary.</t>
  </si>
  <si>
    <t>Shows which returns may be easiest or hardest to detect.</t>
  </si>
  <si>
    <t>Higher / less negative dB is stronger.</t>
  </si>
  <si>
    <t>Subsurface_Live_Data!A:P:R</t>
  </si>
  <si>
    <t>base contrast - attenuation - roughness penalty</t>
  </si>
  <si>
    <t>Possible Warm/Briny Lens Strength</t>
  </si>
  <si>
    <t>Strength of possible local internal lens contrast.</t>
  </si>
  <si>
    <t>Highlights where internal ice may produce a distinct reflector.</t>
  </si>
  <si>
    <t>0 means absent/weak; 1 means strongest modeled contrast.</t>
  </si>
  <si>
    <t>Subsurface_Live_Data!A:H</t>
  </si>
  <si>
    <t>Gaussian lens strength fields.</t>
  </si>
  <si>
    <t>Detectability Margin vs Threshold</t>
  </si>
  <si>
    <t>Shows whether lens/ocean echoes clear a simple detection threshold.</t>
  </si>
  <si>
    <t>Useful for judging whether the simulated bottom layer would be visible.</t>
  </si>
  <si>
    <t>0 dB is the threshold line.</t>
  </si>
  <si>
    <t>Subsurface_Live_Data!A:X:Y:AA</t>
  </si>
  <si>
    <t>margin = echo - threshold</t>
  </si>
  <si>
    <t>Ice Shell Thickness Along Track</t>
  </si>
  <si>
    <t>Shows possible ice-ocean boundary depth as thickness.</t>
  </si>
  <si>
    <t>Useful because the mission question is about what is below the icy surface.</t>
  </si>
  <si>
    <t>No baseline; line is synthetic proposed thickness.</t>
  </si>
  <si>
    <t>Subsurface_Live_Data!A:K</t>
  </si>
  <si>
    <t>ocean_depth formula from Subsurface_Inputs</t>
  </si>
  <si>
    <t>Scenario Comparison: Thin / Medium / Thick Ice</t>
  </si>
  <si>
    <t>Compares possible ice shell thickness cases.</t>
  </si>
  <si>
    <t>Shows whether conclusions depend on one chosen depth.</t>
  </si>
  <si>
    <t>Medium is the live model; thin/thick are scenario multipliers.</t>
  </si>
  <si>
    <t>Subsurface_Scenario_Data!A:E:G</t>
  </si>
  <si>
    <t>scenario_depth = mean_depth*multiplier</t>
  </si>
  <si>
    <t>Live from Subsurface_Inputs</t>
  </si>
  <si>
    <t>Boundary Uncertainty Band</t>
  </si>
  <si>
    <t>Shows lower/mean/upper possible bottom reflector depths.</t>
  </si>
  <si>
    <t>Avoids pretending the boundary is exactly known.</t>
  </si>
  <si>
    <t>Mean is the live model.</t>
  </si>
  <si>
    <t>Subsurface_Scenario_Data!A:B:D</t>
  </si>
  <si>
    <t>mean +/- uncertainty</t>
  </si>
  <si>
    <t>Ocean Model vs No-Ocean Control</t>
  </si>
  <si>
    <t>Compares deep-reflector detectability against a no-ocean control.</t>
  </si>
  <si>
    <t>A proposed ocean model should separate from the control.</t>
  </si>
  <si>
    <t>0 dB is threshold.</t>
  </si>
  <si>
    <t>Subsurface_Scenario_Data!A:H:J</t>
  </si>
  <si>
    <t>Radargram-Style Return Timing With Clutter</t>
  </si>
  <si>
    <t>Shows surface clutter, shallow return, lens return, and deep return timing.</t>
  </si>
  <si>
    <t>Closer to what radar interpretation feels like than clean depth lines.</t>
  </si>
  <si>
    <t>Delay is after surface return.</t>
  </si>
  <si>
    <t>Subsurface_Radargram_Data!A:F</t>
  </si>
  <si>
    <t>layer delay + jitter</t>
  </si>
  <si>
    <t>Reflection Strength by Material / Interface</t>
  </si>
  <si>
    <t>Compares relative reflector strength of likely ice/ocean materials.</t>
  </si>
  <si>
    <t>Material contrast matters as much as shape.</t>
  </si>
  <si>
    <t>Subsurface_Materials_Evidence!A:B</t>
  </si>
  <si>
    <t>lookup assumptions</t>
  </si>
  <si>
    <t>Editable through table if needed</t>
  </si>
  <si>
    <t>Cross-Instrument Evidence Score</t>
  </si>
  <si>
    <t>Radar, thermal, composition, and magnetic/plasma support inputs.</t>
  </si>
  <si>
    <t>Makes the model more realistic by not relying on radar alone.</t>
  </si>
  <si>
    <t>weighted evidence score</t>
  </si>
  <si>
    <t>Terrain x (km)</t>
  </si>
  <si>
    <t>Total radar elevation error (m)</t>
  </si>
  <si>
    <t>Surface x (km)</t>
  </si>
  <si>
    <t>Reference floor = generated topography (m)</t>
  </si>
  <si>
    <t>Off-nadir target terrain (m)</t>
  </si>
  <si>
    <t>Nadir terrain (m)</t>
  </si>
  <si>
    <t>Normalized pass position</t>
  </si>
  <si>
    <t>Custom parabolic, 400 km height, 120-km pass</t>
  </si>
  <si>
    <t>Paper parabolic low-altitude, 35 km height, 800-km pass</t>
  </si>
  <si>
    <t>Paper parabolic ice-ocean, 35 km height, 1600-km pass</t>
  </si>
  <si>
    <t>Operating parabolic, 25 km height, 1600-km pass</t>
  </si>
  <si>
    <t>Nadir no-topo x - Custom parabolic, 400 km height, 120-km pass</t>
  </si>
  <si>
    <t>Nadir no-topo delay us - Custom parabolic, 400 km height, 120-km pass</t>
  </si>
  <si>
    <t>Nadir no-topo x - Paper parabolic low-altitude, 35 km height, 800-km pass</t>
  </si>
  <si>
    <t>Nadir no-topo delay us - Paper parabolic low-altitude, 35 km height, 800-km pass</t>
  </si>
  <si>
    <t>Nadir no-topo x - Paper parabolic ice-ocean, 35 km height, 1600-km pass</t>
  </si>
  <si>
    <t>Nadir no-topo delay us - Paper parabolic ice-ocean, 35 km height, 1600-km pass</t>
  </si>
  <si>
    <t>Nadir no-topo x - Operating parabolic, 25 km height, 1600-km pass</t>
  </si>
  <si>
    <t>Nadir no-topo delay us - Operating parabolic, 25 km height, 1600-km pass</t>
  </si>
  <si>
    <t>Nadir topo x - Custom parabolic, 400 km height, 120-km pass</t>
  </si>
  <si>
    <t>Nadir topo delay us - Custom parabolic, 400 km height, 120-km pass</t>
  </si>
  <si>
    <t>Nadir topo x - Paper parabolic low-altitude, 35 km height, 800-km pass</t>
  </si>
  <si>
    <t>Nadir topo delay us - Paper parabolic low-altitude, 35 km height, 800-km pass</t>
  </si>
  <si>
    <t>Nadir topo x - Paper parabolic ice-ocean, 35 km height, 1600-km pass</t>
  </si>
  <si>
    <t>Nadir topo delay us - Paper parabolic ice-ocean, 35 km height, 1600-km pass</t>
  </si>
  <si>
    <t>Nadir topo x - Operating parabolic, 25 km height, 1600-km pass</t>
  </si>
  <si>
    <t>Nadir topo delay us - Operating parabolic, 25 km height, 1600-km pass</t>
  </si>
  <si>
    <t>Off-nadir no-topo x - Custom parabolic, 400 km height, 120-km pass</t>
  </si>
  <si>
    <t>Off-nadir no-topo delay us - Custom parabolic, 400 km height, 120-km pass</t>
  </si>
  <si>
    <t>Off-nadir no-topo x - Paper parabolic low-altitude, 35 km height, 800-km pass</t>
  </si>
  <si>
    <t>Off-nadir no-topo delay us - Paper parabolic low-altitude, 35 km height, 800-km pass</t>
  </si>
  <si>
    <t>Off-nadir no-topo x - Paper parabolic ice-ocean, 35 km height, 1600-km pass</t>
  </si>
  <si>
    <t>Off-nadir no-topo delay us - Paper parabolic ice-ocean, 35 km height, 1600-km pass</t>
  </si>
  <si>
    <t>Off-nadir no-topo x - Operating parabolic, 25 km height, 1600-km pass</t>
  </si>
  <si>
    <t>Off-nadir no-topo delay us - Operating parabolic, 25 km height, 1600-km pass</t>
  </si>
  <si>
    <t>Off-nadir topo x - Custom parabolic, 400 km height, 120-km pass</t>
  </si>
  <si>
    <t>Off-nadir topo delay us - Custom parabolic, 400 km height, 120-km pass</t>
  </si>
  <si>
    <t>Off-nadir topo x - Paper parabolic low-altitude, 35 km height, 800-km pass</t>
  </si>
  <si>
    <t>Off-nadir topo delay us - Paper parabolic low-altitude, 35 km height, 800-km pass</t>
  </si>
  <si>
    <t>Off-nadir topo x - Paper parabolic ice-ocean, 35 km height, 1600-km pass</t>
  </si>
  <si>
    <t>Off-nadir topo delay us - Paper parabolic ice-ocean, 35 km height, 1600-km pass</t>
  </si>
  <si>
    <t>Off-nadir topo x - Operating parabolic, 25 km height, 1600-km pass</t>
  </si>
  <si>
    <t>Off-nadir topo delay us - Operating parabolic, 25 km height, 1600-km pass</t>
  </si>
  <si>
    <t>Surface Height: Generated Topography Reference Floor, Target, and Nadir</t>
  </si>
  <si>
    <t>Reference floor = generated topography x</t>
  </si>
  <si>
    <t>Reference floor = generated topography</t>
  </si>
  <si>
    <t>Off-nadir target terrain x</t>
  </si>
  <si>
    <t>Off-nadir target terrain</t>
  </si>
  <si>
    <t>Nadir terrain x</t>
  </si>
  <si>
    <t>Nadir terrain</t>
  </si>
  <si>
    <t>Apparent Depth: Spacecraft Motion Distortion by Run</t>
  </si>
  <si>
    <t>Custom 400 km / 120 km pass x</t>
  </si>
  <si>
    <t>Custom 400 km / 120 km pass</t>
  </si>
  <si>
    <t>Paper low-altitude 35 km / 800 km pass x</t>
  </si>
  <si>
    <t>Paper low-altitude 35 km / 800 km pass</t>
  </si>
  <si>
    <t>Paper ice-ocean 35 km / 1600 km pass x</t>
  </si>
  <si>
    <t>Paper ice-ocean 35 km / 1600 km pass</t>
  </si>
  <si>
    <t>Operating 25 km / 1600 km pass x</t>
  </si>
  <si>
    <t>Operating 25 km / 1600 km pass</t>
  </si>
  <si>
    <t>Terrain Baseline: Total Radar Elevation Error</t>
  </si>
  <si>
    <t>Total radar elevation error - custom parabolic x</t>
  </si>
  <si>
    <t>Total radar elevation error - custom parabolic</t>
  </si>
  <si>
    <t>Flat VHF Doppler (Hz) x</t>
  </si>
  <si>
    <t>Flat VHF Doppler (Hz)</t>
  </si>
  <si>
    <t>Topo VHF Doppler (Hz) x</t>
  </si>
  <si>
    <t>Topo VHF Doppler (Hz)</t>
  </si>
  <si>
    <t>Flat HF Doppler (Hz) x</t>
  </si>
  <si>
    <t>Flat HF Doppler (Hz)</t>
  </si>
  <si>
    <t>Topo HF Doppler (Hz) x</t>
  </si>
  <si>
    <t>Topo HF Doppler (Hz)</t>
  </si>
  <si>
    <t>Nadir Radar Delay by Flyby: Without Topography</t>
  </si>
  <si>
    <t>Nadir Radar Delay by Flyby: With Generated Topography</t>
  </si>
  <si>
    <t>Off-Nadir Radar Delay by Flyby: Without Topography</t>
  </si>
  <si>
    <t>Off-Nadir Radar Delay by Flyby: With Generated Topography</t>
  </si>
  <si>
    <t>Subsurface Formula Checks</t>
  </si>
  <si>
    <t>Upper layer above lens</t>
  </si>
  <si>
    <t>Lens should be deeper than shallow internal ice.</t>
  </si>
  <si>
    <t>Ocean deeper than lens</t>
  </si>
  <si>
    <t>Possible ocean boundary should be deepest reflector.</t>
  </si>
  <si>
    <t>Positive depths</t>
  </si>
  <si>
    <t>Depths should not go negative.</t>
  </si>
  <si>
    <t>Lens strength in range</t>
  </si>
  <si>
    <t>Lens strength is intended as 0 to 1.</t>
  </si>
  <si>
    <t>Echo values finite</t>
  </si>
  <si>
    <t>Echo estimate columns should remain numeric.</t>
  </si>
  <si>
    <t>Workbook warning</t>
  </si>
  <si>
    <t>Synthetic data for model testing; not measured Europa data.</t>
  </si>
  <si>
    <t>Keeps the interpretation honest.</t>
  </si>
  <si>
    <t>Detection threshold numeric</t>
  </si>
  <si>
    <t>Detection threshold should be a numeric dB value.</t>
  </si>
  <si>
    <t>Detectability margins finite</t>
  </si>
  <si>
    <t>Lens/ocean margins should stay numeric.</t>
  </si>
  <si>
    <t>Boundary uncertainty numeric</t>
  </si>
  <si>
    <t>Uncertainty band should be numeric.</t>
  </si>
  <si>
    <t>Evidence weights positive</t>
  </si>
  <si>
    <t>Evidence score needs positive weights.</t>
  </si>
  <si>
    <t>Scenario data present</t>
  </si>
  <si>
    <t>Scenario comparison should remain numeric.</t>
  </si>
  <si>
    <t>Radargram data present</t>
  </si>
  <si>
    <t>Radargram timing helper should remain numeric.</t>
  </si>
  <si>
    <t>Subsurface Simulation Formulas</t>
  </si>
  <si>
    <t>These formulas drive the live subsurface data and dashboard charts.</t>
  </si>
  <si>
    <t>surface_height = Model_Data!h_target</t>
  </si>
  <si>
    <t>Uses the existing generated icy topography as the surface.</t>
  </si>
  <si>
    <t>Model_Data, topography controls</t>
  </si>
  <si>
    <t>upper_depth = mean + A1*sin(2*pi*(x+phase)/L1) + A2*cos(2*pi*x/L2) + coupling*(surface-avg_surface)</t>
  </si>
  <si>
    <t>Synthetic shallow internal ice layer.</t>
  </si>
  <si>
    <t>Subsurface_Inputs shallow ice controls</t>
  </si>
  <si>
    <t>lens_strength = MIN(1, MAX(0, lensA*gaussianA + lensB*gaussianB))</t>
  </si>
  <si>
    <t>Where a possible warm/briny lens is strongest.</t>
  </si>
  <si>
    <t>lens_depth = mean + wave_amp*sin(2*pi*(x-phase)/wavelength) - uplift*lens_strength</t>
  </si>
  <si>
    <t>Possible warm/briny ice lens depth.</t>
  </si>
  <si>
    <t>ocean_depth = nominal + A*sin(2*pi*(x+phase)/L) + B*cos(2*pi*(x-phase)/L2) - coupling*(surface-avg_surface)</t>
  </si>
  <si>
    <t>ice-ocean controls</t>
  </si>
  <si>
    <t>elevation = surface_height - depth</t>
  </si>
  <si>
    <t>Converts depth below surface to elevation profile.</t>
  </si>
  <si>
    <t>surface and layer depth</t>
  </si>
  <si>
    <t>layer elevation</t>
  </si>
  <si>
    <t>Two-way radar delay after the surface return.</t>
  </si>
  <si>
    <t>layer delays</t>
  </si>
  <si>
    <t>upper_echo = base - 2*attenuation*(depth_km)</t>
  </si>
  <si>
    <t>Simple shallow layer echo estimate.</t>
  </si>
  <si>
    <t>base echo, attenuation, depth</t>
  </si>
  <si>
    <t>upper echo dB</t>
  </si>
  <si>
    <t>lens_echo = base + bonus*lens_strength - 2*attenuation*(depth_km)</t>
  </si>
  <si>
    <t>Lens echo gets stronger where lens contrast is stronger.</t>
  </si>
  <si>
    <t>lens strength and attenuation</t>
  </si>
  <si>
    <t>lens echo dB</t>
  </si>
  <si>
    <t>ocean_echo = base - 2*attenuation*(depth_km) - roughness_penalty*ABS(boundary - avg_boundary)</t>
  </si>
  <si>
    <t>Deep reflector echo with attenuation and roughness penalty.</t>
  </si>
  <si>
    <t>ocean inputs and boundary elevation</t>
  </si>
  <si>
    <t>ocean echo dB</t>
  </si>
  <si>
    <t>Positive values are easier-to-see simulated returns.</t>
  </si>
  <si>
    <t>Subsurface_Inputs C43 and echo formulas</t>
  </si>
  <si>
    <t>lens/ocean echo margin</t>
  </si>
  <si>
    <t>realism score</t>
  </si>
  <si>
    <t>A judgment estimate: useful for communication, not a scientific proof.</t>
  </si>
  <si>
    <t>model assumptions and missing real constraints</t>
  </si>
  <si>
    <t>dashboard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</si>
</sst>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font>
      <sz val="11"/>
      <name val="Carlito"/>
    </font>
    <font>
      <b/>
      <sz val="16"/>
      <color rgb="FFFFFFFF"/>
      <name val="Calibri"/>
    </font>
    <font>
      <i/>
      <sz val="10"/>
      <color rgb="FF344054"/>
      <name val="Calibri"/>
    </font>
    <font>
      <sz val="10"/>
      <color rgb="FF344054"/>
      <name val="Calibri"/>
    </font>
    <font>
      <b/>
      <sz val="10"/>
      <color rgb="FF0B2545"/>
      <name val="Calibri"/>
    </font>
    <font>
      <b/>
      <sz val="12"/>
      <color rgb="FF0B2545"/>
      <name val="Calibri"/>
    </font>
    <font>
      <sz val="10"/>
      <color rgb="FF0B2545"/>
      <name val="Calibri"/>
    </font>
    <font>
      <sz val="9"/>
      <color rgb="FF0B2545"/>
      <name val="Consolas"/>
    </font>
    <font>
      <b/>
      <sz val="11"/>
      <color rgb="FFFFFFFF"/>
      <name val="Carlito"/>
    </font>
    <font>
      <b/>
      <sz val="11"/>
      <color rgb="FF0B1F3A"/>
      <name val="Carlito"/>
    </font>
    <font>
      <sz val="11"/>
      <color rgb="FF203040"/>
      <name val="Carlito"/>
    </font>
    <font>
      <b/>
      <sz val="11"/>
      <color rgb="FF203040"/>
      <name val="Aptos"/>
    </font>
    <font>
      <i/>
      <sz val="11"/>
      <color rgb="FF203040"/>
      <name val="Aptos"/>
    </font>
    <font>
      <sz val="11"/>
      <color rgb="FF203040"/>
      <name val="Aptos"/>
    </font>
    <font>
      <b/>
      <sz val="11"/>
      <color rgb="FFFFFFFF"/>
      <name val="Aptos"/>
    </font>
    <font>
      <b/>
      <sz val="11"/>
      <color rgb="FF0B1F3A"/>
      <name val="Aptos"/>
    </font>
    <font>
      <b/>
      <sz val="11"/>
      <color rgb="FFFFFFFF"/>
      <name val="Carlito"/>
    </font>
    <font>
      <b/>
      <sz val="16"/>
      <color rgb="FF1F2937"/>
      <name val="Carlito"/>
    </font>
    <font>
      <sz val="11"/>
      <color rgb="FF526174"/>
      <name val="Carlito"/>
    </font>
    <font>
      <b/>
      <sz val="13"/>
      <color rgb="FF1F2937"/>
      <name val="Carlito"/>
    </font>
    <font>
      <b/>
      <sz val="12"/>
      <color rgb="FF1F2937"/>
      <name val="Carlito"/>
    </font>
  </fonts>
  <fills count="14">
    <fill>
      <patternFill patternType="none"/>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FF1F4E79"/>
      </patternFill>
    </fill>
    <fill>
      <patternFill patternType="solid">
        <fgColor rgb="FFFFF2CC"/>
      </patternFill>
    </fill>
  </fills>
  <borders count="9">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4DAE3"/>
      </left>
      <right style="thin">
        <color rgb="FFD4DAE3"/>
      </right>
      <top style="thin">
        <color rgb="FFD4DAE3"/>
      </top>
      <bottom style="thin">
        <color rgb="FFD4DAE3"/>
      </bottom>
      <diagonal/>
    </border>
  </borders>
  <cellStyleXfs count="1">
    <xf numFmtId="0" fontId="0" fillId="0" borderId="0"/>
  </cellStyleXfs>
  <cellXfs count="51">
    <xf numFmtId="0" fontId="0" fillId="0" borderId="0" xfId="0"/>
    <xf numFmtId="0" fontId="3" fillId="0" borderId="1" xfId="0" applyFont="1" applyBorder="1" applyAlignment="1">
      <alignment vertical="center" wrapText="1"/>
    </xf>
    <xf numFmtId="0" fontId="4" fillId="3" borderId="1" xfId="0" applyFont="1" applyFill="1" applyBorder="1" applyAlignment="1">
      <alignment horizontal="center" vertical="center" wrapText="1"/>
    </xf>
    <xf numFmtId="2" fontId="4" fillId="4"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center" wrapText="1"/>
    </xf>
    <xf numFmtId="0" fontId="3" fillId="5" borderId="2" xfId="0" applyFont="1" applyFill="1" applyBorder="1" applyAlignment="1">
      <alignment wrapText="1"/>
    </xf>
    <xf numFmtId="0" fontId="4" fillId="6" borderId="1" xfId="0" applyFont="1" applyFill="1" applyBorder="1" applyAlignment="1">
      <alignment horizontal="center" vertical="center" wrapText="1"/>
    </xf>
    <xf numFmtId="2" fontId="6" fillId="6" borderId="1" xfId="0" applyNumberFormat="1" applyFont="1" applyFill="1" applyBorder="1" applyAlignment="1">
      <alignment horizontal="right" vertical="center" wrapText="1"/>
    </xf>
    <xf numFmtId="0" fontId="4" fillId="4" borderId="1" xfId="0" applyFont="1" applyFill="1" applyBorder="1" applyAlignment="1">
      <alignment horizontal="center" vertical="center" wrapText="1"/>
    </xf>
    <xf numFmtId="164" fontId="3" fillId="0" borderId="1" xfId="0" applyNumberFormat="1" applyFont="1" applyBorder="1" applyAlignment="1">
      <alignment vertical="center" wrapText="1"/>
    </xf>
    <xf numFmtId="164" fontId="0" fillId="0" borderId="0" xfId="0" applyNumberFormat="1"/>
    <xf numFmtId="164" fontId="4" fillId="6" borderId="1" xfId="0" applyNumberFormat="1" applyFont="1" applyFill="1" applyBorder="1" applyAlignment="1">
      <alignment horizontal="right" vertical="center" wrapText="1"/>
    </xf>
    <xf numFmtId="0" fontId="7" fillId="0" borderId="1" xfId="0" applyFont="1" applyBorder="1" applyAlignment="1">
      <alignment vertical="center" wrapText="1"/>
    </xf>
    <xf numFmtId="0" fontId="8" fillId="7" borderId="0" xfId="0" applyFont="1" applyFill="1" applyAlignment="1">
      <alignment horizontal="center" vertical="center" wrapText="1"/>
    </xf>
    <xf numFmtId="0" fontId="9" fillId="8" borderId="5" xfId="0" applyFont="1" applyFill="1" applyBorder="1" applyAlignment="1">
      <alignment horizontal="center" vertical="center" wrapText="1"/>
    </xf>
    <xf numFmtId="0" fontId="10" fillId="0" borderId="5" xfId="0" applyFont="1" applyBorder="1" applyAlignment="1">
      <alignment vertical="top" wrapText="1"/>
    </xf>
    <xf numFmtId="0" fontId="9" fillId="9" borderId="5" xfId="0" applyFont="1" applyFill="1" applyBorder="1" applyAlignment="1">
      <alignment vertical="top" wrapText="1"/>
    </xf>
    <xf numFmtId="0" fontId="13" fillId="0" borderId="0" xfId="0" applyFont="1"/>
    <xf numFmtId="0" fontId="11" fillId="9" borderId="5" xfId="0" applyFont="1" applyFill="1" applyBorder="1" applyAlignment="1">
      <alignment vertical="top" wrapText="1"/>
    </xf>
    <xf numFmtId="0" fontId="13" fillId="0" borderId="5" xfId="0" applyFont="1" applyBorder="1" applyAlignment="1">
      <alignment vertical="top" wrapText="1"/>
    </xf>
    <xf numFmtId="0" fontId="11" fillId="11" borderId="5" xfId="0" applyFont="1" applyFill="1" applyBorder="1" applyAlignment="1">
      <alignment vertical="top" wrapText="1"/>
    </xf>
    <xf numFmtId="164" fontId="11" fillId="11" borderId="5" xfId="0" applyNumberFormat="1" applyFont="1" applyFill="1" applyBorder="1" applyAlignment="1">
      <alignment vertical="top" wrapText="1"/>
    </xf>
    <xf numFmtId="0" fontId="15" fillId="8" borderId="5" xfId="0" applyFont="1" applyFill="1" applyBorder="1" applyAlignment="1">
      <alignment horizontal="center" vertical="center" wrapText="1"/>
    </xf>
    <xf numFmtId="0" fontId="16" fillId="12" borderId="8" xfId="0" applyFont="1" applyFill="1" applyBorder="1" applyAlignment="1">
      <alignment vertical="top" wrapText="1"/>
    </xf>
    <xf numFmtId="164" fontId="0" fillId="0" borderId="8" xfId="0" applyNumberFormat="1" applyBorder="1" applyAlignment="1">
      <alignment vertical="top" wrapText="1"/>
    </xf>
    <xf numFmtId="0" fontId="0" fillId="0" borderId="8" xfId="0" applyBorder="1" applyAlignment="1">
      <alignment vertical="top" wrapText="1"/>
    </xf>
    <xf numFmtId="0" fontId="17" fillId="0" borderId="0" xfId="0" applyFont="1"/>
    <xf numFmtId="0" fontId="18" fillId="0" borderId="0" xfId="0" applyFont="1" applyAlignment="1">
      <alignment vertical="top" wrapText="1"/>
    </xf>
    <xf numFmtId="0" fontId="19" fillId="0" borderId="0" xfId="0" applyFont="1"/>
    <xf numFmtId="0" fontId="0" fillId="13" borderId="8" xfId="0" applyFill="1" applyBorder="1" applyAlignment="1">
      <alignment vertical="top" wrapText="1"/>
    </xf>
    <xf numFmtId="9" fontId="0" fillId="0" borderId="8" xfId="0" applyNumberFormat="1" applyBorder="1" applyAlignment="1">
      <alignment vertical="top" wrapText="1"/>
    </xf>
    <xf numFmtId="0" fontId="16" fillId="12" borderId="0" xfId="0" applyFont="1" applyFill="1" applyAlignment="1">
      <alignment wrapText="1"/>
    </xf>
    <xf numFmtId="0" fontId="10" fillId="0" borderId="5" xfId="0" applyFont="1" applyBorder="1" applyAlignment="1">
      <alignment vertical="top" wrapText="1"/>
    </xf>
    <xf numFmtId="0" fontId="0" fillId="0" borderId="6" xfId="0" applyBorder="1"/>
    <xf numFmtId="0" fontId="0" fillId="0" borderId="7" xfId="0" applyBorder="1"/>
    <xf numFmtId="0" fontId="3" fillId="5" borderId="1" xfId="0" applyFont="1" applyFill="1" applyBorder="1" applyAlignment="1">
      <alignment wrapText="1"/>
    </xf>
    <xf numFmtId="0" fontId="0" fillId="0" borderId="3" xfId="0" applyBorder="1"/>
    <xf numFmtId="0" fontId="0" fillId="0" borderId="4" xfId="0" applyBorder="1"/>
    <xf numFmtId="0" fontId="5" fillId="6" borderId="1" xfId="0" applyFont="1" applyFill="1" applyBorder="1" applyAlignment="1">
      <alignment horizontal="left" vertical="center"/>
    </xf>
    <xf numFmtId="0" fontId="1" fillId="2" borderId="0" xfId="0" applyFont="1" applyFill="1" applyAlignment="1">
      <alignment horizontal="center" vertical="center"/>
    </xf>
    <xf numFmtId="0" fontId="0" fillId="0" borderId="0" xfId="0"/>
    <xf numFmtId="0" fontId="9" fillId="8" borderId="5" xfId="0" applyFont="1" applyFill="1" applyBorder="1" applyAlignment="1">
      <alignment horizontal="center" vertical="center" wrapText="1"/>
    </xf>
    <xf numFmtId="0" fontId="3" fillId="5" borderId="4" xfId="0" applyFont="1" applyFill="1" applyBorder="1" applyAlignment="1">
      <alignment wrapText="1"/>
    </xf>
    <xf numFmtId="0" fontId="8" fillId="7" borderId="0" xfId="0" applyFont="1" applyFill="1" applyAlignment="1">
      <alignment horizontal="center" vertical="center" wrapText="1"/>
    </xf>
    <xf numFmtId="0" fontId="3" fillId="3" borderId="0" xfId="0" applyFont="1" applyFill="1" applyAlignment="1">
      <alignment wrapText="1"/>
    </xf>
    <xf numFmtId="0" fontId="20" fillId="0" borderId="0" xfId="0" applyFont="1"/>
    <xf numFmtId="0" fontId="18" fillId="0" borderId="0" xfId="0" applyFont="1" applyAlignment="1">
      <alignment vertical="top" wrapText="1"/>
    </xf>
    <xf numFmtId="0" fontId="17" fillId="0" borderId="0" xfId="0" applyFont="1"/>
    <xf numFmtId="0" fontId="2" fillId="3" borderId="0" xfId="0" applyFont="1" applyFill="1" applyAlignment="1">
      <alignment wrapText="1"/>
    </xf>
    <xf numFmtId="0" fontId="14" fillId="7" borderId="0" xfId="0" applyFont="1" applyFill="1" applyAlignment="1">
      <alignment horizontal="center" vertical="center" wrapText="1"/>
    </xf>
    <xf numFmtId="0" fontId="12" fillId="10" borderId="5" xfId="0" applyFont="1" applyFill="1" applyBorder="1" applyAlignment="1">
      <alignment wrapText="1"/>
    </xf>
  </cellXfs>
  <cellStyles count="1">
    <cellStyle name="Normal" xfId="0" builtinId="0"/>
  </cellStyles>
  <dxfs count="2">
    <dxf>
      <font>
        <b/>
        <color rgb="FF0B2545"/>
      </font>
      <fill>
        <patternFill>
          <bgColor rgb="FFFCEFD9"/>
        </patternFill>
      </fill>
    </dxf>
    <dxf>
      <font>
        <b/>
        <color rgb="FF0B2545"/>
      </font>
      <fill>
        <patternFill>
          <bgColor rgb="FFDFF4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Surface Height: Generated Topography Reference Floor, Target, and Nadir</a:t>
            </a:r>
          </a:p>
        </c:rich>
      </c:tx>
      <c:overlay val="0"/>
    </c:title>
    <c:autoTitleDeleted val="0"/>
    <c:plotArea>
      <c:layout/>
      <c:scatterChart>
        <c:scatterStyle val="lineMarker"/>
        <c:varyColors val="0"/>
        <c:ser>
          <c:idx val="0"/>
          <c:order val="0"/>
          <c:tx>
            <c:v>Reference floor = generated topography</c:v>
          </c:tx>
          <c:spPr>
            <a:l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ACBE-4631-B4B8-08F945DEE57D}"/>
            </c:ext>
          </c:extLst>
        </c:ser>
        <c:ser>
          <c:idx val="1"/>
          <c:order val="1"/>
          <c:tx>
            <c:v>Off-nadir target terrain</c:v>
          </c:tx>
          <c:spPr>
            <a:ln w="19050">
              <a:solidFill>
                <a:srgbClr val="F97316"/>
              </a:solidFill>
              <a:prstDash val="solid"/>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1-ACBE-4631-B4B8-08F945DEE57D}"/>
            </c:ext>
          </c:extLst>
        </c:ser>
        <c:ser>
          <c:idx val="2"/>
          <c:order val="2"/>
          <c:tx>
            <c:v>Nadir terrain</c:v>
          </c:tx>
          <c:spPr>
            <a:ln w="19050">
              <a:solidFill>
                <a:srgbClr val="16A34A"/>
              </a:solidFill>
              <a:prstDash val="solid"/>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2.7642790376893132</c:v>
                </c:pt>
                <c:pt idx="1">
                  <c:v>19.645117006409471</c:v>
                </c:pt>
                <c:pt idx="2">
                  <c:v>7.9704483537677238</c:v>
                </c:pt>
                <c:pt idx="3">
                  <c:v>21.747313566648423</c:v>
                </c:pt>
                <c:pt idx="4">
                  <c:v>31.866913549015347</c:v>
                </c:pt>
                <c:pt idx="5">
                  <c:v>34.586347487973264</c:v>
                </c:pt>
                <c:pt idx="6">
                  <c:v>55.440883037993757</c:v>
                </c:pt>
                <c:pt idx="7">
                  <c:v>57.325647278919931</c:v>
                </c:pt>
                <c:pt idx="8">
                  <c:v>61.559568351968792</c:v>
                </c:pt>
                <c:pt idx="9">
                  <c:v>38.496582165951239</c:v>
                </c:pt>
                <c:pt idx="10">
                  <c:v>46.511955931760568</c:v>
                </c:pt>
                <c:pt idx="11">
                  <c:v>49.774693415091853</c:v>
                </c:pt>
                <c:pt idx="12">
                  <c:v>37.915684067232107</c:v>
                </c:pt>
                <c:pt idx="13">
                  <c:v>49.305692333608725</c:v>
                </c:pt>
                <c:pt idx="14">
                  <c:v>54.961826683264675</c:v>
                </c:pt>
                <c:pt idx="15">
                  <c:v>41.913539426844665</c:v>
                </c:pt>
                <c:pt idx="16">
                  <c:v>44.009244046504797</c:v>
                </c:pt>
                <c:pt idx="17">
                  <c:v>32.491619283106324</c:v>
                </c:pt>
                <c:pt idx="18">
                  <c:v>39.108816586772562</c:v>
                </c:pt>
                <c:pt idx="19">
                  <c:v>47.995831702209429</c:v>
                </c:pt>
                <c:pt idx="20">
                  <c:v>29.034419664389077</c:v>
                </c:pt>
                <c:pt idx="21">
                  <c:v>51.904617288379008</c:v>
                </c:pt>
                <c:pt idx="22">
                  <c:v>39.643003044215533</c:v>
                </c:pt>
                <c:pt idx="23">
                  <c:v>40.329360187280464</c:v>
                </c:pt>
                <c:pt idx="24">
                  <c:v>55.677054005633387</c:v>
                </c:pt>
                <c:pt idx="25">
                  <c:v>53.974959185609514</c:v>
                </c:pt>
                <c:pt idx="26">
                  <c:v>61.213442747759345</c:v>
                </c:pt>
                <c:pt idx="27">
                  <c:v>57.529820703344001</c:v>
                </c:pt>
                <c:pt idx="28">
                  <c:v>49.539620652832568</c:v>
                </c:pt>
                <c:pt idx="29">
                  <c:v>36.882918508215923</c:v>
                </c:pt>
                <c:pt idx="30">
                  <c:v>46.599178353528217</c:v>
                </c:pt>
                <c:pt idx="31">
                  <c:v>27.915318214934121</c:v>
                </c:pt>
                <c:pt idx="32">
                  <c:v>18.825392010190029</c:v>
                </c:pt>
                <c:pt idx="33">
                  <c:v>22.55480739682735</c:v>
                </c:pt>
                <c:pt idx="34">
                  <c:v>3.69479063881065</c:v>
                </c:pt>
                <c:pt idx="35">
                  <c:v>9.4775494942885228</c:v>
                </c:pt>
                <c:pt idx="36">
                  <c:v>-8.6913035259942717</c:v>
                </c:pt>
                <c:pt idx="37">
                  <c:v>-15.792555414769886</c:v>
                </c:pt>
                <c:pt idx="38">
                  <c:v>-17.886266996681616</c:v>
                </c:pt>
                <c:pt idx="39">
                  <c:v>-15.042977474303433</c:v>
                </c:pt>
                <c:pt idx="40">
                  <c:v>-31.231711064274894</c:v>
                </c:pt>
                <c:pt idx="41">
                  <c:v>-33.241151326098546</c:v>
                </c:pt>
                <c:pt idx="42">
                  <c:v>-32.020201365077646</c:v>
                </c:pt>
                <c:pt idx="43">
                  <c:v>-34.295384147954024</c:v>
                </c:pt>
                <c:pt idx="44">
                  <c:v>-21.157379061522128</c:v>
                </c:pt>
                <c:pt idx="45">
                  <c:v>-18.69341167436205</c:v>
                </c:pt>
                <c:pt idx="46">
                  <c:v>-25.837662785318539</c:v>
                </c:pt>
                <c:pt idx="47">
                  <c:v>-21.548035323184823</c:v>
                </c:pt>
                <c:pt idx="48">
                  <c:v>-2.2866622063925579</c:v>
                </c:pt>
                <c:pt idx="49">
                  <c:v>-0.63397186114618087</c:v>
                </c:pt>
                <c:pt idx="50">
                  <c:v>-9.7085297317811534</c:v>
                </c:pt>
                <c:pt idx="51">
                  <c:v>-9.8596508268729295</c:v>
                </c:pt>
                <c:pt idx="52">
                  <c:v>0.233219012771956</c:v>
                </c:pt>
                <c:pt idx="53">
                  <c:v>8.5001955674394374</c:v>
                </c:pt>
                <c:pt idx="54">
                  <c:v>12.884972617306985</c:v>
                </c:pt>
                <c:pt idx="55">
                  <c:v>14.196906765365963</c:v>
                </c:pt>
                <c:pt idx="56">
                  <c:v>5.7308266461344264</c:v>
                </c:pt>
                <c:pt idx="57">
                  <c:v>9.2958171156023646</c:v>
                </c:pt>
                <c:pt idx="58">
                  <c:v>-13.18958267522941</c:v>
                </c:pt>
                <c:pt idx="59">
                  <c:v>-7.4673180377006023</c:v>
                </c:pt>
                <c:pt idx="60">
                  <c:v>-17.518013833672008</c:v>
                </c:pt>
                <c:pt idx="61">
                  <c:v>-36.167878297776255</c:v>
                </c:pt>
                <c:pt idx="62">
                  <c:v>-22.863821755996071</c:v>
                </c:pt>
                <c:pt idx="63">
                  <c:v>-29.731374520275047</c:v>
                </c:pt>
                <c:pt idx="64">
                  <c:v>-53.017518277040161</c:v>
                </c:pt>
                <c:pt idx="65">
                  <c:v>-63.021085948892313</c:v>
                </c:pt>
                <c:pt idx="66">
                  <c:v>-69.671539284115184</c:v>
                </c:pt>
                <c:pt idx="67">
                  <c:v>-78.119420028637307</c:v>
                </c:pt>
                <c:pt idx="68">
                  <c:v>-82.173494419788938</c:v>
                </c:pt>
                <c:pt idx="69">
                  <c:v>-104.31813701930129</c:v>
                </c:pt>
                <c:pt idx="70">
                  <c:v>-97.552975883581098</c:v>
                </c:pt>
                <c:pt idx="71">
                  <c:v>-113.61582851930044</c:v>
                </c:pt>
                <c:pt idx="72">
                  <c:v>-111.48853690711687</c:v>
                </c:pt>
                <c:pt idx="73">
                  <c:v>-125.65162794647964</c:v>
                </c:pt>
                <c:pt idx="74">
                  <c:v>-132.54578984267809</c:v>
                </c:pt>
                <c:pt idx="75">
                  <c:v>-138.29494668428998</c:v>
                </c:pt>
                <c:pt idx="76">
                  <c:v>-144.0992283446906</c:v>
                </c:pt>
                <c:pt idx="77">
                  <c:v>-156.9345481530768</c:v>
                </c:pt>
                <c:pt idx="78">
                  <c:v>-142.37794992196604</c:v>
                </c:pt>
                <c:pt idx="79">
                  <c:v>-140.55086511584989</c:v>
                </c:pt>
                <c:pt idx="80">
                  <c:v>-146.32822187126578</c:v>
                </c:pt>
                <c:pt idx="81">
                  <c:v>-140.04833812864371</c:v>
                </c:pt>
                <c:pt idx="82">
                  <c:v>-144.88352309984418</c:v>
                </c:pt>
                <c:pt idx="83">
                  <c:v>-136.66366560462208</c:v>
                </c:pt>
                <c:pt idx="84">
                  <c:v>-149.12259877495586</c:v>
                </c:pt>
                <c:pt idx="85">
                  <c:v>-139.0731304771746</c:v>
                </c:pt>
                <c:pt idx="86">
                  <c:v>-125.70874899839603</c:v>
                </c:pt>
                <c:pt idx="87">
                  <c:v>-123.86861357235706</c:v>
                </c:pt>
                <c:pt idx="88">
                  <c:v>-97.48037396441562</c:v>
                </c:pt>
                <c:pt idx="89">
                  <c:v>-109.31712972071381</c:v>
                </c:pt>
                <c:pt idx="90">
                  <c:v>-90.495309029444954</c:v>
                </c:pt>
                <c:pt idx="91">
                  <c:v>-86.652484826799366</c:v>
                </c:pt>
                <c:pt idx="92">
                  <c:v>-84.365972581405018</c:v>
                </c:pt>
                <c:pt idx="93">
                  <c:v>-61.032054933534482</c:v>
                </c:pt>
                <c:pt idx="94">
                  <c:v>-64.092434824295424</c:v>
                </c:pt>
                <c:pt idx="95">
                  <c:v>-70.183922281311382</c:v>
                </c:pt>
                <c:pt idx="96">
                  <c:v>-47.557945529629748</c:v>
                </c:pt>
                <c:pt idx="97">
                  <c:v>-48.067808115448663</c:v>
                </c:pt>
                <c:pt idx="98">
                  <c:v>-43.289835573332148</c:v>
                </c:pt>
                <c:pt idx="99">
                  <c:v>-52.096314636551988</c:v>
                </c:pt>
                <c:pt idx="100">
                  <c:v>-49.423131521111884</c:v>
                </c:pt>
                <c:pt idx="101">
                  <c:v>-32.277557975083496</c:v>
                </c:pt>
                <c:pt idx="102">
                  <c:v>-47.421474838397501</c:v>
                </c:pt>
                <c:pt idx="103">
                  <c:v>-61.848322891668573</c:v>
                </c:pt>
                <c:pt idx="104">
                  <c:v>-39.340995770370029</c:v>
                </c:pt>
                <c:pt idx="105">
                  <c:v>-43.223811451652651</c:v>
                </c:pt>
                <c:pt idx="106">
                  <c:v>-48.04634011268098</c:v>
                </c:pt>
                <c:pt idx="107">
                  <c:v>-59.466303655605586</c:v>
                </c:pt>
                <c:pt idx="108">
                  <c:v>-61.098645360716475</c:v>
                </c:pt>
                <c:pt idx="109">
                  <c:v>-63.59054434613801</c:v>
                </c:pt>
                <c:pt idx="110">
                  <c:v>-73.645604458171718</c:v>
                </c:pt>
                <c:pt idx="111">
                  <c:v>-73.089350881891278</c:v>
                </c:pt>
                <c:pt idx="112">
                  <c:v>-74.236730975515414</c:v>
                </c:pt>
                <c:pt idx="113">
                  <c:v>-78.649068093608037</c:v>
                </c:pt>
                <c:pt idx="114">
                  <c:v>-67.681977394603621</c:v>
                </c:pt>
                <c:pt idx="115">
                  <c:v>-49.834492958636119</c:v>
                </c:pt>
                <c:pt idx="116">
                  <c:v>-59.607279956221248</c:v>
                </c:pt>
                <c:pt idx="117">
                  <c:v>-34.15455011761312</c:v>
                </c:pt>
                <c:pt idx="118">
                  <c:v>-38.265792887993427</c:v>
                </c:pt>
                <c:pt idx="119">
                  <c:v>-15.949828195457984</c:v>
                </c:pt>
                <c:pt idx="120">
                  <c:v>-4.948127387128106</c:v>
                </c:pt>
                <c:pt idx="121">
                  <c:v>2.2595691323213032</c:v>
                </c:pt>
                <c:pt idx="122">
                  <c:v>43.076446221267872</c:v>
                </c:pt>
                <c:pt idx="123">
                  <c:v>46.814954828478903</c:v>
                </c:pt>
                <c:pt idx="124">
                  <c:v>65.558177903204651</c:v>
                </c:pt>
                <c:pt idx="125">
                  <c:v>70.900883626482283</c:v>
                </c:pt>
                <c:pt idx="126">
                  <c:v>82.120865864262811</c:v>
                </c:pt>
                <c:pt idx="127">
                  <c:v>98.61636326587373</c:v>
                </c:pt>
                <c:pt idx="128">
                  <c:v>96.363113555281444</c:v>
                </c:pt>
                <c:pt idx="129">
                  <c:v>82.519985907488817</c:v>
                </c:pt>
                <c:pt idx="130">
                  <c:v>98.949763506231449</c:v>
                </c:pt>
                <c:pt idx="131">
                  <c:v>97.114417477688932</c:v>
                </c:pt>
                <c:pt idx="132">
                  <c:v>70.342553479412842</c:v>
                </c:pt>
                <c:pt idx="133">
                  <c:v>77.64795080795966</c:v>
                </c:pt>
                <c:pt idx="134">
                  <c:v>66.915509899073115</c:v>
                </c:pt>
                <c:pt idx="135">
                  <c:v>56.202037436945574</c:v>
                </c:pt>
                <c:pt idx="136">
                  <c:v>45.993205062010666</c:v>
                </c:pt>
                <c:pt idx="137">
                  <c:v>35.421208100654937</c:v>
                </c:pt>
                <c:pt idx="138">
                  <c:v>29.628149721243545</c:v>
                </c:pt>
                <c:pt idx="139">
                  <c:v>5.6499270186383477</c:v>
                </c:pt>
                <c:pt idx="140">
                  <c:v>-8.569441618173812</c:v>
                </c:pt>
                <c:pt idx="141">
                  <c:v>4.9362904077748144</c:v>
                </c:pt>
                <c:pt idx="142">
                  <c:v>1.9403678384373038</c:v>
                </c:pt>
                <c:pt idx="143">
                  <c:v>4.0448246838212674</c:v>
                </c:pt>
                <c:pt idx="144">
                  <c:v>7.073891806129688</c:v>
                </c:pt>
                <c:pt idx="145">
                  <c:v>-5.6874541754451418</c:v>
                </c:pt>
                <c:pt idx="146">
                  <c:v>-3.6184909665757639</c:v>
                </c:pt>
                <c:pt idx="147">
                  <c:v>4.5761325244330742E-2</c:v>
                </c:pt>
                <c:pt idx="148">
                  <c:v>17.148059194147212</c:v>
                </c:pt>
                <c:pt idx="149">
                  <c:v>27.325427950728567</c:v>
                </c:pt>
                <c:pt idx="150">
                  <c:v>45.362905639140564</c:v>
                </c:pt>
                <c:pt idx="151">
                  <c:v>49.090179641950456</c:v>
                </c:pt>
                <c:pt idx="152">
                  <c:v>69.720188044182294</c:v>
                </c:pt>
                <c:pt idx="153">
                  <c:v>71.50919840907298</c:v>
                </c:pt>
                <c:pt idx="154">
                  <c:v>58.586187093984584</c:v>
                </c:pt>
                <c:pt idx="155">
                  <c:v>65.712265116192313</c:v>
                </c:pt>
                <c:pt idx="156">
                  <c:v>70.502986137150288</c:v>
                </c:pt>
                <c:pt idx="157">
                  <c:v>84.15381309689964</c:v>
                </c:pt>
                <c:pt idx="158">
                  <c:v>87.795161496026481</c:v>
                </c:pt>
                <c:pt idx="159">
                  <c:v>80.085787823255487</c:v>
                </c:pt>
                <c:pt idx="160">
                  <c:v>74.331668639094204</c:v>
                </c:pt>
                <c:pt idx="161">
                  <c:v>77.082988367878912</c:v>
                </c:pt>
                <c:pt idx="162">
                  <c:v>84.606080583689305</c:v>
                </c:pt>
                <c:pt idx="163">
                  <c:v>83.651674349785893</c:v>
                </c:pt>
                <c:pt idx="164">
                  <c:v>73.365898263722698</c:v>
                </c:pt>
                <c:pt idx="165">
                  <c:v>73.863220086762837</c:v>
                </c:pt>
                <c:pt idx="166">
                  <c:v>61.781548358505674</c:v>
                </c:pt>
                <c:pt idx="167">
                  <c:v>70.988668852426656</c:v>
                </c:pt>
                <c:pt idx="168">
                  <c:v>75.468150170569217</c:v>
                </c:pt>
                <c:pt idx="169">
                  <c:v>80.288162734236394</c:v>
                </c:pt>
                <c:pt idx="170">
                  <c:v>61.498548518191555</c:v>
                </c:pt>
                <c:pt idx="171">
                  <c:v>67.901880448960824</c:v>
                </c:pt>
                <c:pt idx="172">
                  <c:v>65.032671862171824</c:v>
                </c:pt>
                <c:pt idx="173">
                  <c:v>69.516598212008631</c:v>
                </c:pt>
                <c:pt idx="174">
                  <c:v>64.454469680614793</c:v>
                </c:pt>
                <c:pt idx="175">
                  <c:v>45.785881303759091</c:v>
                </c:pt>
                <c:pt idx="176">
                  <c:v>58.944391773626705</c:v>
                </c:pt>
                <c:pt idx="177">
                  <c:v>53.727058514925652</c:v>
                </c:pt>
                <c:pt idx="178">
                  <c:v>29.3621575955436</c:v>
                </c:pt>
                <c:pt idx="179">
                  <c:v>20.445829988997222</c:v>
                </c:pt>
                <c:pt idx="180">
                  <c:v>11.879118514207924</c:v>
                </c:pt>
                <c:pt idx="181">
                  <c:v>4.284803604386866</c:v>
                </c:pt>
                <c:pt idx="182">
                  <c:v>18.692329061381155</c:v>
                </c:pt>
                <c:pt idx="183">
                  <c:v>18.579807279110426</c:v>
                </c:pt>
                <c:pt idx="184">
                  <c:v>-1.3588316603362678</c:v>
                </c:pt>
                <c:pt idx="185">
                  <c:v>5.8468430183224456</c:v>
                </c:pt>
                <c:pt idx="186">
                  <c:v>-3.6102909912474139</c:v>
                </c:pt>
                <c:pt idx="187">
                  <c:v>2.8193818928466783</c:v>
                </c:pt>
                <c:pt idx="188">
                  <c:v>9.9015781941524494</c:v>
                </c:pt>
                <c:pt idx="189">
                  <c:v>22.306190725387925</c:v>
                </c:pt>
                <c:pt idx="190">
                  <c:v>28.92396994213728</c:v>
                </c:pt>
                <c:pt idx="191">
                  <c:v>32.227616256478356</c:v>
                </c:pt>
                <c:pt idx="192">
                  <c:v>45.422536466318</c:v>
                </c:pt>
                <c:pt idx="193">
                  <c:v>44.982194799694888</c:v>
                </c:pt>
                <c:pt idx="194">
                  <c:v>58.360988043050376</c:v>
                </c:pt>
                <c:pt idx="195">
                  <c:v>56.081084744036659</c:v>
                </c:pt>
                <c:pt idx="196">
                  <c:v>74.89136844725374</c:v>
                </c:pt>
                <c:pt idx="197">
                  <c:v>81.229436651819583</c:v>
                </c:pt>
                <c:pt idx="198">
                  <c:v>82.757717027313632</c:v>
                </c:pt>
                <c:pt idx="199">
                  <c:v>76.312714900519723</c:v>
                </c:pt>
                <c:pt idx="200">
                  <c:v>66.26609020115302</c:v>
                </c:pt>
                <c:pt idx="201">
                  <c:v>60.152205166209214</c:v>
                </c:pt>
                <c:pt idx="202">
                  <c:v>52.609338989159092</c:v>
                </c:pt>
                <c:pt idx="203">
                  <c:v>58.380951897935333</c:v>
                </c:pt>
                <c:pt idx="204">
                  <c:v>34.521242112789622</c:v>
                </c:pt>
                <c:pt idx="205">
                  <c:v>40.251276360901549</c:v>
                </c:pt>
                <c:pt idx="206">
                  <c:v>33.32797910139238</c:v>
                </c:pt>
                <c:pt idx="207">
                  <c:v>20.522948331557505</c:v>
                </c:pt>
                <c:pt idx="208">
                  <c:v>7.0518996381457164</c:v>
                </c:pt>
                <c:pt idx="209">
                  <c:v>-3.2837161089439029</c:v>
                </c:pt>
                <c:pt idx="210">
                  <c:v>-4.7462079682678002</c:v>
                </c:pt>
                <c:pt idx="211">
                  <c:v>-4.9547764189191454</c:v>
                </c:pt>
                <c:pt idx="212">
                  <c:v>-4.8192565136201182E-2</c:v>
                </c:pt>
                <c:pt idx="213">
                  <c:v>-12.323766405407561</c:v>
                </c:pt>
                <c:pt idx="214">
                  <c:v>5.6247334384920968</c:v>
                </c:pt>
                <c:pt idx="215">
                  <c:v>4.7258194939479337</c:v>
                </c:pt>
                <c:pt idx="216">
                  <c:v>-9.0769147289597925</c:v>
                </c:pt>
                <c:pt idx="217">
                  <c:v>-2.0408727900443155</c:v>
                </c:pt>
                <c:pt idx="218">
                  <c:v>10.431027200722241</c:v>
                </c:pt>
                <c:pt idx="219">
                  <c:v>-2.2699304094542576</c:v>
                </c:pt>
                <c:pt idx="220">
                  <c:v>8.1725883775596202</c:v>
                </c:pt>
                <c:pt idx="221">
                  <c:v>7.1754118877202355</c:v>
                </c:pt>
                <c:pt idx="222">
                  <c:v>11.525237738664625</c:v>
                </c:pt>
                <c:pt idx="223">
                  <c:v>-4.5509465319165372</c:v>
                </c:pt>
                <c:pt idx="224">
                  <c:v>-7.8509490215719673</c:v>
                </c:pt>
                <c:pt idx="225">
                  <c:v>6.5883469319652015</c:v>
                </c:pt>
                <c:pt idx="226">
                  <c:v>4.5083965407611828</c:v>
                </c:pt>
                <c:pt idx="227">
                  <c:v>-0.1280560890739677</c:v>
                </c:pt>
                <c:pt idx="228">
                  <c:v>-7.8528378251423838</c:v>
                </c:pt>
                <c:pt idx="229">
                  <c:v>-10.88592803052483</c:v>
                </c:pt>
                <c:pt idx="230">
                  <c:v>-2.7391578251359494</c:v>
                </c:pt>
                <c:pt idx="231">
                  <c:v>-6.5380942800848239</c:v>
                </c:pt>
                <c:pt idx="232">
                  <c:v>-4.3572901776696842</c:v>
                </c:pt>
                <c:pt idx="233">
                  <c:v>21.715435034758002</c:v>
                </c:pt>
                <c:pt idx="234">
                  <c:v>18.4135707545088</c:v>
                </c:pt>
                <c:pt idx="235">
                  <c:v>25.968776223167485</c:v>
                </c:pt>
                <c:pt idx="236">
                  <c:v>30.070182113253747</c:v>
                </c:pt>
                <c:pt idx="237">
                  <c:v>28.425297518081656</c:v>
                </c:pt>
                <c:pt idx="238">
                  <c:v>25.687015204981627</c:v>
                </c:pt>
                <c:pt idx="239">
                  <c:v>45.681577079315673</c:v>
                </c:pt>
                <c:pt idx="240">
                  <c:v>31.89413090916895</c:v>
                </c:pt>
              </c:numCache>
            </c:numRef>
          </c:yVal>
          <c:smooth val="0"/>
          <c:extLst>
            <c:ext xmlns:c16="http://schemas.microsoft.com/office/drawing/2014/chart" uri="{C3380CC4-5D6E-409C-BE32-E72D297353CC}">
              <c16:uniqueId val="{00000002-ACBE-4631-B4B8-08F945DEE57D}"/>
            </c:ext>
          </c:extLst>
        </c:ser>
        <c:dLbls>
          <c:showLegendKey val="0"/>
          <c:showVal val="0"/>
          <c:showCatName val="0"/>
          <c:showSerName val="0"/>
          <c:showPercent val="0"/>
          <c:showBubbleSize val="0"/>
        </c:dLbls>
        <c:axId val="700002"/>
        <c:axId val="700003"/>
      </c:scatterChart>
      <c:valAx>
        <c:axId val="700002"/>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3"/>
        <c:crosses val="min"/>
        <c:crossBetween val="midCat"/>
        <c:majorUnit val="50"/>
      </c:valAx>
      <c:valAx>
        <c:axId val="700003"/>
        <c:scaling>
          <c:orientation val="minMax"/>
          <c:max val="800"/>
          <c:min val="-400"/>
        </c:scaling>
        <c:delete val="0"/>
        <c:axPos val="l"/>
        <c:majorGridlines>
          <c:spPr>
            <a:ln w="9525">
              <a:solidFill>
                <a:srgbClr val="DDE1E6"/>
              </a:solidFill>
              <a:prstDash val="solid"/>
            </a:ln>
          </c:spPr>
        </c:majorGridlines>
        <c:title>
          <c:tx>
            <c:rich>
              <a:bodyPr/>
              <a:lstStyle/>
              <a:p>
                <a:r>
                  <a:rPr sz="900"/>
                  <a:t>Surface height (m)</a:t>
                </a:r>
              </a:p>
            </c:rich>
          </c:tx>
          <c:overlay val="0"/>
        </c:title>
        <c:numFmt formatCode="General" sourceLinked="0"/>
        <c:majorTickMark val="none"/>
        <c:minorTickMark val="none"/>
        <c:tickLblPos val="nextTo"/>
        <c:crossAx val="700002"/>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Apparent Depth: Spacecraft Motion Distortion by Run</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Native_Chart_Data!$A$248:$A$488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Native_Chart_Data!$B$248:$B$488</c:f>
              <c:numCache>
                <c:formatCode>General</c:formatCode>
                <c:ptCount val="241"/>
                <c:pt idx="0">
                  <c:v>-28.606835752051211</c:v>
                </c:pt>
                <c:pt idx="1">
                  <c:v>-27.782863149590867</c:v>
                </c:pt>
                <c:pt idx="2">
                  <c:v>-26.877434485224512</c:v>
                </c:pt>
                <c:pt idx="3">
                  <c:v>-26.091469511469313</c:v>
                </c:pt>
                <c:pt idx="4">
                  <c:v>-25.322987391846254</c:v>
                </c:pt>
                <c:pt idx="5">
                  <c:v>-24.47902381513677</c:v>
                </c:pt>
                <c:pt idx="6">
                  <c:v>-23.746844660086936</c:v>
                </c:pt>
                <c:pt idx="7">
                  <c:v>-23.031353320222479</c:v>
                </c:pt>
                <c:pt idx="8">
                  <c:v>-22.246059825895372</c:v>
                </c:pt>
                <c:pt idx="9">
                  <c:v>-21.565197447271657</c:v>
                </c:pt>
                <c:pt idx="10">
                  <c:v>-20.900242486699881</c:v>
                </c:pt>
                <c:pt idx="11">
                  <c:v>-20.170875551412792</c:v>
                </c:pt>
                <c:pt idx="12">
                  <c:v>-19.538907124212074</c:v>
                </c:pt>
                <c:pt idx="13">
                  <c:v>-18.922080788589938</c:v>
                </c:pt>
                <c:pt idx="14">
                  <c:v>-18.245949870930872</c:v>
                </c:pt>
                <c:pt idx="15">
                  <c:v>-17.660500113955095</c:v>
                </c:pt>
                <c:pt idx="16">
                  <c:v>-17.089442616799715</c:v>
                </c:pt>
                <c:pt idx="17">
                  <c:v>-16.463911639531943</c:v>
                </c:pt>
                <c:pt idx="18">
                  <c:v>-15.922654129073635</c:v>
                </c:pt>
                <c:pt idx="19">
                  <c:v>-15.39505495210642</c:v>
                </c:pt>
                <c:pt idx="20">
                  <c:v>-14.817543761564139</c:v>
                </c:pt>
                <c:pt idx="21">
                  <c:v>-14.318202220481453</c:v>
                </c:pt>
                <c:pt idx="22">
                  <c:v>-13.831801402375277</c:v>
                </c:pt>
                <c:pt idx="23">
                  <c:v>-13.299787208880844</c:v>
                </c:pt>
                <c:pt idx="24">
                  <c:v>-12.840136776974759</c:v>
                </c:pt>
                <c:pt idx="25">
                  <c:v>-12.392726180069985</c:v>
                </c:pt>
                <c:pt idx="26">
                  <c:v>-11.903744966717568</c:v>
                </c:pt>
                <c:pt idx="27">
                  <c:v>-11.481613456182458</c:v>
                </c:pt>
                <c:pt idx="28">
                  <c:v>-11.071038001998204</c:v>
                </c:pt>
                <c:pt idx="29">
                  <c:v>-10.622685923482095</c:v>
                </c:pt>
                <c:pt idx="30">
                  <c:v>-10.235955038383963</c:v>
                </c:pt>
                <c:pt idx="31">
                  <c:v>-9.8601139367465294</c:v>
                </c:pt>
                <c:pt idx="32">
                  <c:v>-9.4500486732272293</c:v>
                </c:pt>
                <c:pt idx="33">
                  <c:v>-9.0966552194690848</c:v>
                </c:pt>
                <c:pt idx="34">
                  <c:v>-8.7535031569864259</c:v>
                </c:pt>
                <c:pt idx="35">
                  <c:v>-8.379445258978194</c:v>
                </c:pt>
                <c:pt idx="36">
                  <c:v>-8.0573823215368066</c:v>
                </c:pt>
                <c:pt idx="37">
                  <c:v>-7.7449306373637228</c:v>
                </c:pt>
                <c:pt idx="38">
                  <c:v>-7.4046648244461721</c:v>
                </c:pt>
                <c:pt idx="39">
                  <c:v>-7.1119829201097673</c:v>
                </c:pt>
                <c:pt idx="40">
                  <c:v>-6.8283007484997142</c:v>
                </c:pt>
                <c:pt idx="41">
                  <c:v>-6.5196771902137698</c:v>
                </c:pt>
                <c:pt idx="42">
                  <c:v>-6.2544853914218947</c:v>
                </c:pt>
                <c:pt idx="43">
                  <c:v>-5.9977007769762167</c:v>
                </c:pt>
                <c:pt idx="44">
                  <c:v>-5.7186363390651422</c:v>
                </c:pt>
                <c:pt idx="45">
                  <c:v>-5.479103372775171</c:v>
                </c:pt>
                <c:pt idx="46">
                  <c:v>-5.2474043572378832</c:v>
                </c:pt>
                <c:pt idx="47">
                  <c:v>-4.995883813084447</c:v>
                </c:pt>
                <c:pt idx="48">
                  <c:v>-4.780239127223922</c:v>
                </c:pt>
                <c:pt idx="49">
                  <c:v>-4.5718748099950517</c:v>
                </c:pt>
                <c:pt idx="50">
                  <c:v>-4.3459520128728855</c:v>
                </c:pt>
                <c:pt idx="51">
                  <c:v>-4.1524868146580047</c:v>
                </c:pt>
                <c:pt idx="52">
                  <c:v>-3.965768378529674</c:v>
                </c:pt>
                <c:pt idx="53">
                  <c:v>-3.7635674146301881</c:v>
                </c:pt>
                <c:pt idx="54">
                  <c:v>-3.5906356710743239</c:v>
                </c:pt>
                <c:pt idx="55">
                  <c:v>-3.4239373717214221</c:v>
                </c:pt>
                <c:pt idx="56">
                  <c:v>-3.2436536593402252</c:v>
                </c:pt>
                <c:pt idx="57">
                  <c:v>-3.0896730716708589</c:v>
                </c:pt>
                <c:pt idx="58">
                  <c:v>-2.9414332074700269</c:v>
                </c:pt>
                <c:pt idx="59">
                  <c:v>-2.7813345652473345</c:v>
                </c:pt>
                <c:pt idx="60">
                  <c:v>-2.6447875068229223</c:v>
                </c:pt>
                <c:pt idx="61">
                  <c:v>-2.5135093403541759</c:v>
                </c:pt>
                <c:pt idx="62">
                  <c:v>-2.3719370163648819</c:v>
                </c:pt>
                <c:pt idx="63">
                  <c:v>-2.2513714361657549</c:v>
                </c:pt>
                <c:pt idx="64">
                  <c:v>-2.13562408544135</c:v>
                </c:pt>
                <c:pt idx="65">
                  <c:v>-2.0109937508048006</c:v>
                </c:pt>
                <c:pt idx="66">
                  <c:v>-1.9050240415085682</c:v>
                </c:pt>
                <c:pt idx="67">
                  <c:v>-1.8034433360094226</c:v>
                </c:pt>
                <c:pt idx="68">
                  <c:v>-1.6942460296072568</c:v>
                </c:pt>
                <c:pt idx="69">
                  <c:v>-1.601553853415453</c:v>
                </c:pt>
                <c:pt idx="70">
                  <c:v>-1.512843152252799</c:v>
                </c:pt>
                <c:pt idx="71">
                  <c:v>-1.4176461878619193</c:v>
                </c:pt>
                <c:pt idx="72">
                  <c:v>-1.3369812749583616</c:v>
                </c:pt>
                <c:pt idx="73">
                  <c:v>-1.2599122492363222</c:v>
                </c:pt>
                <c:pt idx="74">
                  <c:v>-1.1773600760669751</c:v>
                </c:pt>
                <c:pt idx="75">
                  <c:v>-1.1075409744717035</c:v>
                </c:pt>
                <c:pt idx="76">
                  <c:v>-1.0409543459660426</c:v>
                </c:pt>
                <c:pt idx="77">
                  <c:v>-0.96976937592569357</c:v>
                </c:pt>
                <c:pt idx="78">
                  <c:v>-0.90968416440080091</c:v>
                </c:pt>
                <c:pt idx="79">
                  <c:v>-0.8524904108952569</c:v>
                </c:pt>
                <c:pt idx="80">
                  <c:v>-0.79147378083268904</c:v>
                </c:pt>
                <c:pt idx="81">
                  <c:v>-0.74008074998198481</c:v>
                </c:pt>
                <c:pt idx="82">
                  <c:v>-0.69126076184193153</c:v>
                </c:pt>
                <c:pt idx="83">
                  <c:v>-0.63929306925479068</c:v>
                </c:pt>
                <c:pt idx="84">
                  <c:v>-0.59562134887653428</c:v>
                </c:pt>
                <c:pt idx="85">
                  <c:v>-0.55422705180376397</c:v>
                </c:pt>
                <c:pt idx="86">
                  <c:v>-0.51026903842853244</c:v>
                </c:pt>
                <c:pt idx="87">
                  <c:v>-0.47341919121004139</c:v>
                </c:pt>
                <c:pt idx="88">
                  <c:v>-0.43857412502381976</c:v>
                </c:pt>
                <c:pt idx="89">
                  <c:v>-0.4016673031354685</c:v>
                </c:pt>
                <c:pt idx="90">
                  <c:v>-0.37081187517208036</c:v>
                </c:pt>
                <c:pt idx="91">
                  <c:v>-0.34171172867979749</c:v>
                </c:pt>
                <c:pt idx="92">
                  <c:v>-0.31097897475410718</c:v>
                </c:pt>
                <c:pt idx="93">
                  <c:v>-0.28536299915617747</c:v>
                </c:pt>
                <c:pt idx="94">
                  <c:v>-0.26127610188143535</c:v>
                </c:pt>
                <c:pt idx="95">
                  <c:v>-0.23592219111435497</c:v>
                </c:pt>
                <c:pt idx="96">
                  <c:v>-0.21486365220766857</c:v>
                </c:pt>
                <c:pt idx="97">
                  <c:v>-0.1951314257202057</c:v>
                </c:pt>
                <c:pt idx="98">
                  <c:v>-0.17444351947665382</c:v>
                </c:pt>
                <c:pt idx="99">
                  <c:v>-0.15733377440119511</c:v>
                </c:pt>
                <c:pt idx="100">
                  <c:v>-0.14137113236063215</c:v>
                </c:pt>
                <c:pt idx="101">
                  <c:v>-0.12471921807230046</c:v>
                </c:pt>
                <c:pt idx="102">
                  <c:v>-0.11102336728663431</c:v>
                </c:pt>
                <c:pt idx="103">
                  <c:v>-9.8319082050352336E-2</c:v>
                </c:pt>
                <c:pt idx="104">
                  <c:v>-8.5156359718553176E-2</c:v>
                </c:pt>
                <c:pt idx="105">
                  <c:v>-7.4413578671737923E-2</c:v>
                </c:pt>
                <c:pt idx="106">
                  <c:v>-6.4530590996128012E-2</c:v>
                </c:pt>
                <c:pt idx="107">
                  <c:v>-5.4393810229043993E-2</c:v>
                </c:pt>
                <c:pt idx="108">
                  <c:v>-4.6217631182344121E-2</c:v>
                </c:pt>
                <c:pt idx="109">
                  <c:v>-3.8793322623632776E-2</c:v>
                </c:pt>
                <c:pt idx="110">
                  <c:v>-3.1303072409855304E-2</c:v>
                </c:pt>
                <c:pt idx="111">
                  <c:v>-2.5381627713954913E-2</c:v>
                </c:pt>
                <c:pt idx="112">
                  <c:v>-2.0128040178406081E-2</c:v>
                </c:pt>
                <c:pt idx="113">
                  <c:v>-1.4988976835297763E-2</c:v>
                </c:pt>
                <c:pt idx="114">
                  <c:v>-1.1085185236197503E-2</c:v>
                </c:pt>
                <c:pt idx="115">
                  <c:v>-7.7892075411227779E-3</c:v>
                </c:pt>
                <c:pt idx="116">
                  <c:v>-4.7902418510830103E-3</c:v>
                </c:pt>
                <c:pt idx="117">
                  <c:v>-2.7419606900593863E-3</c:v>
                </c:pt>
                <c:pt idx="118">
                  <c:v>-1.2654526615278883E-3</c:v>
                </c:pt>
                <c:pt idx="119">
                  <c:v>-2.7987863211365038E-4</c:v>
                </c:pt>
                <c:pt idx="120">
                  <c:v>0</c:v>
                </c:pt>
                <c:pt idx="121">
                  <c:v>-2.7987863211365038E-4</c:v>
                </c:pt>
                <c:pt idx="122">
                  <c:v>-1.2654526615278883E-3</c:v>
                </c:pt>
                <c:pt idx="123">
                  <c:v>-2.7419606900593863E-3</c:v>
                </c:pt>
                <c:pt idx="124">
                  <c:v>-4.7902418510830103E-3</c:v>
                </c:pt>
                <c:pt idx="125">
                  <c:v>-7.7892075411227779E-3</c:v>
                </c:pt>
                <c:pt idx="126">
                  <c:v>-1.1085185236197503E-2</c:v>
                </c:pt>
                <c:pt idx="127">
                  <c:v>-1.4988976835297763E-2</c:v>
                </c:pt>
                <c:pt idx="128">
                  <c:v>-2.0128040178406081E-2</c:v>
                </c:pt>
                <c:pt idx="129">
                  <c:v>-2.5381627713954913E-2</c:v>
                </c:pt>
                <c:pt idx="130">
                  <c:v>-3.1303072409855304E-2</c:v>
                </c:pt>
                <c:pt idx="131">
                  <c:v>-3.8793322623632776E-2</c:v>
                </c:pt>
                <c:pt idx="132">
                  <c:v>-4.6217631182344121E-2</c:v>
                </c:pt>
                <c:pt idx="133">
                  <c:v>-5.4393810229043993E-2</c:v>
                </c:pt>
                <c:pt idx="134">
                  <c:v>-6.4530590996128012E-2</c:v>
                </c:pt>
                <c:pt idx="135">
                  <c:v>-7.4413578671737923E-2</c:v>
                </c:pt>
                <c:pt idx="136">
                  <c:v>-8.5156359718553176E-2</c:v>
                </c:pt>
                <c:pt idx="137">
                  <c:v>-9.8319082050352336E-2</c:v>
                </c:pt>
                <c:pt idx="138">
                  <c:v>-0.11102336728663431</c:v>
                </c:pt>
                <c:pt idx="139">
                  <c:v>-0.12471921807230046</c:v>
                </c:pt>
                <c:pt idx="140">
                  <c:v>-0.14137113236063215</c:v>
                </c:pt>
                <c:pt idx="141">
                  <c:v>-0.15733377440119511</c:v>
                </c:pt>
                <c:pt idx="142">
                  <c:v>-0.17444351947665382</c:v>
                </c:pt>
                <c:pt idx="143">
                  <c:v>-0.1951314257202057</c:v>
                </c:pt>
                <c:pt idx="144">
                  <c:v>-0.21486365220766857</c:v>
                </c:pt>
                <c:pt idx="145">
                  <c:v>-0.23592219111435497</c:v>
                </c:pt>
                <c:pt idx="146">
                  <c:v>-0.26127610188143535</c:v>
                </c:pt>
                <c:pt idx="147">
                  <c:v>-0.28536299915617747</c:v>
                </c:pt>
                <c:pt idx="148">
                  <c:v>-0.31097897475410718</c:v>
                </c:pt>
                <c:pt idx="149">
                  <c:v>-0.34171172867979749</c:v>
                </c:pt>
                <c:pt idx="150">
                  <c:v>-0.37081187517208036</c:v>
                </c:pt>
                <c:pt idx="151">
                  <c:v>-0.4016673031354685</c:v>
                </c:pt>
                <c:pt idx="152">
                  <c:v>-0.43857412502381976</c:v>
                </c:pt>
                <c:pt idx="153">
                  <c:v>-0.47341919121004139</c:v>
                </c:pt>
                <c:pt idx="154">
                  <c:v>-0.51026903842853244</c:v>
                </c:pt>
                <c:pt idx="155">
                  <c:v>-0.55422705180376397</c:v>
                </c:pt>
                <c:pt idx="156">
                  <c:v>-0.59562134887653428</c:v>
                </c:pt>
                <c:pt idx="157">
                  <c:v>-0.63929306925479068</c:v>
                </c:pt>
                <c:pt idx="158">
                  <c:v>-0.69126076184193153</c:v>
                </c:pt>
                <c:pt idx="159">
                  <c:v>-0.74008074998198481</c:v>
                </c:pt>
                <c:pt idx="160">
                  <c:v>-0.79147378083268904</c:v>
                </c:pt>
                <c:pt idx="161">
                  <c:v>-0.8524904108952569</c:v>
                </c:pt>
                <c:pt idx="162">
                  <c:v>-0.90968416440080091</c:v>
                </c:pt>
                <c:pt idx="163">
                  <c:v>-0.96976937592569357</c:v>
                </c:pt>
                <c:pt idx="164">
                  <c:v>-1.0409543459660426</c:v>
                </c:pt>
                <c:pt idx="165">
                  <c:v>-1.1075409744717035</c:v>
                </c:pt>
                <c:pt idx="166">
                  <c:v>-1.1773600760669751</c:v>
                </c:pt>
                <c:pt idx="167">
                  <c:v>-1.2599122492363222</c:v>
                </c:pt>
                <c:pt idx="168">
                  <c:v>-1.3369812749583616</c:v>
                </c:pt>
                <c:pt idx="169">
                  <c:v>-1.4176461878619193</c:v>
                </c:pt>
                <c:pt idx="170">
                  <c:v>-1.512843152252799</c:v>
                </c:pt>
                <c:pt idx="171">
                  <c:v>-1.601553853415453</c:v>
                </c:pt>
                <c:pt idx="172">
                  <c:v>-1.6942460296072568</c:v>
                </c:pt>
                <c:pt idx="173">
                  <c:v>-1.8034433360094226</c:v>
                </c:pt>
                <c:pt idx="174">
                  <c:v>-1.9050240415085682</c:v>
                </c:pt>
                <c:pt idx="175">
                  <c:v>-2.0109937508048006</c:v>
                </c:pt>
                <c:pt idx="176">
                  <c:v>-2.13562408544135</c:v>
                </c:pt>
                <c:pt idx="177">
                  <c:v>-2.2513714361657549</c:v>
                </c:pt>
                <c:pt idx="178">
                  <c:v>-2.3719370163648819</c:v>
                </c:pt>
                <c:pt idx="179">
                  <c:v>-2.5135093403541759</c:v>
                </c:pt>
                <c:pt idx="180">
                  <c:v>-2.6447875068229223</c:v>
                </c:pt>
                <c:pt idx="181">
                  <c:v>-2.7813345652473345</c:v>
                </c:pt>
                <c:pt idx="182">
                  <c:v>-2.9414332074700269</c:v>
                </c:pt>
                <c:pt idx="183">
                  <c:v>-3.0896730716708589</c:v>
                </c:pt>
                <c:pt idx="184">
                  <c:v>-3.2436536593402252</c:v>
                </c:pt>
                <c:pt idx="185">
                  <c:v>-3.4239373717214221</c:v>
                </c:pt>
                <c:pt idx="186">
                  <c:v>-3.5906356710743239</c:v>
                </c:pt>
                <c:pt idx="187">
                  <c:v>-3.7635674146301881</c:v>
                </c:pt>
                <c:pt idx="188">
                  <c:v>-3.965768378529674</c:v>
                </c:pt>
                <c:pt idx="189">
                  <c:v>-4.1524868146580047</c:v>
                </c:pt>
                <c:pt idx="190">
                  <c:v>-4.3459520128728855</c:v>
                </c:pt>
                <c:pt idx="191">
                  <c:v>-4.5718748099950517</c:v>
                </c:pt>
                <c:pt idx="192">
                  <c:v>-4.780239127223922</c:v>
                </c:pt>
                <c:pt idx="193">
                  <c:v>-4.995883813084447</c:v>
                </c:pt>
                <c:pt idx="194">
                  <c:v>-5.2474043572378832</c:v>
                </c:pt>
                <c:pt idx="195">
                  <c:v>-5.479103372775171</c:v>
                </c:pt>
                <c:pt idx="196">
                  <c:v>-5.7186363390651422</c:v>
                </c:pt>
                <c:pt idx="197">
                  <c:v>-5.9977007769762167</c:v>
                </c:pt>
                <c:pt idx="198">
                  <c:v>-6.2544853914218947</c:v>
                </c:pt>
                <c:pt idx="199">
                  <c:v>-6.5196771902137698</c:v>
                </c:pt>
                <c:pt idx="200">
                  <c:v>-6.8283007484997142</c:v>
                </c:pt>
                <c:pt idx="201">
                  <c:v>-7.1119829201097673</c:v>
                </c:pt>
                <c:pt idx="202">
                  <c:v>-7.4046648244461721</c:v>
                </c:pt>
                <c:pt idx="203">
                  <c:v>-7.7449306373637228</c:v>
                </c:pt>
                <c:pt idx="204">
                  <c:v>-8.0573823215368066</c:v>
                </c:pt>
                <c:pt idx="205">
                  <c:v>-8.379445258978194</c:v>
                </c:pt>
                <c:pt idx="206">
                  <c:v>-8.7535031569864259</c:v>
                </c:pt>
                <c:pt idx="207">
                  <c:v>-9.0966552194690848</c:v>
                </c:pt>
                <c:pt idx="208">
                  <c:v>-9.4500486732272293</c:v>
                </c:pt>
                <c:pt idx="209">
                  <c:v>-9.8601139367465294</c:v>
                </c:pt>
                <c:pt idx="210">
                  <c:v>-10.235955038383963</c:v>
                </c:pt>
                <c:pt idx="211">
                  <c:v>-10.622685923482095</c:v>
                </c:pt>
                <c:pt idx="212">
                  <c:v>-11.071038001998204</c:v>
                </c:pt>
                <c:pt idx="213">
                  <c:v>-11.481613456182458</c:v>
                </c:pt>
                <c:pt idx="214">
                  <c:v>-11.903744966717568</c:v>
                </c:pt>
                <c:pt idx="215">
                  <c:v>-12.392726180069985</c:v>
                </c:pt>
                <c:pt idx="216">
                  <c:v>-12.840136776974759</c:v>
                </c:pt>
                <c:pt idx="217">
                  <c:v>-13.299787208880844</c:v>
                </c:pt>
                <c:pt idx="218">
                  <c:v>-13.831801402375277</c:v>
                </c:pt>
                <c:pt idx="219">
                  <c:v>-14.318202220481453</c:v>
                </c:pt>
                <c:pt idx="220">
                  <c:v>-14.817543761564139</c:v>
                </c:pt>
                <c:pt idx="221">
                  <c:v>-15.39505495210642</c:v>
                </c:pt>
                <c:pt idx="222">
                  <c:v>-15.922654129073635</c:v>
                </c:pt>
                <c:pt idx="223">
                  <c:v>-16.463911639531943</c:v>
                </c:pt>
                <c:pt idx="224">
                  <c:v>-17.089442616799715</c:v>
                </c:pt>
                <c:pt idx="225">
                  <c:v>-17.660500113955095</c:v>
                </c:pt>
                <c:pt idx="226">
                  <c:v>-18.245949870930872</c:v>
                </c:pt>
                <c:pt idx="227">
                  <c:v>-18.922080788589938</c:v>
                </c:pt>
                <c:pt idx="228">
                  <c:v>-19.538907124212074</c:v>
                </c:pt>
                <c:pt idx="229">
                  <c:v>-20.170875551412792</c:v>
                </c:pt>
                <c:pt idx="230">
                  <c:v>-20.900242486699881</c:v>
                </c:pt>
                <c:pt idx="231">
                  <c:v>-21.565197447271657</c:v>
                </c:pt>
                <c:pt idx="232">
                  <c:v>-22.246059825895372</c:v>
                </c:pt>
                <c:pt idx="233">
                  <c:v>-23.031353320222479</c:v>
                </c:pt>
                <c:pt idx="234">
                  <c:v>-23.746844660086936</c:v>
                </c:pt>
                <c:pt idx="235">
                  <c:v>-24.47902381513677</c:v>
                </c:pt>
                <c:pt idx="236">
                  <c:v>-25.322987391846254</c:v>
                </c:pt>
                <c:pt idx="237">
                  <c:v>-26.091469511469313</c:v>
                </c:pt>
                <c:pt idx="238">
                  <c:v>-26.877434485224512</c:v>
                </c:pt>
                <c:pt idx="239">
                  <c:v>-27.782863149590867</c:v>
                </c:pt>
                <c:pt idx="240">
                  <c:v>-28.606835752051211</c:v>
                </c:pt>
              </c:numCache>
            </c:numRef>
          </c:yVal>
          <c:smooth val="0"/>
          <c:extLst>
            <c:ext xmlns:c16="http://schemas.microsoft.com/office/drawing/2014/chart" uri="{C3380CC4-5D6E-409C-BE32-E72D297353CC}">
              <c16:uniqueId val="{00000000-3D8D-4208-A6E8-3CB6203B64D2}"/>
            </c:ext>
          </c:extLst>
        </c:ser>
        <c:ser>
          <c:idx val="1"/>
          <c:order val="1"/>
          <c:tx>
            <c:v>Paper low-altitude 35 km / 800 km pass</c:v>
          </c:tx>
          <c:spPr>
            <a:ln w="19050">
              <a:solidFill>
                <a:srgbClr val="F97316"/>
              </a:solidFill>
              <a:prstDash val="solid"/>
            </a:ln>
          </c:spPr>
          <c:marker>
            <c:symbol val="none"/>
          </c:marker>
          <c:xVal>
            <c:numRef>
              <c:f>Native_Chart_Data!$C$248:$C$488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Native_Chart_Data!$D$248:$D$488</c:f>
              <c:numCache>
                <c:formatCode>General</c:formatCode>
                <c:ptCount val="241"/>
                <c:pt idx="0">
                  <c:v>-95550.696824635204</c:v>
                </c:pt>
                <c:pt idx="1">
                  <c:v>-94429.872930648315</c:v>
                </c:pt>
                <c:pt idx="2">
                  <c:v>-93169.450020823468</c:v>
                </c:pt>
                <c:pt idx="3">
                  <c:v>-92049.599695208031</c:v>
                </c:pt>
                <c:pt idx="4">
                  <c:v>-90930.318556275248</c:v>
                </c:pt>
                <c:pt idx="5">
                  <c:v>-89671.898520797025</c:v>
                </c:pt>
                <c:pt idx="6">
                  <c:v>-88554.070883643246</c:v>
                </c:pt>
                <c:pt idx="7">
                  <c:v>-87437.045115058572</c:v>
                </c:pt>
                <c:pt idx="8">
                  <c:v>-86181.446082973955</c:v>
                </c:pt>
                <c:pt idx="9">
                  <c:v>-85066.383249791965</c:v>
                </c:pt>
                <c:pt idx="10">
                  <c:v>-83952.369247370851</c:v>
                </c:pt>
                <c:pt idx="11">
                  <c:v>-82700.459556477203</c:v>
                </c:pt>
                <c:pt idx="12">
                  <c:v>-81588.949134183073</c:v>
                </c:pt>
                <c:pt idx="13">
                  <c:v>-80478.749607010104</c:v>
                </c:pt>
                <c:pt idx="14">
                  <c:v>-79231.450693104227</c:v>
                </c:pt>
                <c:pt idx="15">
                  <c:v>-78124.328383369575</c:v>
                </c:pt>
                <c:pt idx="16">
                  <c:v>-77018.794989844479</c:v>
                </c:pt>
                <c:pt idx="17">
                  <c:v>-75777.084390837015</c:v>
                </c:pt>
                <c:pt idx="18">
                  <c:v>-74675.236694186082</c:v>
                </c:pt>
                <c:pt idx="19">
                  <c:v>-73575.272777374339</c:v>
                </c:pt>
                <c:pt idx="20">
                  <c:v>-72340.187247200418</c:v>
                </c:pt>
                <c:pt idx="21">
                  <c:v>-71244.554262802048</c:v>
                </c:pt>
                <c:pt idx="22">
                  <c:v>-70151.117679492658</c:v>
                </c:pt>
                <c:pt idx="23">
                  <c:v>-68923.75640485117</c:v>
                </c:pt>
                <c:pt idx="24">
                  <c:v>-67835.334719187129</c:v>
                </c:pt>
                <c:pt idx="25">
                  <c:v>-66749.440755261443</c:v>
                </c:pt>
                <c:pt idx="26">
                  <c:v>-65530.968666103829</c:v>
                </c:pt>
                <c:pt idx="27">
                  <c:v>-64450.814321778293</c:v>
                </c:pt>
                <c:pt idx="28">
                  <c:v>-63373.538684469939</c:v>
                </c:pt>
                <c:pt idx="29">
                  <c:v>-62165.189846866764</c:v>
                </c:pt>
                <c:pt idx="30">
                  <c:v>-61094.421380709784</c:v>
                </c:pt>
                <c:pt idx="31">
                  <c:v>-60026.903256236488</c:v>
                </c:pt>
                <c:pt idx="32">
                  <c:v>-58829.984333780361</c:v>
                </c:pt>
                <c:pt idx="33">
                  <c:v>-57769.785871170316</c:v>
                </c:pt>
                <c:pt idx="34">
                  <c:v>-56713.231033901451</c:v>
                </c:pt>
                <c:pt idx="35">
                  <c:v>-55529.124801208105</c:v>
                </c:pt>
                <c:pt idx="36">
                  <c:v>-54480.749191198192</c:v>
                </c:pt>
                <c:pt idx="37">
                  <c:v>-53436.433148204567</c:v>
                </c:pt>
                <c:pt idx="38">
                  <c:v>-52266.602037422461</c:v>
                </c:pt>
                <c:pt idx="39">
                  <c:v>-51231.374010913656</c:v>
                </c:pt>
                <c:pt idx="40">
                  <c:v>-50200.645163369758</c:v>
                </c:pt>
                <c:pt idx="41">
                  <c:v>-49046.634821965388</c:v>
                </c:pt>
                <c:pt idx="42">
                  <c:v>-48025.954152811115</c:v>
                </c:pt>
                <c:pt idx="43">
                  <c:v>-47010.236953450076</c:v>
                </c:pt>
                <c:pt idx="44">
                  <c:v>-45873.679789055153</c:v>
                </c:pt>
                <c:pt idx="45">
                  <c:v>-44869.024435891464</c:v>
                </c:pt>
                <c:pt idx="46">
                  <c:v>-43869.822519638255</c:v>
                </c:pt>
                <c:pt idx="47">
                  <c:v>-42752.441205504758</c:v>
                </c:pt>
                <c:pt idx="48">
                  <c:v>-41765.370410184376</c:v>
                </c:pt>
                <c:pt idx="49">
                  <c:v>-40784.26967339727</c:v>
                </c:pt>
                <c:pt idx="50">
                  <c:v>-39687.880586280648</c:v>
                </c:pt>
                <c:pt idx="51">
                  <c:v>-38720.0379034832</c:v>
                </c:pt>
                <c:pt idx="52">
                  <c:v>-37758.709506009036</c:v>
                </c:pt>
                <c:pt idx="53">
                  <c:v>-36685.226067220006</c:v>
                </c:pt>
                <c:pt idx="54">
                  <c:v>-35738.342299056225</c:v>
                </c:pt>
                <c:pt idx="55">
                  <c:v>-34798.545562910222</c:v>
                </c:pt>
                <c:pt idx="56">
                  <c:v>-33749.98145308542</c:v>
                </c:pt>
                <c:pt idx="57">
                  <c:v>-32825.877462688077</c:v>
                </c:pt>
                <c:pt idx="58">
                  <c:v>-31909.462641600709</c:v>
                </c:pt>
                <c:pt idx="59">
                  <c:v>-30887.934860679568</c:v>
                </c:pt>
                <c:pt idx="60">
                  <c:v>-29988.524239953986</c:v>
                </c:pt>
                <c:pt idx="61">
                  <c:v>-29097.435135520733</c:v>
                </c:pt>
                <c:pt idx="62">
                  <c:v>-28105.166881478122</c:v>
                </c:pt>
                <c:pt idx="63">
                  <c:v>-27232.458450313294</c:v>
                </c:pt>
                <c:pt idx="64">
                  <c:v>-26368.734852925321</c:v>
                </c:pt>
                <c:pt idx="65">
                  <c:v>-25408.058195726291</c:v>
                </c:pt>
                <c:pt idx="66">
                  <c:v>-24564.158312691114</c:v>
                </c:pt>
                <c:pt idx="67">
                  <c:v>-23729.938248077422</c:v>
                </c:pt>
                <c:pt idx="68">
                  <c:v>-22803.296578072208</c:v>
                </c:pt>
                <c:pt idx="69">
                  <c:v>-21990.411244520408</c:v>
                </c:pt>
                <c:pt idx="70">
                  <c:v>-21187.933007764404</c:v>
                </c:pt>
                <c:pt idx="71">
                  <c:v>-20297.883237372946</c:v>
                </c:pt>
                <c:pt idx="72">
                  <c:v>-19518.319974547761</c:v>
                </c:pt>
                <c:pt idx="73">
                  <c:v>-18749.923928481905</c:v>
                </c:pt>
                <c:pt idx="74">
                  <c:v>-17899.13841594477</c:v>
                </c:pt>
                <c:pt idx="75">
                  <c:v>-17155.307880334622</c:v>
                </c:pt>
                <c:pt idx="76">
                  <c:v>-16423.437974026107</c:v>
                </c:pt>
                <c:pt idx="77">
                  <c:v>-15614.70610330964</c:v>
                </c:pt>
                <c:pt idx="78">
                  <c:v>-14909.123361914171</c:v>
                </c:pt>
                <c:pt idx="79">
                  <c:v>-14216.32826550211</c:v>
                </c:pt>
                <c:pt idx="80">
                  <c:v>-13452.557524737211</c:v>
                </c:pt>
                <c:pt idx="81">
                  <c:v>-12787.842801368242</c:v>
                </c:pt>
                <c:pt idx="82">
                  <c:v>-12136.776407525518</c:v>
                </c:pt>
                <c:pt idx="83">
                  <c:v>-11420.992588521869</c:v>
                </c:pt>
                <c:pt idx="84">
                  <c:v>-10799.871032643307</c:v>
                </c:pt>
                <c:pt idx="85">
                  <c:v>-10193.291736298073</c:v>
                </c:pt>
                <c:pt idx="86">
                  <c:v>-9528.6373739095652</c:v>
                </c:pt>
                <c:pt idx="87">
                  <c:v>-8953.9368130908624</c:v>
                </c:pt>
                <c:pt idx="88">
                  <c:v>-8394.7042158108161</c:v>
                </c:pt>
                <c:pt idx="89">
                  <c:v>-7784.4332514201305</c:v>
                </c:pt>
                <c:pt idx="90">
                  <c:v>-7259.0775623812369</c:v>
                </c:pt>
                <c:pt idx="91">
                  <c:v>-6750.1435304916085</c:v>
                </c:pt>
                <c:pt idx="92">
                  <c:v>-6197.6076393513285</c:v>
                </c:pt>
                <c:pt idx="93">
                  <c:v>-5724.6003963935982</c:v>
                </c:pt>
                <c:pt idx="94">
                  <c:v>-5268.9875445368234</c:v>
                </c:pt>
                <c:pt idx="95">
                  <c:v>-4777.603842826582</c:v>
                </c:pt>
                <c:pt idx="96">
                  <c:v>-4359.9901999884787</c:v>
                </c:pt>
                <c:pt idx="97">
                  <c:v>-3960.7421763302191</c:v>
                </c:pt>
                <c:pt idx="98">
                  <c:v>-3533.9191182778195</c:v>
                </c:pt>
                <c:pt idx="99">
                  <c:v>-3174.6987799832932</c:v>
                </c:pt>
                <c:pt idx="100">
                  <c:v>-2834.7671819467178</c:v>
                </c:pt>
                <c:pt idx="101">
                  <c:v>-2475.736579407454</c:v>
                </c:pt>
                <c:pt idx="102">
                  <c:v>-2177.6671843117474</c:v>
                </c:pt>
                <c:pt idx="103">
                  <c:v>-1899.6570192596373</c:v>
                </c:pt>
                <c:pt idx="104">
                  <c:v>-1611.0978519744349</c:v>
                </c:pt>
                <c:pt idx="105">
                  <c:v>-1376.2576530040769</c:v>
                </c:pt>
                <c:pt idx="106">
                  <c:v>-1161.8662425758666</c:v>
                </c:pt>
                <c:pt idx="107">
                  <c:v>-945.08643135841521</c:v>
                </c:pt>
                <c:pt idx="108">
                  <c:v>-773.9404461593731</c:v>
                </c:pt>
                <c:pt idx="109">
                  <c:v>-622.7876519774909</c:v>
                </c:pt>
                <c:pt idx="110">
                  <c:v>-476.07728499047153</c:v>
                </c:pt>
                <c:pt idx="111">
                  <c:v>-365.6858715468552</c:v>
                </c:pt>
                <c:pt idx="112">
                  <c:v>-273.20619150514904</c:v>
                </c:pt>
                <c:pt idx="113">
                  <c:v>-189.13531467878693</c:v>
                </c:pt>
                <c:pt idx="114">
                  <c:v>-130.58382574901771</c:v>
                </c:pt>
                <c:pt idx="115">
                  <c:v>-85.532537980298912</c:v>
                </c:pt>
                <c:pt idx="116">
                  <c:v>-48.707150080789688</c:v>
                </c:pt>
                <c:pt idx="117">
                  <c:v>-26.20922916708696</c:v>
                </c:pt>
                <c:pt idx="118">
                  <c:v>-11.501173772391667</c:v>
                </c:pt>
                <c:pt idx="119">
                  <c:v>-2.4515400940208565</c:v>
                </c:pt>
                <c:pt idx="120">
                  <c:v>0</c:v>
                </c:pt>
                <c:pt idx="121">
                  <c:v>-2.4515400940208565</c:v>
                </c:pt>
                <c:pt idx="122">
                  <c:v>-11.501173772391667</c:v>
                </c:pt>
                <c:pt idx="123">
                  <c:v>-26.20922916708696</c:v>
                </c:pt>
                <c:pt idx="124">
                  <c:v>-48.707150080789688</c:v>
                </c:pt>
                <c:pt idx="125">
                  <c:v>-85.532537980298912</c:v>
                </c:pt>
                <c:pt idx="126">
                  <c:v>-130.58382574901771</c:v>
                </c:pt>
                <c:pt idx="127">
                  <c:v>-189.13531467878693</c:v>
                </c:pt>
                <c:pt idx="128">
                  <c:v>-273.20619150514904</c:v>
                </c:pt>
                <c:pt idx="129">
                  <c:v>-365.6858715468552</c:v>
                </c:pt>
                <c:pt idx="130">
                  <c:v>-476.07728499047153</c:v>
                </c:pt>
                <c:pt idx="131">
                  <c:v>-622.7876519774909</c:v>
                </c:pt>
                <c:pt idx="132">
                  <c:v>-773.94044615938219</c:v>
                </c:pt>
                <c:pt idx="133">
                  <c:v>-945.08643135841885</c:v>
                </c:pt>
                <c:pt idx="134">
                  <c:v>-1161.8662425758666</c:v>
                </c:pt>
                <c:pt idx="135">
                  <c:v>-1376.2576530040769</c:v>
                </c:pt>
                <c:pt idx="136">
                  <c:v>-1611.0978519744349</c:v>
                </c:pt>
                <c:pt idx="137">
                  <c:v>-1899.6570192596264</c:v>
                </c:pt>
                <c:pt idx="138">
                  <c:v>-2177.6671843117401</c:v>
                </c:pt>
                <c:pt idx="139">
                  <c:v>-2475.736579407454</c:v>
                </c:pt>
                <c:pt idx="140">
                  <c:v>-2834.7671819467178</c:v>
                </c:pt>
                <c:pt idx="141">
                  <c:v>-3174.6987799832932</c:v>
                </c:pt>
                <c:pt idx="142">
                  <c:v>-3533.9191182778195</c:v>
                </c:pt>
                <c:pt idx="143">
                  <c:v>-3960.7421763302191</c:v>
                </c:pt>
                <c:pt idx="144">
                  <c:v>-4359.9901999884787</c:v>
                </c:pt>
                <c:pt idx="145">
                  <c:v>-4777.603842826582</c:v>
                </c:pt>
                <c:pt idx="146">
                  <c:v>-5268.9875445368234</c:v>
                </c:pt>
                <c:pt idx="147">
                  <c:v>-5724.6003963936055</c:v>
                </c:pt>
                <c:pt idx="148">
                  <c:v>-6197.6076393513431</c:v>
                </c:pt>
                <c:pt idx="149">
                  <c:v>-6750.1435304916085</c:v>
                </c:pt>
                <c:pt idx="150">
                  <c:v>-7259.0775623812369</c:v>
                </c:pt>
                <c:pt idx="151">
                  <c:v>-7784.4332514201305</c:v>
                </c:pt>
                <c:pt idx="152">
                  <c:v>-8394.7042158108015</c:v>
                </c:pt>
                <c:pt idx="153">
                  <c:v>-8953.936813088847</c:v>
                </c:pt>
                <c:pt idx="154">
                  <c:v>-9528.6373739095579</c:v>
                </c:pt>
                <c:pt idx="155">
                  <c:v>-10193.291736298088</c:v>
                </c:pt>
                <c:pt idx="156">
                  <c:v>-10799.871032643307</c:v>
                </c:pt>
                <c:pt idx="157">
                  <c:v>-11420.992588521869</c:v>
                </c:pt>
                <c:pt idx="158">
                  <c:v>-12136.776407525518</c:v>
                </c:pt>
                <c:pt idx="159">
                  <c:v>-12787.842801368242</c:v>
                </c:pt>
                <c:pt idx="160">
                  <c:v>-13452.557524737189</c:v>
                </c:pt>
                <c:pt idx="161">
                  <c:v>-14216.328265502132</c:v>
                </c:pt>
                <c:pt idx="162">
                  <c:v>-14909.123361914171</c:v>
                </c:pt>
                <c:pt idx="163">
                  <c:v>-15614.706103309647</c:v>
                </c:pt>
                <c:pt idx="164">
                  <c:v>-16423.437974027576</c:v>
                </c:pt>
                <c:pt idx="165">
                  <c:v>-17155.307880334622</c:v>
                </c:pt>
                <c:pt idx="166">
                  <c:v>-17899.138415944799</c:v>
                </c:pt>
                <c:pt idx="167">
                  <c:v>-18749.923928481869</c:v>
                </c:pt>
                <c:pt idx="168">
                  <c:v>-19518.319974547761</c:v>
                </c:pt>
                <c:pt idx="169">
                  <c:v>-20297.883237372909</c:v>
                </c:pt>
                <c:pt idx="170">
                  <c:v>-21187.933007764419</c:v>
                </c:pt>
                <c:pt idx="171">
                  <c:v>-21990.411244520401</c:v>
                </c:pt>
                <c:pt idx="172">
                  <c:v>-22803.296578072215</c:v>
                </c:pt>
                <c:pt idx="173">
                  <c:v>-23729.938248077415</c:v>
                </c:pt>
                <c:pt idx="174">
                  <c:v>-24564.15831269131</c:v>
                </c:pt>
                <c:pt idx="175">
                  <c:v>-25408.058195726262</c:v>
                </c:pt>
                <c:pt idx="176">
                  <c:v>-26368.734852925336</c:v>
                </c:pt>
                <c:pt idx="177">
                  <c:v>-27232.458450313294</c:v>
                </c:pt>
                <c:pt idx="178">
                  <c:v>-28105.166881475925</c:v>
                </c:pt>
                <c:pt idx="179">
                  <c:v>-29097.435135520704</c:v>
                </c:pt>
                <c:pt idx="180">
                  <c:v>-29988.524239953986</c:v>
                </c:pt>
                <c:pt idx="181">
                  <c:v>-30887.934860679583</c:v>
                </c:pt>
                <c:pt idx="182">
                  <c:v>-31909.462641600694</c:v>
                </c:pt>
                <c:pt idx="183">
                  <c:v>-32825.877462688077</c:v>
                </c:pt>
                <c:pt idx="184">
                  <c:v>-33749.981453086351</c:v>
                </c:pt>
                <c:pt idx="185">
                  <c:v>-34798.545562910251</c:v>
                </c:pt>
                <c:pt idx="186">
                  <c:v>-35738.342299056225</c:v>
                </c:pt>
                <c:pt idx="187">
                  <c:v>-36685.226067220021</c:v>
                </c:pt>
                <c:pt idx="188">
                  <c:v>-37758.709506008992</c:v>
                </c:pt>
                <c:pt idx="189">
                  <c:v>-38720.0379034832</c:v>
                </c:pt>
                <c:pt idx="190">
                  <c:v>-39687.880586280618</c:v>
                </c:pt>
                <c:pt idx="191">
                  <c:v>-40784.269673397313</c:v>
                </c:pt>
                <c:pt idx="192">
                  <c:v>-41765.370410184376</c:v>
                </c:pt>
                <c:pt idx="193">
                  <c:v>-42752.441205505645</c:v>
                </c:pt>
                <c:pt idx="194">
                  <c:v>-43869.822519639056</c:v>
                </c:pt>
                <c:pt idx="195">
                  <c:v>-44869.024435891464</c:v>
                </c:pt>
                <c:pt idx="196">
                  <c:v>-45873.679789055182</c:v>
                </c:pt>
                <c:pt idx="197">
                  <c:v>-47010.236953450061</c:v>
                </c:pt>
                <c:pt idx="198">
                  <c:v>-48025.954152811115</c:v>
                </c:pt>
                <c:pt idx="199">
                  <c:v>-49046.634821966058</c:v>
                </c:pt>
                <c:pt idx="200">
                  <c:v>-50200.645163369787</c:v>
                </c:pt>
                <c:pt idx="201">
                  <c:v>-51231.374010913656</c:v>
                </c:pt>
                <c:pt idx="202">
                  <c:v>-52266.602037422461</c:v>
                </c:pt>
                <c:pt idx="203">
                  <c:v>-53436.433148204567</c:v>
                </c:pt>
                <c:pt idx="204">
                  <c:v>-54480.749191198192</c:v>
                </c:pt>
                <c:pt idx="205">
                  <c:v>-55529.124801208076</c:v>
                </c:pt>
                <c:pt idx="206">
                  <c:v>-56713.231033901524</c:v>
                </c:pt>
                <c:pt idx="207">
                  <c:v>-57769.785871170316</c:v>
                </c:pt>
                <c:pt idx="208">
                  <c:v>-58829.984333780376</c:v>
                </c:pt>
                <c:pt idx="209">
                  <c:v>-60026.903256236474</c:v>
                </c:pt>
                <c:pt idx="210">
                  <c:v>-61094.421380709784</c:v>
                </c:pt>
                <c:pt idx="211">
                  <c:v>-62165.189846866822</c:v>
                </c:pt>
                <c:pt idx="212">
                  <c:v>-63373.538684469881</c:v>
                </c:pt>
                <c:pt idx="213">
                  <c:v>-64450.814321778293</c:v>
                </c:pt>
                <c:pt idx="214">
                  <c:v>-65530.968666103057</c:v>
                </c:pt>
                <c:pt idx="215">
                  <c:v>-66749.440755261516</c:v>
                </c:pt>
                <c:pt idx="216">
                  <c:v>-67835.334719187129</c:v>
                </c:pt>
                <c:pt idx="217">
                  <c:v>-68923.75640485117</c:v>
                </c:pt>
                <c:pt idx="218">
                  <c:v>-70151.117679492658</c:v>
                </c:pt>
                <c:pt idx="219">
                  <c:v>-71244.554262802048</c:v>
                </c:pt>
                <c:pt idx="220">
                  <c:v>-72340.187247200345</c:v>
                </c:pt>
                <c:pt idx="221">
                  <c:v>-73575.272777374368</c:v>
                </c:pt>
                <c:pt idx="222">
                  <c:v>-74675.236694186082</c:v>
                </c:pt>
                <c:pt idx="223">
                  <c:v>-75777.084390837059</c:v>
                </c:pt>
                <c:pt idx="224">
                  <c:v>-77018.794989844479</c:v>
                </c:pt>
                <c:pt idx="225">
                  <c:v>-78124.328383369575</c:v>
                </c:pt>
                <c:pt idx="226">
                  <c:v>-79231.450693104271</c:v>
                </c:pt>
                <c:pt idx="227">
                  <c:v>-80478.749607010046</c:v>
                </c:pt>
                <c:pt idx="228">
                  <c:v>-81588.949134183073</c:v>
                </c:pt>
                <c:pt idx="229">
                  <c:v>-82700.459556477144</c:v>
                </c:pt>
                <c:pt idx="230">
                  <c:v>-83952.369247370851</c:v>
                </c:pt>
                <c:pt idx="231">
                  <c:v>-85066.383249791965</c:v>
                </c:pt>
                <c:pt idx="232">
                  <c:v>-86181.446082973955</c:v>
                </c:pt>
                <c:pt idx="233">
                  <c:v>-87437.045115058572</c:v>
                </c:pt>
                <c:pt idx="234">
                  <c:v>-88554.070883643246</c:v>
                </c:pt>
                <c:pt idx="235">
                  <c:v>-89671.898520796967</c:v>
                </c:pt>
                <c:pt idx="236">
                  <c:v>-90930.318556275321</c:v>
                </c:pt>
                <c:pt idx="237">
                  <c:v>-92049.599695208031</c:v>
                </c:pt>
                <c:pt idx="238">
                  <c:v>-93169.450020823526</c:v>
                </c:pt>
                <c:pt idx="239">
                  <c:v>-94429.872930648256</c:v>
                </c:pt>
                <c:pt idx="240">
                  <c:v>-95550.696824635204</c:v>
                </c:pt>
              </c:numCache>
            </c:numRef>
          </c:yVal>
          <c:smooth val="0"/>
          <c:extLst>
            <c:ext xmlns:c16="http://schemas.microsoft.com/office/drawing/2014/chart" uri="{C3380CC4-5D6E-409C-BE32-E72D297353CC}">
              <c16:uniqueId val="{00000001-3D8D-4208-A6E8-3CB6203B64D2}"/>
            </c:ext>
          </c:extLst>
        </c:ser>
        <c:ser>
          <c:idx val="2"/>
          <c:order val="2"/>
          <c:tx>
            <c:v>Paper ice-ocean 35 km / 1600 km pass</c:v>
          </c:tx>
          <c:spPr>
            <a:ln w="19050">
              <a:solidFill>
                <a:srgbClr val="16A34A"/>
              </a:solidFill>
              <a:prstDash val="solid"/>
            </a:ln>
          </c:spPr>
          <c:marker>
            <c:symbol val="none"/>
          </c:marker>
          <c:xVal>
            <c:numRef>
              <c:f>Native_Chart_Data!$E$248:$E$488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Native_Chart_Data!$F$248:$F$488</c:f>
              <c:numCache>
                <c:formatCode>General</c:formatCode>
                <c:ptCount val="241"/>
                <c:pt idx="0">
                  <c:v>-192178.91313344726</c:v>
                </c:pt>
                <c:pt idx="1">
                  <c:v>-190472.55314770035</c:v>
                </c:pt>
                <c:pt idx="2">
                  <c:v>-188542.34891493866</c:v>
                </c:pt>
                <c:pt idx="3">
                  <c:v>-186817.33873453335</c:v>
                </c:pt>
                <c:pt idx="4">
                  <c:v>-185083.70199145679</c:v>
                </c:pt>
                <c:pt idx="5">
                  <c:v>-183123.17397563407</c:v>
                </c:pt>
                <c:pt idx="6">
                  <c:v>-181371.54200338566</c:v>
                </c:pt>
                <c:pt idx="7">
                  <c:v>-179611.60663962277</c:v>
                </c:pt>
                <c:pt idx="8">
                  <c:v>-177621.89133436125</c:v>
                </c:pt>
                <c:pt idx="9">
                  <c:v>-175844.68076899392</c:v>
                </c:pt>
                <c:pt idx="10">
                  <c:v>-174059.5218997983</c:v>
                </c:pt>
                <c:pt idx="11">
                  <c:v>-172041.86803726538</c:v>
                </c:pt>
                <c:pt idx="12">
                  <c:v>-170240.22471774745</c:v>
                </c:pt>
                <c:pt idx="13">
                  <c:v>-168431.02288308332</c:v>
                </c:pt>
                <c:pt idx="14">
                  <c:v>-166386.80122569614</c:v>
                </c:pt>
                <c:pt idx="15">
                  <c:v>-164561.98259931064</c:v>
                </c:pt>
                <c:pt idx="16">
                  <c:v>-162730.03298707734</c:v>
                </c:pt>
                <c:pt idx="17">
                  <c:v>-160660.74701629789</c:v>
                </c:pt>
                <c:pt idx="18">
                  <c:v>-158814.13192459266</c:v>
                </c:pt>
                <c:pt idx="19">
                  <c:v>-156960.85443111646</c:v>
                </c:pt>
                <c:pt idx="20">
                  <c:v>-154868.15200145353</c:v>
                </c:pt>
                <c:pt idx="21">
                  <c:v>-153001.25134490427</c:v>
                </c:pt>
                <c:pt idx="22">
                  <c:v>-151128.20153368788</c:v>
                </c:pt>
                <c:pt idx="23">
                  <c:v>-149013.88756056636</c:v>
                </c:pt>
                <c:pt idx="24">
                  <c:v>-147128.35590287362</c:v>
                </c:pt>
                <c:pt idx="25">
                  <c:v>-145237.23692226937</c:v>
                </c:pt>
                <c:pt idx="26">
                  <c:v>-143103.2871715021</c:v>
                </c:pt>
                <c:pt idx="27">
                  <c:v>-141200.93534309621</c:v>
                </c:pt>
                <c:pt idx="28">
                  <c:v>-139293.61086167698</c:v>
                </c:pt>
                <c:pt idx="29">
                  <c:v>-137142.18690545231</c:v>
                </c:pt>
                <c:pt idx="30">
                  <c:v>-135224.99566257387</c:v>
                </c:pt>
                <c:pt idx="31">
                  <c:v>-133303.50387707393</c:v>
                </c:pt>
                <c:pt idx="32">
                  <c:v>-131136.96927609117</c:v>
                </c:pt>
                <c:pt idx="33">
                  <c:v>-129207.10406628711</c:v>
                </c:pt>
                <c:pt idx="34">
                  <c:v>-127273.6728305979</c:v>
                </c:pt>
                <c:pt idx="35">
                  <c:v>-125094.61059367191</c:v>
                </c:pt>
                <c:pt idx="36">
                  <c:v>-123154.43747008915</c:v>
                </c:pt>
                <c:pt idx="37">
                  <c:v>-121211.50058427514</c:v>
                </c:pt>
                <c:pt idx="38">
                  <c:v>-119022.73194468833</c:v>
                </c:pt>
                <c:pt idx="39">
                  <c:v>-117074.83465957025</c:v>
                </c:pt>
                <c:pt idx="40">
                  <c:v>-115125.04934461683</c:v>
                </c:pt>
                <c:pt idx="41">
                  <c:v>-112929.65387596696</c:v>
                </c:pt>
                <c:pt idx="42">
                  <c:v>-110976.85216755129</c:v>
                </c:pt>
                <c:pt idx="43">
                  <c:v>-109023.11773384287</c:v>
                </c:pt>
                <c:pt idx="44">
                  <c:v>-106824.4548063117</c:v>
                </c:pt>
                <c:pt idx="45">
                  <c:v>-104869.82387216578</c:v>
                </c:pt>
                <c:pt idx="46">
                  <c:v>-102915.30156679498</c:v>
                </c:pt>
                <c:pt idx="47">
                  <c:v>-100717.03311684405</c:v>
                </c:pt>
                <c:pt idx="48">
                  <c:v>-98763.924239837128</c:v>
                </c:pt>
                <c:pt idx="49">
                  <c:v>-96812.058229060029</c:v>
                </c:pt>
                <c:pt idx="50">
                  <c:v>-94618.172780739202</c:v>
                </c:pt>
                <c:pt idx="51">
                  <c:v>-92670.235040711414</c:v>
                </c:pt>
                <c:pt idx="52">
                  <c:v>-90724.774448562239</c:v>
                </c:pt>
                <c:pt idx="53">
                  <c:v>-88539.612282307091</c:v>
                </c:pt>
                <c:pt idx="54">
                  <c:v>-86600.815246497659</c:v>
                </c:pt>
                <c:pt idx="55">
                  <c:v>-84665.837128348445</c:v>
                </c:pt>
                <c:pt idx="56">
                  <c:v>-82494.116442924889</c:v>
                </c:pt>
                <c:pt idx="57">
                  <c:v>-80568.773681183695</c:v>
                </c:pt>
                <c:pt idx="58">
                  <c:v>-78648.70676173814</c:v>
                </c:pt>
                <c:pt idx="59">
                  <c:v>-76495.550616892549</c:v>
                </c:pt>
                <c:pt idx="60">
                  <c:v>-74588.343833805033</c:v>
                </c:pt>
                <c:pt idx="61">
                  <c:v>-72687.992783106281</c:v>
                </c:pt>
                <c:pt idx="62">
                  <c:v>-70558.956545294801</c:v>
                </c:pt>
                <c:pt idx="63">
                  <c:v>-68674.960061513659</c:v>
                </c:pt>
                <c:pt idx="64">
                  <c:v>-66799.530021092054</c:v>
                </c:pt>
                <c:pt idx="65">
                  <c:v>-64700.628963953612</c:v>
                </c:pt>
                <c:pt idx="66">
                  <c:v>-62845.334215087423</c:v>
                </c:pt>
                <c:pt idx="67">
                  <c:v>-61000.45522179082</c:v>
                </c:pt>
                <c:pt idx="68">
                  <c:v>-58938.191859995888</c:v>
                </c:pt>
                <c:pt idx="69">
                  <c:v>-57117.53151668291</c:v>
                </c:pt>
                <c:pt idx="70">
                  <c:v>-55309.28240772686</c:v>
                </c:pt>
                <c:pt idx="71">
                  <c:v>-53290.673072524471</c:v>
                </c:pt>
                <c:pt idx="72">
                  <c:v>-51511.044325088587</c:v>
                </c:pt>
                <c:pt idx="73">
                  <c:v>-49745.975650615117</c:v>
                </c:pt>
                <c:pt idx="74">
                  <c:v>-47778.57575572333</c:v>
                </c:pt>
                <c:pt idx="75">
                  <c:v>-46046.862259196627</c:v>
                </c:pt>
                <c:pt idx="76">
                  <c:v>-44332.017687418411</c:v>
                </c:pt>
                <c:pt idx="77">
                  <c:v>-42423.945096951415</c:v>
                </c:pt>
                <c:pt idx="78">
                  <c:v>-40747.537049505336</c:v>
                </c:pt>
                <c:pt idx="79">
                  <c:v>-39090.472738230674</c:v>
                </c:pt>
                <c:pt idx="80">
                  <c:v>-37250.428651962691</c:v>
                </c:pt>
                <c:pt idx="81">
                  <c:v>-35637.240500205327</c:v>
                </c:pt>
                <c:pt idx="82">
                  <c:v>-34046.041947946462</c:v>
                </c:pt>
                <c:pt idx="83">
                  <c:v>-32283.3287901734</c:v>
                </c:pt>
                <c:pt idx="84">
                  <c:v>-30741.814145394601</c:v>
                </c:pt>
                <c:pt idx="85">
                  <c:v>-29225.110156037001</c:v>
                </c:pt>
                <c:pt idx="86">
                  <c:v>-27549.64613181504</c:v>
                </c:pt>
                <c:pt idx="87">
                  <c:v>-26088.809681649203</c:v>
                </c:pt>
                <c:pt idx="88">
                  <c:v>-24655.783322873118</c:v>
                </c:pt>
                <c:pt idx="89">
                  <c:v>-23078.113644632846</c:v>
                </c:pt>
                <c:pt idx="90">
                  <c:v>-21707.520208299306</c:v>
                </c:pt>
                <c:pt idx="91">
                  <c:v>-20367.917072372351</c:v>
                </c:pt>
                <c:pt idx="92">
                  <c:v>-18899.222425472472</c:v>
                </c:pt>
                <c:pt idx="93">
                  <c:v>-17629.003880901917</c:v>
                </c:pt>
                <c:pt idx="94">
                  <c:v>-16393.138607990768</c:v>
                </c:pt>
                <c:pt idx="95">
                  <c:v>-15045.242230124342</c:v>
                </c:pt>
                <c:pt idx="96">
                  <c:v>-13886.103797269352</c:v>
                </c:pt>
                <c:pt idx="97">
                  <c:v>-12764.866565310112</c:v>
                </c:pt>
                <c:pt idx="98">
                  <c:v>-11550.242027722496</c:v>
                </c:pt>
                <c:pt idx="99">
                  <c:v>-10513.469745248251</c:v>
                </c:pt>
                <c:pt idx="100">
                  <c:v>-9518.3342443124784</c:v>
                </c:pt>
                <c:pt idx="101">
                  <c:v>-8450.1146067239897</c:v>
                </c:pt>
                <c:pt idx="102">
                  <c:v>-7547.5826717634845</c:v>
                </c:pt>
                <c:pt idx="103">
                  <c:v>-6690.6108063324282</c:v>
                </c:pt>
                <c:pt idx="104">
                  <c:v>-5782.5863929769912</c:v>
                </c:pt>
                <c:pt idx="105">
                  <c:v>-5026.7415034051373</c:v>
                </c:pt>
                <c:pt idx="106">
                  <c:v>-4320.5432959684549</c:v>
                </c:pt>
                <c:pt idx="107">
                  <c:v>-3587.0630675248431</c:v>
                </c:pt>
                <c:pt idx="108">
                  <c:v>-2990.7521080161314</c:v>
                </c:pt>
                <c:pt idx="109">
                  <c:v>-2448.1742219196822</c:v>
                </c:pt>
                <c:pt idx="110">
                  <c:v>-1903.505948859045</c:v>
                </c:pt>
                <c:pt idx="111">
                  <c:v>-1478.9642244424758</c:v>
                </c:pt>
                <c:pt idx="112">
                  <c:v>-1111.3665792034881</c:v>
                </c:pt>
                <c:pt idx="113">
                  <c:v>-766.31188824812671</c:v>
                </c:pt>
                <c:pt idx="114">
                  <c:v>-520.01022342426404</c:v>
                </c:pt>
                <c:pt idx="115">
                  <c:v>-328.85027552274187</c:v>
                </c:pt>
                <c:pt idx="116">
                  <c:v>-175.28477054044197</c:v>
                </c:pt>
                <c:pt idx="117">
                  <c:v>-86.794732464311892</c:v>
                </c:pt>
                <c:pt idx="118">
                  <c:v>-34.567441559190229</c:v>
                </c:pt>
                <c:pt idx="119">
                  <c:v>-6.7016754171791035</c:v>
                </c:pt>
                <c:pt idx="120">
                  <c:v>0</c:v>
                </c:pt>
                <c:pt idx="121">
                  <c:v>-6.7016754171791035</c:v>
                </c:pt>
                <c:pt idx="122">
                  <c:v>-34.567441559186591</c:v>
                </c:pt>
                <c:pt idx="123">
                  <c:v>-86.794732464307344</c:v>
                </c:pt>
                <c:pt idx="124">
                  <c:v>-175.28477054044197</c:v>
                </c:pt>
                <c:pt idx="125">
                  <c:v>-328.85027552274187</c:v>
                </c:pt>
                <c:pt idx="126">
                  <c:v>-520.01022342426404</c:v>
                </c:pt>
                <c:pt idx="127">
                  <c:v>-766.31188824812671</c:v>
                </c:pt>
                <c:pt idx="128">
                  <c:v>-1111.3665792034881</c:v>
                </c:pt>
                <c:pt idx="129">
                  <c:v>-1478.9642244424758</c:v>
                </c:pt>
                <c:pt idx="130">
                  <c:v>-1903.505948859045</c:v>
                </c:pt>
                <c:pt idx="131">
                  <c:v>-2448.1742219196822</c:v>
                </c:pt>
                <c:pt idx="132">
                  <c:v>-2990.7521080161423</c:v>
                </c:pt>
                <c:pt idx="133">
                  <c:v>-3587.0630675248613</c:v>
                </c:pt>
                <c:pt idx="134">
                  <c:v>-4320.5432959684549</c:v>
                </c:pt>
                <c:pt idx="135">
                  <c:v>-5026.7415034051373</c:v>
                </c:pt>
                <c:pt idx="136">
                  <c:v>-5782.5863929769912</c:v>
                </c:pt>
                <c:pt idx="137">
                  <c:v>-6690.6108063344145</c:v>
                </c:pt>
                <c:pt idx="138">
                  <c:v>-7547.5826717672899</c:v>
                </c:pt>
                <c:pt idx="139">
                  <c:v>-8450.1146067239897</c:v>
                </c:pt>
                <c:pt idx="140">
                  <c:v>-9518.3342443124784</c:v>
                </c:pt>
                <c:pt idx="141">
                  <c:v>-10513.469745248251</c:v>
                </c:pt>
                <c:pt idx="142">
                  <c:v>-11550.242027722496</c:v>
                </c:pt>
                <c:pt idx="143">
                  <c:v>-12764.866565310112</c:v>
                </c:pt>
                <c:pt idx="144">
                  <c:v>-13886.103797269352</c:v>
                </c:pt>
                <c:pt idx="145">
                  <c:v>-15045.242230124342</c:v>
                </c:pt>
                <c:pt idx="146">
                  <c:v>-16393.138607990768</c:v>
                </c:pt>
                <c:pt idx="147">
                  <c:v>-17629.003880901961</c:v>
                </c:pt>
                <c:pt idx="148">
                  <c:v>-18899.222425472501</c:v>
                </c:pt>
                <c:pt idx="149">
                  <c:v>-20367.917072372351</c:v>
                </c:pt>
                <c:pt idx="150">
                  <c:v>-21707.520208299306</c:v>
                </c:pt>
                <c:pt idx="151">
                  <c:v>-23078.113644632846</c:v>
                </c:pt>
                <c:pt idx="152">
                  <c:v>-24655.783322873089</c:v>
                </c:pt>
                <c:pt idx="153">
                  <c:v>-26088.80968164916</c:v>
                </c:pt>
                <c:pt idx="154">
                  <c:v>-27549.646131814996</c:v>
                </c:pt>
                <c:pt idx="155">
                  <c:v>-29225.110156036026</c:v>
                </c:pt>
                <c:pt idx="156">
                  <c:v>-30741.814145394601</c:v>
                </c:pt>
                <c:pt idx="157">
                  <c:v>-32283.3287901734</c:v>
                </c:pt>
                <c:pt idx="158">
                  <c:v>-34046.041947946462</c:v>
                </c:pt>
                <c:pt idx="159">
                  <c:v>-35637.240500205327</c:v>
                </c:pt>
                <c:pt idx="160">
                  <c:v>-37250.428651962648</c:v>
                </c:pt>
                <c:pt idx="161">
                  <c:v>-39090.472738230732</c:v>
                </c:pt>
                <c:pt idx="162">
                  <c:v>-40747.537049505336</c:v>
                </c:pt>
                <c:pt idx="163">
                  <c:v>-42423.945096951444</c:v>
                </c:pt>
                <c:pt idx="164">
                  <c:v>-44332.017687418353</c:v>
                </c:pt>
                <c:pt idx="165">
                  <c:v>-46046.862259196627</c:v>
                </c:pt>
                <c:pt idx="166">
                  <c:v>-47778.575755723403</c:v>
                </c:pt>
                <c:pt idx="167">
                  <c:v>-49745.975650615073</c:v>
                </c:pt>
                <c:pt idx="168">
                  <c:v>-51511.044325088587</c:v>
                </c:pt>
                <c:pt idx="169">
                  <c:v>-53290.673072524412</c:v>
                </c:pt>
                <c:pt idx="170">
                  <c:v>-55309.282407726903</c:v>
                </c:pt>
                <c:pt idx="171">
                  <c:v>-57117.531516682895</c:v>
                </c:pt>
                <c:pt idx="172">
                  <c:v>-58938.191859995903</c:v>
                </c:pt>
                <c:pt idx="173">
                  <c:v>-61000.455221790791</c:v>
                </c:pt>
                <c:pt idx="174">
                  <c:v>-62845.334215087452</c:v>
                </c:pt>
                <c:pt idx="175">
                  <c:v>-64700.628963954092</c:v>
                </c:pt>
                <c:pt idx="176">
                  <c:v>-66799.530021092098</c:v>
                </c:pt>
                <c:pt idx="177">
                  <c:v>-68674.960061513659</c:v>
                </c:pt>
                <c:pt idx="178">
                  <c:v>-70558.956545294859</c:v>
                </c:pt>
                <c:pt idx="179">
                  <c:v>-72687.992783106223</c:v>
                </c:pt>
                <c:pt idx="180">
                  <c:v>-74588.343833805033</c:v>
                </c:pt>
                <c:pt idx="181">
                  <c:v>-76495.550616892637</c:v>
                </c:pt>
                <c:pt idx="182">
                  <c:v>-78648.706761738111</c:v>
                </c:pt>
                <c:pt idx="183">
                  <c:v>-80568.773681183695</c:v>
                </c:pt>
                <c:pt idx="184">
                  <c:v>-82494.11644292518</c:v>
                </c:pt>
                <c:pt idx="185">
                  <c:v>-84665.837128348503</c:v>
                </c:pt>
                <c:pt idx="186">
                  <c:v>-86600.815246497659</c:v>
                </c:pt>
                <c:pt idx="187">
                  <c:v>-88539.612282307149</c:v>
                </c:pt>
                <c:pt idx="188">
                  <c:v>-90724.77444856253</c:v>
                </c:pt>
                <c:pt idx="189">
                  <c:v>-92670.235040711414</c:v>
                </c:pt>
                <c:pt idx="190">
                  <c:v>-94618.172780739114</c:v>
                </c:pt>
                <c:pt idx="191">
                  <c:v>-96812.058229060291</c:v>
                </c:pt>
                <c:pt idx="192">
                  <c:v>-98763.924239837128</c:v>
                </c:pt>
                <c:pt idx="193">
                  <c:v>-100717.0331168441</c:v>
                </c:pt>
                <c:pt idx="194">
                  <c:v>-102915.30156679449</c:v>
                </c:pt>
                <c:pt idx="195">
                  <c:v>-104869.82387216578</c:v>
                </c:pt>
                <c:pt idx="196">
                  <c:v>-106824.4548063119</c:v>
                </c:pt>
                <c:pt idx="197">
                  <c:v>-109023.11773384197</c:v>
                </c:pt>
                <c:pt idx="198">
                  <c:v>-110976.85216755129</c:v>
                </c:pt>
                <c:pt idx="199">
                  <c:v>-112929.65387596656</c:v>
                </c:pt>
                <c:pt idx="200">
                  <c:v>-115125.04934461691</c:v>
                </c:pt>
                <c:pt idx="201">
                  <c:v>-117074.83465957025</c:v>
                </c:pt>
                <c:pt idx="202">
                  <c:v>-119022.73194468833</c:v>
                </c:pt>
                <c:pt idx="203">
                  <c:v>-121211.50058427514</c:v>
                </c:pt>
                <c:pt idx="204">
                  <c:v>-123154.43747008915</c:v>
                </c:pt>
                <c:pt idx="205">
                  <c:v>-125094.61059367246</c:v>
                </c:pt>
                <c:pt idx="206">
                  <c:v>-127273.67283059817</c:v>
                </c:pt>
                <c:pt idx="207">
                  <c:v>-129207.10406628711</c:v>
                </c:pt>
                <c:pt idx="208">
                  <c:v>-131136.96927609123</c:v>
                </c:pt>
                <c:pt idx="209">
                  <c:v>-133303.50387707388</c:v>
                </c:pt>
                <c:pt idx="210">
                  <c:v>-135224.99566257387</c:v>
                </c:pt>
                <c:pt idx="211">
                  <c:v>-137142.1869054522</c:v>
                </c:pt>
                <c:pt idx="212">
                  <c:v>-139293.61086167686</c:v>
                </c:pt>
                <c:pt idx="213">
                  <c:v>-141200.93534309621</c:v>
                </c:pt>
                <c:pt idx="214">
                  <c:v>-143103.28717150204</c:v>
                </c:pt>
                <c:pt idx="215">
                  <c:v>-145237.23692226943</c:v>
                </c:pt>
                <c:pt idx="216">
                  <c:v>-147128.35590287362</c:v>
                </c:pt>
                <c:pt idx="217">
                  <c:v>-149013.88756056636</c:v>
                </c:pt>
                <c:pt idx="218">
                  <c:v>-151128.20153368788</c:v>
                </c:pt>
                <c:pt idx="219">
                  <c:v>-153001.25134490427</c:v>
                </c:pt>
                <c:pt idx="220">
                  <c:v>-154868.15200145351</c:v>
                </c:pt>
                <c:pt idx="221">
                  <c:v>-156960.85443111658</c:v>
                </c:pt>
                <c:pt idx="222">
                  <c:v>-158814.13192459266</c:v>
                </c:pt>
                <c:pt idx="223">
                  <c:v>-160660.74701629803</c:v>
                </c:pt>
                <c:pt idx="224">
                  <c:v>-162730.03298707728</c:v>
                </c:pt>
                <c:pt idx="225">
                  <c:v>-164561.98259931064</c:v>
                </c:pt>
                <c:pt idx="226">
                  <c:v>-166386.8012256964</c:v>
                </c:pt>
                <c:pt idx="227">
                  <c:v>-168431.02288308344</c:v>
                </c:pt>
                <c:pt idx="228">
                  <c:v>-170240.22471774745</c:v>
                </c:pt>
                <c:pt idx="229">
                  <c:v>-172041.86803726552</c:v>
                </c:pt>
                <c:pt idx="230">
                  <c:v>-174059.52189979836</c:v>
                </c:pt>
                <c:pt idx="231">
                  <c:v>-175844.68076899392</c:v>
                </c:pt>
                <c:pt idx="232">
                  <c:v>-177621.89133436125</c:v>
                </c:pt>
                <c:pt idx="233">
                  <c:v>-179611.60663962277</c:v>
                </c:pt>
                <c:pt idx="234">
                  <c:v>-181371.54200338566</c:v>
                </c:pt>
                <c:pt idx="235">
                  <c:v>-183123.17397563395</c:v>
                </c:pt>
                <c:pt idx="236">
                  <c:v>-185083.70199145714</c:v>
                </c:pt>
                <c:pt idx="237">
                  <c:v>-186817.33873453335</c:v>
                </c:pt>
                <c:pt idx="238">
                  <c:v>-188542.34891493848</c:v>
                </c:pt>
                <c:pt idx="239">
                  <c:v>-190472.55314770059</c:v>
                </c:pt>
                <c:pt idx="240">
                  <c:v>-192178.91313344726</c:v>
                </c:pt>
              </c:numCache>
            </c:numRef>
          </c:yVal>
          <c:smooth val="0"/>
          <c:extLst>
            <c:ext xmlns:c16="http://schemas.microsoft.com/office/drawing/2014/chart" uri="{C3380CC4-5D6E-409C-BE32-E72D297353CC}">
              <c16:uniqueId val="{00000002-3D8D-4208-A6E8-3CB6203B64D2}"/>
            </c:ext>
          </c:extLst>
        </c:ser>
        <c:ser>
          <c:idx val="3"/>
          <c:order val="3"/>
          <c:tx>
            <c:v>Operating 25 km / 1600 km pass</c:v>
          </c:tx>
          <c:spPr>
            <a:ln w="19050">
              <a:solidFill>
                <a:srgbClr val="7C3AED"/>
              </a:solidFill>
              <a:prstDash val="solid"/>
            </a:ln>
          </c:spPr>
          <c:marker>
            <c:symbol val="none"/>
          </c:marker>
          <c:xVal>
            <c:numRef>
              <c:f>Native_Chart_Data!$G$248:$G$488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Native_Chart_Data!$H$248:$H$488</c:f>
              <c:numCache>
                <c:formatCode>General</c:formatCode>
                <c:ptCount val="241"/>
                <c:pt idx="0">
                  <c:v>-196175.94007289349</c:v>
                </c:pt>
                <c:pt idx="1">
                  <c:v>-194464.73837065243</c:v>
                </c:pt>
                <c:pt idx="2">
                  <c:v>-192528.7589427015</c:v>
                </c:pt>
                <c:pt idx="3">
                  <c:v>-190798.31818207764</c:v>
                </c:pt>
                <c:pt idx="4">
                  <c:v>-189058.96620570074</c:v>
                </c:pt>
                <c:pt idx="5">
                  <c:v>-187091.66215917454</c:v>
                </c:pt>
                <c:pt idx="6">
                  <c:v>-185333.69359371395</c:v>
                </c:pt>
                <c:pt idx="7">
                  <c:v>-183567.12131353328</c:v>
                </c:pt>
                <c:pt idx="8">
                  <c:v>-181569.57405040326</c:v>
                </c:pt>
                <c:pt idx="9">
                  <c:v>-179785.07110087413</c:v>
                </c:pt>
                <c:pt idx="10">
                  <c:v>-177992.30309147586</c:v>
                </c:pt>
                <c:pt idx="11">
                  <c:v>-175965.70357183547</c:v>
                </c:pt>
                <c:pt idx="12">
                  <c:v>-174155.75991096892</c:v>
                </c:pt>
                <c:pt idx="13">
                  <c:v>-172337.9237806311</c:v>
                </c:pt>
                <c:pt idx="14">
                  <c:v>-170283.58230501943</c:v>
                </c:pt>
                <c:pt idx="15">
                  <c:v>-168449.40082622971</c:v>
                </c:pt>
                <c:pt idx="16">
                  <c:v>-166607.7364499004</c:v>
                </c:pt>
                <c:pt idx="17">
                  <c:v>-164527.09337077424</c:v>
                </c:pt>
                <c:pt idx="18">
                  <c:v>-162669.99600543149</c:v>
                </c:pt>
                <c:pt idx="19">
                  <c:v>-160805.86562780707</c:v>
                </c:pt>
                <c:pt idx="20">
                  <c:v>-158700.50306586787</c:v>
                </c:pt>
                <c:pt idx="21">
                  <c:v>-156821.9415170548</c:v>
                </c:pt>
                <c:pt idx="22">
                  <c:v>-154936.84079418762</c:v>
                </c:pt>
                <c:pt idx="23">
                  <c:v>-152808.49543699686</c:v>
                </c:pt>
                <c:pt idx="24">
                  <c:v>-150910.062898851</c:v>
                </c:pt>
                <c:pt idx="25">
                  <c:v>-149005.63294747777</c:v>
                </c:pt>
                <c:pt idx="26">
                  <c:v>-146856.21000814714</c:v>
                </c:pt>
                <c:pt idx="27">
                  <c:v>-144939.65393967155</c:v>
                </c:pt>
                <c:pt idx="28">
                  <c:v>-143017.69446274094</c:v>
                </c:pt>
                <c:pt idx="29">
                  <c:v>-140849.28287495419</c:v>
                </c:pt>
                <c:pt idx="30">
                  <c:v>-138916.51889518261</c:v>
                </c:pt>
                <c:pt idx="31">
                  <c:v>-136979.00244933416</c:v>
                </c:pt>
                <c:pt idx="32">
                  <c:v>-134793.89137103801</c:v>
                </c:pt>
                <c:pt idx="33">
                  <c:v>-132847.0183380536</c:v>
                </c:pt>
                <c:pt idx="34">
                  <c:v>-130896.10580357295</c:v>
                </c:pt>
                <c:pt idx="35">
                  <c:v>-128696.80249462565</c:v>
                </c:pt>
                <c:pt idx="36">
                  <c:v>-126738.11882360443</c:v>
                </c:pt>
                <c:pt idx="37">
                  <c:v>-124776.17612891932</c:v>
                </c:pt>
                <c:pt idx="38">
                  <c:v>-122565.42525707473</c:v>
                </c:pt>
                <c:pt idx="39">
                  <c:v>-120597.44652148281</c:v>
                </c:pt>
                <c:pt idx="40">
                  <c:v>-118627.06266188383</c:v>
                </c:pt>
                <c:pt idx="41">
                  <c:v>-116407.86707581821</c:v>
                </c:pt>
                <c:pt idx="42">
                  <c:v>-114433.34492030981</c:v>
                </c:pt>
                <c:pt idx="43">
                  <c:v>-112457.35129337231</c:v>
                </c:pt>
                <c:pt idx="44">
                  <c:v>-110232.99428005796</c:v>
                </c:pt>
                <c:pt idx="45">
                  <c:v>-108254.93665267841</c:v>
                </c:pt>
                <c:pt idx="46">
                  <c:v>-106276.42770998055</c:v>
                </c:pt>
                <c:pt idx="47">
                  <c:v>-104050.49672552577</c:v>
                </c:pt>
                <c:pt idx="48">
                  <c:v>-102072.18940950758</c:v>
                </c:pt>
                <c:pt idx="49">
                  <c:v>-100094.54459469678</c:v>
                </c:pt>
                <c:pt idx="50">
                  <c:v>-97870.956421788083</c:v>
                </c:pt>
                <c:pt idx="51">
                  <c:v>-95895.985812650615</c:v>
                </c:pt>
                <c:pt idx="52">
                  <c:v>-93922.892718858086</c:v>
                </c:pt>
                <c:pt idx="53">
                  <c:v>-91705.919959116989</c:v>
                </c:pt>
                <c:pt idx="54">
                  <c:v>-89738.19699014083</c:v>
                </c:pt>
                <c:pt idx="55">
                  <c:v>-87773.675624308846</c:v>
                </c:pt>
                <c:pt idx="56">
                  <c:v>-85567.974379462714</c:v>
                </c:pt>
                <c:pt idx="57">
                  <c:v>-83611.759447186691</c:v>
                </c:pt>
                <c:pt idx="58">
                  <c:v>-81660.187434621155</c:v>
                </c:pt>
                <c:pt idx="59">
                  <c:v>-79470.825965850527</c:v>
                </c:pt>
                <c:pt idx="60">
                  <c:v>-77530.754646811518</c:v>
                </c:pt>
                <c:pt idx="61">
                  <c:v>-75596.893145964568</c:v>
                </c:pt>
                <c:pt idx="62">
                  <c:v>-73429.381226252764</c:v>
                </c:pt>
                <c:pt idx="63">
                  <c:v>-71510.490507051625</c:v>
                </c:pt>
                <c:pt idx="64">
                  <c:v>-69599.510532789369</c:v>
                </c:pt>
                <c:pt idx="65">
                  <c:v>-67459.829123438874</c:v>
                </c:pt>
                <c:pt idx="66">
                  <c:v>-65567.583789466706</c:v>
                </c:pt>
                <c:pt idx="67">
                  <c:v>-63685.092564364764</c:v>
                </c:pt>
                <c:pt idx="68">
                  <c:v>-61579.723356260394</c:v>
                </c:pt>
                <c:pt idx="69">
                  <c:v>-59720.042102486768</c:v>
                </c:pt>
                <c:pt idx="70">
                  <c:v>-57872.108972824644</c:v>
                </c:pt>
                <c:pt idx="71">
                  <c:v>-55808.06323941442</c:v>
                </c:pt>
                <c:pt idx="72">
                  <c:v>-53987.343983635947</c:v>
                </c:pt>
                <c:pt idx="73">
                  <c:v>-52180.525354744386</c:v>
                </c:pt>
                <c:pt idx="74">
                  <c:v>-50165.371473339706</c:v>
                </c:pt>
                <c:pt idx="75">
                  <c:v>-48390.515274855643</c:v>
                </c:pt>
                <c:pt idx="76">
                  <c:v>-46631.877946633278</c:v>
                </c:pt>
                <c:pt idx="77">
                  <c:v>-44673.766867657614</c:v>
                </c:pt>
                <c:pt idx="78">
                  <c:v>-42952.199792501269</c:v>
                </c:pt>
                <c:pt idx="79">
                  <c:v>-41249.342022155164</c:v>
                </c:pt>
                <c:pt idx="80">
                  <c:v>-39357.029917001288</c:v>
                </c:pt>
                <c:pt idx="81">
                  <c:v>-37696.722160192003</c:v>
                </c:pt>
                <c:pt idx="82">
                  <c:v>-36057.791762901921</c:v>
                </c:pt>
                <c:pt idx="83">
                  <c:v>-34240.659083493854</c:v>
                </c:pt>
                <c:pt idx="84">
                  <c:v>-32650.140682705838</c:v>
                </c:pt>
                <c:pt idx="85">
                  <c:v>-31083.849529375264</c:v>
                </c:pt>
                <c:pt idx="86">
                  <c:v>-29351.91580166448</c:v>
                </c:pt>
                <c:pt idx="87">
                  <c:v>-27840.288392506118</c:v>
                </c:pt>
                <c:pt idx="88">
                  <c:v>-26355.92282022885</c:v>
                </c:pt>
                <c:pt idx="89">
                  <c:v>-24719.85672730935</c:v>
                </c:pt>
                <c:pt idx="90">
                  <c:v>-23296.801058357276</c:v>
                </c:pt>
                <c:pt idx="91">
                  <c:v>-21904.22804430117</c:v>
                </c:pt>
                <c:pt idx="92">
                  <c:v>-20375.352826851115</c:v>
                </c:pt>
                <c:pt idx="93">
                  <c:v>-19051.132271648297</c:v>
                </c:pt>
                <c:pt idx="94">
                  <c:v>-17760.80185039583</c:v>
                </c:pt>
                <c:pt idx="95">
                  <c:v>-16351.096914099966</c:v>
                </c:pt>
                <c:pt idx="96">
                  <c:v>-15136.55814203358</c:v>
                </c:pt>
                <c:pt idx="97">
                  <c:v>-13959.503640642601</c:v>
                </c:pt>
                <c:pt idx="98">
                  <c:v>-12681.604714695779</c:v>
                </c:pt>
                <c:pt idx="99">
                  <c:v>-11588.17818289464</c:v>
                </c:pt>
                <c:pt idx="100">
                  <c:v>-10536.017531248719</c:v>
                </c:pt>
                <c:pt idx="101">
                  <c:v>-9403.2197680937752</c:v>
                </c:pt>
                <c:pt idx="102">
                  <c:v>-8442.9245038226654</c:v>
                </c:pt>
                <c:pt idx="103">
                  <c:v>-7527.8673822461351</c:v>
                </c:pt>
                <c:pt idx="104">
                  <c:v>-6554.1364146582637</c:v>
                </c:pt>
                <c:pt idx="105">
                  <c:v>-5739.5919717311044</c:v>
                </c:pt>
                <c:pt idx="106">
                  <c:v>-4974.4518534386225</c:v>
                </c:pt>
                <c:pt idx="107">
                  <c:v>-4174.4317239557349</c:v>
                </c:pt>
                <c:pt idx="108">
                  <c:v>-3518.8494159470647</c:v>
                </c:pt>
                <c:pt idx="109">
                  <c:v>-2916.9995331569153</c:v>
                </c:pt>
                <c:pt idx="110">
                  <c:v>-2305.8725854526674</c:v>
                </c:pt>
                <c:pt idx="111">
                  <c:v>-1822.7678078152858</c:v>
                </c:pt>
                <c:pt idx="112">
                  <c:v>-1397.5520721561479</c:v>
                </c:pt>
                <c:pt idx="113">
                  <c:v>-989.67471788156035</c:v>
                </c:pt>
                <c:pt idx="114">
                  <c:v>-690.46185643132958</c:v>
                </c:pt>
                <c:pt idx="115">
                  <c:v>-450.68761011315837</c:v>
                </c:pt>
                <c:pt idx="116">
                  <c:v>-249.93122636938642</c:v>
                </c:pt>
                <c:pt idx="117">
                  <c:v>-128.37390922902341</c:v>
                </c:pt>
                <c:pt idx="118">
                  <c:v>-52.890554438504296</c:v>
                </c:pt>
                <c:pt idx="119">
                  <c:v>-10.54136055730396</c:v>
                </c:pt>
                <c:pt idx="120">
                  <c:v>0</c:v>
                </c:pt>
                <c:pt idx="121">
                  <c:v>-10.54136055730396</c:v>
                </c:pt>
                <c:pt idx="122">
                  <c:v>-52.890554438502477</c:v>
                </c:pt>
                <c:pt idx="123">
                  <c:v>-128.37390922901977</c:v>
                </c:pt>
                <c:pt idx="124">
                  <c:v>-249.93122636938642</c:v>
                </c:pt>
                <c:pt idx="125">
                  <c:v>-450.68761011315837</c:v>
                </c:pt>
                <c:pt idx="126">
                  <c:v>-690.46185643132958</c:v>
                </c:pt>
                <c:pt idx="127">
                  <c:v>-989.67471788156035</c:v>
                </c:pt>
                <c:pt idx="128">
                  <c:v>-1397.5520721561479</c:v>
                </c:pt>
                <c:pt idx="129">
                  <c:v>-1822.7678078152858</c:v>
                </c:pt>
                <c:pt idx="130">
                  <c:v>-2305.8725854526674</c:v>
                </c:pt>
                <c:pt idx="131">
                  <c:v>-2916.9995331569153</c:v>
                </c:pt>
                <c:pt idx="132">
                  <c:v>-3518.8494159470793</c:v>
                </c:pt>
                <c:pt idx="133">
                  <c:v>-4174.4317239557495</c:v>
                </c:pt>
                <c:pt idx="134">
                  <c:v>-4974.4518534386225</c:v>
                </c:pt>
                <c:pt idx="135">
                  <c:v>-5739.5919717311044</c:v>
                </c:pt>
                <c:pt idx="136">
                  <c:v>-6554.1364146582637</c:v>
                </c:pt>
                <c:pt idx="137">
                  <c:v>-7527.8673822440323</c:v>
                </c:pt>
                <c:pt idx="138">
                  <c:v>-8442.9245038226436</c:v>
                </c:pt>
                <c:pt idx="139">
                  <c:v>-9403.2197680937752</c:v>
                </c:pt>
                <c:pt idx="140">
                  <c:v>-10536.017531248719</c:v>
                </c:pt>
                <c:pt idx="141">
                  <c:v>-11588.17818289464</c:v>
                </c:pt>
                <c:pt idx="142">
                  <c:v>-12681.604714695779</c:v>
                </c:pt>
                <c:pt idx="143">
                  <c:v>-13959.503640642601</c:v>
                </c:pt>
                <c:pt idx="144">
                  <c:v>-15136.55814203358</c:v>
                </c:pt>
                <c:pt idx="145">
                  <c:v>-16351.096914099966</c:v>
                </c:pt>
                <c:pt idx="146">
                  <c:v>-17760.80185039583</c:v>
                </c:pt>
                <c:pt idx="147">
                  <c:v>-19051.132271648341</c:v>
                </c:pt>
                <c:pt idx="148">
                  <c:v>-20375.352826851158</c:v>
                </c:pt>
                <c:pt idx="149">
                  <c:v>-21904.22804430117</c:v>
                </c:pt>
                <c:pt idx="150">
                  <c:v>-23296.801058357276</c:v>
                </c:pt>
                <c:pt idx="151">
                  <c:v>-24719.85672730935</c:v>
                </c:pt>
                <c:pt idx="152">
                  <c:v>-26355.922820228821</c:v>
                </c:pt>
                <c:pt idx="153">
                  <c:v>-27840.28839250606</c:v>
                </c:pt>
                <c:pt idx="154">
                  <c:v>-29351.915801664421</c:v>
                </c:pt>
                <c:pt idx="155">
                  <c:v>-31083.84952937637</c:v>
                </c:pt>
                <c:pt idx="156">
                  <c:v>-32650.140682705838</c:v>
                </c:pt>
                <c:pt idx="157">
                  <c:v>-34240.659083493854</c:v>
                </c:pt>
                <c:pt idx="158">
                  <c:v>-36057.791762901921</c:v>
                </c:pt>
                <c:pt idx="159">
                  <c:v>-37696.722160192003</c:v>
                </c:pt>
                <c:pt idx="160">
                  <c:v>-39357.029917001244</c:v>
                </c:pt>
                <c:pt idx="161">
                  <c:v>-41249.342022156037</c:v>
                </c:pt>
                <c:pt idx="162">
                  <c:v>-42952.199792501269</c:v>
                </c:pt>
                <c:pt idx="163">
                  <c:v>-44673.766867657643</c:v>
                </c:pt>
                <c:pt idx="164">
                  <c:v>-46631.877946633977</c:v>
                </c:pt>
                <c:pt idx="165">
                  <c:v>-48390.515274855643</c:v>
                </c:pt>
                <c:pt idx="166">
                  <c:v>-50165.371473340492</c:v>
                </c:pt>
                <c:pt idx="167">
                  <c:v>-52180.525354744314</c:v>
                </c:pt>
                <c:pt idx="168">
                  <c:v>-53987.343983635947</c:v>
                </c:pt>
                <c:pt idx="169">
                  <c:v>-55808.063239413677</c:v>
                </c:pt>
                <c:pt idx="170">
                  <c:v>-57872.108972825328</c:v>
                </c:pt>
                <c:pt idx="171">
                  <c:v>-59720.042102486739</c:v>
                </c:pt>
                <c:pt idx="172">
                  <c:v>-61579.723356260423</c:v>
                </c:pt>
                <c:pt idx="173">
                  <c:v>-63685.092564364168</c:v>
                </c:pt>
                <c:pt idx="174">
                  <c:v>-65567.58378946672</c:v>
                </c:pt>
                <c:pt idx="175">
                  <c:v>-67459.829123438802</c:v>
                </c:pt>
                <c:pt idx="176">
                  <c:v>-69599.510532789413</c:v>
                </c:pt>
                <c:pt idx="177">
                  <c:v>-71510.490507051625</c:v>
                </c:pt>
                <c:pt idx="178">
                  <c:v>-73429.381226253347</c:v>
                </c:pt>
                <c:pt idx="179">
                  <c:v>-75596.893145963986</c:v>
                </c:pt>
                <c:pt idx="180">
                  <c:v>-77530.754646811518</c:v>
                </c:pt>
                <c:pt idx="181">
                  <c:v>-79470.825965851109</c:v>
                </c:pt>
                <c:pt idx="182">
                  <c:v>-81660.187434621097</c:v>
                </c:pt>
                <c:pt idx="183">
                  <c:v>-83611.759447186691</c:v>
                </c:pt>
                <c:pt idx="184">
                  <c:v>-85567.974379462074</c:v>
                </c:pt>
                <c:pt idx="185">
                  <c:v>-87773.675624308933</c:v>
                </c:pt>
                <c:pt idx="186">
                  <c:v>-89738.19699014083</c:v>
                </c:pt>
                <c:pt idx="187">
                  <c:v>-91705.919959116174</c:v>
                </c:pt>
                <c:pt idx="188">
                  <c:v>-93922.892718857969</c:v>
                </c:pt>
                <c:pt idx="189">
                  <c:v>-95895.985812650615</c:v>
                </c:pt>
                <c:pt idx="190">
                  <c:v>-97870.956421788025</c:v>
                </c:pt>
                <c:pt idx="191">
                  <c:v>-100094.54459469789</c:v>
                </c:pt>
                <c:pt idx="192">
                  <c:v>-102072.18940950758</c:v>
                </c:pt>
                <c:pt idx="193">
                  <c:v>-104050.49672552545</c:v>
                </c:pt>
                <c:pt idx="194">
                  <c:v>-106276.42770998081</c:v>
                </c:pt>
                <c:pt idx="195">
                  <c:v>-108254.93665267841</c:v>
                </c:pt>
                <c:pt idx="196">
                  <c:v>-110232.99428005761</c:v>
                </c:pt>
                <c:pt idx="197">
                  <c:v>-112457.35129337219</c:v>
                </c:pt>
                <c:pt idx="198">
                  <c:v>-114433.34492030981</c:v>
                </c:pt>
                <c:pt idx="199">
                  <c:v>-116407.86707581836</c:v>
                </c:pt>
                <c:pt idx="200">
                  <c:v>-118627.06266188357</c:v>
                </c:pt>
                <c:pt idx="201">
                  <c:v>-120597.44652148281</c:v>
                </c:pt>
                <c:pt idx="202">
                  <c:v>-122565.42525707473</c:v>
                </c:pt>
                <c:pt idx="203">
                  <c:v>-124776.17612891932</c:v>
                </c:pt>
                <c:pt idx="204">
                  <c:v>-126738.11882360443</c:v>
                </c:pt>
                <c:pt idx="205">
                  <c:v>-128696.80249462544</c:v>
                </c:pt>
                <c:pt idx="206">
                  <c:v>-130896.10580357289</c:v>
                </c:pt>
                <c:pt idx="207">
                  <c:v>-132847.0183380536</c:v>
                </c:pt>
                <c:pt idx="208">
                  <c:v>-134793.8913710381</c:v>
                </c:pt>
                <c:pt idx="209">
                  <c:v>-136979.00244933437</c:v>
                </c:pt>
                <c:pt idx="210">
                  <c:v>-138916.51889518261</c:v>
                </c:pt>
                <c:pt idx="211">
                  <c:v>-140849.28287495405</c:v>
                </c:pt>
                <c:pt idx="212">
                  <c:v>-143017.69446274079</c:v>
                </c:pt>
                <c:pt idx="213">
                  <c:v>-144939.65393967155</c:v>
                </c:pt>
                <c:pt idx="214">
                  <c:v>-146856.21000814691</c:v>
                </c:pt>
                <c:pt idx="215">
                  <c:v>-149005.63294747737</c:v>
                </c:pt>
                <c:pt idx="216">
                  <c:v>-150910.062898851</c:v>
                </c:pt>
                <c:pt idx="217">
                  <c:v>-152808.49543699686</c:v>
                </c:pt>
                <c:pt idx="218">
                  <c:v>-154936.84079418762</c:v>
                </c:pt>
                <c:pt idx="219">
                  <c:v>-156821.9415170548</c:v>
                </c:pt>
                <c:pt idx="220">
                  <c:v>-158700.50306586799</c:v>
                </c:pt>
                <c:pt idx="221">
                  <c:v>-160805.86562780722</c:v>
                </c:pt>
                <c:pt idx="222">
                  <c:v>-162669.99600543149</c:v>
                </c:pt>
                <c:pt idx="223">
                  <c:v>-164527.09337077409</c:v>
                </c:pt>
                <c:pt idx="224">
                  <c:v>-166607.73644990035</c:v>
                </c:pt>
                <c:pt idx="225">
                  <c:v>-168449.40082622971</c:v>
                </c:pt>
                <c:pt idx="226">
                  <c:v>-170283.58230501931</c:v>
                </c:pt>
                <c:pt idx="227">
                  <c:v>-172337.92378063095</c:v>
                </c:pt>
                <c:pt idx="228">
                  <c:v>-174155.75991096892</c:v>
                </c:pt>
                <c:pt idx="229">
                  <c:v>-175965.70357183574</c:v>
                </c:pt>
                <c:pt idx="230">
                  <c:v>-177992.30309147591</c:v>
                </c:pt>
                <c:pt idx="231">
                  <c:v>-179785.07110087413</c:v>
                </c:pt>
                <c:pt idx="232">
                  <c:v>-181569.57405040326</c:v>
                </c:pt>
                <c:pt idx="233">
                  <c:v>-183567.12131353328</c:v>
                </c:pt>
                <c:pt idx="234">
                  <c:v>-185333.69359371395</c:v>
                </c:pt>
                <c:pt idx="235">
                  <c:v>-187091.66215917439</c:v>
                </c:pt>
                <c:pt idx="236">
                  <c:v>-189058.96620570039</c:v>
                </c:pt>
                <c:pt idx="237">
                  <c:v>-190798.31818207764</c:v>
                </c:pt>
                <c:pt idx="238">
                  <c:v>-192528.7589427018</c:v>
                </c:pt>
                <c:pt idx="239">
                  <c:v>-194464.73837065237</c:v>
                </c:pt>
                <c:pt idx="240">
                  <c:v>-196175.94007289349</c:v>
                </c:pt>
              </c:numCache>
            </c:numRef>
          </c:yVal>
          <c:smooth val="0"/>
          <c:extLst>
            <c:ext xmlns:c16="http://schemas.microsoft.com/office/drawing/2014/chart" uri="{C3380CC4-5D6E-409C-BE32-E72D297353CC}">
              <c16:uniqueId val="{00000003-3D8D-4208-A6E8-3CB6203B64D2}"/>
            </c:ext>
          </c:extLst>
        </c:ser>
        <c:dLbls>
          <c:showLegendKey val="0"/>
          <c:showVal val="0"/>
          <c:showCatName val="0"/>
          <c:showSerName val="0"/>
          <c:showPercent val="0"/>
          <c:showBubbleSize val="0"/>
        </c:dLbls>
        <c:axId val="700004"/>
        <c:axId val="700005"/>
      </c:scatterChart>
      <c:valAx>
        <c:axId val="700004"/>
        <c:scaling>
          <c:orientation val="minMax"/>
          <c:max val="2"/>
          <c:min val="-2"/>
        </c:scaling>
        <c:delete val="0"/>
        <c:axPos val="b"/>
        <c:majorGridlines>
          <c:spPr>
            <a:ln w="9525">
              <a:solidFill>
                <a:srgbClr val="DDE1E6"/>
              </a:solidFill>
              <a:prstDash val="solid"/>
            </a:ln>
          </c:spPr>
        </c:majorGridlines>
        <c:title>
          <c:tx>
            <c:rich>
              <a:bodyPr/>
              <a:lstStyle/>
              <a:p>
                <a:r>
                  <a:rPr sz="900"/>
                  <a:t>Normalized pass position (-1 to +1)</a:t>
                </a:r>
              </a:p>
            </c:rich>
          </c:tx>
          <c:overlay val="0"/>
        </c:title>
        <c:numFmt formatCode="General" sourceLinked="0"/>
        <c:majorTickMark val="none"/>
        <c:minorTickMark val="none"/>
        <c:tickLblPos val="nextTo"/>
        <c:crossAx val="700005"/>
        <c:crosses val="min"/>
        <c:crossBetween val="midCat"/>
        <c:majorUnit val="1"/>
      </c:valAx>
      <c:valAx>
        <c:axId val="700005"/>
        <c:scaling>
          <c:orientation val="minMax"/>
          <c:max val="50000"/>
          <c:min val="-25000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4"/>
        <c:crosses val="min"/>
        <c:crossBetween val="midCat"/>
        <c:majorUnit val="50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Terrain Baseline: Total Radar Elevation Error</a:t>
            </a:r>
          </a:p>
        </c:rich>
      </c:tx>
      <c:overlay val="0"/>
    </c:title>
    <c:autoTitleDeleted val="0"/>
    <c:plotArea>
      <c:layout/>
      <c:scatterChart>
        <c:scatterStyle val="lineMarker"/>
        <c:varyColors val="0"/>
        <c:ser>
          <c:idx val="0"/>
          <c:order val="0"/>
          <c:tx>
            <c:v>Total radar elevation error - custom parabolic</c:v>
          </c:tx>
          <c:spPr>
            <a:ln w="19050">
              <a:solidFill>
                <a:srgbClr val="DC581C"/>
              </a:solidFill>
              <a:prstDash val="solid"/>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-5.1598139147735083</c:v>
                </c:pt>
                <c:pt idx="1">
                  <c:v>-21.835331789793656</c:v>
                </c:pt>
                <c:pt idx="2">
                  <c:v>-10.175549094884801</c:v>
                </c:pt>
                <c:pt idx="3">
                  <c:v>-24.333979146785921</c:v>
                </c:pt>
                <c:pt idx="4">
                  <c:v>-34.145943095855884</c:v>
                </c:pt>
                <c:pt idx="5">
                  <c:v>-37.186207563963677</c:v>
                </c:pt>
                <c:pt idx="6">
                  <c:v>-57.977783396987462</c:v>
                </c:pt>
                <c:pt idx="7">
                  <c:v>-59.899357079548835</c:v>
                </c:pt>
                <c:pt idx="8">
                  <c:v>-64.557130403286848</c:v>
                </c:pt>
                <c:pt idx="9">
                  <c:v>-41.335684767984432</c:v>
                </c:pt>
                <c:pt idx="10">
                  <c:v>-49.580950405175827</c:v>
                </c:pt>
                <c:pt idx="11">
                  <c:v>-53.113671796019418</c:v>
                </c:pt>
                <c:pt idx="12">
                  <c:v>-41.23963182688874</c:v>
                </c:pt>
                <c:pt idx="13">
                  <c:v>-52.892029610175058</c:v>
                </c:pt>
                <c:pt idx="14">
                  <c:v>-58.581245405273933</c:v>
                </c:pt>
                <c:pt idx="15">
                  <c:v>-45.612087128365545</c:v>
                </c:pt>
                <c:pt idx="16">
                  <c:v>-47.856017965662431</c:v>
                </c:pt>
                <c:pt idx="17">
                  <c:v>-36.597181996407414</c:v>
                </c:pt>
                <c:pt idx="18">
                  <c:v>-43.00623256223966</c:v>
                </c:pt>
                <c:pt idx="19">
                  <c:v>-51.799677956981668</c:v>
                </c:pt>
                <c:pt idx="20">
                  <c:v>-33.139884463778117</c:v>
                </c:pt>
                <c:pt idx="21">
                  <c:v>-55.728002609540795</c:v>
                </c:pt>
                <c:pt idx="22">
                  <c:v>-43.550598187846987</c:v>
                </c:pt>
                <c:pt idx="23">
                  <c:v>-44.128409691697158</c:v>
                </c:pt>
                <c:pt idx="24">
                  <c:v>-59.249334875028353</c:v>
                </c:pt>
                <c:pt idx="25">
                  <c:v>-57.617087521215637</c:v>
                </c:pt>
                <c:pt idx="26">
                  <c:v>-64.67682483280376</c:v>
                </c:pt>
                <c:pt idx="27">
                  <c:v>-60.935373694277501</c:v>
                </c:pt>
                <c:pt idx="28">
                  <c:v>-52.674234164719905</c:v>
                </c:pt>
                <c:pt idx="29">
                  <c:v>-39.870802798509942</c:v>
                </c:pt>
                <c:pt idx="30">
                  <c:v>-49.267020374654436</c:v>
                </c:pt>
                <c:pt idx="31">
                  <c:v>-30.449261480925486</c:v>
                </c:pt>
                <c:pt idx="32">
                  <c:v>-21.298233057130091</c:v>
                </c:pt>
                <c:pt idx="33">
                  <c:v>-25.116904375128371</c:v>
                </c:pt>
                <c:pt idx="34">
                  <c:v>-5.851868406506469</c:v>
                </c:pt>
                <c:pt idx="35">
                  <c:v>-11.611992984345875</c:v>
                </c:pt>
                <c:pt idx="36">
                  <c:v>6.7213152432573793</c:v>
                </c:pt>
                <c:pt idx="37">
                  <c:v>13.847610350363624</c:v>
                </c:pt>
                <c:pt idx="38">
                  <c:v>15.915812814890273</c:v>
                </c:pt>
                <c:pt idx="39">
                  <c:v>12.946690285493901</c:v>
                </c:pt>
                <c:pt idx="40">
                  <c:v>29.102694375902416</c:v>
                </c:pt>
                <c:pt idx="41">
                  <c:v>31.11424964805272</c:v>
                </c:pt>
                <c:pt idx="42">
                  <c:v>30.101673250917116</c:v>
                </c:pt>
                <c:pt idx="43">
                  <c:v>32.133994706628584</c:v>
                </c:pt>
                <c:pt idx="44">
                  <c:v>19.121723348470368</c:v>
                </c:pt>
                <c:pt idx="45">
                  <c:v>16.336825651858959</c:v>
                </c:pt>
                <c:pt idx="46">
                  <c:v>23.552479750778133</c:v>
                </c:pt>
                <c:pt idx="47">
                  <c:v>19.031661238944139</c:v>
                </c:pt>
                <c:pt idx="48">
                  <c:v>-0.26232181931044352</c:v>
                </c:pt>
                <c:pt idx="49">
                  <c:v>-1.9757328739763693</c:v>
                </c:pt>
                <c:pt idx="50">
                  <c:v>7.184875005316087</c:v>
                </c:pt>
                <c:pt idx="51">
                  <c:v>7.0681567566898593</c:v>
                </c:pt>
                <c:pt idx="52">
                  <c:v>-2.9998358134611181</c:v>
                </c:pt>
                <c:pt idx="53">
                  <c:v>-11.292096223706039</c:v>
                </c:pt>
                <c:pt idx="54">
                  <c:v>-15.738275591660624</c:v>
                </c:pt>
                <c:pt idx="55">
                  <c:v>-17.069178766706841</c:v>
                </c:pt>
                <c:pt idx="56">
                  <c:v>-8.4685070156908182</c:v>
                </c:pt>
                <c:pt idx="57">
                  <c:v>-12.093868668153164</c:v>
                </c:pt>
                <c:pt idx="58">
                  <c:v>10.459386000426377</c:v>
                </c:pt>
                <c:pt idx="59">
                  <c:v>4.9000525429464119</c:v>
                </c:pt>
                <c:pt idx="60">
                  <c:v>15.012442539728227</c:v>
                </c:pt>
                <c:pt idx="61">
                  <c:v>33.788774492541393</c:v>
                </c:pt>
                <c:pt idx="62">
                  <c:v>20.490290570501998</c:v>
                </c:pt>
                <c:pt idx="63">
                  <c:v>27.555588112128021</c:v>
                </c:pt>
                <c:pt idx="64">
                  <c:v>50.862978516004318</c:v>
                </c:pt>
                <c:pt idx="65">
                  <c:v>61.019347257202469</c:v>
                </c:pt>
                <c:pt idx="66">
                  <c:v>67.758402864302582</c:v>
                </c:pt>
                <c:pt idx="67">
                  <c:v>76.235688003609084</c:v>
                </c:pt>
                <c:pt idx="68">
                  <c:v>80.44622831250399</c:v>
                </c:pt>
                <c:pt idx="69">
                  <c:v>102.62475841942188</c:v>
                </c:pt>
                <c:pt idx="70">
                  <c:v>95.962728503082303</c:v>
                </c:pt>
                <c:pt idx="71">
                  <c:v>111.95944336496797</c:v>
                </c:pt>
                <c:pt idx="72">
                  <c:v>109.9110637934084</c:v>
                </c:pt>
                <c:pt idx="73">
                  <c:v>124.07412737469122</c:v>
                </c:pt>
                <c:pt idx="74">
                  <c:v>130.9673287407926</c:v>
                </c:pt>
                <c:pt idx="75">
                  <c:v>136.70768045990502</c:v>
                </c:pt>
                <c:pt idx="76">
                  <c:v>142.38034814799482</c:v>
                </c:pt>
                <c:pt idx="77">
                  <c:v>155.16461387832436</c:v>
                </c:pt>
                <c:pt idx="78">
                  <c:v>140.71817235691083</c:v>
                </c:pt>
                <c:pt idx="79">
                  <c:v>138.79258237955816</c:v>
                </c:pt>
                <c:pt idx="80">
                  <c:v>144.62990488789717</c:v>
                </c:pt>
                <c:pt idx="81">
                  <c:v>138.25591202163065</c:v>
                </c:pt>
                <c:pt idx="82">
                  <c:v>143.08942338681692</c:v>
                </c:pt>
                <c:pt idx="83">
                  <c:v>134.92945436293479</c:v>
                </c:pt>
                <c:pt idx="84">
                  <c:v>147.29813428303765</c:v>
                </c:pt>
                <c:pt idx="85">
                  <c:v>137.25939183843724</c:v>
                </c:pt>
                <c:pt idx="86">
                  <c:v>123.99875892548812</c:v>
                </c:pt>
                <c:pt idx="87">
                  <c:v>122.1642571318593</c:v>
                </c:pt>
                <c:pt idx="88">
                  <c:v>95.693433377809242</c:v>
                </c:pt>
                <c:pt idx="89">
                  <c:v>107.59636634063799</c:v>
                </c:pt>
                <c:pt idx="90">
                  <c:v>88.756788598213006</c:v>
                </c:pt>
                <c:pt idx="91">
                  <c:v>84.908234970624108</c:v>
                </c:pt>
                <c:pt idx="92">
                  <c:v>82.668820361240989</c:v>
                </c:pt>
                <c:pt idx="93">
                  <c:v>59.371781486156976</c:v>
                </c:pt>
                <c:pt idx="94">
                  <c:v>62.404091952712747</c:v>
                </c:pt>
                <c:pt idx="95">
                  <c:v>68.461065372714472</c:v>
                </c:pt>
                <c:pt idx="96">
                  <c:v>45.903038773874755</c:v>
                </c:pt>
                <c:pt idx="97">
                  <c:v>46.360067612825787</c:v>
                </c:pt>
                <c:pt idx="98">
                  <c:v>41.593952857360478</c:v>
                </c:pt>
                <c:pt idx="99">
                  <c:v>50.397336839977299</c:v>
                </c:pt>
                <c:pt idx="100">
                  <c:v>47.742627493343548</c:v>
                </c:pt>
                <c:pt idx="101">
                  <c:v>30.622778156968423</c:v>
                </c:pt>
                <c:pt idx="102">
                  <c:v>45.753063767806793</c:v>
                </c:pt>
                <c:pt idx="103">
                  <c:v>60.269090797253341</c:v>
                </c:pt>
                <c:pt idx="104">
                  <c:v>37.729285031690893</c:v>
                </c:pt>
                <c:pt idx="105">
                  <c:v>41.648227056233168</c:v>
                </c:pt>
                <c:pt idx="106">
                  <c:v>46.578034292227301</c:v>
                </c:pt>
                <c:pt idx="107">
                  <c:v>57.970376646698242</c:v>
                </c:pt>
                <c:pt idx="108">
                  <c:v>59.64286286593574</c:v>
                </c:pt>
                <c:pt idx="109">
                  <c:v>62.181293006953979</c:v>
                </c:pt>
                <c:pt idx="110">
                  <c:v>72.281939036210986</c:v>
                </c:pt>
                <c:pt idx="111">
                  <c:v>71.745721400125433</c:v>
                </c:pt>
                <c:pt idx="112">
                  <c:v>72.8933434872161</c:v>
                </c:pt>
                <c:pt idx="113">
                  <c:v>77.379548586023645</c:v>
                </c:pt>
                <c:pt idx="114">
                  <c:v>66.371488422262246</c:v>
                </c:pt>
                <c:pt idx="115">
                  <c:v>48.52707596926308</c:v>
                </c:pt>
                <c:pt idx="116">
                  <c:v>58.258002434762375</c:v>
                </c:pt>
                <c:pt idx="117">
                  <c:v>32.824071586063098</c:v>
                </c:pt>
                <c:pt idx="118">
                  <c:v>36.907458070122061</c:v>
                </c:pt>
                <c:pt idx="119">
                  <c:v>14.490732066080454</c:v>
                </c:pt>
                <c:pt idx="120">
                  <c:v>3.4704730016699727</c:v>
                </c:pt>
                <c:pt idx="121">
                  <c:v>-3.7448872981941008</c:v>
                </c:pt>
                <c:pt idx="122">
                  <c:v>-44.609295210568973</c:v>
                </c:pt>
                <c:pt idx="123">
                  <c:v>-48.410441673202683</c:v>
                </c:pt>
                <c:pt idx="124">
                  <c:v>-67.212771614396502</c:v>
                </c:pt>
                <c:pt idx="125">
                  <c:v>-72.608719047947375</c:v>
                </c:pt>
                <c:pt idx="126">
                  <c:v>-83.795829514196839</c:v>
                </c:pt>
                <c:pt idx="127">
                  <c:v>-100.38174553044831</c:v>
                </c:pt>
                <c:pt idx="128">
                  <c:v>-98.134872256696838</c:v>
                </c:pt>
                <c:pt idx="129">
                  <c:v>-84.325591739787569</c:v>
                </c:pt>
                <c:pt idx="130">
                  <c:v>-100.70506580081894</c:v>
                </c:pt>
                <c:pt idx="131">
                  <c:v>-98.853802750612999</c:v>
                </c:pt>
                <c:pt idx="132">
                  <c:v>-72.078120228209968</c:v>
                </c:pt>
                <c:pt idx="133">
                  <c:v>-79.369364714509572</c:v>
                </c:pt>
                <c:pt idx="134">
                  <c:v>-68.687358696983324</c:v>
                </c:pt>
                <c:pt idx="135">
                  <c:v>-57.889061596077852</c:v>
                </c:pt>
                <c:pt idx="136">
                  <c:v>-47.678060396535784</c:v>
                </c:pt>
                <c:pt idx="137">
                  <c:v>-37.065595317726149</c:v>
                </c:pt>
                <c:pt idx="138">
                  <c:v>-31.298672514684142</c:v>
                </c:pt>
                <c:pt idx="139">
                  <c:v>-7.3318080667106642</c:v>
                </c:pt>
                <c:pt idx="140">
                  <c:v>6.950709341010338</c:v>
                </c:pt>
                <c:pt idx="141">
                  <c:v>-6.5189003511737269</c:v>
                </c:pt>
                <c:pt idx="142">
                  <c:v>-3.5716399061417405</c:v>
                </c:pt>
                <c:pt idx="143">
                  <c:v>-5.6614208329860958</c:v>
                </c:pt>
                <c:pt idx="144">
                  <c:v>-8.6714835805954635</c:v>
                </c:pt>
                <c:pt idx="145">
                  <c:v>4.0212494987608807</c:v>
                </c:pt>
                <c:pt idx="146">
                  <c:v>1.9459578878685306</c:v>
                </c:pt>
                <c:pt idx="147">
                  <c:v>-1.6666503235243226</c:v>
                </c:pt>
                <c:pt idx="148">
                  <c:v>-18.81128421623464</c:v>
                </c:pt>
                <c:pt idx="149">
                  <c:v>-29.029666399043833</c:v>
                </c:pt>
                <c:pt idx="150">
                  <c:v>-47.029230224199864</c:v>
                </c:pt>
                <c:pt idx="151">
                  <c:v>-50.770289839501061</c:v>
                </c:pt>
                <c:pt idx="152">
                  <c:v>-71.450922959813511</c:v>
                </c:pt>
                <c:pt idx="153">
                  <c:v>-73.29754339504791</c:v>
                </c:pt>
                <c:pt idx="154">
                  <c:v>-60.392783689960936</c:v>
                </c:pt>
                <c:pt idx="155">
                  <c:v>-67.596995005774716</c:v>
                </c:pt>
                <c:pt idx="156">
                  <c:v>-72.445528544479259</c:v>
                </c:pt>
                <c:pt idx="157">
                  <c:v>-86.117515031904816</c:v>
                </c:pt>
                <c:pt idx="158">
                  <c:v>-89.87063812898208</c:v>
                </c:pt>
                <c:pt idx="159">
                  <c:v>-82.237516127972413</c:v>
                </c:pt>
                <c:pt idx="160">
                  <c:v>-76.537047286753591</c:v>
                </c:pt>
                <c:pt idx="161">
                  <c:v>-79.34560005519478</c:v>
                </c:pt>
                <c:pt idx="162">
                  <c:v>-86.910470354337519</c:v>
                </c:pt>
                <c:pt idx="163">
                  <c:v>-86.016892507986825</c:v>
                </c:pt>
                <c:pt idx="164">
                  <c:v>-75.797704463875164</c:v>
                </c:pt>
                <c:pt idx="165">
                  <c:v>-76.314050678907279</c:v>
                </c:pt>
                <c:pt idx="166">
                  <c:v>-64.256336362316745</c:v>
                </c:pt>
                <c:pt idx="167">
                  <c:v>-73.472854012886899</c:v>
                </c:pt>
                <c:pt idx="168">
                  <c:v>-78.060971483419848</c:v>
                </c:pt>
                <c:pt idx="169">
                  <c:v>-82.777770367323853</c:v>
                </c:pt>
                <c:pt idx="170">
                  <c:v>-64.058600848829201</c:v>
                </c:pt>
                <c:pt idx="171">
                  <c:v>-70.334055130052491</c:v>
                </c:pt>
                <c:pt idx="172">
                  <c:v>-67.495623836873335</c:v>
                </c:pt>
                <c:pt idx="173">
                  <c:v>-72.003361039073809</c:v>
                </c:pt>
                <c:pt idx="174">
                  <c:v>-66.744062865204342</c:v>
                </c:pt>
                <c:pt idx="175">
                  <c:v>-48.058872961976704</c:v>
                </c:pt>
                <c:pt idx="176">
                  <c:v>-61.091364247969608</c:v>
                </c:pt>
                <c:pt idx="177">
                  <c:v>-55.904413669962196</c:v>
                </c:pt>
                <c:pt idx="178">
                  <c:v>-31.39290658082129</c:v>
                </c:pt>
                <c:pt idx="179">
                  <c:v>-22.367241319432367</c:v>
                </c:pt>
                <c:pt idx="180">
                  <c:v>-13.799924431809131</c:v>
                </c:pt>
                <c:pt idx="181">
                  <c:v>-6.1036281431614725</c:v>
                </c:pt>
                <c:pt idx="182">
                  <c:v>-20.543420099947923</c:v>
                </c:pt>
                <c:pt idx="183">
                  <c:v>-20.285394627742932</c:v>
                </c:pt>
                <c:pt idx="184">
                  <c:v>-0.42689792163008633</c:v>
                </c:pt>
                <c:pt idx="185">
                  <c:v>-7.7122295840595143</c:v>
                </c:pt>
                <c:pt idx="186">
                  <c:v>1.7249272045091288</c:v>
                </c:pt>
                <c:pt idx="187">
                  <c:v>-4.7420147805559338</c:v>
                </c:pt>
                <c:pt idx="188">
                  <c:v>-12.008270604959733</c:v>
                </c:pt>
                <c:pt idx="189">
                  <c:v>-24.501863179500816</c:v>
                </c:pt>
                <c:pt idx="190">
                  <c:v>-31.099457789278858</c:v>
                </c:pt>
                <c:pt idx="191">
                  <c:v>-34.449555771216552</c:v>
                </c:pt>
                <c:pt idx="192">
                  <c:v>-47.771784178639138</c:v>
                </c:pt>
                <c:pt idx="193">
                  <c:v>-47.588505005609107</c:v>
                </c:pt>
                <c:pt idx="194">
                  <c:v>-61.043912792825353</c:v>
                </c:pt>
                <c:pt idx="195">
                  <c:v>-58.846802725709239</c:v>
                </c:pt>
                <c:pt idx="196">
                  <c:v>-77.724391464355591</c:v>
                </c:pt>
                <c:pt idx="197">
                  <c:v>-84.408268775503075</c:v>
                </c:pt>
                <c:pt idx="198">
                  <c:v>-85.907004709544339</c:v>
                </c:pt>
                <c:pt idx="199">
                  <c:v>-79.47691436006437</c:v>
                </c:pt>
                <c:pt idx="200">
                  <c:v>-69.550122715753446</c:v>
                </c:pt>
                <c:pt idx="201">
                  <c:v>-63.44908989814266</c:v>
                </c:pt>
                <c:pt idx="202">
                  <c:v>-55.694686250897377</c:v>
                </c:pt>
                <c:pt idx="203">
                  <c:v>-61.436839734876884</c:v>
                </c:pt>
                <c:pt idx="204">
                  <c:v>-37.652302301928188</c:v>
                </c:pt>
                <c:pt idx="205">
                  <c:v>-43.302988348369951</c:v>
                </c:pt>
                <c:pt idx="206">
                  <c:v>-36.282442991945771</c:v>
                </c:pt>
                <c:pt idx="207">
                  <c:v>-23.261421172748356</c:v>
                </c:pt>
                <c:pt idx="208">
                  <c:v>-9.6325912578188309</c:v>
                </c:pt>
                <c:pt idx="209">
                  <c:v>1.0351428006268861</c:v>
                </c:pt>
                <c:pt idx="210">
                  <c:v>2.6350518935005312</c:v>
                </c:pt>
                <c:pt idx="211">
                  <c:v>2.7628297661277941</c:v>
                </c:pt>
                <c:pt idx="212">
                  <c:v>-1.8952716670484335</c:v>
                </c:pt>
                <c:pt idx="213">
                  <c:v>10.643125662069693</c:v>
                </c:pt>
                <c:pt idx="214">
                  <c:v>-7.2483720897441515</c:v>
                </c:pt>
                <c:pt idx="215">
                  <c:v>-6.2188489817701509</c:v>
                </c:pt>
                <c:pt idx="216">
                  <c:v>7.3169792390276314</c:v>
                </c:pt>
                <c:pt idx="217">
                  <c:v>0.40634772954453524</c:v>
                </c:pt>
                <c:pt idx="218">
                  <c:v>-12.02291335515622</c:v>
                </c:pt>
                <c:pt idx="219">
                  <c:v>0.56025338643667055</c:v>
                </c:pt>
                <c:pt idx="220">
                  <c:v>-9.9003402180450593</c:v>
                </c:pt>
                <c:pt idx="221">
                  <c:v>-9.2614082539395923</c:v>
                </c:pt>
                <c:pt idx="222">
                  <c:v>-13.645035215684629</c:v>
                </c:pt>
                <c:pt idx="223">
                  <c:v>2.0445562852635533</c:v>
                </c:pt>
                <c:pt idx="224">
                  <c:v>5.1886278057727964</c:v>
                </c:pt>
                <c:pt idx="225">
                  <c:v>-9.2437422691086795</c:v>
                </c:pt>
                <c:pt idx="226">
                  <c:v>-7.5236153525493137</c:v>
                </c:pt>
                <c:pt idx="227">
                  <c:v>-2.890955997517267</c:v>
                </c:pt>
                <c:pt idx="228">
                  <c:v>4.7804079838427356</c:v>
                </c:pt>
                <c:pt idx="229">
                  <c:v>7.8515926394764506</c:v>
                </c:pt>
                <c:pt idx="230">
                  <c:v>-0.54596068686731769</c:v>
                </c:pt>
                <c:pt idx="231">
                  <c:v>3.3103320554038476</c:v>
                </c:pt>
                <c:pt idx="232">
                  <c:v>1.0046162126672868</c:v>
                </c:pt>
                <c:pt idx="233">
                  <c:v>-25.174071050032467</c:v>
                </c:pt>
                <c:pt idx="234">
                  <c:v>-22.117718757033032</c:v>
                </c:pt>
                <c:pt idx="235">
                  <c:v>-29.305969865231276</c:v>
                </c:pt>
                <c:pt idx="236">
                  <c:v>-33.763162078350604</c:v>
                </c:pt>
                <c:pt idx="237">
                  <c:v>-32.050798541495539</c:v>
                </c:pt>
                <c:pt idx="238">
                  <c:v>-29.468701438210815</c:v>
                </c:pt>
                <c:pt idx="239">
                  <c:v>-49.025439433633863</c:v>
                </c:pt>
                <c:pt idx="240">
                  <c:v>-35.492154229102937</c:v>
                </c:pt>
              </c:numCache>
            </c:numRef>
          </c:yVal>
          <c:smooth val="0"/>
          <c:extLst>
            <c:ext xmlns:c16="http://schemas.microsoft.com/office/drawing/2014/chart" uri="{C3380CC4-5D6E-409C-BE32-E72D297353CC}">
              <c16:uniqueId val="{00000000-F6CD-441D-AAA4-CC8D0226BDF8}"/>
            </c:ext>
          </c:extLst>
        </c:ser>
        <c:dLbls>
          <c:showLegendKey val="0"/>
          <c:showVal val="0"/>
          <c:showCatName val="0"/>
          <c:showSerName val="0"/>
          <c:showPercent val="0"/>
          <c:showBubbleSize val="0"/>
        </c:dLbls>
        <c:axId val="700006"/>
        <c:axId val="700007"/>
      </c:scatterChart>
      <c:valAx>
        <c:axId val="700006"/>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7"/>
        <c:crosses val="min"/>
        <c:crossBetween val="midCat"/>
        <c:majorUnit val="50"/>
      </c:valAx>
      <c:valAx>
        <c:axId val="700007"/>
        <c:scaling>
          <c:orientation val="minMax"/>
          <c:max val="200"/>
          <c:min val="-15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6"/>
        <c:crosses val="min"/>
        <c:crossBetween val="midCat"/>
        <c:majorUnit val="50"/>
      </c:valAx>
    </c:plotArea>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Doppler: Flat Geometry vs Topography</a:t>
            </a:r>
          </a:p>
        </c:rich>
      </c:tx>
      <c:overlay val="0"/>
    </c:title>
    <c:autoTitleDeleted val="0"/>
    <c:plotArea>
      <c:layout/>
      <c:scatterChart>
        <c:scatterStyle val="lineMarker"/>
        <c:varyColors val="0"/>
        <c:ser>
          <c:idx val="0"/>
          <c:order val="0"/>
          <c:tx>
            <c:v>Flat VHF Doppler (Hz)</c:v>
          </c:tx>
          <c:spPr>
            <a:ln w="19050">
              <a:solidFill>
                <a:srgbClr val="0E74CA"/>
              </a:solidFill>
              <a:prstDash val="solid"/>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502.89823360690207</c:v>
                </c:pt>
                <c:pt idx="1">
                  <c:v>500.86301291985365</c:v>
                </c:pt>
                <c:pt idx="2">
                  <c:v>496.79091042789878</c:v>
                </c:pt>
                <c:pt idx="3">
                  <c:v>492.71549658133154</c:v>
                </c:pt>
                <c:pt idx="4">
                  <c:v>488.63679323794713</c:v>
                </c:pt>
                <c:pt idx="5">
                  <c:v>484.55482240278798</c:v>
                </c:pt>
                <c:pt idx="6">
                  <c:v>480.46960621077233</c:v>
                </c:pt>
                <c:pt idx="7">
                  <c:v>476.38116695534336</c:v>
                </c:pt>
                <c:pt idx="8">
                  <c:v>472.28952705690972</c:v>
                </c:pt>
                <c:pt idx="9">
                  <c:v>468.1947090801259</c:v>
                </c:pt>
                <c:pt idx="10">
                  <c:v>464.09673573907639</c:v>
                </c:pt>
                <c:pt idx="11">
                  <c:v>459.99562987453828</c:v>
                </c:pt>
                <c:pt idx="12">
                  <c:v>455.89141447326256</c:v>
                </c:pt>
                <c:pt idx="13">
                  <c:v>451.78411265633258</c:v>
                </c:pt>
                <c:pt idx="14">
                  <c:v>447.67374769307935</c:v>
                </c:pt>
                <c:pt idx="15">
                  <c:v>443.56034297125007</c:v>
                </c:pt>
                <c:pt idx="16">
                  <c:v>439.44392201619848</c:v>
                </c:pt>
                <c:pt idx="17">
                  <c:v>435.32450851025715</c:v>
                </c:pt>
                <c:pt idx="18">
                  <c:v>431.2021262460803</c:v>
                </c:pt>
                <c:pt idx="19">
                  <c:v>427.07679916102279</c:v>
                </c:pt>
                <c:pt idx="20">
                  <c:v>422.94855132149678</c:v>
                </c:pt>
                <c:pt idx="21">
                  <c:v>418.81740692178937</c:v>
                </c:pt>
                <c:pt idx="22">
                  <c:v>414.68339030034258</c:v>
                </c:pt>
                <c:pt idx="23">
                  <c:v>410.54652591110425</c:v>
                </c:pt>
                <c:pt idx="24">
                  <c:v>406.40683834462834</c:v>
                </c:pt>
                <c:pt idx="25">
                  <c:v>402.26435232361837</c:v>
                </c:pt>
                <c:pt idx="26">
                  <c:v>398.11909268910313</c:v>
                </c:pt>
                <c:pt idx="27">
                  <c:v>393.9710844109868</c:v>
                </c:pt>
                <c:pt idx="28">
                  <c:v>389.82035258295582</c:v>
                </c:pt>
                <c:pt idx="29">
                  <c:v>385.66692243821308</c:v>
                </c:pt>
                <c:pt idx="30">
                  <c:v>381.5108193193737</c:v>
                </c:pt>
                <c:pt idx="31">
                  <c:v>377.35206869019748</c:v>
                </c:pt>
                <c:pt idx="32">
                  <c:v>373.19069614577529</c:v>
                </c:pt>
                <c:pt idx="33">
                  <c:v>369.02672739852278</c:v>
                </c:pt>
                <c:pt idx="34">
                  <c:v>364.86018827936277</c:v>
                </c:pt>
                <c:pt idx="35">
                  <c:v>360.69110474018089</c:v>
                </c:pt>
                <c:pt idx="36">
                  <c:v>356.5195028526432</c:v>
                </c:pt>
                <c:pt idx="37">
                  <c:v>352.34540879673659</c:v>
                </c:pt>
                <c:pt idx="38">
                  <c:v>348.16884888314235</c:v>
                </c:pt>
                <c:pt idx="39">
                  <c:v>343.98984952458704</c:v>
                </c:pt>
                <c:pt idx="40">
                  <c:v>339.80843724993974</c:v>
                </c:pt>
                <c:pt idx="41">
                  <c:v>335.62463871039654</c:v>
                </c:pt>
                <c:pt idx="42">
                  <c:v>331.43848065974453</c:v>
                </c:pt>
                <c:pt idx="43">
                  <c:v>327.24998996245631</c:v>
                </c:pt>
                <c:pt idx="44">
                  <c:v>323.05919359660038</c:v>
                </c:pt>
                <c:pt idx="45">
                  <c:v>318.86611864902079</c:v>
                </c:pt>
                <c:pt idx="46">
                  <c:v>314.67079231433672</c:v>
                </c:pt>
                <c:pt idx="47">
                  <c:v>310.47324188575658</c:v>
                </c:pt>
                <c:pt idx="48">
                  <c:v>306.2734947710851</c:v>
                </c:pt>
                <c:pt idx="49">
                  <c:v>302.07157848089992</c:v>
                </c:pt>
                <c:pt idx="50">
                  <c:v>297.86752062109372</c:v>
                </c:pt>
                <c:pt idx="51">
                  <c:v>293.66134891224647</c:v>
                </c:pt>
                <c:pt idx="52">
                  <c:v>289.4530911666152</c:v>
                </c:pt>
                <c:pt idx="53">
                  <c:v>285.24277529395476</c:v>
                </c:pt>
                <c:pt idx="54">
                  <c:v>281.0304293043373</c:v>
                </c:pt>
                <c:pt idx="55">
                  <c:v>276.81608131206303</c:v>
                </c:pt>
                <c:pt idx="56">
                  <c:v>272.59975951992601</c:v>
                </c:pt>
                <c:pt idx="57">
                  <c:v>268.38149222203356</c:v>
                </c:pt>
                <c:pt idx="58">
                  <c:v>264.16130781663014</c:v>
                </c:pt>
                <c:pt idx="59">
                  <c:v>259.93923478881698</c:v>
                </c:pt>
                <c:pt idx="60">
                  <c:v>255.71530170509504</c:v>
                </c:pt>
                <c:pt idx="61">
                  <c:v>251.48953723855811</c:v>
                </c:pt>
                <c:pt idx="62">
                  <c:v>247.26197014497302</c:v>
                </c:pt>
                <c:pt idx="63">
                  <c:v>243.03262925423041</c:v>
                </c:pt>
                <c:pt idx="64">
                  <c:v>238.80154350053999</c:v>
                </c:pt>
                <c:pt idx="65">
                  <c:v>234.56874188968868</c:v>
                </c:pt>
                <c:pt idx="66">
                  <c:v>230.3342535144111</c:v>
                </c:pt>
                <c:pt idx="67">
                  <c:v>226.0981075584823</c:v>
                </c:pt>
                <c:pt idx="68">
                  <c:v>221.86033326770485</c:v>
                </c:pt>
                <c:pt idx="69">
                  <c:v>217.62095997992219</c:v>
                </c:pt>
                <c:pt idx="70">
                  <c:v>213.38001711119432</c:v>
                </c:pt>
                <c:pt idx="71">
                  <c:v>209.13753414824896</c:v>
                </c:pt>
                <c:pt idx="72">
                  <c:v>204.89354065312</c:v>
                </c:pt>
                <c:pt idx="73">
                  <c:v>200.64806626696736</c:v>
                </c:pt>
                <c:pt idx="74">
                  <c:v>196.40114070170966</c:v>
                </c:pt>
                <c:pt idx="75">
                  <c:v>192.15279373456724</c:v>
                </c:pt>
                <c:pt idx="76">
                  <c:v>187.90305521988557</c:v>
                </c:pt>
                <c:pt idx="77">
                  <c:v>183.65195507121825</c:v>
                </c:pt>
                <c:pt idx="78">
                  <c:v>179.3995232830639</c:v>
                </c:pt>
                <c:pt idx="79">
                  <c:v>175.14578990121663</c:v>
                </c:pt>
                <c:pt idx="80">
                  <c:v>170.89078503895507</c:v>
                </c:pt>
                <c:pt idx="81">
                  <c:v>166.6345388791342</c:v>
                </c:pt>
                <c:pt idx="82">
                  <c:v>162.37708165526783</c:v>
                </c:pt>
                <c:pt idx="83">
                  <c:v>158.1184436692638</c:v>
                </c:pt>
                <c:pt idx="84">
                  <c:v>153.85865527787246</c:v>
                </c:pt>
                <c:pt idx="85">
                  <c:v>149.59774689641563</c:v>
                </c:pt>
                <c:pt idx="86">
                  <c:v>145.33574898605366</c:v>
                </c:pt>
                <c:pt idx="87">
                  <c:v>141.07269207324862</c:v>
                </c:pt>
                <c:pt idx="88">
                  <c:v>136.80860673657662</c:v>
                </c:pt>
                <c:pt idx="89">
                  <c:v>132.5435235945406</c:v>
                </c:pt>
                <c:pt idx="90">
                  <c:v>128.2774733243059</c:v>
                </c:pt>
                <c:pt idx="91">
                  <c:v>124.0104866564252</c:v>
                </c:pt>
                <c:pt idx="92">
                  <c:v>119.74259435310159</c:v>
                </c:pt>
                <c:pt idx="93">
                  <c:v>115.47382722346811</c:v>
                </c:pt>
                <c:pt idx="94">
                  <c:v>111.20421613486542</c:v>
                </c:pt>
                <c:pt idx="95">
                  <c:v>106.9337919834652</c:v>
                </c:pt>
                <c:pt idx="96">
                  <c:v>102.66258570945865</c:v>
                </c:pt>
                <c:pt idx="97">
                  <c:v>98.390628288507287</c:v>
                </c:pt>
                <c:pt idx="98">
                  <c:v>94.117950739109801</c:v>
                </c:pt>
                <c:pt idx="99">
                  <c:v>89.844584113598103</c:v>
                </c:pt>
                <c:pt idx="100">
                  <c:v>85.570559497045906</c:v>
                </c:pt>
                <c:pt idx="101">
                  <c:v>81.295908014544693</c:v>
                </c:pt>
                <c:pt idx="102">
                  <c:v>77.020660807465902</c:v>
                </c:pt>
                <c:pt idx="103">
                  <c:v>72.74484905628924</c:v>
                </c:pt>
                <c:pt idx="104">
                  <c:v>68.468503971689643</c:v>
                </c:pt>
                <c:pt idx="105">
                  <c:v>64.191656785078521</c:v>
                </c:pt>
                <c:pt idx="106">
                  <c:v>59.914338766157016</c:v>
                </c:pt>
                <c:pt idx="107">
                  <c:v>55.636581189355638</c:v>
                </c:pt>
                <c:pt idx="108">
                  <c:v>51.358415358663478</c:v>
                </c:pt>
                <c:pt idx="109">
                  <c:v>47.079872609538143</c:v>
                </c:pt>
                <c:pt idx="110">
                  <c:v>42.800984273890208</c:v>
                </c:pt>
                <c:pt idx="111">
                  <c:v>38.521781712279335</c:v>
                </c:pt>
                <c:pt idx="112">
                  <c:v>34.242296315551357</c:v>
                </c:pt>
                <c:pt idx="113">
                  <c:v>29.962559468549443</c:v>
                </c:pt>
                <c:pt idx="114">
                  <c:v>25.682602570395829</c:v>
                </c:pt>
                <c:pt idx="115">
                  <c:v>21.402457042222522</c:v>
                </c:pt>
                <c:pt idx="116">
                  <c:v>17.12215430170545</c:v>
                </c:pt>
                <c:pt idx="117">
                  <c:v>12.841725789530756</c:v>
                </c:pt>
                <c:pt idx="118">
                  <c:v>8.5612029411095136</c:v>
                </c:pt>
                <c:pt idx="119">
                  <c:v>4.2806171930351411</c:v>
                </c:pt>
                <c:pt idx="120">
                  <c:v>0</c:v>
                </c:pt>
                <c:pt idx="121">
                  <c:v>-4.2806171930351411</c:v>
                </c:pt>
                <c:pt idx="122">
                  <c:v>-8.5612029411095136</c:v>
                </c:pt>
                <c:pt idx="123">
                  <c:v>-12.841725789530756</c:v>
                </c:pt>
                <c:pt idx="124">
                  <c:v>-17.12215430170545</c:v>
                </c:pt>
                <c:pt idx="125">
                  <c:v>-21.402457042222522</c:v>
                </c:pt>
                <c:pt idx="126">
                  <c:v>-25.682602570395829</c:v>
                </c:pt>
                <c:pt idx="127">
                  <c:v>-29.962559468549443</c:v>
                </c:pt>
                <c:pt idx="128">
                  <c:v>-34.242296315551357</c:v>
                </c:pt>
                <c:pt idx="129">
                  <c:v>-38.521781712279335</c:v>
                </c:pt>
                <c:pt idx="130">
                  <c:v>-42.800984273890208</c:v>
                </c:pt>
                <c:pt idx="131">
                  <c:v>-47.079872609538143</c:v>
                </c:pt>
                <c:pt idx="132">
                  <c:v>-51.358415358663478</c:v>
                </c:pt>
                <c:pt idx="133">
                  <c:v>-55.636581189355638</c:v>
                </c:pt>
                <c:pt idx="134">
                  <c:v>-59.914338766157016</c:v>
                </c:pt>
                <c:pt idx="135">
                  <c:v>-64.191656785078521</c:v>
                </c:pt>
                <c:pt idx="136">
                  <c:v>-68.468503971689643</c:v>
                </c:pt>
                <c:pt idx="137">
                  <c:v>-72.74484905628924</c:v>
                </c:pt>
                <c:pt idx="138">
                  <c:v>-77.020660807465902</c:v>
                </c:pt>
                <c:pt idx="139">
                  <c:v>-81.295908014544693</c:v>
                </c:pt>
                <c:pt idx="140">
                  <c:v>-85.570559497045906</c:v>
                </c:pt>
                <c:pt idx="141">
                  <c:v>-89.844584113598103</c:v>
                </c:pt>
                <c:pt idx="142">
                  <c:v>-94.117950739109801</c:v>
                </c:pt>
                <c:pt idx="143">
                  <c:v>-98.390628288507287</c:v>
                </c:pt>
                <c:pt idx="144">
                  <c:v>-102.66258570945865</c:v>
                </c:pt>
                <c:pt idx="145">
                  <c:v>-106.9337919834652</c:v>
                </c:pt>
                <c:pt idx="146">
                  <c:v>-111.20421613486542</c:v>
                </c:pt>
                <c:pt idx="147">
                  <c:v>-115.47382722346811</c:v>
                </c:pt>
                <c:pt idx="148">
                  <c:v>-119.74259435310159</c:v>
                </c:pt>
                <c:pt idx="149">
                  <c:v>-124.0104866564252</c:v>
                </c:pt>
                <c:pt idx="150">
                  <c:v>-128.2774733243059</c:v>
                </c:pt>
                <c:pt idx="151">
                  <c:v>-132.5435235945406</c:v>
                </c:pt>
                <c:pt idx="152">
                  <c:v>-136.80860673657662</c:v>
                </c:pt>
                <c:pt idx="153">
                  <c:v>-141.07269207324862</c:v>
                </c:pt>
                <c:pt idx="154">
                  <c:v>-145.33574898605366</c:v>
                </c:pt>
                <c:pt idx="155">
                  <c:v>-149.59774689641563</c:v>
                </c:pt>
                <c:pt idx="156">
                  <c:v>-153.85865527787246</c:v>
                </c:pt>
                <c:pt idx="157">
                  <c:v>-158.1184436692638</c:v>
                </c:pt>
                <c:pt idx="158">
                  <c:v>-162.37708165526783</c:v>
                </c:pt>
                <c:pt idx="159">
                  <c:v>-166.6345388791342</c:v>
                </c:pt>
                <c:pt idx="160">
                  <c:v>-170.89078503895507</c:v>
                </c:pt>
                <c:pt idx="161">
                  <c:v>-175.14578990121663</c:v>
                </c:pt>
                <c:pt idx="162">
                  <c:v>-179.3995232830639</c:v>
                </c:pt>
                <c:pt idx="163">
                  <c:v>-183.65195507121825</c:v>
                </c:pt>
                <c:pt idx="164">
                  <c:v>-187.90305521988557</c:v>
                </c:pt>
                <c:pt idx="165">
                  <c:v>-192.15279373456724</c:v>
                </c:pt>
                <c:pt idx="166">
                  <c:v>-196.40114070170966</c:v>
                </c:pt>
                <c:pt idx="167">
                  <c:v>-200.64806626696736</c:v>
                </c:pt>
                <c:pt idx="168">
                  <c:v>-204.89354065312</c:v>
                </c:pt>
                <c:pt idx="169">
                  <c:v>-209.13753414824896</c:v>
                </c:pt>
                <c:pt idx="170">
                  <c:v>-213.38001711119432</c:v>
                </c:pt>
                <c:pt idx="171">
                  <c:v>-217.62095997992219</c:v>
                </c:pt>
                <c:pt idx="172">
                  <c:v>-221.86033326770485</c:v>
                </c:pt>
                <c:pt idx="173">
                  <c:v>-226.0981075584823</c:v>
                </c:pt>
                <c:pt idx="174">
                  <c:v>-230.3342535144111</c:v>
                </c:pt>
                <c:pt idx="175">
                  <c:v>-234.56874188968868</c:v>
                </c:pt>
                <c:pt idx="176">
                  <c:v>-238.80154350053999</c:v>
                </c:pt>
                <c:pt idx="177">
                  <c:v>-243.03262925423041</c:v>
                </c:pt>
                <c:pt idx="178">
                  <c:v>-247.26197014497302</c:v>
                </c:pt>
                <c:pt idx="179">
                  <c:v>-251.48953723855811</c:v>
                </c:pt>
                <c:pt idx="180">
                  <c:v>-255.71530170509504</c:v>
                </c:pt>
                <c:pt idx="181">
                  <c:v>-259.93923478881698</c:v>
                </c:pt>
                <c:pt idx="182">
                  <c:v>-264.16130781663014</c:v>
                </c:pt>
                <c:pt idx="183">
                  <c:v>-268.38149222203356</c:v>
                </c:pt>
                <c:pt idx="184">
                  <c:v>-272.59975951992601</c:v>
                </c:pt>
                <c:pt idx="185">
                  <c:v>-276.81608131206303</c:v>
                </c:pt>
                <c:pt idx="186">
                  <c:v>-281.0304293043373</c:v>
                </c:pt>
                <c:pt idx="187">
                  <c:v>-285.24277529395476</c:v>
                </c:pt>
                <c:pt idx="188">
                  <c:v>-289.4530911666152</c:v>
                </c:pt>
                <c:pt idx="189">
                  <c:v>-293.66134891224647</c:v>
                </c:pt>
                <c:pt idx="190">
                  <c:v>-297.86752062109372</c:v>
                </c:pt>
                <c:pt idx="191">
                  <c:v>-302.07157848089992</c:v>
                </c:pt>
                <c:pt idx="192">
                  <c:v>-306.2734947710851</c:v>
                </c:pt>
                <c:pt idx="193">
                  <c:v>-310.47324188575658</c:v>
                </c:pt>
                <c:pt idx="194">
                  <c:v>-314.67079231433672</c:v>
                </c:pt>
                <c:pt idx="195">
                  <c:v>-318.86611864902079</c:v>
                </c:pt>
                <c:pt idx="196">
                  <c:v>-323.05919359660038</c:v>
                </c:pt>
                <c:pt idx="197">
                  <c:v>-327.24998996245631</c:v>
                </c:pt>
                <c:pt idx="198">
                  <c:v>-331.43848065974453</c:v>
                </c:pt>
                <c:pt idx="199">
                  <c:v>-335.62463871039654</c:v>
                </c:pt>
                <c:pt idx="200">
                  <c:v>-339.80843724993974</c:v>
                </c:pt>
                <c:pt idx="201">
                  <c:v>-343.98984952458704</c:v>
                </c:pt>
                <c:pt idx="202">
                  <c:v>-348.16884888314235</c:v>
                </c:pt>
                <c:pt idx="203">
                  <c:v>-352.34540879673659</c:v>
                </c:pt>
                <c:pt idx="204">
                  <c:v>-356.5195028526432</c:v>
                </c:pt>
                <c:pt idx="205">
                  <c:v>-360.69110474018089</c:v>
                </c:pt>
                <c:pt idx="206">
                  <c:v>-364.86018827936277</c:v>
                </c:pt>
                <c:pt idx="207">
                  <c:v>-369.02672739852278</c:v>
                </c:pt>
                <c:pt idx="208">
                  <c:v>-373.19069614577529</c:v>
                </c:pt>
                <c:pt idx="209">
                  <c:v>-377.35206869019748</c:v>
                </c:pt>
                <c:pt idx="210">
                  <c:v>-381.5108193193737</c:v>
                </c:pt>
                <c:pt idx="211">
                  <c:v>-385.66692243821308</c:v>
                </c:pt>
                <c:pt idx="212">
                  <c:v>-389.82035258295582</c:v>
                </c:pt>
                <c:pt idx="213">
                  <c:v>-393.9710844109868</c:v>
                </c:pt>
                <c:pt idx="214">
                  <c:v>-398.11909268910313</c:v>
                </c:pt>
                <c:pt idx="215">
                  <c:v>-402.26435232361837</c:v>
                </c:pt>
                <c:pt idx="216">
                  <c:v>-406.40683834462834</c:v>
                </c:pt>
                <c:pt idx="217">
                  <c:v>-410.54652591110425</c:v>
                </c:pt>
                <c:pt idx="218">
                  <c:v>-414.68339030034258</c:v>
                </c:pt>
                <c:pt idx="219">
                  <c:v>-418.81740692178937</c:v>
                </c:pt>
                <c:pt idx="220">
                  <c:v>-422.94855132149678</c:v>
                </c:pt>
                <c:pt idx="221">
                  <c:v>-427.07679916102279</c:v>
                </c:pt>
                <c:pt idx="222">
                  <c:v>-431.2021262460803</c:v>
                </c:pt>
                <c:pt idx="223">
                  <c:v>-435.32450851025715</c:v>
                </c:pt>
                <c:pt idx="224">
                  <c:v>-439.44392201619848</c:v>
                </c:pt>
                <c:pt idx="225">
                  <c:v>-443.56034297125007</c:v>
                </c:pt>
                <c:pt idx="226">
                  <c:v>-447.67374769307935</c:v>
                </c:pt>
                <c:pt idx="227">
                  <c:v>-451.78411265633258</c:v>
                </c:pt>
                <c:pt idx="228">
                  <c:v>-455.89141447326256</c:v>
                </c:pt>
                <c:pt idx="229">
                  <c:v>-459.99562987453828</c:v>
                </c:pt>
                <c:pt idx="230">
                  <c:v>-464.09673573907639</c:v>
                </c:pt>
                <c:pt idx="231">
                  <c:v>-468.1947090801259</c:v>
                </c:pt>
                <c:pt idx="232">
                  <c:v>-472.28952705690972</c:v>
                </c:pt>
                <c:pt idx="233">
                  <c:v>-476.38116695534336</c:v>
                </c:pt>
                <c:pt idx="234">
                  <c:v>-480.46960621077233</c:v>
                </c:pt>
                <c:pt idx="235">
                  <c:v>-484.55482240278798</c:v>
                </c:pt>
                <c:pt idx="236">
                  <c:v>-488.63679323794713</c:v>
                </c:pt>
                <c:pt idx="237">
                  <c:v>-492.71549658133154</c:v>
                </c:pt>
                <c:pt idx="238">
                  <c:v>-496.79091042789878</c:v>
                </c:pt>
                <c:pt idx="239">
                  <c:v>-500.86301291985365</c:v>
                </c:pt>
                <c:pt idx="240">
                  <c:v>-502.89823360690207</c:v>
                </c:pt>
              </c:numCache>
            </c:numRef>
          </c:yVal>
          <c:smooth val="0"/>
          <c:extLst>
            <c:ext xmlns:c16="http://schemas.microsoft.com/office/drawing/2014/chart" uri="{C3380CC4-5D6E-409C-BE32-E72D297353CC}">
              <c16:uniqueId val="{00000000-0F2F-4E51-A75B-9175183C4DC4}"/>
            </c:ext>
          </c:extLst>
        </c:ser>
        <c:ser>
          <c:idx val="1"/>
          <c:order val="1"/>
          <c:tx>
            <c:v>Topo VHF Doppler (Hz)</c:v>
          </c:tx>
          <c:spPr>
            <a:ln w="19050">
              <a:solidFill>
                <a:srgbClr val="F97316"/>
              </a:solidFill>
              <a:prstDash val="solid"/>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475.61823144969821</c:v>
                </c:pt>
                <c:pt idx="1">
                  <c:v>490.87300120690998</c:v>
                </c:pt>
                <c:pt idx="2">
                  <c:v>534.06021494492961</c:v>
                </c:pt>
                <c:pt idx="3">
                  <c:v>503.92094620310672</c:v>
                </c:pt>
                <c:pt idx="4">
                  <c:v>495.84077516028628</c:v>
                </c:pt>
                <c:pt idx="5">
                  <c:v>511.9766582025477</c:v>
                </c:pt>
                <c:pt idx="6">
                  <c:v>484.59834303475873</c:v>
                </c:pt>
                <c:pt idx="7">
                  <c:v>523.08281493560571</c:v>
                </c:pt>
                <c:pt idx="8">
                  <c:v>502.46266903932337</c:v>
                </c:pt>
                <c:pt idx="9">
                  <c:v>482.47165665998182</c:v>
                </c:pt>
                <c:pt idx="10">
                  <c:v>517.4251021308919</c:v>
                </c:pt>
                <c:pt idx="11">
                  <c:v>492.04615879461926</c:v>
                </c:pt>
                <c:pt idx="12">
                  <c:v>488.51245490695874</c:v>
                </c:pt>
                <c:pt idx="13">
                  <c:v>489.52310187305557</c:v>
                </c:pt>
                <c:pt idx="14">
                  <c:v>468.99927804070103</c:v>
                </c:pt>
                <c:pt idx="15">
                  <c:v>476.74103321733128</c:v>
                </c:pt>
                <c:pt idx="16">
                  <c:v>491.44939474927014</c:v>
                </c:pt>
                <c:pt idx="17">
                  <c:v>452.40092921339965</c:v>
                </c:pt>
                <c:pt idx="18">
                  <c:v>413.01562584385465</c:v>
                </c:pt>
                <c:pt idx="19">
                  <c:v>461.54026138738118</c:v>
                </c:pt>
                <c:pt idx="20">
                  <c:v>437.62067462193954</c:v>
                </c:pt>
                <c:pt idx="21">
                  <c:v>411.25840737959152</c:v>
                </c:pt>
                <c:pt idx="22">
                  <c:v>425.2262899123707</c:v>
                </c:pt>
                <c:pt idx="23">
                  <c:v>386.8337905608314</c:v>
                </c:pt>
                <c:pt idx="24">
                  <c:v>402.29372467574649</c:v>
                </c:pt>
                <c:pt idx="25">
                  <c:v>402.88305029025651</c:v>
                </c:pt>
                <c:pt idx="26">
                  <c:v>384.08704497660437</c:v>
                </c:pt>
                <c:pt idx="27">
                  <c:v>368.08092998808206</c:v>
                </c:pt>
                <c:pt idx="28">
                  <c:v>352.54798840351214</c:v>
                </c:pt>
                <c:pt idx="29">
                  <c:v>340.68148825299431</c:v>
                </c:pt>
                <c:pt idx="30">
                  <c:v>336.84334510871849</c:v>
                </c:pt>
                <c:pt idx="31">
                  <c:v>363.73558277491611</c:v>
                </c:pt>
                <c:pt idx="32">
                  <c:v>387.84031539016723</c:v>
                </c:pt>
                <c:pt idx="33">
                  <c:v>338.23828722279359</c:v>
                </c:pt>
                <c:pt idx="34">
                  <c:v>318.95368214236441</c:v>
                </c:pt>
                <c:pt idx="35">
                  <c:v>345.1024300021345</c:v>
                </c:pt>
                <c:pt idx="36">
                  <c:v>340.27294612515107</c:v>
                </c:pt>
                <c:pt idx="37">
                  <c:v>362.00557364745691</c:v>
                </c:pt>
                <c:pt idx="38">
                  <c:v>379.70420348410698</c:v>
                </c:pt>
                <c:pt idx="39">
                  <c:v>377.33507918992473</c:v>
                </c:pt>
                <c:pt idx="40">
                  <c:v>355.33588521257116</c:v>
                </c:pt>
                <c:pt idx="41">
                  <c:v>314.96723845502856</c:v>
                </c:pt>
                <c:pt idx="42">
                  <c:v>348.42733635496188</c:v>
                </c:pt>
                <c:pt idx="43">
                  <c:v>356.49037925559242</c:v>
                </c:pt>
                <c:pt idx="44">
                  <c:v>366.83142083111306</c:v>
                </c:pt>
                <c:pt idx="45">
                  <c:v>371.67029926577015</c:v>
                </c:pt>
                <c:pt idx="46">
                  <c:v>355.48139120546693</c:v>
                </c:pt>
                <c:pt idx="47">
                  <c:v>369.34297482257534</c:v>
                </c:pt>
                <c:pt idx="48">
                  <c:v>338.28247547235151</c:v>
                </c:pt>
                <c:pt idx="49">
                  <c:v>314.05984233133495</c:v>
                </c:pt>
                <c:pt idx="50">
                  <c:v>347.75645538547906</c:v>
                </c:pt>
                <c:pt idx="51">
                  <c:v>355.19551341312763</c:v>
                </c:pt>
                <c:pt idx="52">
                  <c:v>308.86032495109248</c:v>
                </c:pt>
                <c:pt idx="53">
                  <c:v>321.33106228302495</c:v>
                </c:pt>
                <c:pt idx="54">
                  <c:v>316.859491910418</c:v>
                </c:pt>
                <c:pt idx="55">
                  <c:v>275.17658723500062</c:v>
                </c:pt>
                <c:pt idx="56">
                  <c:v>279.49268607053455</c:v>
                </c:pt>
                <c:pt idx="57">
                  <c:v>288.14417854828207</c:v>
                </c:pt>
                <c:pt idx="58">
                  <c:v>238.13849277175905</c:v>
                </c:pt>
                <c:pt idx="59">
                  <c:v>234.24333788807417</c:v>
                </c:pt>
                <c:pt idx="60">
                  <c:v>236.16063340596156</c:v>
                </c:pt>
                <c:pt idx="61">
                  <c:v>243.54226020022907</c:v>
                </c:pt>
                <c:pt idx="62">
                  <c:v>221.97951412254042</c:v>
                </c:pt>
                <c:pt idx="63">
                  <c:v>213.63232481835439</c:v>
                </c:pt>
                <c:pt idx="64">
                  <c:v>217.6420816668724</c:v>
                </c:pt>
                <c:pt idx="65">
                  <c:v>196.64953141873411</c:v>
                </c:pt>
                <c:pt idx="66">
                  <c:v>220.46869172654624</c:v>
                </c:pt>
                <c:pt idx="67">
                  <c:v>198.23751812764385</c:v>
                </c:pt>
                <c:pt idx="68">
                  <c:v>192.02568655455252</c:v>
                </c:pt>
                <c:pt idx="69">
                  <c:v>199.48475681912896</c:v>
                </c:pt>
                <c:pt idx="70">
                  <c:v>221.07258972082491</c:v>
                </c:pt>
                <c:pt idx="71">
                  <c:v>222.45043993452782</c:v>
                </c:pt>
                <c:pt idx="72">
                  <c:v>200.92529767707674</c:v>
                </c:pt>
                <c:pt idx="73">
                  <c:v>218.20922536780927</c:v>
                </c:pt>
                <c:pt idx="74">
                  <c:v>216.80914002981808</c:v>
                </c:pt>
                <c:pt idx="75">
                  <c:v>251.21183481469416</c:v>
                </c:pt>
                <c:pt idx="76">
                  <c:v>260.81096796797283</c:v>
                </c:pt>
                <c:pt idx="77">
                  <c:v>185.84239228039223</c:v>
                </c:pt>
                <c:pt idx="78">
                  <c:v>196.90678698616466</c:v>
                </c:pt>
                <c:pt idx="79">
                  <c:v>207.46841210884668</c:v>
                </c:pt>
                <c:pt idx="80">
                  <c:v>203.53163798381502</c:v>
                </c:pt>
                <c:pt idx="81">
                  <c:v>219.32626696543593</c:v>
                </c:pt>
                <c:pt idx="82">
                  <c:v>165.46845659795508</c:v>
                </c:pt>
                <c:pt idx="83">
                  <c:v>191.40687485532908</c:v>
                </c:pt>
                <c:pt idx="84">
                  <c:v>203.94346546299857</c:v>
                </c:pt>
                <c:pt idx="85">
                  <c:v>132.74258327064672</c:v>
                </c:pt>
                <c:pt idx="86">
                  <c:v>129.62617697667156</c:v>
                </c:pt>
                <c:pt idx="87">
                  <c:v>192.02559108462083</c:v>
                </c:pt>
                <c:pt idx="88">
                  <c:v>165.6403437944391</c:v>
                </c:pt>
                <c:pt idx="89">
                  <c:v>137.95639615773325</c:v>
                </c:pt>
                <c:pt idx="90">
                  <c:v>160.45491747245251</c:v>
                </c:pt>
                <c:pt idx="91">
                  <c:v>131.00044031953075</c:v>
                </c:pt>
                <c:pt idx="92">
                  <c:v>109.40700518340236</c:v>
                </c:pt>
                <c:pt idx="93">
                  <c:v>134.57088687846408</c:v>
                </c:pt>
                <c:pt idx="94">
                  <c:v>159.26135976260412</c:v>
                </c:pt>
                <c:pt idx="95">
                  <c:v>115.15921534473819</c:v>
                </c:pt>
                <c:pt idx="96">
                  <c:v>118.75489251451654</c:v>
                </c:pt>
                <c:pt idx="97">
                  <c:v>137.60402670786789</c:v>
                </c:pt>
                <c:pt idx="98">
                  <c:v>112.0371558296938</c:v>
                </c:pt>
                <c:pt idx="99">
                  <c:v>104.22636697594498</c:v>
                </c:pt>
                <c:pt idx="100">
                  <c:v>86.409183252544608</c:v>
                </c:pt>
                <c:pt idx="101">
                  <c:v>95.881338013350614</c:v>
                </c:pt>
                <c:pt idx="102">
                  <c:v>61.203996322819876</c:v>
                </c:pt>
                <c:pt idx="103">
                  <c:v>64.911788341123611</c:v>
                </c:pt>
                <c:pt idx="104">
                  <c:v>83.903915255632455</c:v>
                </c:pt>
                <c:pt idx="105">
                  <c:v>12.086959146927256</c:v>
                </c:pt>
                <c:pt idx="106">
                  <c:v>36.915314910220332</c:v>
                </c:pt>
                <c:pt idx="107">
                  <c:v>63.330796538775758</c:v>
                </c:pt>
                <c:pt idx="108">
                  <c:v>21.772271344889305</c:v>
                </c:pt>
                <c:pt idx="109">
                  <c:v>13.213910555714392</c:v>
                </c:pt>
                <c:pt idx="110">
                  <c:v>20.623816407260165</c:v>
                </c:pt>
                <c:pt idx="111">
                  <c:v>37.785662231453898</c:v>
                </c:pt>
                <c:pt idx="112">
                  <c:v>5.0158617579654674</c:v>
                </c:pt>
                <c:pt idx="113">
                  <c:v>20.627472613523423</c:v>
                </c:pt>
                <c:pt idx="114">
                  <c:v>51.23987584029237</c:v>
                </c:pt>
                <c:pt idx="115">
                  <c:v>46.6773382615429</c:v>
                </c:pt>
                <c:pt idx="116">
                  <c:v>33.292559234359942</c:v>
                </c:pt>
                <c:pt idx="117">
                  <c:v>20.845477274997393</c:v>
                </c:pt>
                <c:pt idx="118">
                  <c:v>77.358582702800049</c:v>
                </c:pt>
                <c:pt idx="119">
                  <c:v>67.215495240452583</c:v>
                </c:pt>
                <c:pt idx="120">
                  <c:v>13.577875871487777</c:v>
                </c:pt>
                <c:pt idx="121">
                  <c:v>23.04487073324708</c:v>
                </c:pt>
                <c:pt idx="122">
                  <c:v>45.852821853259229</c:v>
                </c:pt>
                <c:pt idx="123">
                  <c:v>46.043212136100919</c:v>
                </c:pt>
                <c:pt idx="124">
                  <c:v>35.28480728100476</c:v>
                </c:pt>
                <c:pt idx="125">
                  <c:v>-17.696456895737356</c:v>
                </c:pt>
                <c:pt idx="126">
                  <c:v>-4.6735498308407841</c:v>
                </c:pt>
                <c:pt idx="127">
                  <c:v>9.6052323767253256</c:v>
                </c:pt>
                <c:pt idx="128">
                  <c:v>-25.147264343559073</c:v>
                </c:pt>
                <c:pt idx="129">
                  <c:v>-59.063574608717317</c:v>
                </c:pt>
                <c:pt idx="130">
                  <c:v>-89.290796032310027</c:v>
                </c:pt>
                <c:pt idx="131">
                  <c:v>-71.244503725029062</c:v>
                </c:pt>
                <c:pt idx="132">
                  <c:v>-75.481501977537846</c:v>
                </c:pt>
                <c:pt idx="133">
                  <c:v>-54.549400817177229</c:v>
                </c:pt>
                <c:pt idx="134">
                  <c:v>-93.367447274067672</c:v>
                </c:pt>
                <c:pt idx="135">
                  <c:v>-123.54267273130972</c:v>
                </c:pt>
                <c:pt idx="136">
                  <c:v>-106.61121304219705</c:v>
                </c:pt>
                <c:pt idx="137">
                  <c:v>-98.322835190447222</c:v>
                </c:pt>
                <c:pt idx="138">
                  <c:v>-79.196808406777564</c:v>
                </c:pt>
                <c:pt idx="139">
                  <c:v>-124.45092927709993</c:v>
                </c:pt>
                <c:pt idx="140">
                  <c:v>-149.95775995867007</c:v>
                </c:pt>
                <c:pt idx="141">
                  <c:v>-104.68639668342803</c:v>
                </c:pt>
                <c:pt idx="142">
                  <c:v>-99.761806059996161</c:v>
                </c:pt>
                <c:pt idx="143">
                  <c:v>-133.6965623294418</c:v>
                </c:pt>
                <c:pt idx="144">
                  <c:v>-103.25466974927622</c:v>
                </c:pt>
                <c:pt idx="145">
                  <c:v>-97.459329212961165</c:v>
                </c:pt>
                <c:pt idx="146">
                  <c:v>-151.57657912886862</c:v>
                </c:pt>
                <c:pt idx="147">
                  <c:v>-141.51365191682999</c:v>
                </c:pt>
                <c:pt idx="148">
                  <c:v>-109.12181689409408</c:v>
                </c:pt>
                <c:pt idx="149">
                  <c:v>-145.14355631799845</c:v>
                </c:pt>
                <c:pt idx="150">
                  <c:v>-160.16073489608971</c:v>
                </c:pt>
                <c:pt idx="151">
                  <c:v>-131.10580275870234</c:v>
                </c:pt>
                <c:pt idx="152">
                  <c:v>-120.04510651404416</c:v>
                </c:pt>
                <c:pt idx="153">
                  <c:v>-137.05256517414455</c:v>
                </c:pt>
                <c:pt idx="154">
                  <c:v>-135.2580367196424</c:v>
                </c:pt>
                <c:pt idx="155">
                  <c:v>-126.66363410589838</c:v>
                </c:pt>
                <c:pt idx="156">
                  <c:v>-151.69053844329028</c:v>
                </c:pt>
                <c:pt idx="157">
                  <c:v>-139.17571677347951</c:v>
                </c:pt>
                <c:pt idx="158">
                  <c:v>-126.46437359499032</c:v>
                </c:pt>
                <c:pt idx="159">
                  <c:v>-151.36712018684193</c:v>
                </c:pt>
                <c:pt idx="160">
                  <c:v>-162.90904520274125</c:v>
                </c:pt>
                <c:pt idx="161">
                  <c:v>-171.71634810874821</c:v>
                </c:pt>
                <c:pt idx="162">
                  <c:v>-175.76256821785137</c:v>
                </c:pt>
                <c:pt idx="163">
                  <c:v>-173.41463906941499</c:v>
                </c:pt>
                <c:pt idx="164">
                  <c:v>-190.64828334176127</c:v>
                </c:pt>
                <c:pt idx="165">
                  <c:v>-207.66237126308624</c:v>
                </c:pt>
                <c:pt idx="166">
                  <c:v>-214.52838117938882</c:v>
                </c:pt>
                <c:pt idx="167">
                  <c:v>-195.82322653741357</c:v>
                </c:pt>
                <c:pt idx="168">
                  <c:v>-230.14401414493477</c:v>
                </c:pt>
                <c:pt idx="169">
                  <c:v>-244.97379562135393</c:v>
                </c:pt>
                <c:pt idx="170">
                  <c:v>-253.73623064069761</c:v>
                </c:pt>
                <c:pt idx="171">
                  <c:v>-267.79701353816563</c:v>
                </c:pt>
                <c:pt idx="172">
                  <c:v>-232.61930903145185</c:v>
                </c:pt>
                <c:pt idx="173">
                  <c:v>-291.65466653967087</c:v>
                </c:pt>
                <c:pt idx="174">
                  <c:v>-304.31541811476563</c:v>
                </c:pt>
                <c:pt idx="175">
                  <c:v>-288.8126042343174</c:v>
                </c:pt>
                <c:pt idx="176">
                  <c:v>-281.15917075083416</c:v>
                </c:pt>
                <c:pt idx="177">
                  <c:v>-287.96985247545308</c:v>
                </c:pt>
                <c:pt idx="178">
                  <c:v>-321.95858402801605</c:v>
                </c:pt>
                <c:pt idx="179">
                  <c:v>-292.27470798450668</c:v>
                </c:pt>
                <c:pt idx="180">
                  <c:v>-293.21279433806922</c:v>
                </c:pt>
                <c:pt idx="181">
                  <c:v>-289.90851073058366</c:v>
                </c:pt>
                <c:pt idx="182">
                  <c:v>-301.45943187817466</c:v>
                </c:pt>
                <c:pt idx="183">
                  <c:v>-295.70542531273531</c:v>
                </c:pt>
                <c:pt idx="184">
                  <c:v>-254.59907467848097</c:v>
                </c:pt>
                <c:pt idx="185">
                  <c:v>-271.14112996578115</c:v>
                </c:pt>
                <c:pt idx="186">
                  <c:v>-283.89382672230568</c:v>
                </c:pt>
                <c:pt idx="187">
                  <c:v>-258.09890866003116</c:v>
                </c:pt>
                <c:pt idx="188">
                  <c:v>-253.72673676783961</c:v>
                </c:pt>
                <c:pt idx="189">
                  <c:v>-295.78985259904584</c:v>
                </c:pt>
                <c:pt idx="190">
                  <c:v>-307.83523316185892</c:v>
                </c:pt>
                <c:pt idx="191">
                  <c:v>-286.60699439151358</c:v>
                </c:pt>
                <c:pt idx="192">
                  <c:v>-256.20808419480454</c:v>
                </c:pt>
                <c:pt idx="193">
                  <c:v>-270.33211644011317</c:v>
                </c:pt>
                <c:pt idx="194">
                  <c:v>-304.73200256828932</c:v>
                </c:pt>
                <c:pt idx="195">
                  <c:v>-310.94330885744057</c:v>
                </c:pt>
                <c:pt idx="196">
                  <c:v>-274.92396347497561</c:v>
                </c:pt>
                <c:pt idx="197">
                  <c:v>-295.00116253339002</c:v>
                </c:pt>
                <c:pt idx="198">
                  <c:v>-351.01909148434061</c:v>
                </c:pt>
                <c:pt idx="199">
                  <c:v>-332.67603342701477</c:v>
                </c:pt>
                <c:pt idx="200">
                  <c:v>-337.19177191396739</c:v>
                </c:pt>
                <c:pt idx="201">
                  <c:v>-388.89445723843892</c:v>
                </c:pt>
                <c:pt idx="202">
                  <c:v>-398.15439784842965</c:v>
                </c:pt>
                <c:pt idx="203">
                  <c:v>-361.10799848111128</c:v>
                </c:pt>
                <c:pt idx="204">
                  <c:v>-371.61471890167377</c:v>
                </c:pt>
                <c:pt idx="205">
                  <c:v>-398.58972229558276</c:v>
                </c:pt>
                <c:pt idx="206">
                  <c:v>-419.43352169901118</c:v>
                </c:pt>
                <c:pt idx="207">
                  <c:v>-429.90518775532109</c:v>
                </c:pt>
                <c:pt idx="208">
                  <c:v>-446.63456761463749</c:v>
                </c:pt>
                <c:pt idx="209">
                  <c:v>-446.31989555336986</c:v>
                </c:pt>
                <c:pt idx="210">
                  <c:v>-397.70995031030907</c:v>
                </c:pt>
                <c:pt idx="211">
                  <c:v>-414.26594574604678</c:v>
                </c:pt>
                <c:pt idx="212">
                  <c:v>-458.6307151440451</c:v>
                </c:pt>
                <c:pt idx="213">
                  <c:v>-438.49745370152959</c:v>
                </c:pt>
                <c:pt idx="214">
                  <c:v>-425.83713410422206</c:v>
                </c:pt>
                <c:pt idx="215">
                  <c:v>-393.00673283623837</c:v>
                </c:pt>
                <c:pt idx="216">
                  <c:v>-396.2138094164402</c:v>
                </c:pt>
                <c:pt idx="217">
                  <c:v>-435.00265504499112</c:v>
                </c:pt>
                <c:pt idx="218">
                  <c:v>-412.31740714465559</c:v>
                </c:pt>
                <c:pt idx="219">
                  <c:v>-409.92882733689839</c:v>
                </c:pt>
                <c:pt idx="220">
                  <c:v>-389.68272555466683</c:v>
                </c:pt>
                <c:pt idx="221">
                  <c:v>-392.74784064245978</c:v>
                </c:pt>
                <c:pt idx="222">
                  <c:v>-395.66337661017315</c:v>
                </c:pt>
                <c:pt idx="223">
                  <c:v>-388.33618470589499</c:v>
                </c:pt>
                <c:pt idx="224">
                  <c:v>-432.56215303044883</c:v>
                </c:pt>
                <c:pt idx="225">
                  <c:v>-417.67672557143669</c:v>
                </c:pt>
                <c:pt idx="226">
                  <c:v>-421.09802518143624</c:v>
                </c:pt>
                <c:pt idx="227">
                  <c:v>-455.04595231805069</c:v>
                </c:pt>
                <c:pt idx="228">
                  <c:v>-462.89568268011863</c:v>
                </c:pt>
                <c:pt idx="229">
                  <c:v>-449.19318341535472</c:v>
                </c:pt>
                <c:pt idx="230">
                  <c:v>-455.00982441953965</c:v>
                </c:pt>
                <c:pt idx="231">
                  <c:v>-470.86624457688231</c:v>
                </c:pt>
                <c:pt idx="232">
                  <c:v>-460.62955620191133</c:v>
                </c:pt>
                <c:pt idx="233">
                  <c:v>-454.89450199102066</c:v>
                </c:pt>
                <c:pt idx="234">
                  <c:v>-499.14395786781824</c:v>
                </c:pt>
                <c:pt idx="235">
                  <c:v>-494.38777510722502</c:v>
                </c:pt>
                <c:pt idx="236">
                  <c:v>-473.01087533796817</c:v>
                </c:pt>
                <c:pt idx="237">
                  <c:v>-494.11679295681097</c:v>
                </c:pt>
                <c:pt idx="238">
                  <c:v>-527.30541229520895</c:v>
                </c:pt>
                <c:pt idx="239">
                  <c:v>-523.59581887167224</c:v>
                </c:pt>
                <c:pt idx="240">
                  <c:v>-470.52756543034775</c:v>
                </c:pt>
              </c:numCache>
            </c:numRef>
          </c:yVal>
          <c:smooth val="0"/>
          <c:extLst>
            <c:ext xmlns:c16="http://schemas.microsoft.com/office/drawing/2014/chart" uri="{C3380CC4-5D6E-409C-BE32-E72D297353CC}">
              <c16:uniqueId val="{00000001-0F2F-4E51-A75B-9175183C4DC4}"/>
            </c:ext>
          </c:extLst>
        </c:ser>
        <c:ser>
          <c:idx val="2"/>
          <c:order val="2"/>
          <c:tx>
            <c:v>Flat HF Doppler (Hz)</c:v>
          </c:tx>
          <c:spPr>
            <a:ln w="19050">
              <a:solidFill>
                <a:srgbClr val="16A34A"/>
              </a:solidFill>
              <a:prstDash val="solid"/>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75.510245286321634</c:v>
                </c:pt>
                <c:pt idx="1">
                  <c:v>75.204656594572626</c:v>
                </c:pt>
                <c:pt idx="2">
                  <c:v>74.593229793978807</c:v>
                </c:pt>
                <c:pt idx="3">
                  <c:v>73.981305792992728</c:v>
                </c:pt>
                <c:pt idx="4">
                  <c:v>73.36888787356564</c:v>
                </c:pt>
                <c:pt idx="5">
                  <c:v>72.755979339757957</c:v>
                </c:pt>
                <c:pt idx="6">
                  <c:v>72.14258351513098</c:v>
                </c:pt>
                <c:pt idx="7">
                  <c:v>71.528703747048553</c:v>
                </c:pt>
                <c:pt idx="8">
                  <c:v>70.914343401938396</c:v>
                </c:pt>
                <c:pt idx="9">
                  <c:v>70.299505867886779</c:v>
                </c:pt>
                <c:pt idx="10">
                  <c:v>69.68419455541688</c:v>
                </c:pt>
                <c:pt idx="11">
                  <c:v>69.068412894074825</c:v>
                </c:pt>
                <c:pt idx="12">
                  <c:v>68.45216433532471</c:v>
                </c:pt>
                <c:pt idx="13">
                  <c:v>67.835452350800693</c:v>
                </c:pt>
                <c:pt idx="14">
                  <c:v>67.218280434396306</c:v>
                </c:pt>
                <c:pt idx="15">
                  <c:v>66.6006520977853</c:v>
                </c:pt>
                <c:pt idx="16">
                  <c:v>65.982570873303075</c:v>
                </c:pt>
                <c:pt idx="17">
                  <c:v>65.364040316855437</c:v>
                </c:pt>
                <c:pt idx="18">
                  <c:v>64.745064000912961</c:v>
                </c:pt>
                <c:pt idx="19">
                  <c:v>64.1256455196731</c:v>
                </c:pt>
                <c:pt idx="20">
                  <c:v>63.505788486711232</c:v>
                </c:pt>
                <c:pt idx="21">
                  <c:v>62.885496534803217</c:v>
                </c:pt>
                <c:pt idx="22">
                  <c:v>62.264773318369762</c:v>
                </c:pt>
                <c:pt idx="23">
                  <c:v>61.643622509174818</c:v>
                </c:pt>
                <c:pt idx="24">
                  <c:v>61.022047799493748</c:v>
                </c:pt>
                <c:pt idx="25">
                  <c:v>60.400052901444205</c:v>
                </c:pt>
                <c:pt idx="26">
                  <c:v>59.777641544910388</c:v>
                </c:pt>
                <c:pt idx="27">
                  <c:v>59.154817479127153</c:v>
                </c:pt>
                <c:pt idx="28">
                  <c:v>58.531584471915295</c:v>
                </c:pt>
                <c:pt idx="29">
                  <c:v>57.907946312044011</c:v>
                </c:pt>
                <c:pt idx="30">
                  <c:v>57.283906804710767</c:v>
                </c:pt>
                <c:pt idx="31">
                  <c:v>56.659469773302931</c:v>
                </c:pt>
                <c:pt idx="32">
                  <c:v>56.034639060927226</c:v>
                </c:pt>
                <c:pt idx="33">
                  <c:v>55.40941852830673</c:v>
                </c:pt>
                <c:pt idx="34">
                  <c:v>54.783812053958378</c:v>
                </c:pt>
                <c:pt idx="35">
                  <c:v>54.1578235345617</c:v>
                </c:pt>
                <c:pt idx="36">
                  <c:v>53.531456884781264</c:v>
                </c:pt>
                <c:pt idx="37">
                  <c:v>52.904716035546038</c:v>
                </c:pt>
                <c:pt idx="38">
                  <c:v>52.277604937408768</c:v>
                </c:pt>
                <c:pt idx="39">
                  <c:v>51.650127556244307</c:v>
                </c:pt>
                <c:pt idx="40">
                  <c:v>51.022287875366331</c:v>
                </c:pt>
                <c:pt idx="41">
                  <c:v>50.394089896455938</c:v>
                </c:pt>
                <c:pt idx="42">
                  <c:v>49.765537636598282</c:v>
                </c:pt>
                <c:pt idx="43">
                  <c:v>49.136635129497947</c:v>
                </c:pt>
                <c:pt idx="44">
                  <c:v>48.507386425915975</c:v>
                </c:pt>
                <c:pt idx="45">
                  <c:v>47.877795592946072</c:v>
                </c:pt>
                <c:pt idx="46">
                  <c:v>47.247866713864376</c:v>
                </c:pt>
                <c:pt idx="47">
                  <c:v>46.617603886750238</c:v>
                </c:pt>
                <c:pt idx="48">
                  <c:v>45.987011226889656</c:v>
                </c:pt>
                <c:pt idx="49">
                  <c:v>45.356092864999994</c:v>
                </c:pt>
                <c:pt idx="50">
                  <c:v>44.724852946110168</c:v>
                </c:pt>
                <c:pt idx="51">
                  <c:v>44.093295632469442</c:v>
                </c:pt>
                <c:pt idx="52">
                  <c:v>43.461425100092377</c:v>
                </c:pt>
                <c:pt idx="53">
                  <c:v>42.829245539632851</c:v>
                </c:pt>
                <c:pt idx="54">
                  <c:v>42.196761156807405</c:v>
                </c:pt>
                <c:pt idx="55">
                  <c:v>41.563976172982443</c:v>
                </c:pt>
                <c:pt idx="56">
                  <c:v>40.930894822811716</c:v>
                </c:pt>
                <c:pt idx="57">
                  <c:v>40.297521354659693</c:v>
                </c:pt>
                <c:pt idx="58">
                  <c:v>39.663860032527054</c:v>
                </c:pt>
                <c:pt idx="59">
                  <c:v>39.029915133456008</c:v>
                </c:pt>
                <c:pt idx="60">
                  <c:v>38.395690946710971</c:v>
                </c:pt>
                <c:pt idx="61">
                  <c:v>37.76119177756128</c:v>
                </c:pt>
                <c:pt idx="62">
                  <c:v>37.126421943689643</c:v>
                </c:pt>
                <c:pt idx="63">
                  <c:v>36.491385773908476</c:v>
                </c:pt>
                <c:pt idx="64">
                  <c:v>35.856087612693699</c:v>
                </c:pt>
                <c:pt idx="65">
                  <c:v>35.220531815268572</c:v>
                </c:pt>
                <c:pt idx="66">
                  <c:v>34.584722749911577</c:v>
                </c:pt>
                <c:pt idx="67">
                  <c:v>33.948664798570917</c:v>
                </c:pt>
                <c:pt idx="68">
                  <c:v>33.312362352508238</c:v>
                </c:pt>
                <c:pt idx="69">
                  <c:v>32.675819816805138</c:v>
                </c:pt>
                <c:pt idx="70">
                  <c:v>32.039041608287441</c:v>
                </c:pt>
                <c:pt idx="71">
                  <c:v>31.402032154391737</c:v>
                </c:pt>
                <c:pt idx="72">
                  <c:v>30.764795893861866</c:v>
                </c:pt>
                <c:pt idx="73">
                  <c:v>30.127337277322429</c:v>
                </c:pt>
                <c:pt idx="74">
                  <c:v>29.489660766022475</c:v>
                </c:pt>
                <c:pt idx="75">
                  <c:v>28.851770831016104</c:v>
                </c:pt>
                <c:pt idx="76">
                  <c:v>28.213671954937777</c:v>
                </c:pt>
                <c:pt idx="77">
                  <c:v>27.575368629312052</c:v>
                </c:pt>
                <c:pt idx="78">
                  <c:v>26.936865357817403</c:v>
                </c:pt>
                <c:pt idx="79">
                  <c:v>26.298166651834332</c:v>
                </c:pt>
                <c:pt idx="80">
                  <c:v>25.65927703287614</c:v>
                </c:pt>
                <c:pt idx="81">
                  <c:v>25.020201032903035</c:v>
                </c:pt>
                <c:pt idx="82">
                  <c:v>24.380943191481659</c:v>
                </c:pt>
                <c:pt idx="83">
                  <c:v>23.741508058448019</c:v>
                </c:pt>
                <c:pt idx="84">
                  <c:v>23.101900191872744</c:v>
                </c:pt>
                <c:pt idx="85">
                  <c:v>22.462124158620966</c:v>
                </c:pt>
                <c:pt idx="86">
                  <c:v>21.822184532440492</c:v>
                </c:pt>
                <c:pt idx="87">
                  <c:v>21.182085896884178</c:v>
                </c:pt>
                <c:pt idx="88">
                  <c:v>20.541832843329825</c:v>
                </c:pt>
                <c:pt idx="89">
                  <c:v>19.901429969150243</c:v>
                </c:pt>
                <c:pt idx="90">
                  <c:v>19.260881880526412</c:v>
                </c:pt>
                <c:pt idx="91">
                  <c:v>18.620193191655439</c:v>
                </c:pt>
                <c:pt idx="92">
                  <c:v>17.979368521486727</c:v>
                </c:pt>
                <c:pt idx="93">
                  <c:v>17.338412496016232</c:v>
                </c:pt>
                <c:pt idx="94">
                  <c:v>16.697329749979794</c:v>
                </c:pt>
                <c:pt idx="95">
                  <c:v>16.056124922442223</c:v>
                </c:pt>
                <c:pt idx="96">
                  <c:v>15.414802659077877</c:v>
                </c:pt>
                <c:pt idx="97">
                  <c:v>14.77336761088698</c:v>
                </c:pt>
                <c:pt idx="98">
                  <c:v>14.131824435301773</c:v>
                </c:pt>
                <c:pt idx="99">
                  <c:v>13.490177794834551</c:v>
                </c:pt>
                <c:pt idx="100">
                  <c:v>12.848432356913801</c:v>
                </c:pt>
                <c:pt idx="101">
                  <c:v>12.206592794976682</c:v>
                </c:pt>
                <c:pt idx="102">
                  <c:v>11.564663784904791</c:v>
                </c:pt>
                <c:pt idx="103">
                  <c:v>10.922650008451839</c:v>
                </c:pt>
                <c:pt idx="104">
                  <c:v>10.280556151905353</c:v>
                </c:pt>
                <c:pt idx="105">
                  <c:v>9.6383869046664454</c:v>
                </c:pt>
                <c:pt idx="106">
                  <c:v>8.9961469618854384</c:v>
                </c:pt>
                <c:pt idx="107">
                  <c:v>8.3538410194227684</c:v>
                </c:pt>
                <c:pt idx="108">
                  <c:v>7.7114737775770994</c:v>
                </c:pt>
                <c:pt idx="109">
                  <c:v>7.0690499413720937</c:v>
                </c:pt>
                <c:pt idx="110">
                  <c:v>6.4265742152988308</c:v>
                </c:pt>
                <c:pt idx="111">
                  <c:v>5.7840513081500511</c:v>
                </c:pt>
                <c:pt idx="112">
                  <c:v>5.1414859332659697</c:v>
                </c:pt>
                <c:pt idx="113">
                  <c:v>4.4988828030855021</c:v>
                </c:pt>
                <c:pt idx="114">
                  <c:v>3.8562466321915663</c:v>
                </c:pt>
                <c:pt idx="115">
                  <c:v>3.2135821384718506</c:v>
                </c:pt>
                <c:pt idx="116">
                  <c:v>2.570894039295113</c:v>
                </c:pt>
                <c:pt idx="117">
                  <c:v>1.9281870554850986</c:v>
                </c:pt>
                <c:pt idx="118">
                  <c:v>1.2854659070735006</c:v>
                </c:pt>
                <c:pt idx="119">
                  <c:v>0.64273531426954078</c:v>
                </c:pt>
                <c:pt idx="120">
                  <c:v>0</c:v>
                </c:pt>
                <c:pt idx="121">
                  <c:v>-0.64273531426954078</c:v>
                </c:pt>
                <c:pt idx="122">
                  <c:v>-1.2854659070735006</c:v>
                </c:pt>
                <c:pt idx="123">
                  <c:v>-1.9281870554850986</c:v>
                </c:pt>
                <c:pt idx="124">
                  <c:v>-2.570894039295113</c:v>
                </c:pt>
                <c:pt idx="125">
                  <c:v>-3.2135821384718506</c:v>
                </c:pt>
                <c:pt idx="126">
                  <c:v>-3.8562466321915663</c:v>
                </c:pt>
                <c:pt idx="127">
                  <c:v>-4.4988828030855021</c:v>
                </c:pt>
                <c:pt idx="128">
                  <c:v>-5.1414859332659697</c:v>
                </c:pt>
                <c:pt idx="129">
                  <c:v>-5.7840513081500511</c:v>
                </c:pt>
                <c:pt idx="130">
                  <c:v>-6.4265742152988308</c:v>
                </c:pt>
                <c:pt idx="131">
                  <c:v>-7.0690499413720937</c:v>
                </c:pt>
                <c:pt idx="132">
                  <c:v>-7.7114737775770994</c:v>
                </c:pt>
                <c:pt idx="133">
                  <c:v>-8.3538410194227684</c:v>
                </c:pt>
                <c:pt idx="134">
                  <c:v>-8.9961469618854384</c:v>
                </c:pt>
                <c:pt idx="135">
                  <c:v>-9.6383869046664454</c:v>
                </c:pt>
                <c:pt idx="136">
                  <c:v>-10.280556151905353</c:v>
                </c:pt>
                <c:pt idx="137">
                  <c:v>-10.922650008451839</c:v>
                </c:pt>
                <c:pt idx="138">
                  <c:v>-11.564663784904791</c:v>
                </c:pt>
                <c:pt idx="139">
                  <c:v>-12.206592794976682</c:v>
                </c:pt>
                <c:pt idx="140">
                  <c:v>-12.848432356913801</c:v>
                </c:pt>
                <c:pt idx="141">
                  <c:v>-13.490177794834551</c:v>
                </c:pt>
                <c:pt idx="142">
                  <c:v>-14.131824435301773</c:v>
                </c:pt>
                <c:pt idx="143">
                  <c:v>-14.77336761088698</c:v>
                </c:pt>
                <c:pt idx="144">
                  <c:v>-15.414802659077877</c:v>
                </c:pt>
                <c:pt idx="145">
                  <c:v>-16.056124922442223</c:v>
                </c:pt>
                <c:pt idx="146">
                  <c:v>-16.697329749979794</c:v>
                </c:pt>
                <c:pt idx="147">
                  <c:v>-17.338412496016232</c:v>
                </c:pt>
                <c:pt idx="148">
                  <c:v>-17.979368521486727</c:v>
                </c:pt>
                <c:pt idx="149">
                  <c:v>-18.620193191655439</c:v>
                </c:pt>
                <c:pt idx="150">
                  <c:v>-19.260881880526412</c:v>
                </c:pt>
                <c:pt idx="151">
                  <c:v>-19.901429969150243</c:v>
                </c:pt>
                <c:pt idx="152">
                  <c:v>-20.541832843329825</c:v>
                </c:pt>
                <c:pt idx="153">
                  <c:v>-21.182085896884178</c:v>
                </c:pt>
                <c:pt idx="154">
                  <c:v>-21.822184532440492</c:v>
                </c:pt>
                <c:pt idx="155">
                  <c:v>-22.462124158620966</c:v>
                </c:pt>
                <c:pt idx="156">
                  <c:v>-23.101900191872744</c:v>
                </c:pt>
                <c:pt idx="157">
                  <c:v>-23.741508058448019</c:v>
                </c:pt>
                <c:pt idx="158">
                  <c:v>-24.380943191481659</c:v>
                </c:pt>
                <c:pt idx="159">
                  <c:v>-25.020201032903035</c:v>
                </c:pt>
                <c:pt idx="160">
                  <c:v>-25.65927703287614</c:v>
                </c:pt>
                <c:pt idx="161">
                  <c:v>-26.298166651834332</c:v>
                </c:pt>
                <c:pt idx="162">
                  <c:v>-26.936865357817403</c:v>
                </c:pt>
                <c:pt idx="163">
                  <c:v>-27.575368629312052</c:v>
                </c:pt>
                <c:pt idx="164">
                  <c:v>-28.213671954937777</c:v>
                </c:pt>
                <c:pt idx="165">
                  <c:v>-28.851770831016104</c:v>
                </c:pt>
                <c:pt idx="166">
                  <c:v>-29.489660766022475</c:v>
                </c:pt>
                <c:pt idx="167">
                  <c:v>-30.127337277322429</c:v>
                </c:pt>
                <c:pt idx="168">
                  <c:v>-30.764795893861866</c:v>
                </c:pt>
                <c:pt idx="169">
                  <c:v>-31.402032154391737</c:v>
                </c:pt>
                <c:pt idx="170">
                  <c:v>-32.039041608287441</c:v>
                </c:pt>
                <c:pt idx="171">
                  <c:v>-32.675819816805138</c:v>
                </c:pt>
                <c:pt idx="172">
                  <c:v>-33.312362352508238</c:v>
                </c:pt>
                <c:pt idx="173">
                  <c:v>-33.948664798570917</c:v>
                </c:pt>
                <c:pt idx="174">
                  <c:v>-34.584722749911577</c:v>
                </c:pt>
                <c:pt idx="175">
                  <c:v>-35.220531815268572</c:v>
                </c:pt>
                <c:pt idx="176">
                  <c:v>-35.856087612693699</c:v>
                </c:pt>
                <c:pt idx="177">
                  <c:v>-36.491385773908476</c:v>
                </c:pt>
                <c:pt idx="178">
                  <c:v>-37.126421943689643</c:v>
                </c:pt>
                <c:pt idx="179">
                  <c:v>-37.76119177756128</c:v>
                </c:pt>
                <c:pt idx="180">
                  <c:v>-38.395690946710971</c:v>
                </c:pt>
                <c:pt idx="181">
                  <c:v>-39.029915133456008</c:v>
                </c:pt>
                <c:pt idx="182">
                  <c:v>-39.663860032527054</c:v>
                </c:pt>
                <c:pt idx="183">
                  <c:v>-40.297521354659693</c:v>
                </c:pt>
                <c:pt idx="184">
                  <c:v>-40.930894822811716</c:v>
                </c:pt>
                <c:pt idx="185">
                  <c:v>-41.563976172982443</c:v>
                </c:pt>
                <c:pt idx="186">
                  <c:v>-42.196761156807405</c:v>
                </c:pt>
                <c:pt idx="187">
                  <c:v>-42.829245539632851</c:v>
                </c:pt>
                <c:pt idx="188">
                  <c:v>-43.461425100092377</c:v>
                </c:pt>
                <c:pt idx="189">
                  <c:v>-44.093295632469442</c:v>
                </c:pt>
                <c:pt idx="190">
                  <c:v>-44.724852946110168</c:v>
                </c:pt>
                <c:pt idx="191">
                  <c:v>-45.356092864999994</c:v>
                </c:pt>
                <c:pt idx="192">
                  <c:v>-45.987011226889656</c:v>
                </c:pt>
                <c:pt idx="193">
                  <c:v>-46.617603886750238</c:v>
                </c:pt>
                <c:pt idx="194">
                  <c:v>-47.247866713864376</c:v>
                </c:pt>
                <c:pt idx="195">
                  <c:v>-47.877795592946072</c:v>
                </c:pt>
                <c:pt idx="196">
                  <c:v>-48.507386425915975</c:v>
                </c:pt>
                <c:pt idx="197">
                  <c:v>-49.136635129497947</c:v>
                </c:pt>
                <c:pt idx="198">
                  <c:v>-49.765537636598282</c:v>
                </c:pt>
                <c:pt idx="199">
                  <c:v>-50.394089896455938</c:v>
                </c:pt>
                <c:pt idx="200">
                  <c:v>-51.022287875366331</c:v>
                </c:pt>
                <c:pt idx="201">
                  <c:v>-51.650127556244307</c:v>
                </c:pt>
                <c:pt idx="202">
                  <c:v>-52.277604937408768</c:v>
                </c:pt>
                <c:pt idx="203">
                  <c:v>-52.904716035546038</c:v>
                </c:pt>
                <c:pt idx="204">
                  <c:v>-53.531456884781264</c:v>
                </c:pt>
                <c:pt idx="205">
                  <c:v>-54.1578235345617</c:v>
                </c:pt>
                <c:pt idx="206">
                  <c:v>-54.783812053958378</c:v>
                </c:pt>
                <c:pt idx="207">
                  <c:v>-55.40941852830673</c:v>
                </c:pt>
                <c:pt idx="208">
                  <c:v>-56.034639060927226</c:v>
                </c:pt>
                <c:pt idx="209">
                  <c:v>-56.659469773302931</c:v>
                </c:pt>
                <c:pt idx="210">
                  <c:v>-57.283906804710767</c:v>
                </c:pt>
                <c:pt idx="211">
                  <c:v>-57.907946312044011</c:v>
                </c:pt>
                <c:pt idx="212">
                  <c:v>-58.531584471915295</c:v>
                </c:pt>
                <c:pt idx="213">
                  <c:v>-59.154817479127153</c:v>
                </c:pt>
                <c:pt idx="214">
                  <c:v>-59.777641544910388</c:v>
                </c:pt>
                <c:pt idx="215">
                  <c:v>-60.400052901444205</c:v>
                </c:pt>
                <c:pt idx="216">
                  <c:v>-61.022047799493748</c:v>
                </c:pt>
                <c:pt idx="217">
                  <c:v>-61.643622509174818</c:v>
                </c:pt>
                <c:pt idx="218">
                  <c:v>-62.264773318369762</c:v>
                </c:pt>
                <c:pt idx="219">
                  <c:v>-62.885496534803217</c:v>
                </c:pt>
                <c:pt idx="220">
                  <c:v>-63.505788486711232</c:v>
                </c:pt>
                <c:pt idx="221">
                  <c:v>-64.1256455196731</c:v>
                </c:pt>
                <c:pt idx="222">
                  <c:v>-64.745064000912961</c:v>
                </c:pt>
                <c:pt idx="223">
                  <c:v>-65.364040316855437</c:v>
                </c:pt>
                <c:pt idx="224">
                  <c:v>-65.982570873303075</c:v>
                </c:pt>
                <c:pt idx="225">
                  <c:v>-66.6006520977853</c:v>
                </c:pt>
                <c:pt idx="226">
                  <c:v>-67.218280434396306</c:v>
                </c:pt>
                <c:pt idx="227">
                  <c:v>-67.835452350800693</c:v>
                </c:pt>
                <c:pt idx="228">
                  <c:v>-68.45216433532471</c:v>
                </c:pt>
                <c:pt idx="229">
                  <c:v>-69.068412894074825</c:v>
                </c:pt>
                <c:pt idx="230">
                  <c:v>-69.68419455541688</c:v>
                </c:pt>
                <c:pt idx="231">
                  <c:v>-70.299505867886779</c:v>
                </c:pt>
                <c:pt idx="232">
                  <c:v>-70.914343401938396</c:v>
                </c:pt>
                <c:pt idx="233">
                  <c:v>-71.528703747048553</c:v>
                </c:pt>
                <c:pt idx="234">
                  <c:v>-72.14258351513098</c:v>
                </c:pt>
                <c:pt idx="235">
                  <c:v>-72.755979339757957</c:v>
                </c:pt>
                <c:pt idx="236">
                  <c:v>-73.36888787356564</c:v>
                </c:pt>
                <c:pt idx="237">
                  <c:v>-73.981305792992728</c:v>
                </c:pt>
                <c:pt idx="238">
                  <c:v>-74.593229793978807</c:v>
                </c:pt>
                <c:pt idx="239">
                  <c:v>-75.204656594572626</c:v>
                </c:pt>
                <c:pt idx="240">
                  <c:v>-75.510245286321634</c:v>
                </c:pt>
              </c:numCache>
            </c:numRef>
          </c:yVal>
          <c:smooth val="0"/>
          <c:extLst>
            <c:ext xmlns:c16="http://schemas.microsoft.com/office/drawing/2014/chart" uri="{C3380CC4-5D6E-409C-BE32-E72D297353CC}">
              <c16:uniqueId val="{00000002-0F2F-4E51-A75B-9175183C4DC4}"/>
            </c:ext>
          </c:extLst>
        </c:ser>
        <c:ser>
          <c:idx val="3"/>
          <c:order val="3"/>
          <c:tx>
            <c:v>Topo HF Doppler (Hz)</c:v>
          </c:tx>
          <c:spPr>
            <a:ln w="19050">
              <a:solidFill>
                <a:srgbClr val="06B6D4"/>
              </a:solidFill>
              <a:prstDash val="solid"/>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71.414148866321057</c:v>
                </c:pt>
                <c:pt idx="1">
                  <c:v>73.704654835872375</c:v>
                </c:pt>
                <c:pt idx="2">
                  <c:v>80.189221463202657</c:v>
                </c:pt>
                <c:pt idx="3">
                  <c:v>75.663805736202221</c:v>
                </c:pt>
                <c:pt idx="4">
                  <c:v>74.450566840883837</c:v>
                </c:pt>
                <c:pt idx="5">
                  <c:v>76.873372102484652</c:v>
                </c:pt>
                <c:pt idx="6">
                  <c:v>72.762513969183004</c:v>
                </c:pt>
                <c:pt idx="7">
                  <c:v>78.540963203544408</c:v>
                </c:pt>
                <c:pt idx="8">
                  <c:v>75.444845201099611</c:v>
                </c:pt>
                <c:pt idx="9">
                  <c:v>72.443191690687968</c:v>
                </c:pt>
                <c:pt idx="10">
                  <c:v>77.691456776410206</c:v>
                </c:pt>
                <c:pt idx="11">
                  <c:v>73.880804623816715</c:v>
                </c:pt>
                <c:pt idx="12">
                  <c:v>73.350218454498318</c:v>
                </c:pt>
                <c:pt idx="13">
                  <c:v>73.501967248206554</c:v>
                </c:pt>
                <c:pt idx="14">
                  <c:v>70.420312018123283</c:v>
                </c:pt>
                <c:pt idx="15">
                  <c:v>71.582737720320011</c:v>
                </c:pt>
                <c:pt idx="16">
                  <c:v>73.791200412803335</c:v>
                </c:pt>
                <c:pt idx="17">
                  <c:v>67.928067449459419</c:v>
                </c:pt>
                <c:pt idx="18">
                  <c:v>62.014358234813017</c:v>
                </c:pt>
                <c:pt idx="19">
                  <c:v>69.300339547654843</c:v>
                </c:pt>
                <c:pt idx="20">
                  <c:v>65.708810003294232</c:v>
                </c:pt>
                <c:pt idx="21">
                  <c:v>61.75051161855729</c:v>
                </c:pt>
                <c:pt idx="22">
                  <c:v>63.847791278133748</c:v>
                </c:pt>
                <c:pt idx="23">
                  <c:v>58.083151735860575</c:v>
                </c:pt>
                <c:pt idx="24">
                  <c:v>60.404463164526504</c:v>
                </c:pt>
                <c:pt idx="25">
                  <c:v>60.492950494032513</c:v>
                </c:pt>
                <c:pt idx="26">
                  <c:v>57.670727473964625</c:v>
                </c:pt>
                <c:pt idx="27">
                  <c:v>55.267406905117433</c:v>
                </c:pt>
                <c:pt idx="28">
                  <c:v>52.935133393920744</c:v>
                </c:pt>
                <c:pt idx="29">
                  <c:v>51.153376614563712</c:v>
                </c:pt>
                <c:pt idx="30">
                  <c:v>50.577078845152933</c:v>
                </c:pt>
                <c:pt idx="31">
                  <c:v>54.614952368606026</c:v>
                </c:pt>
                <c:pt idx="32">
                  <c:v>58.234281590115202</c:v>
                </c:pt>
                <c:pt idx="33">
                  <c:v>50.786529613032073</c:v>
                </c:pt>
                <c:pt idx="34">
                  <c:v>47.890943264619288</c:v>
                </c:pt>
                <c:pt idx="35">
                  <c:v>51.817181682002179</c:v>
                </c:pt>
                <c:pt idx="36">
                  <c:v>51.092033952725387</c:v>
                </c:pt>
                <c:pt idx="37">
                  <c:v>54.355191238356902</c:v>
                </c:pt>
                <c:pt idx="38">
                  <c:v>57.012643165781832</c:v>
                </c:pt>
                <c:pt idx="39">
                  <c:v>56.656918797285996</c:v>
                </c:pt>
                <c:pt idx="40">
                  <c:v>53.353736518404084</c:v>
                </c:pt>
                <c:pt idx="41">
                  <c:v>47.292378146400686</c:v>
                </c:pt>
                <c:pt idx="42">
                  <c:v>52.316416870114402</c:v>
                </c:pt>
                <c:pt idx="43">
                  <c:v>53.527083972311175</c:v>
                </c:pt>
                <c:pt idx="44">
                  <c:v>55.079792917584548</c:v>
                </c:pt>
                <c:pt idx="45">
                  <c:v>55.806351241106633</c:v>
                </c:pt>
                <c:pt idx="46">
                  <c:v>53.375584265085131</c:v>
                </c:pt>
                <c:pt idx="47">
                  <c:v>55.45690312651282</c:v>
                </c:pt>
                <c:pt idx="48">
                  <c:v>50.793164485338067</c:v>
                </c:pt>
                <c:pt idx="49">
                  <c:v>47.156132482182429</c:v>
                </c:pt>
                <c:pt idx="50">
                  <c:v>52.215683991813677</c:v>
                </c:pt>
                <c:pt idx="51">
                  <c:v>53.332659671640791</c:v>
                </c:pt>
                <c:pt idx="52">
                  <c:v>46.375424166830705</c:v>
                </c:pt>
                <c:pt idx="53">
                  <c:v>48.247907249703452</c:v>
                </c:pt>
                <c:pt idx="54">
                  <c:v>47.576500286849551</c:v>
                </c:pt>
                <c:pt idx="55">
                  <c:v>41.317805891141241</c:v>
                </c:pt>
                <c:pt idx="56">
                  <c:v>41.965868779359546</c:v>
                </c:pt>
                <c:pt idx="57">
                  <c:v>43.264891673916232</c:v>
                </c:pt>
                <c:pt idx="58">
                  <c:v>35.756530446210071</c:v>
                </c:pt>
                <c:pt idx="59">
                  <c:v>35.171672355566692</c:v>
                </c:pt>
                <c:pt idx="60">
                  <c:v>35.459554565459698</c:v>
                </c:pt>
                <c:pt idx="61">
                  <c:v>36.567906936971333</c:v>
                </c:pt>
                <c:pt idx="62">
                  <c:v>33.330257375756823</c:v>
                </c:pt>
                <c:pt idx="63">
                  <c:v>32.076925648401563</c:v>
                </c:pt>
                <c:pt idx="64">
                  <c:v>32.678991241272136</c:v>
                </c:pt>
                <c:pt idx="65">
                  <c:v>29.526956669479599</c:v>
                </c:pt>
                <c:pt idx="66">
                  <c:v>33.103407166148088</c:v>
                </c:pt>
                <c:pt idx="67">
                  <c:v>29.765393112258838</c:v>
                </c:pt>
                <c:pt idx="68">
                  <c:v>28.832685668851731</c:v>
                </c:pt>
                <c:pt idx="69">
                  <c:v>29.952666189058405</c:v>
                </c:pt>
                <c:pt idx="70">
                  <c:v>33.194082540664404</c:v>
                </c:pt>
                <c:pt idx="71">
                  <c:v>33.400966957136312</c:v>
                </c:pt>
                <c:pt idx="72">
                  <c:v>30.16896361517669</c:v>
                </c:pt>
                <c:pt idx="73">
                  <c:v>32.764147953124514</c:v>
                </c:pt>
                <c:pt idx="74">
                  <c:v>32.553924929402115</c:v>
                </c:pt>
                <c:pt idx="75">
                  <c:v>37.719494716921048</c:v>
                </c:pt>
                <c:pt idx="76">
                  <c:v>39.160806001197123</c:v>
                </c:pt>
                <c:pt idx="77">
                  <c:v>27.904263105164002</c:v>
                </c:pt>
                <c:pt idx="78">
                  <c:v>29.565583631556258</c:v>
                </c:pt>
                <c:pt idx="79">
                  <c:v>31.15141322955656</c:v>
                </c:pt>
                <c:pt idx="80">
                  <c:v>30.560306003575832</c:v>
                </c:pt>
                <c:pt idx="81">
                  <c:v>32.931871916732128</c:v>
                </c:pt>
                <c:pt idx="82">
                  <c:v>24.845113603296561</c:v>
                </c:pt>
                <c:pt idx="83">
                  <c:v>28.739770999298663</c:v>
                </c:pt>
                <c:pt idx="84">
                  <c:v>30.622141961411199</c:v>
                </c:pt>
                <c:pt idx="85">
                  <c:v>19.931318809406417</c:v>
                </c:pt>
                <c:pt idx="86">
                  <c:v>19.463389936437174</c:v>
                </c:pt>
                <c:pt idx="87">
                  <c:v>28.832671334027154</c:v>
                </c:pt>
                <c:pt idx="88">
                  <c:v>24.870922491657524</c:v>
                </c:pt>
                <c:pt idx="89">
                  <c:v>20.714173597257247</c:v>
                </c:pt>
                <c:pt idx="90">
                  <c:v>24.092329950818698</c:v>
                </c:pt>
                <c:pt idx="91">
                  <c:v>19.669735783713328</c:v>
                </c:pt>
                <c:pt idx="92">
                  <c:v>16.427478255766122</c:v>
                </c:pt>
                <c:pt idx="93">
                  <c:v>20.205838870640253</c:v>
                </c:pt>
                <c:pt idx="94">
                  <c:v>23.913117081472091</c:v>
                </c:pt>
                <c:pt idx="95">
                  <c:v>17.291173475185914</c:v>
                </c:pt>
                <c:pt idx="96">
                  <c:v>17.831064942119603</c:v>
                </c:pt>
                <c:pt idx="97">
                  <c:v>20.661265271451636</c:v>
                </c:pt>
                <c:pt idx="98">
                  <c:v>16.822395770224297</c:v>
                </c:pt>
                <c:pt idx="99">
                  <c:v>15.649604651042791</c:v>
                </c:pt>
                <c:pt idx="100">
                  <c:v>12.974351839721415</c:v>
                </c:pt>
                <c:pt idx="101">
                  <c:v>14.396597299301895</c:v>
                </c:pt>
                <c:pt idx="102">
                  <c:v>9.1897892376606425</c:v>
                </c:pt>
                <c:pt idx="103">
                  <c:v>9.7465147659344762</c:v>
                </c:pt>
                <c:pt idx="104">
                  <c:v>12.598185473818688</c:v>
                </c:pt>
                <c:pt idx="105">
                  <c:v>1.8148587307698585</c:v>
                </c:pt>
                <c:pt idx="106">
                  <c:v>5.5428400766096599</c:v>
                </c:pt>
                <c:pt idx="107">
                  <c:v>9.5091286094257903</c:v>
                </c:pt>
                <c:pt idx="108">
                  <c:v>3.2691098115449408</c:v>
                </c:pt>
                <c:pt idx="109">
                  <c:v>1.9840706540111701</c:v>
                </c:pt>
                <c:pt idx="110">
                  <c:v>3.0966691302192442</c:v>
                </c:pt>
                <c:pt idx="111">
                  <c:v>5.6735228575756604</c:v>
                </c:pt>
                <c:pt idx="112">
                  <c:v>0.75313239609091109</c:v>
                </c:pt>
                <c:pt idx="113">
                  <c:v>3.0972181101386522</c:v>
                </c:pt>
                <c:pt idx="114">
                  <c:v>7.6936750510949512</c:v>
                </c:pt>
                <c:pt idx="115">
                  <c:v>7.0086093485800154</c:v>
                </c:pt>
                <c:pt idx="116">
                  <c:v>4.9988827679219137</c:v>
                </c:pt>
                <c:pt idx="117">
                  <c:v>3.1299515427924014</c:v>
                </c:pt>
                <c:pt idx="118">
                  <c:v>11.615402808228236</c:v>
                </c:pt>
                <c:pt idx="119">
                  <c:v>10.092416702770659</c:v>
                </c:pt>
                <c:pt idx="120">
                  <c:v>2.0387201008239906</c:v>
                </c:pt>
                <c:pt idx="121">
                  <c:v>3.4601908007878501</c:v>
                </c:pt>
                <c:pt idx="122">
                  <c:v>6.8848080860749601</c:v>
                </c:pt>
                <c:pt idx="123">
                  <c:v>6.9133952156307696</c:v>
                </c:pt>
                <c:pt idx="124">
                  <c:v>5.2980191112619766</c:v>
                </c:pt>
                <c:pt idx="125">
                  <c:v>-2.6571256600206241</c:v>
                </c:pt>
                <c:pt idx="126">
                  <c:v>-0.70173420883495263</c:v>
                </c:pt>
                <c:pt idx="127">
                  <c:v>1.4422270835923914</c:v>
                </c:pt>
                <c:pt idx="128">
                  <c:v>-3.7758655170509123</c:v>
                </c:pt>
                <c:pt idx="129">
                  <c:v>-8.8684045959035025</c:v>
                </c:pt>
                <c:pt idx="130">
                  <c:v>-13.407026431277783</c:v>
                </c:pt>
                <c:pt idx="131">
                  <c:v>-10.697372931686047</c:v>
                </c:pt>
                <c:pt idx="132">
                  <c:v>-11.333558855486164</c:v>
                </c:pt>
                <c:pt idx="133">
                  <c:v>-8.1906007232998856</c:v>
                </c:pt>
                <c:pt idx="134">
                  <c:v>-14.019136227337489</c:v>
                </c:pt>
                <c:pt idx="135">
                  <c:v>-18.549950860557018</c:v>
                </c:pt>
                <c:pt idx="136">
                  <c:v>-16.007689645975535</c:v>
                </c:pt>
                <c:pt idx="137">
                  <c:v>-14.763188467034119</c:v>
                </c:pt>
                <c:pt idx="138">
                  <c:v>-11.891412673690326</c:v>
                </c:pt>
                <c:pt idx="139">
                  <c:v>-18.686325717282273</c:v>
                </c:pt>
                <c:pt idx="140">
                  <c:v>-22.516180173974487</c:v>
                </c:pt>
                <c:pt idx="141">
                  <c:v>-15.718678180694901</c:v>
                </c:pt>
                <c:pt idx="142">
                  <c:v>-14.979250159158584</c:v>
                </c:pt>
                <c:pt idx="143">
                  <c:v>-20.074558908324597</c:v>
                </c:pt>
                <c:pt idx="144">
                  <c:v>-15.503704166557991</c:v>
                </c:pt>
                <c:pt idx="145">
                  <c:v>-14.633532914859035</c:v>
                </c:pt>
                <c:pt idx="146">
                  <c:v>-22.759246115445741</c:v>
                </c:pt>
                <c:pt idx="147">
                  <c:v>-21.248296083608107</c:v>
                </c:pt>
                <c:pt idx="148">
                  <c:v>-16.384657191305418</c:v>
                </c:pt>
                <c:pt idx="149">
                  <c:v>-21.793326774474242</c:v>
                </c:pt>
                <c:pt idx="150">
                  <c:v>-24.048158392806265</c:v>
                </c:pt>
                <c:pt idx="151">
                  <c:v>-19.685555969775127</c:v>
                </c:pt>
                <c:pt idx="152">
                  <c:v>-18.024790767874499</c:v>
                </c:pt>
                <c:pt idx="153">
                  <c:v>-20.578463239361046</c:v>
                </c:pt>
                <c:pt idx="154">
                  <c:v>-20.309014522468832</c:v>
                </c:pt>
                <c:pt idx="155">
                  <c:v>-19.018563679564323</c:v>
                </c:pt>
                <c:pt idx="156">
                  <c:v>-22.77635712361716</c:v>
                </c:pt>
                <c:pt idx="157">
                  <c:v>-20.897254770792721</c:v>
                </c:pt>
                <c:pt idx="158">
                  <c:v>-18.988644683932481</c:v>
                </c:pt>
                <c:pt idx="159">
                  <c:v>-22.727795823850141</c:v>
                </c:pt>
                <c:pt idx="160">
                  <c:v>-24.4608175980092</c:v>
                </c:pt>
                <c:pt idx="161">
                  <c:v>-25.783235451763996</c:v>
                </c:pt>
                <c:pt idx="162">
                  <c:v>-26.390776008686395</c:v>
                </c:pt>
                <c:pt idx="163">
                  <c:v>-26.038234094506759</c:v>
                </c:pt>
                <c:pt idx="164">
                  <c:v>-28.625868369633828</c:v>
                </c:pt>
                <c:pt idx="165">
                  <c:v>-31.180536225688627</c:v>
                </c:pt>
                <c:pt idx="166">
                  <c:v>-32.211468645553879</c:v>
                </c:pt>
                <c:pt idx="167">
                  <c:v>-29.40288686747952</c:v>
                </c:pt>
                <c:pt idx="168">
                  <c:v>-34.556158280020242</c:v>
                </c:pt>
                <c:pt idx="169">
                  <c:v>-36.78285219539849</c:v>
                </c:pt>
                <c:pt idx="170">
                  <c:v>-38.098533129233878</c:v>
                </c:pt>
                <c:pt idx="171">
                  <c:v>-40.209761792517362</c:v>
                </c:pt>
                <c:pt idx="172">
                  <c:v>-34.927824178896678</c:v>
                </c:pt>
                <c:pt idx="173">
                  <c:v>-43.791991972923554</c:v>
                </c:pt>
                <c:pt idx="174">
                  <c:v>-45.693005722937784</c:v>
                </c:pt>
                <c:pt idx="175">
                  <c:v>-43.36525589103865</c:v>
                </c:pt>
                <c:pt idx="176">
                  <c:v>-42.216091704329457</c:v>
                </c:pt>
                <c:pt idx="177">
                  <c:v>-43.23871658790587</c:v>
                </c:pt>
                <c:pt idx="178">
                  <c:v>-48.342129733936346</c:v>
                </c:pt>
                <c:pt idx="179">
                  <c:v>-43.885091288964972</c:v>
                </c:pt>
                <c:pt idx="180">
                  <c:v>-44.025945095806193</c:v>
                </c:pt>
                <c:pt idx="181">
                  <c:v>-43.529806416003559</c:v>
                </c:pt>
                <c:pt idx="182">
                  <c:v>-45.264178960686891</c:v>
                </c:pt>
                <c:pt idx="183">
                  <c:v>-44.400214010921225</c:v>
                </c:pt>
                <c:pt idx="184">
                  <c:v>-38.228089291063213</c:v>
                </c:pt>
                <c:pt idx="185">
                  <c:v>-40.711881376243419</c:v>
                </c:pt>
                <c:pt idx="186">
                  <c:v>-42.626700709054909</c:v>
                </c:pt>
                <c:pt idx="187">
                  <c:v>-38.753589888893572</c:v>
                </c:pt>
                <c:pt idx="188">
                  <c:v>-38.097107622798745</c:v>
                </c:pt>
                <c:pt idx="189">
                  <c:v>-44.412890780637518</c:v>
                </c:pt>
                <c:pt idx="190">
                  <c:v>-46.221506480759601</c:v>
                </c:pt>
                <c:pt idx="191">
                  <c:v>-43.034083241969007</c:v>
                </c:pt>
                <c:pt idx="192">
                  <c:v>-38.469682311532218</c:v>
                </c:pt>
                <c:pt idx="193">
                  <c:v>-40.590407873890868</c:v>
                </c:pt>
                <c:pt idx="194">
                  <c:v>-45.755555941184589</c:v>
                </c:pt>
                <c:pt idx="195">
                  <c:v>-46.688184513129215</c:v>
                </c:pt>
                <c:pt idx="196">
                  <c:v>-41.27987439564199</c:v>
                </c:pt>
                <c:pt idx="197">
                  <c:v>-44.294468848857363</c:v>
                </c:pt>
                <c:pt idx="198">
                  <c:v>-52.705569291943036</c:v>
                </c:pt>
                <c:pt idx="199">
                  <c:v>-49.951356370422644</c:v>
                </c:pt>
                <c:pt idx="200">
                  <c:v>-50.629395182277392</c:v>
                </c:pt>
                <c:pt idx="201">
                  <c:v>-58.392561146912755</c:v>
                </c:pt>
                <c:pt idx="202">
                  <c:v>-59.782942619884338</c:v>
                </c:pt>
                <c:pt idx="203">
                  <c:v>-54.220420192359057</c:v>
                </c:pt>
                <c:pt idx="204">
                  <c:v>-55.798005841092163</c:v>
                </c:pt>
                <c:pt idx="205">
                  <c:v>-59.848306650988405</c:v>
                </c:pt>
                <c:pt idx="206">
                  <c:v>-62.978006261112796</c:v>
                </c:pt>
                <c:pt idx="207">
                  <c:v>-64.550328491789955</c:v>
                </c:pt>
                <c:pt idx="208">
                  <c:v>-67.06224738958521</c:v>
                </c:pt>
                <c:pt idx="209">
                  <c:v>-67.014999332337823</c:v>
                </c:pt>
                <c:pt idx="210">
                  <c:v>-59.716208755301665</c:v>
                </c:pt>
                <c:pt idx="211">
                  <c:v>-62.202093955862885</c:v>
                </c:pt>
                <c:pt idx="212">
                  <c:v>-68.863470742349122</c:v>
                </c:pt>
                <c:pt idx="213">
                  <c:v>-65.840458513743187</c:v>
                </c:pt>
                <c:pt idx="214">
                  <c:v>-63.939509625258573</c:v>
                </c:pt>
                <c:pt idx="215">
                  <c:v>-59.010019945381138</c:v>
                </c:pt>
                <c:pt idx="216">
                  <c:v>-59.491562975441475</c:v>
                </c:pt>
                <c:pt idx="217">
                  <c:v>-65.315713970719386</c:v>
                </c:pt>
                <c:pt idx="218">
                  <c:v>-61.909520592290633</c:v>
                </c:pt>
                <c:pt idx="219">
                  <c:v>-61.550874975510276</c:v>
                </c:pt>
                <c:pt idx="220">
                  <c:v>-58.510919752952979</c:v>
                </c:pt>
                <c:pt idx="221">
                  <c:v>-58.971147243612585</c:v>
                </c:pt>
                <c:pt idx="222">
                  <c:v>-59.408915406932913</c:v>
                </c:pt>
                <c:pt idx="223">
                  <c:v>-58.308736442326584</c:v>
                </c:pt>
                <c:pt idx="224">
                  <c:v>-64.949272226794122</c:v>
                </c:pt>
                <c:pt idx="225">
                  <c:v>-62.71422305877428</c:v>
                </c:pt>
                <c:pt idx="226">
                  <c:v>-63.227931708924366</c:v>
                </c:pt>
                <c:pt idx="227">
                  <c:v>-68.325218065773385</c:v>
                </c:pt>
                <c:pt idx="228">
                  <c:v>-69.503856258276073</c:v>
                </c:pt>
                <c:pt idx="229">
                  <c:v>-67.446423936239455</c:v>
                </c:pt>
                <c:pt idx="230">
                  <c:v>-68.319793456387345</c:v>
                </c:pt>
                <c:pt idx="231">
                  <c:v>-70.700637323856213</c:v>
                </c:pt>
                <c:pt idx="232">
                  <c:v>-69.163597027314026</c:v>
                </c:pt>
                <c:pt idx="233">
                  <c:v>-68.302477776429541</c:v>
                </c:pt>
                <c:pt idx="234">
                  <c:v>-74.946540220393132</c:v>
                </c:pt>
                <c:pt idx="235">
                  <c:v>-74.232398664748501</c:v>
                </c:pt>
                <c:pt idx="236">
                  <c:v>-71.022653954649883</c:v>
                </c:pt>
                <c:pt idx="237">
                  <c:v>-74.191710654175822</c:v>
                </c:pt>
                <c:pt idx="238">
                  <c:v>-79.174986831112463</c:v>
                </c:pt>
                <c:pt idx="239">
                  <c:v>-78.61799082157242</c:v>
                </c:pt>
                <c:pt idx="240">
                  <c:v>-70.649784599151317</c:v>
                </c:pt>
              </c:numCache>
            </c:numRef>
          </c:yVal>
          <c:smooth val="0"/>
          <c:extLst>
            <c:ext xmlns:c16="http://schemas.microsoft.com/office/drawing/2014/chart" uri="{C3380CC4-5D6E-409C-BE32-E72D297353CC}">
              <c16:uniqueId val="{00000003-0F2F-4E51-A75B-9175183C4DC4}"/>
            </c:ext>
          </c:extLst>
        </c:ser>
        <c:dLbls>
          <c:showLegendKey val="0"/>
          <c:showVal val="0"/>
          <c:showCatName val="0"/>
          <c:showSerName val="0"/>
          <c:showPercent val="0"/>
          <c:showBubbleSize val="0"/>
        </c:dLbls>
        <c:axId val="700008"/>
        <c:axId val="700009"/>
      </c:scatterChart>
      <c:valAx>
        <c:axId val="700008"/>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9"/>
        <c:crosses val="min"/>
        <c:crossBetween val="midCat"/>
        <c:majorUnit val="50"/>
      </c:valAx>
      <c:valAx>
        <c:axId val="700009"/>
        <c:scaling>
          <c:orientation val="minMax"/>
          <c:max val="800"/>
          <c:min val="-800"/>
        </c:scaling>
        <c:delete val="0"/>
        <c:axPos val="l"/>
        <c:majorGridlines>
          <c:spPr>
            <a:ln w="9525">
              <a:solidFill>
                <a:srgbClr val="DDE1E6"/>
              </a:solidFill>
              <a:prstDash val="solid"/>
            </a:ln>
          </c:spPr>
        </c:majorGridlines>
        <c:title>
          <c:tx>
            <c:rich>
              <a:bodyPr/>
              <a:lstStyle/>
              <a:p>
                <a:r>
                  <a:rPr sz="900"/>
                  <a:t>Doppler shift (Hz)</a:t>
                </a:r>
              </a:p>
            </c:rich>
          </c:tx>
          <c:overlay val="0"/>
        </c:title>
        <c:numFmt formatCode="General" sourceLinked="0"/>
        <c:majorTickMark val="none"/>
        <c:minorTickMark val="none"/>
        <c:tickLblPos val="nextTo"/>
        <c:crossAx val="700008"/>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Native_Chart_Data!$A$983:$A$1223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Native_Chart_Data!$B$983:$B$1223</c:f>
              <c:numCache>
                <c:formatCode>General</c:formatCode>
                <c:ptCount val="241"/>
                <c:pt idx="0">
                  <c:v>2695.1978892010684</c:v>
                </c:pt>
                <c:pt idx="1">
                  <c:v>2694.7726350073826</c:v>
                </c:pt>
                <c:pt idx="2">
                  <c:v>2694.2983068640106</c:v>
                </c:pt>
                <c:pt idx="3">
                  <c:v>2693.8803110250356</c:v>
                </c:pt>
                <c:pt idx="4">
                  <c:v>2693.4657308823962</c:v>
                </c:pt>
                <c:pt idx="5">
                  <c:v>2693.0034110464517</c:v>
                </c:pt>
                <c:pt idx="6">
                  <c:v>2692.5960892585231</c:v>
                </c:pt>
                <c:pt idx="7">
                  <c:v>2692.1921831669297</c:v>
                </c:pt>
                <c:pt idx="8">
                  <c:v>2691.7418716384122</c:v>
                </c:pt>
                <c:pt idx="9">
                  <c:v>2691.3452239015301</c:v>
                </c:pt>
                <c:pt idx="10">
                  <c:v>2690.9519918609831</c:v>
                </c:pt>
                <c:pt idx="11">
                  <c:v>2690.5136886398923</c:v>
                </c:pt>
                <c:pt idx="12">
                  <c:v>2690.1277149540565</c:v>
                </c:pt>
                <c:pt idx="13">
                  <c:v>2689.7451569645559</c:v>
                </c:pt>
                <c:pt idx="14">
                  <c:v>2689.3188620508927</c:v>
                </c:pt>
                <c:pt idx="15">
                  <c:v>2688.9435624161033</c:v>
                </c:pt>
                <c:pt idx="16">
                  <c:v>2688.5716784776487</c:v>
                </c:pt>
                <c:pt idx="17">
                  <c:v>2688.1573918714125</c:v>
                </c:pt>
                <c:pt idx="18">
                  <c:v>2687.7927662876696</c:v>
                </c:pt>
                <c:pt idx="19">
                  <c:v>2687.4315564002609</c:v>
                </c:pt>
                <c:pt idx="20">
                  <c:v>2687.0292781014527</c:v>
                </c:pt>
                <c:pt idx="21">
                  <c:v>2686.6753265687557</c:v>
                </c:pt>
                <c:pt idx="22">
                  <c:v>2686.3247907323939</c:v>
                </c:pt>
                <c:pt idx="23">
                  <c:v>2685.9345207410115</c:v>
                </c:pt>
                <c:pt idx="24">
                  <c:v>2685.5912432593618</c:v>
                </c:pt>
                <c:pt idx="25">
                  <c:v>2685.251381474046</c:v>
                </c:pt>
                <c:pt idx="26">
                  <c:v>2684.873119790092</c:v>
                </c:pt>
                <c:pt idx="27">
                  <c:v>2684.5405163594878</c:v>
                </c:pt>
                <c:pt idx="28">
                  <c:v>2684.2113286252188</c:v>
                </c:pt>
                <c:pt idx="29">
                  <c:v>2683.8450752486906</c:v>
                </c:pt>
                <c:pt idx="30">
                  <c:v>2683.5231458691333</c:v>
                </c:pt>
                <c:pt idx="31">
                  <c:v>2683.2046321859102</c:v>
                </c:pt>
                <c:pt idx="32">
                  <c:v>2682.85038711681</c:v>
                </c:pt>
                <c:pt idx="33">
                  <c:v>2682.5391317882991</c:v>
                </c:pt>
                <c:pt idx="34">
                  <c:v>2682.231292156122</c:v>
                </c:pt>
                <c:pt idx="35">
                  <c:v>2681.8890553944493</c:v>
                </c:pt>
                <c:pt idx="36">
                  <c:v>2681.5884741169839</c:v>
                </c:pt>
                <c:pt idx="37">
                  <c:v>2681.2913085358537</c:v>
                </c:pt>
                <c:pt idx="38">
                  <c:v>2680.9610800816076</c:v>
                </c:pt>
                <c:pt idx="39">
                  <c:v>2680.6711728551891</c:v>
                </c:pt>
                <c:pt idx="40">
                  <c:v>2680.3846813251052</c:v>
                </c:pt>
                <c:pt idx="41">
                  <c:v>2680.0664611782863</c:v>
                </c:pt>
                <c:pt idx="42">
                  <c:v>2679.7872280029137</c:v>
                </c:pt>
                <c:pt idx="43">
                  <c:v>2679.5114105238763</c:v>
                </c:pt>
                <c:pt idx="44">
                  <c:v>2679.2051986844849</c:v>
                </c:pt>
                <c:pt idx="45">
                  <c:v>2678.9366395601587</c:v>
                </c:pt>
                <c:pt idx="46">
                  <c:v>2678.6714961321677</c:v>
                </c:pt>
                <c:pt idx="47">
                  <c:v>2678.377292600203</c:v>
                </c:pt>
                <c:pt idx="48">
                  <c:v>2678.1194075269232</c:v>
                </c:pt>
                <c:pt idx="49">
                  <c:v>2677.8649381499786</c:v>
                </c:pt>
                <c:pt idx="50">
                  <c:v>2677.5827429254409</c:v>
                </c:pt>
                <c:pt idx="51">
                  <c:v>2677.3355319032075</c:v>
                </c:pt>
                <c:pt idx="52">
                  <c:v>2677.0917365773089</c:v>
                </c:pt>
                <c:pt idx="53">
                  <c:v>2676.8215496601988</c:v>
                </c:pt>
                <c:pt idx="54">
                  <c:v>2676.5850126890118</c:v>
                </c:pt>
                <c:pt idx="55">
                  <c:v>2676.3518914141596</c:v>
                </c:pt>
                <c:pt idx="56">
                  <c:v>2676.0937128044761</c:v>
                </c:pt>
                <c:pt idx="57">
                  <c:v>2675.867849884336</c:v>
                </c:pt>
                <c:pt idx="58">
                  <c:v>2675.6454026605297</c:v>
                </c:pt>
                <c:pt idx="59">
                  <c:v>2675.3992323582734</c:v>
                </c:pt>
                <c:pt idx="60">
                  <c:v>2675.1840434891792</c:v>
                </c:pt>
                <c:pt idx="61">
                  <c:v>2674.9722703164202</c:v>
                </c:pt>
                <c:pt idx="62">
                  <c:v>2674.738108321591</c:v>
                </c:pt>
                <c:pt idx="63">
                  <c:v>2674.5335935035428</c:v>
                </c:pt>
                <c:pt idx="64">
                  <c:v>2674.3324943818302</c:v>
                </c:pt>
                <c:pt idx="65">
                  <c:v>2674.1103406944285</c:v>
                </c:pt>
                <c:pt idx="66">
                  <c:v>2673.9164999274262</c:v>
                </c:pt>
                <c:pt idx="67">
                  <c:v>2673.7260748567596</c:v>
                </c:pt>
                <c:pt idx="68">
                  <c:v>2673.515929476785</c:v>
                </c:pt>
                <c:pt idx="69">
                  <c:v>2673.3327627608296</c:v>
                </c:pt>
                <c:pt idx="70">
                  <c:v>2673.1530117412094</c:v>
                </c:pt>
                <c:pt idx="71">
                  <c:v>2672.9548746686619</c:v>
                </c:pt>
                <c:pt idx="72">
                  <c:v>2672.7823820037529</c:v>
                </c:pt>
                <c:pt idx="73">
                  <c:v>2672.6133050351787</c:v>
                </c:pt>
                <c:pt idx="74">
                  <c:v>2672.4271762700582</c:v>
                </c:pt>
                <c:pt idx="75">
                  <c:v>2672.2653576561956</c:v>
                </c:pt>
                <c:pt idx="76">
                  <c:v>2672.1069547386678</c:v>
                </c:pt>
                <c:pt idx="77">
                  <c:v>2671.9328342809749</c:v>
                </c:pt>
                <c:pt idx="78">
                  <c:v>2671.7816897181583</c:v>
                </c:pt>
                <c:pt idx="79">
                  <c:v>2671.6339608516769</c:v>
                </c:pt>
                <c:pt idx="80">
                  <c:v>2671.4718487014106</c:v>
                </c:pt>
                <c:pt idx="81">
                  <c:v>2671.3313781896409</c:v>
                </c:pt>
                <c:pt idx="82">
                  <c:v>2671.1943233742059</c:v>
                </c:pt>
                <c:pt idx="83">
                  <c:v>2671.0442195313667</c:v>
                </c:pt>
                <c:pt idx="84">
                  <c:v>2670.9144230706429</c:v>
                </c:pt>
                <c:pt idx="85">
                  <c:v>2670.7880423062543</c:v>
                </c:pt>
                <c:pt idx="86">
                  <c:v>2670.6499467708427</c:v>
                </c:pt>
                <c:pt idx="87">
                  <c:v>2670.5308243611653</c:v>
                </c:pt>
                <c:pt idx="88">
                  <c:v>2670.4151176478226</c:v>
                </c:pt>
                <c:pt idx="89">
                  <c:v>2670.2890304198377</c:v>
                </c:pt>
                <c:pt idx="90">
                  <c:v>2670.1805820612071</c:v>
                </c:pt>
                <c:pt idx="91">
                  <c:v>2670.0755493989109</c:v>
                </c:pt>
                <c:pt idx="92">
                  <c:v>2669.9614704783535</c:v>
                </c:pt>
                <c:pt idx="93">
                  <c:v>2669.8636961707689</c:v>
                </c:pt>
                <c:pt idx="94">
                  <c:v>2669.769337559519</c:v>
                </c:pt>
                <c:pt idx="95">
                  <c:v>2669.6672669463883</c:v>
                </c:pt>
                <c:pt idx="96">
                  <c:v>2669.5801666898506</c:v>
                </c:pt>
                <c:pt idx="97">
                  <c:v>2669.4964821296471</c:v>
                </c:pt>
                <c:pt idx="98">
                  <c:v>2669.4064198239439</c:v>
                </c:pt>
                <c:pt idx="99">
                  <c:v>2669.3299936184521</c:v>
                </c:pt>
                <c:pt idx="100">
                  <c:v>2669.2569831092951</c:v>
                </c:pt>
                <c:pt idx="101">
                  <c:v>2669.1789291110185</c:v>
                </c:pt>
                <c:pt idx="102">
                  <c:v>2669.1131769565732</c:v>
                </c:pt>
                <c:pt idx="103">
                  <c:v>2669.0508404984621</c:v>
                </c:pt>
                <c:pt idx="104">
                  <c:v>2668.9847948076131</c:v>
                </c:pt>
                <c:pt idx="105">
                  <c:v>2668.9297167042141</c:v>
                </c:pt>
                <c:pt idx="106">
                  <c:v>2668.8780542971494</c:v>
                </c:pt>
                <c:pt idx="107">
                  <c:v>2668.8240169137275</c:v>
                </c:pt>
                <c:pt idx="108">
                  <c:v>2668.779612861375</c:v>
                </c:pt>
                <c:pt idx="109">
                  <c:v>2668.7386245053572</c:v>
                </c:pt>
                <c:pt idx="110">
                  <c:v>2668.6965954293619</c:v>
                </c:pt>
                <c:pt idx="111">
                  <c:v>2668.6628654280557</c:v>
                </c:pt>
                <c:pt idx="112">
                  <c:v>2668.6325511230839</c:v>
                </c:pt>
                <c:pt idx="113">
                  <c:v>2668.6025303545161</c:v>
                </c:pt>
                <c:pt idx="114">
                  <c:v>2668.579474404256</c:v>
                </c:pt>
                <c:pt idx="115">
                  <c:v>2668.5598341503305</c:v>
                </c:pt>
                <c:pt idx="116">
                  <c:v>2668.5418216891899</c:v>
                </c:pt>
                <c:pt idx="117">
                  <c:v>2668.5294397899765</c:v>
                </c:pt>
                <c:pt idx="118">
                  <c:v>2668.5204735870971</c:v>
                </c:pt>
                <c:pt idx="119">
                  <c:v>2668.514469433384</c:v>
                </c:pt>
                <c:pt idx="120">
                  <c:v>2668.5127615852166</c:v>
                </c:pt>
                <c:pt idx="121">
                  <c:v>2668.514469433384</c:v>
                </c:pt>
                <c:pt idx="122">
                  <c:v>2668.5204735870971</c:v>
                </c:pt>
                <c:pt idx="123">
                  <c:v>2668.5294397899765</c:v>
                </c:pt>
                <c:pt idx="124">
                  <c:v>2668.5418216891899</c:v>
                </c:pt>
                <c:pt idx="125">
                  <c:v>2668.5598341503305</c:v>
                </c:pt>
                <c:pt idx="126">
                  <c:v>2668.579474404256</c:v>
                </c:pt>
                <c:pt idx="127">
                  <c:v>2668.6025303545161</c:v>
                </c:pt>
                <c:pt idx="128">
                  <c:v>2668.6325511230839</c:v>
                </c:pt>
                <c:pt idx="129">
                  <c:v>2668.6628654280557</c:v>
                </c:pt>
                <c:pt idx="130">
                  <c:v>2668.6965954293619</c:v>
                </c:pt>
                <c:pt idx="131">
                  <c:v>2668.7386245053572</c:v>
                </c:pt>
                <c:pt idx="132">
                  <c:v>2668.779612861375</c:v>
                </c:pt>
                <c:pt idx="133">
                  <c:v>2668.8240169137275</c:v>
                </c:pt>
                <c:pt idx="134">
                  <c:v>2668.8780542971494</c:v>
                </c:pt>
                <c:pt idx="135">
                  <c:v>2668.9297167042141</c:v>
                </c:pt>
                <c:pt idx="136">
                  <c:v>2668.9847948076131</c:v>
                </c:pt>
                <c:pt idx="137">
                  <c:v>2669.0508404984621</c:v>
                </c:pt>
                <c:pt idx="138">
                  <c:v>2669.1131769565732</c:v>
                </c:pt>
                <c:pt idx="139">
                  <c:v>2669.1789291110185</c:v>
                </c:pt>
                <c:pt idx="140">
                  <c:v>2669.2569831092951</c:v>
                </c:pt>
                <c:pt idx="141">
                  <c:v>2669.3299936184521</c:v>
                </c:pt>
                <c:pt idx="142">
                  <c:v>2669.4064198239439</c:v>
                </c:pt>
                <c:pt idx="143">
                  <c:v>2669.4964821296471</c:v>
                </c:pt>
                <c:pt idx="144">
                  <c:v>2669.5801666898506</c:v>
                </c:pt>
                <c:pt idx="145">
                  <c:v>2669.6672669463883</c:v>
                </c:pt>
                <c:pt idx="146">
                  <c:v>2669.769337559519</c:v>
                </c:pt>
                <c:pt idx="147">
                  <c:v>2669.8636961707689</c:v>
                </c:pt>
                <c:pt idx="148">
                  <c:v>2669.9614704783535</c:v>
                </c:pt>
                <c:pt idx="149">
                  <c:v>2670.0755493989109</c:v>
                </c:pt>
                <c:pt idx="150">
                  <c:v>2670.1805820612071</c:v>
                </c:pt>
                <c:pt idx="151">
                  <c:v>2670.2890304198377</c:v>
                </c:pt>
                <c:pt idx="152">
                  <c:v>2670.4151176478226</c:v>
                </c:pt>
                <c:pt idx="153">
                  <c:v>2670.5308243611653</c:v>
                </c:pt>
                <c:pt idx="154">
                  <c:v>2670.6499467708427</c:v>
                </c:pt>
                <c:pt idx="155">
                  <c:v>2670.7880423062543</c:v>
                </c:pt>
                <c:pt idx="156">
                  <c:v>2670.9144230706429</c:v>
                </c:pt>
                <c:pt idx="157">
                  <c:v>2671.0442195313667</c:v>
                </c:pt>
                <c:pt idx="158">
                  <c:v>2671.1943233742059</c:v>
                </c:pt>
                <c:pt idx="159">
                  <c:v>2671.3313781896409</c:v>
                </c:pt>
                <c:pt idx="160">
                  <c:v>2671.4718487014106</c:v>
                </c:pt>
                <c:pt idx="161">
                  <c:v>2671.6339608516769</c:v>
                </c:pt>
                <c:pt idx="162">
                  <c:v>2671.7816897181583</c:v>
                </c:pt>
                <c:pt idx="163">
                  <c:v>2671.9328342809749</c:v>
                </c:pt>
                <c:pt idx="164">
                  <c:v>2672.1069547386678</c:v>
                </c:pt>
                <c:pt idx="165">
                  <c:v>2672.2653576561956</c:v>
                </c:pt>
                <c:pt idx="166">
                  <c:v>2672.4271762700582</c:v>
                </c:pt>
                <c:pt idx="167">
                  <c:v>2672.6133050351787</c:v>
                </c:pt>
                <c:pt idx="168">
                  <c:v>2672.7823820037529</c:v>
                </c:pt>
                <c:pt idx="169">
                  <c:v>2672.9548746686619</c:v>
                </c:pt>
                <c:pt idx="170">
                  <c:v>2673.1530117412094</c:v>
                </c:pt>
                <c:pt idx="171">
                  <c:v>2673.3327627608296</c:v>
                </c:pt>
                <c:pt idx="172">
                  <c:v>2673.515929476785</c:v>
                </c:pt>
                <c:pt idx="173">
                  <c:v>2673.7260748567596</c:v>
                </c:pt>
                <c:pt idx="174">
                  <c:v>2673.9164999274262</c:v>
                </c:pt>
                <c:pt idx="175">
                  <c:v>2674.1103406944285</c:v>
                </c:pt>
                <c:pt idx="176">
                  <c:v>2674.3324943818302</c:v>
                </c:pt>
                <c:pt idx="177">
                  <c:v>2674.5335935035428</c:v>
                </c:pt>
                <c:pt idx="178">
                  <c:v>2674.738108321591</c:v>
                </c:pt>
                <c:pt idx="179">
                  <c:v>2674.9722703164202</c:v>
                </c:pt>
                <c:pt idx="180">
                  <c:v>2675.1840434891792</c:v>
                </c:pt>
                <c:pt idx="181">
                  <c:v>2675.3992323582734</c:v>
                </c:pt>
                <c:pt idx="182">
                  <c:v>2675.6454026605297</c:v>
                </c:pt>
                <c:pt idx="183">
                  <c:v>2675.867849884336</c:v>
                </c:pt>
                <c:pt idx="184">
                  <c:v>2676.0937128044761</c:v>
                </c:pt>
                <c:pt idx="185">
                  <c:v>2676.3518914141596</c:v>
                </c:pt>
                <c:pt idx="186">
                  <c:v>2676.5850126890118</c:v>
                </c:pt>
                <c:pt idx="187">
                  <c:v>2676.8215496601988</c:v>
                </c:pt>
                <c:pt idx="188">
                  <c:v>2677.0917365773089</c:v>
                </c:pt>
                <c:pt idx="189">
                  <c:v>2677.3355319032075</c:v>
                </c:pt>
                <c:pt idx="190">
                  <c:v>2677.5827429254409</c:v>
                </c:pt>
                <c:pt idx="191">
                  <c:v>2677.8649381499786</c:v>
                </c:pt>
                <c:pt idx="192">
                  <c:v>2678.1194075269232</c:v>
                </c:pt>
                <c:pt idx="193">
                  <c:v>2678.377292600203</c:v>
                </c:pt>
                <c:pt idx="194">
                  <c:v>2678.6714961321677</c:v>
                </c:pt>
                <c:pt idx="195">
                  <c:v>2678.9366395601587</c:v>
                </c:pt>
                <c:pt idx="196">
                  <c:v>2679.2051986844849</c:v>
                </c:pt>
                <c:pt idx="197">
                  <c:v>2679.5114105238763</c:v>
                </c:pt>
                <c:pt idx="198">
                  <c:v>2679.7872280029137</c:v>
                </c:pt>
                <c:pt idx="199">
                  <c:v>2680.0664611782863</c:v>
                </c:pt>
                <c:pt idx="200">
                  <c:v>2680.3846813251052</c:v>
                </c:pt>
                <c:pt idx="201">
                  <c:v>2680.6711728551891</c:v>
                </c:pt>
                <c:pt idx="202">
                  <c:v>2680.9610800816076</c:v>
                </c:pt>
                <c:pt idx="203">
                  <c:v>2681.2913085358537</c:v>
                </c:pt>
                <c:pt idx="204">
                  <c:v>2681.5884741169839</c:v>
                </c:pt>
                <c:pt idx="205">
                  <c:v>2681.8890553944493</c:v>
                </c:pt>
                <c:pt idx="206">
                  <c:v>2682.231292156122</c:v>
                </c:pt>
                <c:pt idx="207">
                  <c:v>2682.5391317882991</c:v>
                </c:pt>
                <c:pt idx="208">
                  <c:v>2682.85038711681</c:v>
                </c:pt>
                <c:pt idx="209">
                  <c:v>2683.2046321859102</c:v>
                </c:pt>
                <c:pt idx="210">
                  <c:v>2683.5231458691333</c:v>
                </c:pt>
                <c:pt idx="211">
                  <c:v>2683.8450752486906</c:v>
                </c:pt>
                <c:pt idx="212">
                  <c:v>2684.2113286252188</c:v>
                </c:pt>
                <c:pt idx="213">
                  <c:v>2684.5405163594878</c:v>
                </c:pt>
                <c:pt idx="214">
                  <c:v>2684.873119790092</c:v>
                </c:pt>
                <c:pt idx="215">
                  <c:v>2685.251381474046</c:v>
                </c:pt>
                <c:pt idx="216">
                  <c:v>2685.5912432593618</c:v>
                </c:pt>
                <c:pt idx="217">
                  <c:v>2685.9345207410115</c:v>
                </c:pt>
                <c:pt idx="218">
                  <c:v>2686.3247907323939</c:v>
                </c:pt>
                <c:pt idx="219">
                  <c:v>2686.6753265687557</c:v>
                </c:pt>
                <c:pt idx="220">
                  <c:v>2687.0292781014527</c:v>
                </c:pt>
                <c:pt idx="221">
                  <c:v>2687.4315564002609</c:v>
                </c:pt>
                <c:pt idx="222">
                  <c:v>2687.7927662876696</c:v>
                </c:pt>
                <c:pt idx="223">
                  <c:v>2688.1573918714125</c:v>
                </c:pt>
                <c:pt idx="224">
                  <c:v>2688.5716784776487</c:v>
                </c:pt>
                <c:pt idx="225">
                  <c:v>2688.9435624161033</c:v>
                </c:pt>
                <c:pt idx="226">
                  <c:v>2689.3188620508927</c:v>
                </c:pt>
                <c:pt idx="227">
                  <c:v>2689.7451569645559</c:v>
                </c:pt>
                <c:pt idx="228">
                  <c:v>2690.1277149540565</c:v>
                </c:pt>
                <c:pt idx="229">
                  <c:v>2690.5136886398923</c:v>
                </c:pt>
                <c:pt idx="230">
                  <c:v>2690.9519918609831</c:v>
                </c:pt>
                <c:pt idx="231">
                  <c:v>2691.3452239015301</c:v>
                </c:pt>
                <c:pt idx="232">
                  <c:v>2691.7418716384122</c:v>
                </c:pt>
                <c:pt idx="233">
                  <c:v>2692.1921831669297</c:v>
                </c:pt>
                <c:pt idx="234">
                  <c:v>2692.5960892585231</c:v>
                </c:pt>
                <c:pt idx="235">
                  <c:v>2693.0034110464517</c:v>
                </c:pt>
                <c:pt idx="236">
                  <c:v>2693.4657308823962</c:v>
                </c:pt>
                <c:pt idx="237">
                  <c:v>2693.8803110250356</c:v>
                </c:pt>
                <c:pt idx="238">
                  <c:v>2694.2983068640106</c:v>
                </c:pt>
                <c:pt idx="239">
                  <c:v>2694.7726350073826</c:v>
                </c:pt>
                <c:pt idx="240">
                  <c:v>2695.1978892010684</c:v>
                </c:pt>
              </c:numCache>
            </c:numRef>
          </c:yVal>
          <c:smooth val="0"/>
          <c:extLst>
            <c:ext xmlns:c16="http://schemas.microsoft.com/office/drawing/2014/chart" uri="{C3380CC4-5D6E-409C-BE32-E72D297353CC}">
              <c16:uniqueId val="{00000000-4733-4712-B441-A5AB5C9C6C04}"/>
            </c:ext>
          </c:extLst>
        </c:ser>
        <c:ser>
          <c:idx val="1"/>
          <c:order val="1"/>
          <c:tx>
            <c:v>Paper low-altitude 35 km / 800 km pass</c:v>
          </c:tx>
          <c:spPr>
            <a:ln w="19050">
              <a:solidFill>
                <a:srgbClr val="F97316"/>
              </a:solidFill>
              <a:prstDash val="solid"/>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Native_Chart_Data!$D$983:$D$1223</c:f>
              <c:numCache>
                <c:formatCode>General</c:formatCode>
                <c:ptCount val="241"/>
                <c:pt idx="0">
                  <c:v>2668.5127615852166</c:v>
                </c:pt>
                <c:pt idx="1">
                  <c:v>2629.7083164113487</c:v>
                </c:pt>
                <c:pt idx="2">
                  <c:v>2586.4258733286742</c:v>
                </c:pt>
                <c:pt idx="3">
                  <c:v>2548.2837530222323</c:v>
                </c:pt>
                <c:pt idx="4">
                  <c:v>2510.4533150063435</c:v>
                </c:pt>
                <c:pt idx="5">
                  <c:v>2468.2666299763951</c:v>
                </c:pt>
                <c:pt idx="6">
                  <c:v>2431.0985168279312</c:v>
                </c:pt>
                <c:pt idx="7">
                  <c:v>2394.2420859700205</c:v>
                </c:pt>
                <c:pt idx="8">
                  <c:v>2353.1511589928</c:v>
                </c:pt>
                <c:pt idx="9">
                  <c:v>2316.9570530023138</c:v>
                </c:pt>
                <c:pt idx="10">
                  <c:v>2281.0746293023826</c:v>
                </c:pt>
                <c:pt idx="11">
                  <c:v>2241.0794603778854</c:v>
                </c:pt>
                <c:pt idx="12">
                  <c:v>2205.8593615453797</c:v>
                </c:pt>
                <c:pt idx="13">
                  <c:v>2170.9509450034266</c:v>
                </c:pt>
                <c:pt idx="14">
                  <c:v>2132.0515341316559</c:v>
                </c:pt>
                <c:pt idx="15">
                  <c:v>2097.8054424571283</c:v>
                </c:pt>
                <c:pt idx="16">
                  <c:v>2063.8710330731533</c:v>
                </c:pt>
                <c:pt idx="17">
                  <c:v>2026.0673802541089</c:v>
                </c:pt>
                <c:pt idx="18">
                  <c:v>1992.7952957375599</c:v>
                </c:pt>
                <c:pt idx="19">
                  <c:v>1959.8348935115644</c:v>
                </c:pt>
                <c:pt idx="20">
                  <c:v>1923.1269987452456</c:v>
                </c:pt>
                <c:pt idx="21">
                  <c:v>1890.8289213866744</c:v>
                </c:pt>
                <c:pt idx="22">
                  <c:v>1858.8425263186568</c:v>
                </c:pt>
                <c:pt idx="23">
                  <c:v>1823.2303896050653</c:v>
                </c:pt>
                <c:pt idx="24">
                  <c:v>1791.9063194044727</c:v>
                </c:pt>
                <c:pt idx="25">
                  <c:v>1760.8939314944344</c:v>
                </c:pt>
                <c:pt idx="26">
                  <c:v>1726.3775528335677</c:v>
                </c:pt>
                <c:pt idx="27">
                  <c:v>1696.0274897909542</c:v>
                </c:pt>
                <c:pt idx="28">
                  <c:v>1665.989109038894</c:v>
                </c:pt>
                <c:pt idx="29">
                  <c:v>1632.568488430753</c:v>
                </c:pt>
                <c:pt idx="30">
                  <c:v>1603.1924325461182</c:v>
                </c:pt>
                <c:pt idx="31">
                  <c:v>1574.1280589520366</c:v>
                </c:pt>
                <c:pt idx="32">
                  <c:v>1541.8031963966218</c:v>
                </c:pt>
                <c:pt idx="33">
                  <c:v>1513.4011476699659</c:v>
                </c:pt>
                <c:pt idx="34">
                  <c:v>1485.3107812338621</c:v>
                </c:pt>
                <c:pt idx="35">
                  <c:v>1454.0816767311737</c:v>
                </c:pt>
                <c:pt idx="36">
                  <c:v>1426.6536351624961</c:v>
                </c:pt>
                <c:pt idx="37">
                  <c:v>1399.5372758843714</c:v>
                </c:pt>
                <c:pt idx="38">
                  <c:v>1369.4039294344093</c:v>
                </c:pt>
                <c:pt idx="39">
                  <c:v>1342.9498950237103</c:v>
                </c:pt>
                <c:pt idx="40">
                  <c:v>1316.8075429035646</c:v>
                </c:pt>
                <c:pt idx="41">
                  <c:v>1287.7699545063276</c:v>
                </c:pt>
                <c:pt idx="42">
                  <c:v>1262.2899272536067</c:v>
                </c:pt>
                <c:pt idx="43">
                  <c:v>1237.1215822914398</c:v>
                </c:pt>
                <c:pt idx="44">
                  <c:v>1209.1797519469287</c:v>
                </c:pt>
                <c:pt idx="45">
                  <c:v>1184.6737318521868</c:v>
                </c:pt>
                <c:pt idx="46">
                  <c:v>1160.4793940479983</c:v>
                </c:pt>
                <c:pt idx="47">
                  <c:v>1133.633321756213</c:v>
                </c:pt>
                <c:pt idx="48">
                  <c:v>1110.1013088194502</c:v>
                </c:pt>
                <c:pt idx="49">
                  <c:v>1086.88097817324</c:v>
                </c:pt>
                <c:pt idx="50">
                  <c:v>1061.1306639341806</c:v>
                </c:pt>
                <c:pt idx="51">
                  <c:v>1038.5726581553961</c:v>
                </c:pt>
                <c:pt idx="52">
                  <c:v>1016.3263346671649</c:v>
                </c:pt>
                <c:pt idx="53">
                  <c:v>991.67177848083179</c:v>
                </c:pt>
                <c:pt idx="54">
                  <c:v>970.08777986002588</c:v>
                </c:pt>
                <c:pt idx="55">
                  <c:v>948.81546352977307</c:v>
                </c:pt>
                <c:pt idx="56">
                  <c:v>925.25666539616589</c:v>
                </c:pt>
                <c:pt idx="57">
                  <c:v>904.64667393333821</c:v>
                </c:pt>
                <c:pt idx="58">
                  <c:v>884.34836476106409</c:v>
                </c:pt>
                <c:pt idx="59">
                  <c:v>861.88532468018263</c:v>
                </c:pt>
                <c:pt idx="60">
                  <c:v>842.24934037533387</c:v>
                </c:pt>
                <c:pt idx="61">
                  <c:v>822.92503836103856</c:v>
                </c:pt>
                <c:pt idx="62">
                  <c:v>801.55775633288272</c:v>
                </c:pt>
                <c:pt idx="63">
                  <c:v>782.89577918601265</c:v>
                </c:pt>
                <c:pt idx="64">
                  <c:v>764.54548432969602</c:v>
                </c:pt>
                <c:pt idx="65">
                  <c:v>744.27396035426614</c:v>
                </c:pt>
                <c:pt idx="66">
                  <c:v>726.58599036537464</c:v>
                </c:pt>
                <c:pt idx="67">
                  <c:v>709.20970266703625</c:v>
                </c:pt>
                <c:pt idx="68">
                  <c:v>690.03393674433278</c:v>
                </c:pt>
                <c:pt idx="69">
                  <c:v>673.31997391341986</c:v>
                </c:pt>
                <c:pt idx="70">
                  <c:v>656.91769337306016</c:v>
                </c:pt>
                <c:pt idx="71">
                  <c:v>638.83768550308218</c:v>
                </c:pt>
                <c:pt idx="72">
                  <c:v>623.09772983014795</c:v>
                </c:pt>
                <c:pt idx="73">
                  <c:v>607.66945644776706</c:v>
                </c:pt>
                <c:pt idx="74">
                  <c:v>590.68520663051504</c:v>
                </c:pt>
                <c:pt idx="75">
                  <c:v>575.91925811555939</c:v>
                </c:pt>
                <c:pt idx="76">
                  <c:v>561.46499189115696</c:v>
                </c:pt>
                <c:pt idx="77">
                  <c:v>545.576500126631</c:v>
                </c:pt>
                <c:pt idx="78">
                  <c:v>531.78455876965381</c:v>
                </c:pt>
                <c:pt idx="79">
                  <c:v>518.30429970323007</c:v>
                </c:pt>
                <c:pt idx="80">
                  <c:v>503.51156599142996</c:v>
                </c:pt>
                <c:pt idx="81">
                  <c:v>490.69363179243157</c:v>
                </c:pt>
                <c:pt idx="82">
                  <c:v>478.18737988398607</c:v>
                </c:pt>
                <c:pt idx="83">
                  <c:v>464.49040422491237</c:v>
                </c:pt>
                <c:pt idx="84">
                  <c:v>452.64647718389233</c:v>
                </c:pt>
                <c:pt idx="85">
                  <c:v>441.11423243342574</c:v>
                </c:pt>
                <c:pt idx="86">
                  <c:v>428.51301482707748</c:v>
                </c:pt>
                <c:pt idx="87">
                  <c:v>417.64309494403631</c:v>
                </c:pt>
                <c:pt idx="88">
                  <c:v>407.08485735154818</c:v>
                </c:pt>
                <c:pt idx="89">
                  <c:v>395.57939779792588</c:v>
                </c:pt>
                <c:pt idx="90">
                  <c:v>385.68348507286333</c:v>
                </c:pt>
                <c:pt idx="91">
                  <c:v>376.09925463835384</c:v>
                </c:pt>
                <c:pt idx="92">
                  <c:v>365.68955313745749</c:v>
                </c:pt>
                <c:pt idx="93">
                  <c:v>356.76764757037353</c:v>
                </c:pt>
                <c:pt idx="94">
                  <c:v>348.15742429384272</c:v>
                </c:pt>
                <c:pt idx="95">
                  <c:v>338.84348084567222</c:v>
                </c:pt>
                <c:pt idx="96">
                  <c:v>330.89558243656683</c:v>
                </c:pt>
                <c:pt idx="97">
                  <c:v>323.25936631801449</c:v>
                </c:pt>
                <c:pt idx="98">
                  <c:v>315.04118092257016</c:v>
                </c:pt>
                <c:pt idx="99">
                  <c:v>308.06728967144329</c:v>
                </c:pt>
                <c:pt idx="100">
                  <c:v>301.40508071086964</c:v>
                </c:pt>
                <c:pt idx="101">
                  <c:v>294.2826533681511</c:v>
                </c:pt>
                <c:pt idx="102">
                  <c:v>288.28276927500292</c:v>
                </c:pt>
                <c:pt idx="103">
                  <c:v>282.5945674724079</c:v>
                </c:pt>
                <c:pt idx="104">
                  <c:v>276.56789818241526</c:v>
                </c:pt>
                <c:pt idx="105">
                  <c:v>271.54202124724566</c:v>
                </c:pt>
                <c:pt idx="106">
                  <c:v>266.82782660262927</c:v>
                </c:pt>
                <c:pt idx="107">
                  <c:v>261.89691536536253</c:v>
                </c:pt>
                <c:pt idx="108">
                  <c:v>257.8450455881715</c:v>
                </c:pt>
                <c:pt idx="109">
                  <c:v>254.10485810153369</c:v>
                </c:pt>
                <c:pt idx="110">
                  <c:v>250.26970491699296</c:v>
                </c:pt>
                <c:pt idx="111">
                  <c:v>247.19184229778054</c:v>
                </c:pt>
                <c:pt idx="112">
                  <c:v>244.42566196912128</c:v>
                </c:pt>
                <c:pt idx="113">
                  <c:v>241.68626683730656</c:v>
                </c:pt>
                <c:pt idx="114">
                  <c:v>239.58241137607271</c:v>
                </c:pt>
                <c:pt idx="115">
                  <c:v>237.79023820539209</c:v>
                </c:pt>
                <c:pt idx="116">
                  <c:v>236.14660112630315</c:v>
                </c:pt>
                <c:pt idx="117">
                  <c:v>235.01675282304802</c:v>
                </c:pt>
                <c:pt idx="118">
                  <c:v>234.19858681034597</c:v>
                </c:pt>
                <c:pt idx="119">
                  <c:v>233.65070778398297</c:v>
                </c:pt>
                <c:pt idx="120">
                  <c:v>233.49486663870644</c:v>
                </c:pt>
                <c:pt idx="121">
                  <c:v>233.65070778398297</c:v>
                </c:pt>
                <c:pt idx="122">
                  <c:v>234.19858681034597</c:v>
                </c:pt>
                <c:pt idx="123">
                  <c:v>235.01675282304802</c:v>
                </c:pt>
                <c:pt idx="124">
                  <c:v>236.14660112630315</c:v>
                </c:pt>
                <c:pt idx="125">
                  <c:v>237.79023820539209</c:v>
                </c:pt>
                <c:pt idx="126">
                  <c:v>239.58241137607271</c:v>
                </c:pt>
                <c:pt idx="127">
                  <c:v>241.68626683730656</c:v>
                </c:pt>
                <c:pt idx="128">
                  <c:v>244.42566196912128</c:v>
                </c:pt>
                <c:pt idx="129">
                  <c:v>247.19184229778054</c:v>
                </c:pt>
                <c:pt idx="130">
                  <c:v>250.26970491699296</c:v>
                </c:pt>
                <c:pt idx="131">
                  <c:v>254.10485810153369</c:v>
                </c:pt>
                <c:pt idx="132">
                  <c:v>257.84504558817162</c:v>
                </c:pt>
                <c:pt idx="133">
                  <c:v>261.89691536536259</c:v>
                </c:pt>
                <c:pt idx="134">
                  <c:v>266.82782660262927</c:v>
                </c:pt>
                <c:pt idx="135">
                  <c:v>271.54202124724566</c:v>
                </c:pt>
                <c:pt idx="136">
                  <c:v>276.56789818241526</c:v>
                </c:pt>
                <c:pt idx="137">
                  <c:v>282.59456747240779</c:v>
                </c:pt>
                <c:pt idx="138">
                  <c:v>288.28276927500281</c:v>
                </c:pt>
                <c:pt idx="139">
                  <c:v>294.2826533681511</c:v>
                </c:pt>
                <c:pt idx="140">
                  <c:v>301.40508071086964</c:v>
                </c:pt>
                <c:pt idx="141">
                  <c:v>308.06728967144329</c:v>
                </c:pt>
                <c:pt idx="142">
                  <c:v>315.04118092257016</c:v>
                </c:pt>
                <c:pt idx="143">
                  <c:v>323.25936631801449</c:v>
                </c:pt>
                <c:pt idx="144">
                  <c:v>330.89558243656683</c:v>
                </c:pt>
                <c:pt idx="145">
                  <c:v>338.84348084567222</c:v>
                </c:pt>
                <c:pt idx="146">
                  <c:v>348.15742429384272</c:v>
                </c:pt>
                <c:pt idx="147">
                  <c:v>356.76764757037364</c:v>
                </c:pt>
                <c:pt idx="148">
                  <c:v>365.68955313745766</c:v>
                </c:pt>
                <c:pt idx="149">
                  <c:v>376.09925463835384</c:v>
                </c:pt>
                <c:pt idx="150">
                  <c:v>385.68348507286333</c:v>
                </c:pt>
                <c:pt idx="151">
                  <c:v>395.57939779792588</c:v>
                </c:pt>
                <c:pt idx="152">
                  <c:v>407.08485735154807</c:v>
                </c:pt>
                <c:pt idx="153">
                  <c:v>417.64309494403608</c:v>
                </c:pt>
                <c:pt idx="154">
                  <c:v>428.51301482707726</c:v>
                </c:pt>
                <c:pt idx="155">
                  <c:v>441.11423243342597</c:v>
                </c:pt>
                <c:pt idx="156">
                  <c:v>452.64647718389233</c:v>
                </c:pt>
                <c:pt idx="157">
                  <c:v>464.49040422491237</c:v>
                </c:pt>
                <c:pt idx="158">
                  <c:v>478.18737988398607</c:v>
                </c:pt>
                <c:pt idx="159">
                  <c:v>490.69363179243157</c:v>
                </c:pt>
                <c:pt idx="160">
                  <c:v>503.51156599142973</c:v>
                </c:pt>
                <c:pt idx="161">
                  <c:v>518.30429970323041</c:v>
                </c:pt>
                <c:pt idx="162">
                  <c:v>531.78455876965381</c:v>
                </c:pt>
                <c:pt idx="163">
                  <c:v>545.57650012663112</c:v>
                </c:pt>
                <c:pt idx="164">
                  <c:v>561.46499189115673</c:v>
                </c:pt>
                <c:pt idx="165">
                  <c:v>575.91925811555939</c:v>
                </c:pt>
                <c:pt idx="166">
                  <c:v>590.68520663051527</c:v>
                </c:pt>
                <c:pt idx="167">
                  <c:v>607.66945644776661</c:v>
                </c:pt>
                <c:pt idx="168">
                  <c:v>623.09772983014795</c:v>
                </c:pt>
                <c:pt idx="169">
                  <c:v>638.83768550308173</c:v>
                </c:pt>
                <c:pt idx="170">
                  <c:v>656.91769337306039</c:v>
                </c:pt>
                <c:pt idx="171">
                  <c:v>673.31997391341974</c:v>
                </c:pt>
                <c:pt idx="172">
                  <c:v>690.03393674433289</c:v>
                </c:pt>
                <c:pt idx="173">
                  <c:v>709.20970266703614</c:v>
                </c:pt>
                <c:pt idx="174">
                  <c:v>726.58599036537476</c:v>
                </c:pt>
                <c:pt idx="175">
                  <c:v>744.2739603542658</c:v>
                </c:pt>
                <c:pt idx="176">
                  <c:v>764.54548432969614</c:v>
                </c:pt>
                <c:pt idx="177">
                  <c:v>782.89577918601265</c:v>
                </c:pt>
                <c:pt idx="178">
                  <c:v>801.55775633288295</c:v>
                </c:pt>
                <c:pt idx="179">
                  <c:v>822.92503836103822</c:v>
                </c:pt>
                <c:pt idx="180">
                  <c:v>842.24934037533387</c:v>
                </c:pt>
                <c:pt idx="181">
                  <c:v>861.88532468018286</c:v>
                </c:pt>
                <c:pt idx="182">
                  <c:v>884.34836476106409</c:v>
                </c:pt>
                <c:pt idx="183">
                  <c:v>904.64667393333821</c:v>
                </c:pt>
                <c:pt idx="184">
                  <c:v>925.25666539616498</c:v>
                </c:pt>
                <c:pt idx="185">
                  <c:v>948.8154635297733</c:v>
                </c:pt>
                <c:pt idx="186">
                  <c:v>970.08777986002588</c:v>
                </c:pt>
                <c:pt idx="187">
                  <c:v>991.67177848083202</c:v>
                </c:pt>
                <c:pt idx="188">
                  <c:v>1016.3263346671646</c:v>
                </c:pt>
                <c:pt idx="189">
                  <c:v>1038.5726581553961</c:v>
                </c:pt>
                <c:pt idx="190">
                  <c:v>1061.1306639341801</c:v>
                </c:pt>
                <c:pt idx="191">
                  <c:v>1086.8809781732407</c:v>
                </c:pt>
                <c:pt idx="192">
                  <c:v>1110.1013088194502</c:v>
                </c:pt>
                <c:pt idx="193">
                  <c:v>1133.6333217562135</c:v>
                </c:pt>
                <c:pt idx="194">
                  <c:v>1160.4793940479979</c:v>
                </c:pt>
                <c:pt idx="195">
                  <c:v>1184.6737318521868</c:v>
                </c:pt>
                <c:pt idx="196">
                  <c:v>1209.1797519469292</c:v>
                </c:pt>
                <c:pt idx="197">
                  <c:v>1237.1215822914396</c:v>
                </c:pt>
                <c:pt idx="198">
                  <c:v>1262.2899272536067</c:v>
                </c:pt>
                <c:pt idx="199">
                  <c:v>1287.7699545063265</c:v>
                </c:pt>
                <c:pt idx="200">
                  <c:v>1316.8075429035648</c:v>
                </c:pt>
                <c:pt idx="201">
                  <c:v>1342.9498950237103</c:v>
                </c:pt>
                <c:pt idx="202">
                  <c:v>1369.4039294344093</c:v>
                </c:pt>
                <c:pt idx="203">
                  <c:v>1399.5372758843714</c:v>
                </c:pt>
                <c:pt idx="204">
                  <c:v>1426.6536351624961</c:v>
                </c:pt>
                <c:pt idx="205">
                  <c:v>1454.0816767311733</c:v>
                </c:pt>
                <c:pt idx="206">
                  <c:v>1485.3107812338633</c:v>
                </c:pt>
                <c:pt idx="207">
                  <c:v>1513.4011476699659</c:v>
                </c:pt>
                <c:pt idx="208">
                  <c:v>1541.8031963966221</c:v>
                </c:pt>
                <c:pt idx="209">
                  <c:v>1574.1280589520366</c:v>
                </c:pt>
                <c:pt idx="210">
                  <c:v>1603.1924325461182</c:v>
                </c:pt>
                <c:pt idx="211">
                  <c:v>1632.5684884307536</c:v>
                </c:pt>
                <c:pt idx="212">
                  <c:v>1665.9891090388933</c:v>
                </c:pt>
                <c:pt idx="213">
                  <c:v>1696.0274897909542</c:v>
                </c:pt>
                <c:pt idx="214">
                  <c:v>1726.3775528335661</c:v>
                </c:pt>
                <c:pt idx="215">
                  <c:v>1760.893931494435</c:v>
                </c:pt>
                <c:pt idx="216">
                  <c:v>1791.9063194044727</c:v>
                </c:pt>
                <c:pt idx="217">
                  <c:v>1823.2303896050653</c:v>
                </c:pt>
                <c:pt idx="218">
                  <c:v>1858.8425263186568</c:v>
                </c:pt>
                <c:pt idx="219">
                  <c:v>1890.8289213866744</c:v>
                </c:pt>
                <c:pt idx="220">
                  <c:v>1923.1269987452447</c:v>
                </c:pt>
                <c:pt idx="221">
                  <c:v>1959.8348935115648</c:v>
                </c:pt>
                <c:pt idx="222">
                  <c:v>1992.7952957375599</c:v>
                </c:pt>
                <c:pt idx="223">
                  <c:v>2026.0673802541094</c:v>
                </c:pt>
                <c:pt idx="224">
                  <c:v>2063.8710330731533</c:v>
                </c:pt>
                <c:pt idx="225">
                  <c:v>2097.8054424571283</c:v>
                </c:pt>
                <c:pt idx="226">
                  <c:v>2132.0515341316568</c:v>
                </c:pt>
                <c:pt idx="227">
                  <c:v>2170.9509450034257</c:v>
                </c:pt>
                <c:pt idx="228">
                  <c:v>2205.8593615453797</c:v>
                </c:pt>
                <c:pt idx="229">
                  <c:v>2241.079460377885</c:v>
                </c:pt>
                <c:pt idx="230">
                  <c:v>2281.0746293023826</c:v>
                </c:pt>
                <c:pt idx="231">
                  <c:v>2316.9570530023138</c:v>
                </c:pt>
                <c:pt idx="232">
                  <c:v>2353.1511589928</c:v>
                </c:pt>
                <c:pt idx="233">
                  <c:v>2394.2420859700205</c:v>
                </c:pt>
                <c:pt idx="234">
                  <c:v>2431.0985168279312</c:v>
                </c:pt>
                <c:pt idx="235">
                  <c:v>2468.2666299763941</c:v>
                </c:pt>
                <c:pt idx="236">
                  <c:v>2510.4533150063444</c:v>
                </c:pt>
                <c:pt idx="237">
                  <c:v>2548.2837530222323</c:v>
                </c:pt>
                <c:pt idx="238">
                  <c:v>2586.4258733286752</c:v>
                </c:pt>
                <c:pt idx="239">
                  <c:v>2629.7083164113478</c:v>
                </c:pt>
                <c:pt idx="240">
                  <c:v>2668.5127615852166</c:v>
                </c:pt>
              </c:numCache>
            </c:numRef>
          </c:yVal>
          <c:smooth val="0"/>
          <c:extLst>
            <c:ext xmlns:c16="http://schemas.microsoft.com/office/drawing/2014/chart" uri="{C3380CC4-5D6E-409C-BE32-E72D297353CC}">
              <c16:uniqueId val="{00000001-4733-4712-B441-A5AB5C9C6C04}"/>
            </c:ext>
          </c:extLst>
        </c:ser>
        <c:ser>
          <c:idx val="2"/>
          <c:order val="2"/>
          <c:tx>
            <c:v>Paper ice-ocean 35 km / 1600 km pass</c:v>
          </c:tx>
          <c:spPr>
            <a:ln w="19050">
              <a:solidFill>
                <a:srgbClr val="16A34A"/>
              </a:solidFill>
              <a:prstDash val="solid"/>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Native_Chart_Data!$F$983:$F$1223</c:f>
              <c:numCache>
                <c:formatCode>General</c:formatCode>
                <c:ptCount val="241"/>
                <c:pt idx="0">
                  <c:v>6671.2819039630413</c:v>
                </c:pt>
                <c:pt idx="1">
                  <c:v>6568.6893297362412</c:v>
                </c:pt>
                <c:pt idx="2">
                  <c:v>6454.2576651478003</c:v>
                </c:pt>
                <c:pt idx="3">
                  <c:v>6353.4161689951516</c:v>
                </c:pt>
                <c:pt idx="4">
                  <c:v>6253.3987095832817</c:v>
                </c:pt>
                <c:pt idx="5">
                  <c:v>6141.864049161637</c:v>
                </c:pt>
                <c:pt idx="6">
                  <c:v>6043.5976678239176</c:v>
                </c:pt>
                <c:pt idx="7">
                  <c:v>5946.1553232269753</c:v>
                </c:pt>
                <c:pt idx="8">
                  <c:v>5837.5176669721304</c:v>
                </c:pt>
                <c:pt idx="9">
                  <c:v>5741.8264004493403</c:v>
                </c:pt>
                <c:pt idx="10">
                  <c:v>5646.9591706673291</c:v>
                </c:pt>
                <c:pt idx="11">
                  <c:v>5541.218518579276</c:v>
                </c:pt>
                <c:pt idx="12">
                  <c:v>5448.1023668714188</c:v>
                </c:pt>
                <c:pt idx="13">
                  <c:v>5355.8102519043368</c:v>
                </c:pt>
                <c:pt idx="14">
                  <c:v>5252.966603983079</c:v>
                </c:pt>
                <c:pt idx="15">
                  <c:v>5162.4255670901503</c:v>
                </c:pt>
                <c:pt idx="16">
                  <c:v>5072.7085669379976</c:v>
                </c:pt>
                <c:pt idx="17">
                  <c:v>4972.7619231835379</c:v>
                </c:pt>
                <c:pt idx="18">
                  <c:v>4884.7960011055375</c:v>
                </c:pt>
                <c:pt idx="19">
                  <c:v>4797.6541157683168</c:v>
                </c:pt>
                <c:pt idx="20">
                  <c:v>4700.6044761806515</c:v>
                </c:pt>
                <c:pt idx="21">
                  <c:v>4615.2136689175813</c:v>
                </c:pt>
                <c:pt idx="22">
                  <c:v>4530.6468983952882</c:v>
                </c:pt>
                <c:pt idx="23">
                  <c:v>4436.4942629744219</c:v>
                </c:pt>
                <c:pt idx="24">
                  <c:v>4353.678570526281</c:v>
                </c:pt>
                <c:pt idx="25">
                  <c:v>4271.6869148189189</c:v>
                </c:pt>
                <c:pt idx="26">
                  <c:v>4180.431283564847</c:v>
                </c:pt>
                <c:pt idx="27">
                  <c:v>4100.1907059316354</c:v>
                </c:pt>
                <c:pt idx="28">
                  <c:v>4020.7741650392022</c:v>
                </c:pt>
                <c:pt idx="29">
                  <c:v>3932.4155379519252</c:v>
                </c:pt>
                <c:pt idx="30">
                  <c:v>3854.7500751336447</c:v>
                </c:pt>
                <c:pt idx="31">
                  <c:v>3777.9086490561408</c:v>
                </c:pt>
                <c:pt idx="32">
                  <c:v>3692.447026135661</c:v>
                </c:pt>
                <c:pt idx="33">
                  <c:v>3617.3566781323107</c:v>
                </c:pt>
                <c:pt idx="34">
                  <c:v>3543.0903668697347</c:v>
                </c:pt>
                <c:pt idx="35">
                  <c:v>3460.5257481160511</c:v>
                </c:pt>
                <c:pt idx="36">
                  <c:v>3388.0105149276301</c:v>
                </c:pt>
                <c:pt idx="37">
                  <c:v>3316.3193184799852</c:v>
                </c:pt>
                <c:pt idx="38">
                  <c:v>3236.6517038930992</c:v>
                </c:pt>
                <c:pt idx="39">
                  <c:v>3166.7115855196066</c:v>
                </c:pt>
                <c:pt idx="40">
                  <c:v>3097.5955038868924</c:v>
                </c:pt>
                <c:pt idx="41">
                  <c:v>3020.8248934668009</c:v>
                </c:pt>
                <c:pt idx="42">
                  <c:v>2953.459889908238</c:v>
                </c:pt>
                <c:pt idx="43">
                  <c:v>2886.9189230904535</c:v>
                </c:pt>
                <c:pt idx="44">
                  <c:v>2813.0453168371569</c:v>
                </c:pt>
                <c:pt idx="45">
                  <c:v>2748.2554280935246</c:v>
                </c:pt>
                <c:pt idx="46">
                  <c:v>2684.2895760906704</c:v>
                </c:pt>
                <c:pt idx="47">
                  <c:v>2613.3129740041691</c:v>
                </c:pt>
                <c:pt idx="48">
                  <c:v>2551.098200075467</c:v>
                </c:pt>
                <c:pt idx="49">
                  <c:v>2489.7074628875416</c:v>
                </c:pt>
                <c:pt idx="50">
                  <c:v>2421.627864967837</c:v>
                </c:pt>
                <c:pt idx="51">
                  <c:v>2361.9882058540638</c:v>
                </c:pt>
                <c:pt idx="52">
                  <c:v>2303.1725834810691</c:v>
                </c:pt>
                <c:pt idx="53">
                  <c:v>2237.9899897281612</c:v>
                </c:pt>
                <c:pt idx="54">
                  <c:v>2180.9254454293177</c:v>
                </c:pt>
                <c:pt idx="55">
                  <c:v>2124.6849378712523</c:v>
                </c:pt>
                <c:pt idx="56">
                  <c:v>2062.3993482851392</c:v>
                </c:pt>
                <c:pt idx="57">
                  <c:v>2007.9099188012265</c:v>
                </c:pt>
                <c:pt idx="58">
                  <c:v>1954.2445260580903</c:v>
                </c:pt>
                <c:pt idx="59">
                  <c:v>1894.8559406387737</c:v>
                </c:pt>
                <c:pt idx="60">
                  <c:v>1842.9416259697903</c:v>
                </c:pt>
                <c:pt idx="61">
                  <c:v>1791.8513480415841</c:v>
                </c:pt>
                <c:pt idx="62">
                  <c:v>1735.3597667890629</c:v>
                </c:pt>
                <c:pt idx="63">
                  <c:v>1686.0205669350094</c:v>
                </c:pt>
                <c:pt idx="64">
                  <c:v>1637.5054038217336</c:v>
                </c:pt>
                <c:pt idx="65">
                  <c:v>1583.9108267360079</c:v>
                </c:pt>
                <c:pt idx="66">
                  <c:v>1537.146741696884</c:v>
                </c:pt>
                <c:pt idx="67">
                  <c:v>1491.2066933985375</c:v>
                </c:pt>
                <c:pt idx="68">
                  <c:v>1440.509120479609</c:v>
                </c:pt>
                <c:pt idx="69">
                  <c:v>1396.3201502554145</c:v>
                </c:pt>
                <c:pt idx="70">
                  <c:v>1352.955216771998</c:v>
                </c:pt>
                <c:pt idx="71">
                  <c:v>1305.154648019864</c:v>
                </c:pt>
                <c:pt idx="72">
                  <c:v>1263.5407926106002</c:v>
                </c:pt>
                <c:pt idx="73">
                  <c:v>1222.750973942113</c:v>
                </c:pt>
                <c:pt idx="74">
                  <c:v>1177.8474093567754</c:v>
                </c:pt>
                <c:pt idx="75">
                  <c:v>1138.8086687624409</c:v>
                </c:pt>
                <c:pt idx="76">
                  <c:v>1100.5939649088839</c:v>
                </c:pt>
                <c:pt idx="77">
                  <c:v>1058.5874044903424</c:v>
                </c:pt>
                <c:pt idx="78">
                  <c:v>1022.1237787109374</c:v>
                </c:pt>
                <c:pt idx="79">
                  <c:v>986.48418967231009</c:v>
                </c:pt>
                <c:pt idx="80">
                  <c:v>947.37463342056446</c:v>
                </c:pt>
                <c:pt idx="81">
                  <c:v>913.48612245608945</c:v>
                </c:pt>
                <c:pt idx="82">
                  <c:v>880.42164823239102</c:v>
                </c:pt>
                <c:pt idx="83">
                  <c:v>844.20909614744266</c:v>
                </c:pt>
                <c:pt idx="84">
                  <c:v>812.8956999978966</c:v>
                </c:pt>
                <c:pt idx="85">
                  <c:v>782.4063405891286</c:v>
                </c:pt>
                <c:pt idx="86">
                  <c:v>749.09079267097502</c:v>
                </c:pt>
                <c:pt idx="87">
                  <c:v>720.35251133635927</c:v>
                </c:pt>
                <c:pt idx="88">
                  <c:v>692.43826674252091</c:v>
                </c:pt>
                <c:pt idx="89">
                  <c:v>662.01972299116323</c:v>
                </c:pt>
                <c:pt idx="90">
                  <c:v>635.85655647147735</c:v>
                </c:pt>
                <c:pt idx="91">
                  <c:v>610.51742669256885</c:v>
                </c:pt>
                <c:pt idx="92">
                  <c:v>582.9958871080072</c:v>
                </c:pt>
                <c:pt idx="93">
                  <c:v>559.40783540325083</c:v>
                </c:pt>
                <c:pt idx="94">
                  <c:v>536.64382043927219</c:v>
                </c:pt>
                <c:pt idx="95">
                  <c:v>512.01928502150633</c:v>
                </c:pt>
                <c:pt idx="96">
                  <c:v>491.00634813167994</c:v>
                </c:pt>
                <c:pt idx="97">
                  <c:v>470.81744798263048</c:v>
                </c:pt>
                <c:pt idx="98">
                  <c:v>449.08991673166133</c:v>
                </c:pt>
                <c:pt idx="99">
                  <c:v>430.65209465676418</c:v>
                </c:pt>
                <c:pt idx="100">
                  <c:v>413.03830932264486</c:v>
                </c:pt>
                <c:pt idx="101">
                  <c:v>394.20778223847111</c:v>
                </c:pt>
                <c:pt idx="102">
                  <c:v>378.34507497850399</c:v>
                </c:pt>
                <c:pt idx="103">
                  <c:v>363.30640445931436</c:v>
                </c:pt>
                <c:pt idx="104">
                  <c:v>347.37288154193652</c:v>
                </c:pt>
                <c:pt idx="105">
                  <c:v>334.08528909689915</c:v>
                </c:pt>
                <c:pt idx="106">
                  <c:v>321.62173339263933</c:v>
                </c:pt>
                <c:pt idx="107">
                  <c:v>308.58521464205745</c:v>
                </c:pt>
                <c:pt idx="108">
                  <c:v>297.87273701194982</c:v>
                </c:pt>
                <c:pt idx="109">
                  <c:v>287.98429612261964</c:v>
                </c:pt>
                <c:pt idx="110">
                  <c:v>277.84478153883373</c:v>
                </c:pt>
                <c:pt idx="111">
                  <c:v>269.70741872365579</c:v>
                </c:pt>
                <c:pt idx="112">
                  <c:v>262.3940926492553</c:v>
                </c:pt>
                <c:pt idx="113">
                  <c:v>255.15158223226561</c:v>
                </c:pt>
                <c:pt idx="114">
                  <c:v>249.58933423201725</c:v>
                </c:pt>
                <c:pt idx="115">
                  <c:v>244.85112297254656</c:v>
                </c:pt>
                <c:pt idx="116">
                  <c:v>240.50561672235264</c:v>
                </c:pt>
                <c:pt idx="117">
                  <c:v>237.51848353703414</c:v>
                </c:pt>
                <c:pt idx="118">
                  <c:v>235.35538709249317</c:v>
                </c:pt>
                <c:pt idx="119">
                  <c:v>233.90688500909519</c:v>
                </c:pt>
                <c:pt idx="120">
                  <c:v>233.49486663870644</c:v>
                </c:pt>
                <c:pt idx="121">
                  <c:v>233.90688500909519</c:v>
                </c:pt>
                <c:pt idx="122">
                  <c:v>235.35538709249312</c:v>
                </c:pt>
                <c:pt idx="123">
                  <c:v>237.51848353703411</c:v>
                </c:pt>
                <c:pt idx="124">
                  <c:v>240.50561672235264</c:v>
                </c:pt>
                <c:pt idx="125">
                  <c:v>244.85112297254656</c:v>
                </c:pt>
                <c:pt idx="126">
                  <c:v>249.58933423201725</c:v>
                </c:pt>
                <c:pt idx="127">
                  <c:v>255.15158223226561</c:v>
                </c:pt>
                <c:pt idx="128">
                  <c:v>262.3940926492553</c:v>
                </c:pt>
                <c:pt idx="129">
                  <c:v>269.70741872365579</c:v>
                </c:pt>
                <c:pt idx="130">
                  <c:v>277.84478153883373</c:v>
                </c:pt>
                <c:pt idx="131">
                  <c:v>287.98429612261964</c:v>
                </c:pt>
                <c:pt idx="132">
                  <c:v>297.87273701194999</c:v>
                </c:pt>
                <c:pt idx="133">
                  <c:v>308.58521464205768</c:v>
                </c:pt>
                <c:pt idx="134">
                  <c:v>321.62173339263933</c:v>
                </c:pt>
                <c:pt idx="135">
                  <c:v>334.08528909689915</c:v>
                </c:pt>
                <c:pt idx="136">
                  <c:v>347.37288154193652</c:v>
                </c:pt>
                <c:pt idx="137">
                  <c:v>363.30640445931414</c:v>
                </c:pt>
                <c:pt idx="138">
                  <c:v>378.3450749785037</c:v>
                </c:pt>
                <c:pt idx="139">
                  <c:v>394.20778223847111</c:v>
                </c:pt>
                <c:pt idx="140">
                  <c:v>413.03830932264486</c:v>
                </c:pt>
                <c:pt idx="141">
                  <c:v>430.65209465676418</c:v>
                </c:pt>
                <c:pt idx="142">
                  <c:v>449.08991673166133</c:v>
                </c:pt>
                <c:pt idx="143">
                  <c:v>470.81744798263048</c:v>
                </c:pt>
                <c:pt idx="144">
                  <c:v>491.00634813167994</c:v>
                </c:pt>
                <c:pt idx="145">
                  <c:v>512.01928502150633</c:v>
                </c:pt>
                <c:pt idx="146">
                  <c:v>536.64382043927219</c:v>
                </c:pt>
                <c:pt idx="147">
                  <c:v>559.40783540325128</c:v>
                </c:pt>
                <c:pt idx="148">
                  <c:v>582.99588710800765</c:v>
                </c:pt>
                <c:pt idx="149">
                  <c:v>610.51742669256885</c:v>
                </c:pt>
                <c:pt idx="150">
                  <c:v>635.85655647147735</c:v>
                </c:pt>
                <c:pt idx="151">
                  <c:v>662.01972299116323</c:v>
                </c:pt>
                <c:pt idx="152">
                  <c:v>692.43826674252057</c:v>
                </c:pt>
                <c:pt idx="153">
                  <c:v>720.3525113363587</c:v>
                </c:pt>
                <c:pt idx="154">
                  <c:v>749.09079267097434</c:v>
                </c:pt>
                <c:pt idx="155">
                  <c:v>782.40634058912906</c:v>
                </c:pt>
                <c:pt idx="156">
                  <c:v>812.8956999978966</c:v>
                </c:pt>
                <c:pt idx="157">
                  <c:v>844.20909614744266</c:v>
                </c:pt>
                <c:pt idx="158">
                  <c:v>880.42164823239102</c:v>
                </c:pt>
                <c:pt idx="159">
                  <c:v>913.48612245608945</c:v>
                </c:pt>
                <c:pt idx="160">
                  <c:v>947.3746334205639</c:v>
                </c:pt>
                <c:pt idx="161">
                  <c:v>986.484189672311</c:v>
                </c:pt>
                <c:pt idx="162">
                  <c:v>1022.1237787109374</c:v>
                </c:pt>
                <c:pt idx="163">
                  <c:v>1058.5874044903426</c:v>
                </c:pt>
                <c:pt idx="164">
                  <c:v>1100.5939649088832</c:v>
                </c:pt>
                <c:pt idx="165">
                  <c:v>1138.8086687624409</c:v>
                </c:pt>
                <c:pt idx="166">
                  <c:v>1177.8474093567763</c:v>
                </c:pt>
                <c:pt idx="167">
                  <c:v>1222.7509739421123</c:v>
                </c:pt>
                <c:pt idx="168">
                  <c:v>1263.5407926106002</c:v>
                </c:pt>
                <c:pt idx="169">
                  <c:v>1305.1546480198635</c:v>
                </c:pt>
                <c:pt idx="170">
                  <c:v>1352.9552167719985</c:v>
                </c:pt>
                <c:pt idx="171">
                  <c:v>1396.3201502554143</c:v>
                </c:pt>
                <c:pt idx="172">
                  <c:v>1440.5091204796092</c:v>
                </c:pt>
                <c:pt idx="173">
                  <c:v>1491.206693398537</c:v>
                </c:pt>
                <c:pt idx="174">
                  <c:v>1537.1467416968844</c:v>
                </c:pt>
                <c:pt idx="175">
                  <c:v>1583.9108267360073</c:v>
                </c:pt>
                <c:pt idx="176">
                  <c:v>1637.5054038217343</c:v>
                </c:pt>
                <c:pt idx="177">
                  <c:v>1686.0205669350094</c:v>
                </c:pt>
                <c:pt idx="178">
                  <c:v>1735.3597667890638</c:v>
                </c:pt>
                <c:pt idx="179">
                  <c:v>1791.8513480415836</c:v>
                </c:pt>
                <c:pt idx="180">
                  <c:v>1842.9416259697903</c:v>
                </c:pt>
                <c:pt idx="181">
                  <c:v>1894.8559406387742</c:v>
                </c:pt>
                <c:pt idx="182">
                  <c:v>1954.2445260580898</c:v>
                </c:pt>
                <c:pt idx="183">
                  <c:v>2007.9099188012265</c:v>
                </c:pt>
                <c:pt idx="184">
                  <c:v>2062.3993482851374</c:v>
                </c:pt>
                <c:pt idx="185">
                  <c:v>2124.6849378712532</c:v>
                </c:pt>
                <c:pt idx="186">
                  <c:v>2180.9254454293177</c:v>
                </c:pt>
                <c:pt idx="187">
                  <c:v>2237.9899897281621</c:v>
                </c:pt>
                <c:pt idx="188">
                  <c:v>2303.1725834810677</c:v>
                </c:pt>
                <c:pt idx="189">
                  <c:v>2361.9882058540638</c:v>
                </c:pt>
                <c:pt idx="190">
                  <c:v>2421.6278649678361</c:v>
                </c:pt>
                <c:pt idx="191">
                  <c:v>2489.7074628875434</c:v>
                </c:pt>
                <c:pt idx="192">
                  <c:v>2551.098200075467</c:v>
                </c:pt>
                <c:pt idx="193">
                  <c:v>2613.31297400417</c:v>
                </c:pt>
                <c:pt idx="194">
                  <c:v>2684.289576090669</c:v>
                </c:pt>
                <c:pt idx="195">
                  <c:v>2748.2554280935246</c:v>
                </c:pt>
                <c:pt idx="196">
                  <c:v>2813.0453168371578</c:v>
                </c:pt>
                <c:pt idx="197">
                  <c:v>2886.9189230904522</c:v>
                </c:pt>
                <c:pt idx="198">
                  <c:v>2953.459889908238</c:v>
                </c:pt>
                <c:pt idx="199">
                  <c:v>3020.8248934667977</c:v>
                </c:pt>
                <c:pt idx="200">
                  <c:v>3097.5955038868938</c:v>
                </c:pt>
                <c:pt idx="201">
                  <c:v>3166.7115855196066</c:v>
                </c:pt>
                <c:pt idx="202">
                  <c:v>3236.6517038930992</c:v>
                </c:pt>
                <c:pt idx="203">
                  <c:v>3316.3193184799852</c:v>
                </c:pt>
                <c:pt idx="204">
                  <c:v>3388.0105149276301</c:v>
                </c:pt>
                <c:pt idx="205">
                  <c:v>3460.5257481160506</c:v>
                </c:pt>
                <c:pt idx="206">
                  <c:v>3543.090366869737</c:v>
                </c:pt>
                <c:pt idx="207">
                  <c:v>3617.3566781323107</c:v>
                </c:pt>
                <c:pt idx="208">
                  <c:v>3692.4470261356614</c:v>
                </c:pt>
                <c:pt idx="209">
                  <c:v>3777.9086490561399</c:v>
                </c:pt>
                <c:pt idx="210">
                  <c:v>3854.7500751336447</c:v>
                </c:pt>
                <c:pt idx="211">
                  <c:v>3932.4155379519266</c:v>
                </c:pt>
                <c:pt idx="212">
                  <c:v>4020.7741650392004</c:v>
                </c:pt>
                <c:pt idx="213">
                  <c:v>4100.1907059316354</c:v>
                </c:pt>
                <c:pt idx="214">
                  <c:v>4180.4312835648425</c:v>
                </c:pt>
                <c:pt idx="215">
                  <c:v>4271.6869148189198</c:v>
                </c:pt>
                <c:pt idx="216">
                  <c:v>4353.678570526281</c:v>
                </c:pt>
                <c:pt idx="217">
                  <c:v>4436.4942629744219</c:v>
                </c:pt>
                <c:pt idx="218">
                  <c:v>4530.6468983952882</c:v>
                </c:pt>
                <c:pt idx="219">
                  <c:v>4615.2136689175813</c:v>
                </c:pt>
                <c:pt idx="220">
                  <c:v>4700.6044761806506</c:v>
                </c:pt>
                <c:pt idx="221">
                  <c:v>4797.6541157683187</c:v>
                </c:pt>
                <c:pt idx="222">
                  <c:v>4884.7960011055375</c:v>
                </c:pt>
                <c:pt idx="223">
                  <c:v>4972.7619231835379</c:v>
                </c:pt>
                <c:pt idx="224">
                  <c:v>5072.7085669379967</c:v>
                </c:pt>
                <c:pt idx="225">
                  <c:v>5162.4255670901503</c:v>
                </c:pt>
                <c:pt idx="226">
                  <c:v>5252.9666039830799</c:v>
                </c:pt>
                <c:pt idx="227">
                  <c:v>5355.810251904335</c:v>
                </c:pt>
                <c:pt idx="228">
                  <c:v>5448.1023668714188</c:v>
                </c:pt>
                <c:pt idx="229">
                  <c:v>5541.218518579275</c:v>
                </c:pt>
                <c:pt idx="230">
                  <c:v>5646.95917066733</c:v>
                </c:pt>
                <c:pt idx="231">
                  <c:v>5741.8264004493403</c:v>
                </c:pt>
                <c:pt idx="232">
                  <c:v>5837.5176669721304</c:v>
                </c:pt>
                <c:pt idx="233">
                  <c:v>5946.1553232269753</c:v>
                </c:pt>
                <c:pt idx="234">
                  <c:v>6043.5976678239176</c:v>
                </c:pt>
                <c:pt idx="235">
                  <c:v>6141.8640491616352</c:v>
                </c:pt>
                <c:pt idx="236">
                  <c:v>6253.3987095832836</c:v>
                </c:pt>
                <c:pt idx="237">
                  <c:v>6353.4161689951516</c:v>
                </c:pt>
                <c:pt idx="238">
                  <c:v>6454.2576651478012</c:v>
                </c:pt>
                <c:pt idx="239">
                  <c:v>6568.6893297362394</c:v>
                </c:pt>
                <c:pt idx="240">
                  <c:v>6671.2819039630413</c:v>
                </c:pt>
              </c:numCache>
            </c:numRef>
          </c:yVal>
          <c:smooth val="0"/>
          <c:extLst>
            <c:ext xmlns:c16="http://schemas.microsoft.com/office/drawing/2014/chart" uri="{C3380CC4-5D6E-409C-BE32-E72D297353CC}">
              <c16:uniqueId val="{00000002-4733-4712-B441-A5AB5C9C6C04}"/>
            </c:ext>
          </c:extLst>
        </c:ser>
        <c:ser>
          <c:idx val="3"/>
          <c:order val="3"/>
          <c:tx>
            <c:v>Operating 25 km / 1600 km pass</c:v>
          </c:tx>
          <c:spPr>
            <a:ln w="19050">
              <a:solidFill>
                <a:srgbClr val="7C3AED"/>
              </a:solidFill>
              <a:prstDash val="solid"/>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Native_Chart_Data!$H$983:$H$1223</c:f>
              <c:numCache>
                <c:formatCode>General</c:formatCode>
                <c:ptCount val="241"/>
                <c:pt idx="0">
                  <c:v>6671.2819039630413</c:v>
                </c:pt>
                <c:pt idx="1">
                  <c:v>6567.6261942520241</c:v>
                </c:pt>
                <c:pt idx="2">
                  <c:v>6452.0087093051552</c:v>
                </c:pt>
                <c:pt idx="3">
                  <c:v>6350.1222235550704</c:v>
                </c:pt>
                <c:pt idx="4">
                  <c:v>6249.0683137866017</c:v>
                </c:pt>
                <c:pt idx="5">
                  <c:v>6136.3778537750932</c:v>
                </c:pt>
                <c:pt idx="6">
                  <c:v>6037.0931679675541</c:v>
                </c:pt>
                <c:pt idx="7">
                  <c:v>5938.6410581416285</c:v>
                </c:pt>
                <c:pt idx="8">
                  <c:v>5828.8776230654903</c:v>
                </c:pt>
                <c:pt idx="9">
                  <c:v>5732.1947372004943</c:v>
                </c:pt>
                <c:pt idx="10">
                  <c:v>5636.3444273171144</c:v>
                </c:pt>
                <c:pt idx="11">
                  <c:v>5529.5080171763357</c:v>
                </c:pt>
                <c:pt idx="12">
                  <c:v>5435.4269312538872</c:v>
                </c:pt>
                <c:pt idx="13">
                  <c:v>5342.1784213130541</c:v>
                </c:pt>
                <c:pt idx="14">
                  <c:v>5238.2690361076393</c:v>
                </c:pt>
                <c:pt idx="15">
                  <c:v>5146.7897501277366</c:v>
                </c:pt>
                <c:pt idx="16">
                  <c:v>5056.1430401294483</c:v>
                </c:pt>
                <c:pt idx="17">
                  <c:v>4955.1606798593975</c:v>
                </c:pt>
                <c:pt idx="18">
                  <c:v>4866.2831938220397</c:v>
                </c:pt>
                <c:pt idx="19">
                  <c:v>4778.238283766299</c:v>
                </c:pt>
                <c:pt idx="20">
                  <c:v>4680.1829484316113</c:v>
                </c:pt>
                <c:pt idx="21">
                  <c:v>4593.9072623367983</c:v>
                </c:pt>
                <c:pt idx="22">
                  <c:v>4508.4641522236016</c:v>
                </c:pt>
                <c:pt idx="23">
                  <c:v>4413.3358418242815</c:v>
                </c:pt>
                <c:pt idx="24">
                  <c:v>4329.6619556720143</c:v>
                </c:pt>
                <c:pt idx="25">
                  <c:v>4246.8206455013624</c:v>
                </c:pt>
                <c:pt idx="26">
                  <c:v>4154.6193600374036</c:v>
                </c:pt>
                <c:pt idx="27">
                  <c:v>4073.5472738276831</c:v>
                </c:pt>
                <c:pt idx="28">
                  <c:v>3993.3077635995774</c:v>
                </c:pt>
                <c:pt idx="29">
                  <c:v>3904.0335030709807</c:v>
                </c:pt>
                <c:pt idx="30">
                  <c:v>3825.5632168038064</c:v>
                </c:pt>
                <c:pt idx="31">
                  <c:v>3747.925506518246</c:v>
                </c:pt>
                <c:pt idx="32">
                  <c:v>3661.5782709250147</c:v>
                </c:pt>
                <c:pt idx="33">
                  <c:v>3585.7097846003849</c:v>
                </c:pt>
                <c:pt idx="34">
                  <c:v>3510.6738742573698</c:v>
                </c:pt>
                <c:pt idx="35">
                  <c:v>3427.2536635995016</c:v>
                </c:pt>
                <c:pt idx="36">
                  <c:v>3353.9869772174184</c:v>
                </c:pt>
                <c:pt idx="37">
                  <c:v>3281.5528668169482</c:v>
                </c:pt>
                <c:pt idx="38">
                  <c:v>3201.0596810944471</c:v>
                </c:pt>
                <c:pt idx="39">
                  <c:v>3130.3947946549083</c:v>
                </c:pt>
                <c:pt idx="40">
                  <c:v>3060.5624841969843</c:v>
                </c:pt>
                <c:pt idx="41">
                  <c:v>2982.9963234098454</c:v>
                </c:pt>
                <c:pt idx="42">
                  <c:v>2914.9332369128515</c:v>
                </c:pt>
                <c:pt idx="43">
                  <c:v>2847.7027263974737</c:v>
                </c:pt>
                <c:pt idx="44">
                  <c:v>2773.063590545697</c:v>
                </c:pt>
                <c:pt idx="45">
                  <c:v>2707.6023039912498</c:v>
                </c:pt>
                <c:pt idx="46">
                  <c:v>2642.9735934184177</c:v>
                </c:pt>
                <c:pt idx="47">
                  <c:v>2571.2614825020046</c:v>
                </c:pt>
                <c:pt idx="48">
                  <c:v>2508.4019958901035</c:v>
                </c:pt>
                <c:pt idx="49">
                  <c:v>2446.3750852598164</c:v>
                </c:pt>
                <c:pt idx="50">
                  <c:v>2377.5899992787677</c:v>
                </c:pt>
                <c:pt idx="51">
                  <c:v>2317.3323126094115</c:v>
                </c:pt>
                <c:pt idx="52">
                  <c:v>2257.9072019216705</c:v>
                </c:pt>
                <c:pt idx="53">
                  <c:v>2192.0491408759858</c:v>
                </c:pt>
                <c:pt idx="54">
                  <c:v>2134.3932541491758</c:v>
                </c:pt>
                <c:pt idx="55">
                  <c:v>2077.5699434039798</c:v>
                </c:pt>
                <c:pt idx="56">
                  <c:v>2014.6389072936586</c:v>
                </c:pt>
                <c:pt idx="57">
                  <c:v>1959.5848205093939</c:v>
                </c:pt>
                <c:pt idx="58">
                  <c:v>1905.3633097067436</c:v>
                </c:pt>
                <c:pt idx="59">
                  <c:v>1845.3592985317862</c:v>
                </c:pt>
                <c:pt idx="60">
                  <c:v>1792.9070116900673</c:v>
                </c:pt>
                <c:pt idx="61">
                  <c:v>1741.2873008299634</c:v>
                </c:pt>
                <c:pt idx="62">
                  <c:v>1684.2103145903689</c:v>
                </c:pt>
                <c:pt idx="63">
                  <c:v>1634.3598276911957</c:v>
                </c:pt>
                <c:pt idx="64">
                  <c:v>1585.3419167736374</c:v>
                </c:pt>
                <c:pt idx="65">
                  <c:v>1531.1919554694066</c:v>
                </c:pt>
                <c:pt idx="66">
                  <c:v>1483.9432685127788</c:v>
                </c:pt>
                <c:pt idx="67">
                  <c:v>1437.5271575377656</c:v>
                </c:pt>
                <c:pt idx="68">
                  <c:v>1386.3042211688996</c:v>
                </c:pt>
                <c:pt idx="69">
                  <c:v>1341.6573341548174</c:v>
                </c:pt>
                <c:pt idx="70">
                  <c:v>1297.8430231223497</c:v>
                </c:pt>
                <c:pt idx="71">
                  <c:v>1249.5471116888466</c:v>
                </c:pt>
                <c:pt idx="72">
                  <c:v>1207.5020246173106</c:v>
                </c:pt>
                <c:pt idx="73">
                  <c:v>1166.2895135273884</c:v>
                </c:pt>
                <c:pt idx="74">
                  <c:v>1120.9206270292493</c:v>
                </c:pt>
                <c:pt idx="75">
                  <c:v>1081.4773399002586</c:v>
                </c:pt>
                <c:pt idx="76">
                  <c:v>1042.8666287528822</c:v>
                </c:pt>
                <c:pt idx="77">
                  <c:v>1000.4247671901072</c:v>
                </c:pt>
                <c:pt idx="78">
                  <c:v>963.58328000366168</c:v>
                </c:pt>
                <c:pt idx="79">
                  <c:v>927.57436879883096</c:v>
                </c:pt>
                <c:pt idx="80">
                  <c:v>888.05953217141951</c:v>
                </c:pt>
                <c:pt idx="81">
                  <c:v>853.81984492751985</c:v>
                </c:pt>
                <c:pt idx="82">
                  <c:v>820.4127336652341</c:v>
                </c:pt>
                <c:pt idx="83">
                  <c:v>783.82492197318754</c:v>
                </c:pt>
                <c:pt idx="84">
                  <c:v>752.18703467183286</c:v>
                </c:pt>
                <c:pt idx="85">
                  <c:v>721.38172335209333</c:v>
                </c:pt>
                <c:pt idx="86">
                  <c:v>687.72093659540951</c:v>
                </c:pt>
                <c:pt idx="87">
                  <c:v>658.68484923660094</c:v>
                </c:pt>
                <c:pt idx="88">
                  <c:v>630.48133785940684</c:v>
                </c:pt>
                <c:pt idx="89">
                  <c:v>599.74757603808689</c:v>
                </c:pt>
                <c:pt idx="90">
                  <c:v>573.31328862182386</c:v>
                </c:pt>
                <c:pt idx="91">
                  <c:v>547.71157718717541</c:v>
                </c:pt>
                <c:pt idx="92">
                  <c:v>519.90484030121934</c:v>
                </c:pt>
                <c:pt idx="93">
                  <c:v>496.07235282750179</c:v>
                </c:pt>
                <c:pt idx="94">
                  <c:v>473.07244133539882</c:v>
                </c:pt>
                <c:pt idx="95">
                  <c:v>448.19272938480651</c:v>
                </c:pt>
                <c:pt idx="96">
                  <c:v>426.96204185363462</c:v>
                </c:pt>
                <c:pt idx="97">
                  <c:v>406.56393030407702</c:v>
                </c:pt>
                <c:pt idx="98">
                  <c:v>384.6112432888491</c:v>
                </c:pt>
                <c:pt idx="99">
                  <c:v>365.98235570022246</c:v>
                </c:pt>
                <c:pt idx="100">
                  <c:v>348.18604409321068</c:v>
                </c:pt>
                <c:pt idx="101">
                  <c:v>329.16038201334601</c:v>
                </c:pt>
                <c:pt idx="102">
                  <c:v>313.13329436726525</c:v>
                </c:pt>
                <c:pt idx="103">
                  <c:v>297.93878270279907</c:v>
                </c:pt>
                <c:pt idx="104">
                  <c:v>281.84014555829816</c:v>
                </c:pt>
                <c:pt idx="105">
                  <c:v>268.414857854763</c:v>
                </c:pt>
                <c:pt idx="106">
                  <c:v>255.82214613284236</c:v>
                </c:pt>
                <c:pt idx="107">
                  <c:v>242.6505339237053</c:v>
                </c:pt>
                <c:pt idx="108">
                  <c:v>231.82704616271567</c:v>
                </c:pt>
                <c:pt idx="109">
                  <c:v>221.83613438334069</c:v>
                </c:pt>
                <c:pt idx="110">
                  <c:v>211.59154710956733</c:v>
                </c:pt>
                <c:pt idx="111">
                  <c:v>203.36985929112333</c:v>
                </c:pt>
                <c:pt idx="112">
                  <c:v>195.98074745429378</c:v>
                </c:pt>
                <c:pt idx="113">
                  <c:v>188.66318511588446</c:v>
                </c:pt>
                <c:pt idx="114">
                  <c:v>183.04329723998595</c:v>
                </c:pt>
                <c:pt idx="115">
                  <c:v>178.25598534570207</c:v>
                </c:pt>
                <c:pt idx="116">
                  <c:v>173.86544794265637</c:v>
                </c:pt>
                <c:pt idx="117">
                  <c:v>170.84736000930349</c:v>
                </c:pt>
                <c:pt idx="118">
                  <c:v>168.66184805756521</c:v>
                </c:pt>
                <c:pt idx="119">
                  <c:v>167.19833558988333</c:v>
                </c:pt>
                <c:pt idx="120">
                  <c:v>166.78204759907604</c:v>
                </c:pt>
                <c:pt idx="121">
                  <c:v>167.19833558988333</c:v>
                </c:pt>
                <c:pt idx="122">
                  <c:v>168.66184805756518</c:v>
                </c:pt>
                <c:pt idx="123">
                  <c:v>170.84736000930343</c:v>
                </c:pt>
                <c:pt idx="124">
                  <c:v>173.86544794265637</c:v>
                </c:pt>
                <c:pt idx="125">
                  <c:v>178.25598534570207</c:v>
                </c:pt>
                <c:pt idx="126">
                  <c:v>183.04329723998595</c:v>
                </c:pt>
                <c:pt idx="127">
                  <c:v>188.66318511588446</c:v>
                </c:pt>
                <c:pt idx="128">
                  <c:v>195.98074745429378</c:v>
                </c:pt>
                <c:pt idx="129">
                  <c:v>203.36985929112333</c:v>
                </c:pt>
                <c:pt idx="130">
                  <c:v>211.59154710956733</c:v>
                </c:pt>
                <c:pt idx="131">
                  <c:v>221.83613438334069</c:v>
                </c:pt>
                <c:pt idx="132">
                  <c:v>231.82704616271587</c:v>
                </c:pt>
                <c:pt idx="133">
                  <c:v>242.65053392370547</c:v>
                </c:pt>
                <c:pt idx="134">
                  <c:v>255.82214613284236</c:v>
                </c:pt>
                <c:pt idx="135">
                  <c:v>268.414857854763</c:v>
                </c:pt>
                <c:pt idx="136">
                  <c:v>281.84014555829816</c:v>
                </c:pt>
                <c:pt idx="137">
                  <c:v>297.93878270279879</c:v>
                </c:pt>
                <c:pt idx="138">
                  <c:v>313.13329436726491</c:v>
                </c:pt>
                <c:pt idx="139">
                  <c:v>329.16038201334601</c:v>
                </c:pt>
                <c:pt idx="140">
                  <c:v>348.18604409321068</c:v>
                </c:pt>
                <c:pt idx="141">
                  <c:v>365.98235570022246</c:v>
                </c:pt>
                <c:pt idx="142">
                  <c:v>384.6112432888491</c:v>
                </c:pt>
                <c:pt idx="143">
                  <c:v>406.56393030407702</c:v>
                </c:pt>
                <c:pt idx="144">
                  <c:v>426.96204185363462</c:v>
                </c:pt>
                <c:pt idx="145">
                  <c:v>448.19272938480651</c:v>
                </c:pt>
                <c:pt idx="146">
                  <c:v>473.07244133539882</c:v>
                </c:pt>
                <c:pt idx="147">
                  <c:v>496.07235282750207</c:v>
                </c:pt>
                <c:pt idx="148">
                  <c:v>519.90484030121968</c:v>
                </c:pt>
                <c:pt idx="149">
                  <c:v>547.71157718717541</c:v>
                </c:pt>
                <c:pt idx="150">
                  <c:v>573.31328862182386</c:v>
                </c:pt>
                <c:pt idx="151">
                  <c:v>599.74757603808689</c:v>
                </c:pt>
                <c:pt idx="152">
                  <c:v>630.48133785940638</c:v>
                </c:pt>
                <c:pt idx="153">
                  <c:v>658.68484923660026</c:v>
                </c:pt>
                <c:pt idx="154">
                  <c:v>687.72093659540906</c:v>
                </c:pt>
                <c:pt idx="155">
                  <c:v>721.38172335209379</c:v>
                </c:pt>
                <c:pt idx="156">
                  <c:v>752.18703467183286</c:v>
                </c:pt>
                <c:pt idx="157">
                  <c:v>783.82492197318754</c:v>
                </c:pt>
                <c:pt idx="158">
                  <c:v>820.4127336652341</c:v>
                </c:pt>
                <c:pt idx="159">
                  <c:v>853.81984492751985</c:v>
                </c:pt>
                <c:pt idx="160">
                  <c:v>888.05953217141905</c:v>
                </c:pt>
                <c:pt idx="161">
                  <c:v>927.57436879883176</c:v>
                </c:pt>
                <c:pt idx="162">
                  <c:v>963.58328000366168</c:v>
                </c:pt>
                <c:pt idx="163">
                  <c:v>1000.4247671901077</c:v>
                </c:pt>
                <c:pt idx="164">
                  <c:v>1042.8666287528815</c:v>
                </c:pt>
                <c:pt idx="165">
                  <c:v>1081.4773399002586</c:v>
                </c:pt>
                <c:pt idx="166">
                  <c:v>1120.9206270292505</c:v>
                </c:pt>
                <c:pt idx="167">
                  <c:v>1166.2895135273877</c:v>
                </c:pt>
                <c:pt idx="168">
                  <c:v>1207.5020246173106</c:v>
                </c:pt>
                <c:pt idx="169">
                  <c:v>1249.5471116888461</c:v>
                </c:pt>
                <c:pt idx="170">
                  <c:v>1297.8430231223504</c:v>
                </c:pt>
                <c:pt idx="171">
                  <c:v>1341.6573341548171</c:v>
                </c:pt>
                <c:pt idx="172">
                  <c:v>1386.3042211689001</c:v>
                </c:pt>
                <c:pt idx="173">
                  <c:v>1437.5271575377651</c:v>
                </c:pt>
                <c:pt idx="174">
                  <c:v>1483.943268512779</c:v>
                </c:pt>
                <c:pt idx="175">
                  <c:v>1531.1919554694059</c:v>
                </c:pt>
                <c:pt idx="176">
                  <c:v>1585.3419167736381</c:v>
                </c:pt>
                <c:pt idx="177">
                  <c:v>1634.3598276911957</c:v>
                </c:pt>
                <c:pt idx="178">
                  <c:v>1684.2103145903695</c:v>
                </c:pt>
                <c:pt idx="179">
                  <c:v>1741.2873008299623</c:v>
                </c:pt>
                <c:pt idx="180">
                  <c:v>1792.9070116900673</c:v>
                </c:pt>
                <c:pt idx="181">
                  <c:v>1845.3592985317866</c:v>
                </c:pt>
                <c:pt idx="182">
                  <c:v>1905.3633097067434</c:v>
                </c:pt>
                <c:pt idx="183">
                  <c:v>1959.5848205093939</c:v>
                </c:pt>
                <c:pt idx="184">
                  <c:v>2014.638907293657</c:v>
                </c:pt>
                <c:pt idx="185">
                  <c:v>2077.5699434039807</c:v>
                </c:pt>
                <c:pt idx="186">
                  <c:v>2134.3932541491758</c:v>
                </c:pt>
                <c:pt idx="187">
                  <c:v>2192.0491408759867</c:v>
                </c:pt>
                <c:pt idx="188">
                  <c:v>2257.9072019216701</c:v>
                </c:pt>
                <c:pt idx="189">
                  <c:v>2317.3323126094115</c:v>
                </c:pt>
                <c:pt idx="190">
                  <c:v>2377.5899992787668</c:v>
                </c:pt>
                <c:pt idx="191">
                  <c:v>2446.3750852598187</c:v>
                </c:pt>
                <c:pt idx="192">
                  <c:v>2508.4019958901035</c:v>
                </c:pt>
                <c:pt idx="193">
                  <c:v>2571.2614825020055</c:v>
                </c:pt>
                <c:pt idx="194">
                  <c:v>2642.9735934184168</c:v>
                </c:pt>
                <c:pt idx="195">
                  <c:v>2707.6023039912498</c:v>
                </c:pt>
                <c:pt idx="196">
                  <c:v>2773.0635905456975</c:v>
                </c:pt>
                <c:pt idx="197">
                  <c:v>2847.7027263974724</c:v>
                </c:pt>
                <c:pt idx="198">
                  <c:v>2914.9332369128515</c:v>
                </c:pt>
                <c:pt idx="199">
                  <c:v>2982.9963234098418</c:v>
                </c:pt>
                <c:pt idx="200">
                  <c:v>3060.5624841969852</c:v>
                </c:pt>
                <c:pt idx="201">
                  <c:v>3130.3947946549083</c:v>
                </c:pt>
                <c:pt idx="202">
                  <c:v>3201.0596810944471</c:v>
                </c:pt>
                <c:pt idx="203">
                  <c:v>3281.5528668169482</c:v>
                </c:pt>
                <c:pt idx="204">
                  <c:v>3353.9869772174184</c:v>
                </c:pt>
                <c:pt idx="205">
                  <c:v>3427.2536635995016</c:v>
                </c:pt>
                <c:pt idx="206">
                  <c:v>3510.6738742573721</c:v>
                </c:pt>
                <c:pt idx="207">
                  <c:v>3585.7097846003849</c:v>
                </c:pt>
                <c:pt idx="208">
                  <c:v>3661.5782709250157</c:v>
                </c:pt>
                <c:pt idx="209">
                  <c:v>3747.9255065182456</c:v>
                </c:pt>
                <c:pt idx="210">
                  <c:v>3825.5632168038064</c:v>
                </c:pt>
                <c:pt idx="211">
                  <c:v>3904.0335030709825</c:v>
                </c:pt>
                <c:pt idx="212">
                  <c:v>3993.3077635995755</c:v>
                </c:pt>
                <c:pt idx="213">
                  <c:v>4073.5472738276831</c:v>
                </c:pt>
                <c:pt idx="214">
                  <c:v>4154.6193600374008</c:v>
                </c:pt>
                <c:pt idx="215">
                  <c:v>4246.8206455013642</c:v>
                </c:pt>
                <c:pt idx="216">
                  <c:v>4329.6619556720143</c:v>
                </c:pt>
                <c:pt idx="217">
                  <c:v>4413.3358418242815</c:v>
                </c:pt>
                <c:pt idx="218">
                  <c:v>4508.4641522236016</c:v>
                </c:pt>
                <c:pt idx="219">
                  <c:v>4593.9072623367983</c:v>
                </c:pt>
                <c:pt idx="220">
                  <c:v>4680.1829484316095</c:v>
                </c:pt>
                <c:pt idx="221">
                  <c:v>4778.2382837662999</c:v>
                </c:pt>
                <c:pt idx="222">
                  <c:v>4866.2831938220397</c:v>
                </c:pt>
                <c:pt idx="223">
                  <c:v>4955.1606798593994</c:v>
                </c:pt>
                <c:pt idx="224">
                  <c:v>5056.1430401294474</c:v>
                </c:pt>
                <c:pt idx="225">
                  <c:v>5146.7897501277366</c:v>
                </c:pt>
                <c:pt idx="226">
                  <c:v>5238.2690361076411</c:v>
                </c:pt>
                <c:pt idx="227">
                  <c:v>5342.1784213130522</c:v>
                </c:pt>
                <c:pt idx="228">
                  <c:v>5435.4269312538872</c:v>
                </c:pt>
                <c:pt idx="229">
                  <c:v>5529.5080171763339</c:v>
                </c:pt>
                <c:pt idx="230">
                  <c:v>5636.3444273171153</c:v>
                </c:pt>
                <c:pt idx="231">
                  <c:v>5732.1947372004943</c:v>
                </c:pt>
                <c:pt idx="232">
                  <c:v>5828.8776230654903</c:v>
                </c:pt>
                <c:pt idx="233">
                  <c:v>5938.6410581416285</c:v>
                </c:pt>
                <c:pt idx="234">
                  <c:v>6037.0931679675541</c:v>
                </c:pt>
                <c:pt idx="235">
                  <c:v>6136.3778537750923</c:v>
                </c:pt>
                <c:pt idx="236">
                  <c:v>6249.0683137866017</c:v>
                </c:pt>
                <c:pt idx="237">
                  <c:v>6350.1222235550704</c:v>
                </c:pt>
                <c:pt idx="238">
                  <c:v>6452.008709305157</c:v>
                </c:pt>
                <c:pt idx="239">
                  <c:v>6567.6261942520232</c:v>
                </c:pt>
                <c:pt idx="240">
                  <c:v>6671.2819039630413</c:v>
                </c:pt>
              </c:numCache>
            </c:numRef>
          </c:yVal>
          <c:smooth val="0"/>
          <c:extLst>
            <c:ext xmlns:c16="http://schemas.microsoft.com/office/drawing/2014/chart" uri="{C3380CC4-5D6E-409C-BE32-E72D297353CC}">
              <c16:uniqueId val="{00000003-4733-4712-B441-A5AB5C9C6C04}"/>
            </c:ext>
          </c:extLst>
        </c:ser>
        <c:dLbls>
          <c:showLegendKey val="0"/>
          <c:showVal val="0"/>
          <c:showCatName val="0"/>
          <c:showSerName val="0"/>
          <c:showPercent val="0"/>
          <c:showBubbleSize val="0"/>
        </c:dLbls>
        <c:axId val="700010"/>
        <c:axId val="700011"/>
      </c:scatterChart>
      <c:valAx>
        <c:axId val="700010"/>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1"/>
        <c:crosses val="min"/>
        <c:crossBetween val="midCat"/>
        <c:majorUnit val="500"/>
      </c:valAx>
      <c:valAx>
        <c:axId val="700011"/>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0"/>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Native_Chart_Data!$A$1228:$A$1468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Native_Chart_Data!$B$1228:$B$1468</c:f>
              <c:numCache>
                <c:formatCode>General</c:formatCode>
                <c:ptCount val="241"/>
                <c:pt idx="0">
                  <c:v>2695.1794479163468</c:v>
                </c:pt>
                <c:pt idx="1">
                  <c:v>2694.649504247689</c:v>
                </c:pt>
                <c:pt idx="2">
                  <c:v>2694.1888252313724</c:v>
                </c:pt>
                <c:pt idx="3">
                  <c:v>2693.7352285655788</c:v>
                </c:pt>
                <c:pt idx="4">
                  <c:v>2693.2153299918791</c:v>
                </c:pt>
                <c:pt idx="5">
                  <c:v>2692.8270450627988</c:v>
                </c:pt>
                <c:pt idx="6">
                  <c:v>2692.226227498772</c:v>
                </c:pt>
                <c:pt idx="7">
                  <c:v>2691.9513345452874</c:v>
                </c:pt>
                <c:pt idx="8">
                  <c:v>2691.3317880941772</c:v>
                </c:pt>
                <c:pt idx="9">
                  <c:v>2691.0884023495619</c:v>
                </c:pt>
                <c:pt idx="10">
                  <c:v>2690.6954474900699</c:v>
                </c:pt>
                <c:pt idx="11">
                  <c:v>2690.1320799792074</c:v>
                </c:pt>
                <c:pt idx="12">
                  <c:v>2689.8747687370624</c:v>
                </c:pt>
                <c:pt idx="13">
                  <c:v>2689.4097329621941</c:v>
                </c:pt>
                <c:pt idx="14">
                  <c:v>2688.9805156608413</c:v>
                </c:pt>
                <c:pt idx="15">
                  <c:v>2688.663945378994</c:v>
                </c:pt>
                <c:pt idx="16">
                  <c:v>2688.3599201386814</c:v>
                </c:pt>
                <c:pt idx="17">
                  <c:v>2687.8899442216875</c:v>
                </c:pt>
                <c:pt idx="18">
                  <c:v>2687.5318603472888</c:v>
                </c:pt>
                <c:pt idx="19">
                  <c:v>2687.2430684507012</c:v>
                </c:pt>
                <c:pt idx="20">
                  <c:v>2686.8370816958704</c:v>
                </c:pt>
                <c:pt idx="21">
                  <c:v>2686.3290562347079</c:v>
                </c:pt>
                <c:pt idx="22">
                  <c:v>2685.975086049943</c:v>
                </c:pt>
                <c:pt idx="23">
                  <c:v>2685.6117027895602</c:v>
                </c:pt>
                <c:pt idx="24">
                  <c:v>2685.2198059365082</c:v>
                </c:pt>
                <c:pt idx="25">
                  <c:v>2684.9493444150958</c:v>
                </c:pt>
                <c:pt idx="26">
                  <c:v>2684.6217262202226</c:v>
                </c:pt>
                <c:pt idx="27">
                  <c:v>2684.1567187076917</c:v>
                </c:pt>
                <c:pt idx="28">
                  <c:v>2683.8451366502386</c:v>
                </c:pt>
                <c:pt idx="29">
                  <c:v>2683.5136176627734</c:v>
                </c:pt>
                <c:pt idx="30">
                  <c:v>2683.212269613844</c:v>
                </c:pt>
                <c:pt idx="31">
                  <c:v>2682.9899653906477</c:v>
                </c:pt>
                <c:pt idx="32">
                  <c:v>2682.6790087524896</c:v>
                </c:pt>
                <c:pt idx="33">
                  <c:v>2682.3886623098647</c:v>
                </c:pt>
                <c:pt idx="34">
                  <c:v>2682.2032020768329</c:v>
                </c:pt>
                <c:pt idx="35">
                  <c:v>2681.7900212837867</c:v>
                </c:pt>
                <c:pt idx="36">
                  <c:v>2681.6464562529191</c:v>
                </c:pt>
                <c:pt idx="37">
                  <c:v>2681.4018438923181</c:v>
                </c:pt>
                <c:pt idx="38">
                  <c:v>2681.0046271600381</c:v>
                </c:pt>
                <c:pt idx="39">
                  <c:v>2680.7715287985948</c:v>
                </c:pt>
                <c:pt idx="40">
                  <c:v>2680.6232576705215</c:v>
                </c:pt>
                <c:pt idx="41">
                  <c:v>2680.3194831047786</c:v>
                </c:pt>
                <c:pt idx="42">
                  <c:v>2680.0008437928418</c:v>
                </c:pt>
                <c:pt idx="43">
                  <c:v>2679.7722655199441</c:v>
                </c:pt>
                <c:pt idx="44">
                  <c:v>2679.4800447239541</c:v>
                </c:pt>
                <c:pt idx="45">
                  <c:v>2679.0613485791851</c:v>
                </c:pt>
                <c:pt idx="46">
                  <c:v>2678.8524716885131</c:v>
                </c:pt>
                <c:pt idx="47">
                  <c:v>2678.5467573407996</c:v>
                </c:pt>
                <c:pt idx="48">
                  <c:v>2678.1346624951211</c:v>
                </c:pt>
                <c:pt idx="49">
                  <c:v>2677.8312038609492</c:v>
                </c:pt>
                <c:pt idx="50">
                  <c:v>2677.5913730272569</c:v>
                </c:pt>
                <c:pt idx="51">
                  <c:v>2677.4013084133485</c:v>
                </c:pt>
                <c:pt idx="52">
                  <c:v>2677.1088155150319</c:v>
                </c:pt>
                <c:pt idx="53">
                  <c:v>2676.6947597635431</c:v>
                </c:pt>
                <c:pt idx="54">
                  <c:v>2676.4990534043568</c:v>
                </c:pt>
                <c:pt idx="55">
                  <c:v>2676.2200621956567</c:v>
                </c:pt>
                <c:pt idx="56">
                  <c:v>2676.1391391812404</c:v>
                </c:pt>
                <c:pt idx="57">
                  <c:v>2675.8058348678301</c:v>
                </c:pt>
                <c:pt idx="58">
                  <c:v>2675.7021946279692</c:v>
                </c:pt>
                <c:pt idx="59">
                  <c:v>2675.4695261018783</c:v>
                </c:pt>
                <c:pt idx="60">
                  <c:v>2675.3009110978614</c:v>
                </c:pt>
                <c:pt idx="61">
                  <c:v>2675.1900720308854</c:v>
                </c:pt>
                <c:pt idx="62">
                  <c:v>2674.966604122772</c:v>
                </c:pt>
                <c:pt idx="63">
                  <c:v>2674.7319398843601</c:v>
                </c:pt>
                <c:pt idx="64">
                  <c:v>2674.723922285471</c:v>
                </c:pt>
                <c:pt idx="65">
                  <c:v>2674.5566383706246</c:v>
                </c:pt>
                <c:pt idx="66">
                  <c:v>2674.381298406674</c:v>
                </c:pt>
                <c:pt idx="67">
                  <c:v>2674.3335334564645</c:v>
                </c:pt>
                <c:pt idx="68">
                  <c:v>2674.1216025512749</c:v>
                </c:pt>
                <c:pt idx="69">
                  <c:v>2674.0286984605818</c:v>
                </c:pt>
                <c:pt idx="70">
                  <c:v>2673.8364151669812</c:v>
                </c:pt>
                <c:pt idx="71">
                  <c:v>2673.7029376385944</c:v>
                </c:pt>
                <c:pt idx="72">
                  <c:v>2673.5261534625206</c:v>
                </c:pt>
                <c:pt idx="73">
                  <c:v>2673.5228751299887</c:v>
                </c:pt>
                <c:pt idx="74">
                  <c:v>2673.2921080293481</c:v>
                </c:pt>
                <c:pt idx="75">
                  <c:v>2673.18796223142</c:v>
                </c:pt>
                <c:pt idx="76">
                  <c:v>2673.1305400369843</c:v>
                </c:pt>
                <c:pt idx="77">
                  <c:v>2672.9477639052798</c:v>
                </c:pt>
                <c:pt idx="78">
                  <c:v>2672.7315331589957</c:v>
                </c:pt>
                <c:pt idx="79">
                  <c:v>2672.6976301058958</c:v>
                </c:pt>
                <c:pt idx="80">
                  <c:v>2672.4754623052013</c:v>
                </c:pt>
                <c:pt idx="81">
                  <c:v>2672.2656801334788</c:v>
                </c:pt>
                <c:pt idx="82">
                  <c:v>2672.1155658418929</c:v>
                </c:pt>
                <c:pt idx="83">
                  <c:v>2671.9751728842639</c:v>
                </c:pt>
                <c:pt idx="84">
                  <c:v>2671.9092619653225</c:v>
                </c:pt>
                <c:pt idx="85">
                  <c:v>2671.6172551078062</c:v>
                </c:pt>
                <c:pt idx="86">
                  <c:v>2671.4755777744185</c:v>
                </c:pt>
                <c:pt idx="87">
                  <c:v>2671.3571868013596</c:v>
                </c:pt>
                <c:pt idx="88">
                  <c:v>2671.2248800209791</c:v>
                </c:pt>
                <c:pt idx="89">
                  <c:v>2670.8930621337031</c:v>
                </c:pt>
                <c:pt idx="90">
                  <c:v>2670.7843017787291</c:v>
                </c:pt>
                <c:pt idx="91">
                  <c:v>2670.7108751368901</c:v>
                </c:pt>
                <c:pt idx="92">
                  <c:v>2670.5085985921796</c:v>
                </c:pt>
                <c:pt idx="93">
                  <c:v>2670.2708582144087</c:v>
                </c:pt>
                <c:pt idx="94">
                  <c:v>2670.1536854385186</c:v>
                </c:pt>
                <c:pt idx="95">
                  <c:v>2670.1402141895642</c:v>
                </c:pt>
                <c:pt idx="96">
                  <c:v>2669.897439151252</c:v>
                </c:pt>
                <c:pt idx="97">
                  <c:v>2669.7518575562381</c:v>
                </c:pt>
                <c:pt idx="98">
                  <c:v>2669.6399802909527</c:v>
                </c:pt>
                <c:pt idx="99">
                  <c:v>2669.6775428195497</c:v>
                </c:pt>
                <c:pt idx="100">
                  <c:v>2669.5329806107666</c:v>
                </c:pt>
                <c:pt idx="101">
                  <c:v>2669.511245132921</c:v>
                </c:pt>
                <c:pt idx="102">
                  <c:v>2669.4295389835215</c:v>
                </c:pt>
                <c:pt idx="103">
                  <c:v>2669.3804992497408</c:v>
                </c:pt>
                <c:pt idx="104">
                  <c:v>2669.2987438838682</c:v>
                </c:pt>
                <c:pt idx="105">
                  <c:v>2669.218074935372</c:v>
                </c:pt>
                <c:pt idx="106">
                  <c:v>2669.21282651006</c:v>
                </c:pt>
                <c:pt idx="107">
                  <c:v>2669.1536621213982</c:v>
                </c:pt>
                <c:pt idx="108">
                  <c:v>2669.1872191485263</c:v>
                </c:pt>
                <c:pt idx="109">
                  <c:v>2669.1819695313975</c:v>
                </c:pt>
                <c:pt idx="110">
                  <c:v>2669.1403160796563</c:v>
                </c:pt>
                <c:pt idx="111">
                  <c:v>2669.150465091966</c:v>
                </c:pt>
                <c:pt idx="112">
                  <c:v>2669.1164451494619</c:v>
                </c:pt>
                <c:pt idx="113">
                  <c:v>2669.0711271464738</c:v>
                </c:pt>
                <c:pt idx="114">
                  <c:v>2669.0309999552733</c:v>
                </c:pt>
                <c:pt idx="115">
                  <c:v>2668.8889151109515</c:v>
                </c:pt>
                <c:pt idx="116">
                  <c:v>2668.8599671350553</c:v>
                </c:pt>
                <c:pt idx="117">
                  <c:v>2668.7572944221138</c:v>
                </c:pt>
                <c:pt idx="118">
                  <c:v>2668.6246227078218</c:v>
                </c:pt>
                <c:pt idx="119">
                  <c:v>2668.6746994182126</c:v>
                </c:pt>
                <c:pt idx="120">
                  <c:v>2668.5457719379128</c:v>
                </c:pt>
                <c:pt idx="121">
                  <c:v>2668.4228325014228</c:v>
                </c:pt>
                <c:pt idx="122">
                  <c:v>2668.2784457720195</c:v>
                </c:pt>
                <c:pt idx="123">
                  <c:v>2668.2171240293146</c:v>
                </c:pt>
                <c:pt idx="124">
                  <c:v>2668.1155856737228</c:v>
                </c:pt>
                <c:pt idx="125">
                  <c:v>2668.10404084736</c:v>
                </c:pt>
                <c:pt idx="126">
                  <c:v>2668.031622957878</c:v>
                </c:pt>
                <c:pt idx="127">
                  <c:v>2667.9465338834552</c:v>
                </c:pt>
                <c:pt idx="128">
                  <c:v>2668.0413136983166</c:v>
                </c:pt>
                <c:pt idx="129">
                  <c:v>2668.1123513393559</c:v>
                </c:pt>
                <c:pt idx="130">
                  <c:v>2668.0240443711618</c:v>
                </c:pt>
                <c:pt idx="131">
                  <c:v>2668.1188396643256</c:v>
                </c:pt>
                <c:pt idx="132">
                  <c:v>2668.3103378572691</c:v>
                </c:pt>
                <c:pt idx="133">
                  <c:v>2668.3499734017573</c:v>
                </c:pt>
                <c:pt idx="134">
                  <c:v>2668.4165060223545</c:v>
                </c:pt>
                <c:pt idx="135">
                  <c:v>2668.554777068895</c:v>
                </c:pt>
                <c:pt idx="136">
                  <c:v>2668.6191606348211</c:v>
                </c:pt>
                <c:pt idx="137">
                  <c:v>2668.9381304597596</c:v>
                </c:pt>
                <c:pt idx="138">
                  <c:v>2668.9155192174899</c:v>
                </c:pt>
                <c:pt idx="139">
                  <c:v>2669.0410756188267</c:v>
                </c:pt>
                <c:pt idx="140">
                  <c:v>2669.2914899172429</c:v>
                </c:pt>
                <c:pt idx="141">
                  <c:v>2669.2970622335815</c:v>
                </c:pt>
                <c:pt idx="142">
                  <c:v>2669.4129477465203</c:v>
                </c:pt>
                <c:pt idx="143">
                  <c:v>2669.607567389517</c:v>
                </c:pt>
                <c:pt idx="144">
                  <c:v>2669.5329747634537</c:v>
                </c:pt>
                <c:pt idx="145">
                  <c:v>2669.7418428985843</c:v>
                </c:pt>
                <c:pt idx="146">
                  <c:v>2669.6890589274435</c:v>
                </c:pt>
                <c:pt idx="147">
                  <c:v>2669.8633908840679</c:v>
                </c:pt>
                <c:pt idx="148">
                  <c:v>2669.8639965508737</c:v>
                </c:pt>
                <c:pt idx="149">
                  <c:v>2669.8958574019107</c:v>
                </c:pt>
                <c:pt idx="150">
                  <c:v>2669.8779533297052</c:v>
                </c:pt>
                <c:pt idx="151">
                  <c:v>2670.0160994406192</c:v>
                </c:pt>
                <c:pt idx="152">
                  <c:v>2669.9938584403485</c:v>
                </c:pt>
                <c:pt idx="153">
                  <c:v>2670.0537663398518</c:v>
                </c:pt>
                <c:pt idx="154">
                  <c:v>2670.2131483374369</c:v>
                </c:pt>
                <c:pt idx="155">
                  <c:v>2670.3303197350824</c:v>
                </c:pt>
                <c:pt idx="156">
                  <c:v>2670.444077775051</c:v>
                </c:pt>
                <c:pt idx="157">
                  <c:v>2670.5153353694513</c:v>
                </c:pt>
                <c:pt idx="158">
                  <c:v>2670.7374273408423</c:v>
                </c:pt>
                <c:pt idx="159">
                  <c:v>2670.7971033225708</c:v>
                </c:pt>
                <c:pt idx="160">
                  <c:v>2670.9787828596327</c:v>
                </c:pt>
                <c:pt idx="161">
                  <c:v>2671.2037863706319</c:v>
                </c:pt>
                <c:pt idx="162">
                  <c:v>2671.2172587037949</c:v>
                </c:pt>
                <c:pt idx="163">
                  <c:v>2671.3747102286848</c:v>
                </c:pt>
                <c:pt idx="164">
                  <c:v>2671.6078983056891</c:v>
                </c:pt>
                <c:pt idx="165">
                  <c:v>2671.7725952926621</c:v>
                </c:pt>
                <c:pt idx="166">
                  <c:v>2671.9036227962388</c:v>
                </c:pt>
                <c:pt idx="167">
                  <c:v>2672.186431982876</c:v>
                </c:pt>
                <c:pt idx="168">
                  <c:v>2672.2789126991943</c:v>
                </c:pt>
                <c:pt idx="169">
                  <c:v>2672.4226849537231</c:v>
                </c:pt>
                <c:pt idx="170">
                  <c:v>2672.7507541412438</c:v>
                </c:pt>
                <c:pt idx="171">
                  <c:v>2672.8797701745452</c:v>
                </c:pt>
                <c:pt idx="172">
                  <c:v>2673.023648727582</c:v>
                </c:pt>
                <c:pt idx="173">
                  <c:v>2673.2031514414361</c:v>
                </c:pt>
                <c:pt idx="174">
                  <c:v>2673.4865059902168</c:v>
                </c:pt>
                <c:pt idx="175">
                  <c:v>2673.8136935452526</c:v>
                </c:pt>
                <c:pt idx="176">
                  <c:v>2674.0089909749609</c:v>
                </c:pt>
                <c:pt idx="177">
                  <c:v>2674.1751651503191</c:v>
                </c:pt>
                <c:pt idx="178">
                  <c:v>2674.4235115684287</c:v>
                </c:pt>
                <c:pt idx="179">
                  <c:v>2674.8583207942811</c:v>
                </c:pt>
                <c:pt idx="180">
                  <c:v>2675.1047945408004</c:v>
                </c:pt>
                <c:pt idx="181">
                  <c:v>2675.2662006819191</c:v>
                </c:pt>
                <c:pt idx="182">
                  <c:v>2675.6070097095831</c:v>
                </c:pt>
                <c:pt idx="183">
                  <c:v>2675.7438987522555</c:v>
                </c:pt>
                <c:pt idx="184">
                  <c:v>2676.0368656583214</c:v>
                </c:pt>
                <c:pt idx="185">
                  <c:v>2676.2888769199035</c:v>
                </c:pt>
                <c:pt idx="186">
                  <c:v>2676.6090979579699</c:v>
                </c:pt>
                <c:pt idx="187">
                  <c:v>2676.7614368371142</c:v>
                </c:pt>
                <c:pt idx="188">
                  <c:v>2676.9678952459385</c:v>
                </c:pt>
                <c:pt idx="189">
                  <c:v>2677.1867210166747</c:v>
                </c:pt>
                <c:pt idx="190">
                  <c:v>2677.3815092232917</c:v>
                </c:pt>
                <c:pt idx="191">
                  <c:v>2677.619339587693</c:v>
                </c:pt>
                <c:pt idx="192">
                  <c:v>2677.8163809813632</c:v>
                </c:pt>
                <c:pt idx="193">
                  <c:v>2678.077818920377</c:v>
                </c:pt>
                <c:pt idx="194">
                  <c:v>2678.2572674085541</c:v>
                </c:pt>
                <c:pt idx="195">
                  <c:v>2678.5625068343511</c:v>
                </c:pt>
                <c:pt idx="196">
                  <c:v>2678.7296092144975</c:v>
                </c:pt>
                <c:pt idx="197">
                  <c:v>2678.9468219985015</c:v>
                </c:pt>
                <c:pt idx="198">
                  <c:v>2679.2351279428963</c:v>
                </c:pt>
                <c:pt idx="199">
                  <c:v>2679.5429217645637</c:v>
                </c:pt>
                <c:pt idx="200">
                  <c:v>2679.9105799026788</c:v>
                </c:pt>
                <c:pt idx="201">
                  <c:v>2680.2698805373798</c:v>
                </c:pt>
                <c:pt idx="202">
                  <c:v>2680.6154974151013</c:v>
                </c:pt>
                <c:pt idx="203">
                  <c:v>2681.0146298396603</c:v>
                </c:pt>
                <c:pt idx="204">
                  <c:v>2681.3581731791746</c:v>
                </c:pt>
                <c:pt idx="205">
                  <c:v>2681.7323374639054</c:v>
                </c:pt>
                <c:pt idx="206">
                  <c:v>2682.021911892592</c:v>
                </c:pt>
                <c:pt idx="207">
                  <c:v>2682.4022174144784</c:v>
                </c:pt>
                <c:pt idx="208">
                  <c:v>2682.7748799157594</c:v>
                </c:pt>
                <c:pt idx="209">
                  <c:v>2683.2285243627853</c:v>
                </c:pt>
                <c:pt idx="210">
                  <c:v>2683.5548091604642</c:v>
                </c:pt>
                <c:pt idx="211">
                  <c:v>2683.8975540425167</c:v>
                </c:pt>
                <c:pt idx="212">
                  <c:v>2684.2763942375609</c:v>
                </c:pt>
                <c:pt idx="213">
                  <c:v>2684.622731679297</c:v>
                </c:pt>
                <c:pt idx="214">
                  <c:v>2684.9589026777235</c:v>
                </c:pt>
                <c:pt idx="215">
                  <c:v>2685.3018573956542</c:v>
                </c:pt>
                <c:pt idx="216">
                  <c:v>2685.6517979163368</c:v>
                </c:pt>
                <c:pt idx="217">
                  <c:v>2686.0128380585302</c:v>
                </c:pt>
                <c:pt idx="218">
                  <c:v>2686.2620306147478</c:v>
                </c:pt>
                <c:pt idx="219">
                  <c:v>2686.6904699144197</c:v>
                </c:pt>
                <c:pt idx="220">
                  <c:v>2687.075837528585</c:v>
                </c:pt>
                <c:pt idx="221">
                  <c:v>2687.5172186847417</c:v>
                </c:pt>
                <c:pt idx="222">
                  <c:v>2687.7158781777048</c:v>
                </c:pt>
                <c:pt idx="223">
                  <c:v>2688.2272914906202</c:v>
                </c:pt>
                <c:pt idx="224">
                  <c:v>2688.5106820417809</c:v>
                </c:pt>
                <c:pt idx="225">
                  <c:v>2688.8996096964388</c:v>
                </c:pt>
                <c:pt idx="226">
                  <c:v>2689.4096505813941</c:v>
                </c:pt>
                <c:pt idx="227">
                  <c:v>2689.7775551001491</c:v>
                </c:pt>
                <c:pt idx="228">
                  <c:v>2690.180103448934</c:v>
                </c:pt>
                <c:pt idx="229">
                  <c:v>2690.4336269311352</c:v>
                </c:pt>
                <c:pt idx="230">
                  <c:v>2690.9276507302575</c:v>
                </c:pt>
                <c:pt idx="231">
                  <c:v>2691.3888413715872</c:v>
                </c:pt>
                <c:pt idx="232">
                  <c:v>2691.6986261121306</c:v>
                </c:pt>
                <c:pt idx="233">
                  <c:v>2692.1773075299916</c:v>
                </c:pt>
                <c:pt idx="234">
                  <c:v>2692.4732471371608</c:v>
                </c:pt>
                <c:pt idx="235">
                  <c:v>2692.8575699494995</c:v>
                </c:pt>
                <c:pt idx="236">
                  <c:v>2693.24758219057</c:v>
                </c:pt>
                <c:pt idx="237">
                  <c:v>2693.6906778520884</c:v>
                </c:pt>
                <c:pt idx="238">
                  <c:v>2694.0752882831848</c:v>
                </c:pt>
                <c:pt idx="239">
                  <c:v>2694.6263803403031</c:v>
                </c:pt>
                <c:pt idx="240">
                  <c:v>2694.9851144626914</c:v>
                </c:pt>
              </c:numCache>
            </c:numRef>
          </c:yVal>
          <c:smooth val="0"/>
          <c:extLst>
            <c:ext xmlns:c16="http://schemas.microsoft.com/office/drawing/2014/chart" uri="{C3380CC4-5D6E-409C-BE32-E72D297353CC}">
              <c16:uniqueId val="{00000000-B70A-4F8F-9566-61C963DB81C5}"/>
            </c:ext>
          </c:extLst>
        </c:ser>
        <c:ser>
          <c:idx val="1"/>
          <c:order val="1"/>
          <c:tx>
            <c:v>Paper low-altitude 35 km / 800 km pass</c:v>
          </c:tx>
          <c:spPr>
            <a:ln w="19050">
              <a:solidFill>
                <a:srgbClr val="F97316"/>
              </a:solidFill>
              <a:prstDash val="solid"/>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Native_Chart_Data!$D$1228:$D$1468</c:f>
              <c:numCache>
                <c:formatCode>General</c:formatCode>
                <c:ptCount val="241"/>
                <c:pt idx="0">
                  <c:v>2668.428145382044</c:v>
                </c:pt>
                <c:pt idx="1">
                  <c:v>2629.6394627152467</c:v>
                </c:pt>
                <c:pt idx="2">
                  <c:v>2585.9914136189823</c:v>
                </c:pt>
                <c:pt idx="3">
                  <c:v>2547.8333970113854</c:v>
                </c:pt>
                <c:pt idx="4">
                  <c:v>2510.4039491819062</c:v>
                </c:pt>
                <c:pt idx="5">
                  <c:v>2468.416414407845</c:v>
                </c:pt>
                <c:pt idx="6">
                  <c:v>2431.3222101605998</c:v>
                </c:pt>
                <c:pt idx="7">
                  <c:v>2394.3649511886424</c:v>
                </c:pt>
                <c:pt idx="8">
                  <c:v>2353.0603134471717</c:v>
                </c:pt>
                <c:pt idx="9">
                  <c:v>2316.8740711674895</c:v>
                </c:pt>
                <c:pt idx="10">
                  <c:v>2281.4213901659514</c:v>
                </c:pt>
                <c:pt idx="11">
                  <c:v>2241.5050146309113</c:v>
                </c:pt>
                <c:pt idx="12">
                  <c:v>2205.9282374305321</c:v>
                </c:pt>
                <c:pt idx="13">
                  <c:v>2170.5785179125855</c:v>
                </c:pt>
                <c:pt idx="14">
                  <c:v>2131.7740125261425</c:v>
                </c:pt>
                <c:pt idx="15">
                  <c:v>2097.9403231136475</c:v>
                </c:pt>
                <c:pt idx="16">
                  <c:v>2064.0528274628359</c:v>
                </c:pt>
                <c:pt idx="17">
                  <c:v>2025.882453771376</c:v>
                </c:pt>
                <c:pt idx="18">
                  <c:v>1992.3821270692181</c:v>
                </c:pt>
                <c:pt idx="19">
                  <c:v>1959.4786630524291</c:v>
                </c:pt>
                <c:pt idx="20">
                  <c:v>1922.830246360397</c:v>
                </c:pt>
                <c:pt idx="21">
                  <c:v>1890.6642418919669</c:v>
                </c:pt>
                <c:pt idx="22">
                  <c:v>1858.6153385407679</c:v>
                </c:pt>
                <c:pt idx="23">
                  <c:v>1822.7245436204166</c:v>
                </c:pt>
                <c:pt idx="24">
                  <c:v>1791.3103173149912</c:v>
                </c:pt>
                <c:pt idx="25">
                  <c:v>1760.4310673656025</c:v>
                </c:pt>
                <c:pt idx="26">
                  <c:v>1726.2341157164356</c:v>
                </c:pt>
                <c:pt idx="27">
                  <c:v>1695.8586735261722</c:v>
                </c:pt>
                <c:pt idx="28">
                  <c:v>1665.8212925006906</c:v>
                </c:pt>
                <c:pt idx="29">
                  <c:v>1632.376799481638</c:v>
                </c:pt>
                <c:pt idx="30">
                  <c:v>1602.8094295360397</c:v>
                </c:pt>
                <c:pt idx="31">
                  <c:v>1573.7599919685726</c:v>
                </c:pt>
                <c:pt idx="32">
                  <c:v>1541.9632012793968</c:v>
                </c:pt>
                <c:pt idx="33">
                  <c:v>1513.6531034623615</c:v>
                </c:pt>
                <c:pt idx="34">
                  <c:v>1485.0967429511381</c:v>
                </c:pt>
                <c:pt idx="35">
                  <c:v>1453.6204263071959</c:v>
                </c:pt>
                <c:pt idx="36">
                  <c:v>1426.4451757847878</c:v>
                </c:pt>
                <c:pt idx="37">
                  <c:v>1399.6223178847788</c:v>
                </c:pt>
                <c:pt idx="38">
                  <c:v>1369.53463092272</c:v>
                </c:pt>
                <c:pt idx="39">
                  <c:v>1342.8567868048142</c:v>
                </c:pt>
                <c:pt idx="40">
                  <c:v>1316.3812634102339</c:v>
                </c:pt>
                <c:pt idx="41">
                  <c:v>1287.3992463636328</c:v>
                </c:pt>
                <c:pt idx="42">
                  <c:v>1262.1922491504713</c:v>
                </c:pt>
                <c:pt idx="43">
                  <c:v>1237.2988669437987</c:v>
                </c:pt>
                <c:pt idx="44">
                  <c:v>1209.2757717257143</c:v>
                </c:pt>
                <c:pt idx="45">
                  <c:v>1184.3076782731637</c:v>
                </c:pt>
                <c:pt idx="46">
                  <c:v>1160.1745172754654</c:v>
                </c:pt>
                <c:pt idx="47">
                  <c:v>1133.8318204369273</c:v>
                </c:pt>
                <c:pt idx="48">
                  <c:v>1110.4114575267997</c:v>
                </c:pt>
                <c:pt idx="49">
                  <c:v>1086.8427303999092</c:v>
                </c:pt>
                <c:pt idx="50">
                  <c:v>1061.1254317167784</c:v>
                </c:pt>
                <c:pt idx="51">
                  <c:v>1038.5909879836215</c:v>
                </c:pt>
                <c:pt idx="52">
                  <c:v>1016.1344402669544</c:v>
                </c:pt>
                <c:pt idx="53">
                  <c:v>991.53332581625716</c:v>
                </c:pt>
                <c:pt idx="54">
                  <c:v>970.16851043660358</c:v>
                </c:pt>
                <c:pt idx="55">
                  <c:v>948.76083680906561</c:v>
                </c:pt>
                <c:pt idx="56">
                  <c:v>924.7601899779155</c:v>
                </c:pt>
                <c:pt idx="57">
                  <c:v>904.25330988211329</c:v>
                </c:pt>
                <c:pt idx="58">
                  <c:v>884.12039163790871</c:v>
                </c:pt>
                <c:pt idx="59">
                  <c:v>861.71394056116776</c:v>
                </c:pt>
                <c:pt idx="60">
                  <c:v>842.09103914771345</c:v>
                </c:pt>
                <c:pt idx="61">
                  <c:v>822.55207478089949</c:v>
                </c:pt>
                <c:pt idx="62">
                  <c:v>800.78844516792503</c:v>
                </c:pt>
                <c:pt idx="63">
                  <c:v>782.18275859500397</c:v>
                </c:pt>
                <c:pt idx="64">
                  <c:v>764.29975082137639</c:v>
                </c:pt>
                <c:pt idx="65">
                  <c:v>744.29967064682944</c:v>
                </c:pt>
                <c:pt idx="66">
                  <c:v>726.39027637027345</c:v>
                </c:pt>
                <c:pt idx="67">
                  <c:v>708.59652239732816</c:v>
                </c:pt>
                <c:pt idx="68">
                  <c:v>689.6044707976647</c:v>
                </c:pt>
                <c:pt idx="69">
                  <c:v>673.52943021065596</c:v>
                </c:pt>
                <c:pt idx="70">
                  <c:v>657.15792890890543</c:v>
                </c:pt>
                <c:pt idx="71">
                  <c:v>638.70335285133183</c:v>
                </c:pt>
                <c:pt idx="72">
                  <c:v>622.95581929458547</c:v>
                </c:pt>
                <c:pt idx="73">
                  <c:v>607.69841650728927</c:v>
                </c:pt>
                <c:pt idx="74">
                  <c:v>590.66197110767814</c:v>
                </c:pt>
                <c:pt idx="75">
                  <c:v>576.22258813122494</c:v>
                </c:pt>
                <c:pt idx="76">
                  <c:v>561.82224623232139</c:v>
                </c:pt>
                <c:pt idx="77">
                  <c:v>545.46838456100261</c:v>
                </c:pt>
                <c:pt idx="78">
                  <c:v>531.44205975631633</c:v>
                </c:pt>
                <c:pt idx="79">
                  <c:v>518.30702957057997</c:v>
                </c:pt>
                <c:pt idx="80">
                  <c:v>503.5300716509127</c:v>
                </c:pt>
                <c:pt idx="81">
                  <c:v>490.6119523498117</c:v>
                </c:pt>
                <c:pt idx="82">
                  <c:v>478.15408387641003</c:v>
                </c:pt>
                <c:pt idx="83">
                  <c:v>464.26488226134251</c:v>
                </c:pt>
                <c:pt idx="84">
                  <c:v>452.12513673633737</c:v>
                </c:pt>
                <c:pt idx="85">
                  <c:v>440.789520058493</c:v>
                </c:pt>
                <c:pt idx="86">
                  <c:v>428.42468286207787</c:v>
                </c:pt>
                <c:pt idx="87">
                  <c:v>417.67037608062077</c:v>
                </c:pt>
                <c:pt idx="88">
                  <c:v>406.74702738970677</c:v>
                </c:pt>
                <c:pt idx="89">
                  <c:v>395.08927018210937</c:v>
                </c:pt>
                <c:pt idx="90">
                  <c:v>385.36613803777971</c:v>
                </c:pt>
                <c:pt idx="91">
                  <c:v>376.13515915351996</c:v>
                </c:pt>
                <c:pt idx="92">
                  <c:v>365.6912781317871</c:v>
                </c:pt>
                <c:pt idx="93">
                  <c:v>356.4473590251373</c:v>
                </c:pt>
                <c:pt idx="94">
                  <c:v>347.79823047108033</c:v>
                </c:pt>
                <c:pt idx="95">
                  <c:v>338.4523662185664</c:v>
                </c:pt>
                <c:pt idx="96">
                  <c:v>330.81553538368979</c:v>
                </c:pt>
                <c:pt idx="97">
                  <c:v>323.37933770340271</c:v>
                </c:pt>
                <c:pt idx="98">
                  <c:v>314.94112454596194</c:v>
                </c:pt>
                <c:pt idx="99">
                  <c:v>307.48456938359294</c:v>
                </c:pt>
                <c:pt idx="100">
                  <c:v>300.77094466978451</c:v>
                </c:pt>
                <c:pt idx="101">
                  <c:v>294.23661277989663</c:v>
                </c:pt>
                <c:pt idx="102">
                  <c:v>288.26432799028123</c:v>
                </c:pt>
                <c:pt idx="103">
                  <c:v>282.22696445345809</c:v>
                </c:pt>
                <c:pt idx="104">
                  <c:v>276.28378915801528</c:v>
                </c:pt>
                <c:pt idx="105">
                  <c:v>271.34832444874655</c:v>
                </c:pt>
                <c:pt idx="106">
                  <c:v>266.44749315542441</c:v>
                </c:pt>
                <c:pt idx="107">
                  <c:v>261.83320614424036</c:v>
                </c:pt>
                <c:pt idx="108">
                  <c:v>258.05340113702442</c:v>
                </c:pt>
                <c:pt idx="109">
                  <c:v>254.26353690986213</c:v>
                </c:pt>
                <c:pt idx="110">
                  <c:v>250.22595087297077</c:v>
                </c:pt>
                <c:pt idx="111">
                  <c:v>247.30870990646252</c:v>
                </c:pt>
                <c:pt idx="112">
                  <c:v>244.89455924676798</c:v>
                </c:pt>
                <c:pt idx="113">
                  <c:v>242.50974664246002</c:v>
                </c:pt>
                <c:pt idx="114">
                  <c:v>240.55860819468157</c:v>
                </c:pt>
                <c:pt idx="115">
                  <c:v>238.60170190557463</c:v>
                </c:pt>
                <c:pt idx="116">
                  <c:v>236.54055700599343</c:v>
                </c:pt>
                <c:pt idx="117">
                  <c:v>235.34646846600202</c:v>
                </c:pt>
                <c:pt idx="118">
                  <c:v>234.64317423280781</c:v>
                </c:pt>
                <c:pt idx="119">
                  <c:v>234.10344532166638</c:v>
                </c:pt>
                <c:pt idx="120">
                  <c:v>233.52787699140268</c:v>
                </c:pt>
                <c:pt idx="121">
                  <c:v>233.03942030536456</c:v>
                </c:pt>
                <c:pt idx="122">
                  <c:v>233.69251190455986</c:v>
                </c:pt>
                <c:pt idx="123">
                  <c:v>235.07392198175725</c:v>
                </c:pt>
                <c:pt idx="124">
                  <c:v>236.07895498772078</c:v>
                </c:pt>
                <c:pt idx="125">
                  <c:v>237.32784196765127</c:v>
                </c:pt>
                <c:pt idx="126">
                  <c:v>239.08652386018932</c:v>
                </c:pt>
                <c:pt idx="127">
                  <c:v>241.24252251869183</c:v>
                </c:pt>
                <c:pt idx="128">
                  <c:v>243.91411166454145</c:v>
                </c:pt>
                <c:pt idx="129">
                  <c:v>247.11259334940169</c:v>
                </c:pt>
                <c:pt idx="130">
                  <c:v>250.26819786260651</c:v>
                </c:pt>
                <c:pt idx="131">
                  <c:v>253.68974248855739</c:v>
                </c:pt>
                <c:pt idx="132">
                  <c:v>257.40296582102707</c:v>
                </c:pt>
                <c:pt idx="133">
                  <c:v>261.65670987990978</c:v>
                </c:pt>
                <c:pt idx="134">
                  <c:v>266.87097786523987</c:v>
                </c:pt>
                <c:pt idx="135">
                  <c:v>271.48749960629391</c:v>
                </c:pt>
                <c:pt idx="136">
                  <c:v>276.56459491862398</c:v>
                </c:pt>
                <c:pt idx="137">
                  <c:v>282.45267503280394</c:v>
                </c:pt>
                <c:pt idx="138">
                  <c:v>288.06999454155164</c:v>
                </c:pt>
                <c:pt idx="139">
                  <c:v>294.08928666556795</c:v>
                </c:pt>
                <c:pt idx="140">
                  <c:v>301.65407174238152</c:v>
                </c:pt>
                <c:pt idx="141">
                  <c:v>308.3339924924266</c:v>
                </c:pt>
                <c:pt idx="142">
                  <c:v>314.94191553996393</c:v>
                </c:pt>
                <c:pt idx="143">
                  <c:v>322.83349393173665</c:v>
                </c:pt>
                <c:pt idx="144">
                  <c:v>330.57429212342959</c:v>
                </c:pt>
                <c:pt idx="145">
                  <c:v>339.00288066211834</c:v>
                </c:pt>
                <c:pt idx="146">
                  <c:v>348.18034109312947</c:v>
                </c:pt>
                <c:pt idx="147">
                  <c:v>356.58736359705688</c:v>
                </c:pt>
                <c:pt idx="148">
                  <c:v>365.32754339381029</c:v>
                </c:pt>
                <c:pt idx="149">
                  <c:v>375.71361777908754</c:v>
                </c:pt>
                <c:pt idx="150">
                  <c:v>385.56727460839971</c:v>
                </c:pt>
                <c:pt idx="151">
                  <c:v>395.86086394831472</c:v>
                </c:pt>
                <c:pt idx="152">
                  <c:v>407.20518284516277</c:v>
                </c:pt>
                <c:pt idx="153">
                  <c:v>417.17224369757116</c:v>
                </c:pt>
                <c:pt idx="154">
                  <c:v>428.17126030241781</c:v>
                </c:pt>
                <c:pt idx="155">
                  <c:v>441.15226021313657</c:v>
                </c:pt>
                <c:pt idx="156">
                  <c:v>452.70768115682705</c:v>
                </c:pt>
                <c:pt idx="157">
                  <c:v>464.34221044971468</c:v>
                </c:pt>
                <c:pt idx="158">
                  <c:v>477.97385498477803</c:v>
                </c:pt>
                <c:pt idx="159">
                  <c:v>490.48209351261062</c:v>
                </c:pt>
                <c:pt idx="160">
                  <c:v>503.19758645294786</c:v>
                </c:pt>
                <c:pt idx="161">
                  <c:v>518.04057996620304</c:v>
                </c:pt>
                <c:pt idx="162">
                  <c:v>531.60295221588262</c:v>
                </c:pt>
                <c:pt idx="163">
                  <c:v>545.28476038725898</c:v>
                </c:pt>
                <c:pt idx="164">
                  <c:v>560.98381466569595</c:v>
                </c:pt>
                <c:pt idx="165">
                  <c:v>575.25927171581282</c:v>
                </c:pt>
                <c:pt idx="166">
                  <c:v>590.28560766568205</c:v>
                </c:pt>
                <c:pt idx="167">
                  <c:v>607.50156153522198</c:v>
                </c:pt>
                <c:pt idx="168">
                  <c:v>622.9166520341081</c:v>
                </c:pt>
                <c:pt idx="169">
                  <c:v>638.41432921013279</c:v>
                </c:pt>
                <c:pt idx="170">
                  <c:v>656.4778874083446</c:v>
                </c:pt>
                <c:pt idx="171">
                  <c:v>672.95215824713694</c:v>
                </c:pt>
                <c:pt idx="172">
                  <c:v>689.90927027372959</c:v>
                </c:pt>
                <c:pt idx="173">
                  <c:v>709.4713880484527</c:v>
                </c:pt>
                <c:pt idx="174">
                  <c:v>726.61604893984861</c:v>
                </c:pt>
                <c:pt idx="175">
                  <c:v>743.92120409000484</c:v>
                </c:pt>
                <c:pt idx="176">
                  <c:v>764.47980667523132</c:v>
                </c:pt>
                <c:pt idx="177">
                  <c:v>783.32681314868614</c:v>
                </c:pt>
                <c:pt idx="178">
                  <c:v>801.84648320075621</c:v>
                </c:pt>
                <c:pt idx="179">
                  <c:v>822.96730769889598</c:v>
                </c:pt>
                <c:pt idx="180">
                  <c:v>842.2172398529525</c:v>
                </c:pt>
                <c:pt idx="181">
                  <c:v>861.79271477454358</c:v>
                </c:pt>
                <c:pt idx="182">
                  <c:v>884.34748750000233</c:v>
                </c:pt>
                <c:pt idx="183">
                  <c:v>904.89343483117568</c:v>
                </c:pt>
                <c:pt idx="184">
                  <c:v>925.29611336663845</c:v>
                </c:pt>
                <c:pt idx="185">
                  <c:v>948.54917388286458</c:v>
                </c:pt>
                <c:pt idx="186">
                  <c:v>969.72400279150156</c:v>
                </c:pt>
                <c:pt idx="187">
                  <c:v>991.30442967562442</c:v>
                </c:pt>
                <c:pt idx="188">
                  <c:v>1016.1752855742253</c:v>
                </c:pt>
                <c:pt idx="189">
                  <c:v>1038.4017236883185</c:v>
                </c:pt>
                <c:pt idx="190">
                  <c:v>1060.8081910527985</c:v>
                </c:pt>
                <c:pt idx="191">
                  <c:v>1086.4391980001599</c:v>
                </c:pt>
                <c:pt idx="192">
                  <c:v>1109.5134375416669</c:v>
                </c:pt>
                <c:pt idx="193">
                  <c:v>1133.2303407408722</c:v>
                </c:pt>
                <c:pt idx="194">
                  <c:v>1160.4424143897661</c:v>
                </c:pt>
                <c:pt idx="195">
                  <c:v>1184.7688552263792</c:v>
                </c:pt>
                <c:pt idx="196">
                  <c:v>1208.901125428142</c:v>
                </c:pt>
                <c:pt idx="197">
                  <c:v>1236.4423753811409</c:v>
                </c:pt>
                <c:pt idx="198">
                  <c:v>1261.9553443495984</c:v>
                </c:pt>
                <c:pt idx="199">
                  <c:v>1287.9071431225977</c:v>
                </c:pt>
                <c:pt idx="200">
                  <c:v>1316.748844131012</c:v>
                </c:pt>
                <c:pt idx="201">
                  <c:v>1342.781784912361</c:v>
                </c:pt>
                <c:pt idx="202">
                  <c:v>1369.0331480409086</c:v>
                </c:pt>
                <c:pt idx="203">
                  <c:v>1399.215260026979</c:v>
                </c:pt>
                <c:pt idx="204">
                  <c:v>1426.519680102296</c:v>
                </c:pt>
                <c:pt idx="205">
                  <c:v>1454.3031298706867</c:v>
                </c:pt>
                <c:pt idx="206">
                  <c:v>1485.195318540033</c:v>
                </c:pt>
                <c:pt idx="207">
                  <c:v>1512.9108568074798</c:v>
                </c:pt>
                <c:pt idx="208">
                  <c:v>1541.4540654481948</c:v>
                </c:pt>
                <c:pt idx="209">
                  <c:v>1574.1976338491966</c:v>
                </c:pt>
                <c:pt idx="210">
                  <c:v>1603.1443212159713</c:v>
                </c:pt>
                <c:pt idx="211">
                  <c:v>1632.5427234407928</c:v>
                </c:pt>
                <c:pt idx="212">
                  <c:v>1665.8157365634884</c:v>
                </c:pt>
                <c:pt idx="213">
                  <c:v>1695.9271546505779</c:v>
                </c:pt>
                <c:pt idx="214">
                  <c:v>1726.1480175819888</c:v>
                </c:pt>
                <c:pt idx="215">
                  <c:v>1760.8952378153272</c:v>
                </c:pt>
                <c:pt idx="216">
                  <c:v>1792.1092244281049</c:v>
                </c:pt>
                <c:pt idx="217">
                  <c:v>1823.4048538981949</c:v>
                </c:pt>
                <c:pt idx="218">
                  <c:v>1858.7218553094999</c:v>
                </c:pt>
                <c:pt idx="219">
                  <c:v>1890.6387614596908</c:v>
                </c:pt>
                <c:pt idx="220">
                  <c:v>1923.1125076645915</c:v>
                </c:pt>
                <c:pt idx="221">
                  <c:v>1960.0763885223253</c:v>
                </c:pt>
                <c:pt idx="222">
                  <c:v>1992.8224473858181</c:v>
                </c:pt>
                <c:pt idx="223">
                  <c:v>2025.9670355035455</c:v>
                </c:pt>
                <c:pt idx="224">
                  <c:v>2063.5225689138215</c:v>
                </c:pt>
                <c:pt idx="225">
                  <c:v>2097.3953409322794</c:v>
                </c:pt>
                <c:pt idx="226">
                  <c:v>2131.8969934042402</c:v>
                </c:pt>
                <c:pt idx="227">
                  <c:v>2170.9661833407722</c:v>
                </c:pt>
                <c:pt idx="228">
                  <c:v>2205.507336392368</c:v>
                </c:pt>
                <c:pt idx="229">
                  <c:v>2240.2514311454929</c:v>
                </c:pt>
                <c:pt idx="230">
                  <c:v>2280.4144483255877</c:v>
                </c:pt>
                <c:pt idx="231">
                  <c:v>2316.8487948622892</c:v>
                </c:pt>
                <c:pt idx="232">
                  <c:v>2352.98151407561</c:v>
                </c:pt>
                <c:pt idx="233">
                  <c:v>2393.9029324782355</c:v>
                </c:pt>
                <c:pt idx="234">
                  <c:v>2430.6174452908381</c:v>
                </c:pt>
                <c:pt idx="235">
                  <c:v>2467.7068528864479</c:v>
                </c:pt>
                <c:pt idx="236">
                  <c:v>2510.2037437880058</c:v>
                </c:pt>
                <c:pt idx="237">
                  <c:v>2548.3058851808387</c:v>
                </c:pt>
                <c:pt idx="238">
                  <c:v>2586.4616875610482</c:v>
                </c:pt>
                <c:pt idx="239">
                  <c:v>2629.5885025696607</c:v>
                </c:pt>
                <c:pt idx="240">
                  <c:v>2668.3506217177705</c:v>
                </c:pt>
              </c:numCache>
            </c:numRef>
          </c:yVal>
          <c:smooth val="0"/>
          <c:extLst>
            <c:ext xmlns:c16="http://schemas.microsoft.com/office/drawing/2014/chart" uri="{C3380CC4-5D6E-409C-BE32-E72D297353CC}">
              <c16:uniqueId val="{00000001-B70A-4F8F-9566-61C963DB81C5}"/>
            </c:ext>
          </c:extLst>
        </c:ser>
        <c:ser>
          <c:idx val="2"/>
          <c:order val="2"/>
          <c:tx>
            <c:v>Paper ice-ocean 35 km / 1600 km pass</c:v>
          </c:tx>
          <c:spPr>
            <a:ln w="19050">
              <a:solidFill>
                <a:srgbClr val="16A34A"/>
              </a:solidFill>
              <a:prstDash val="solid"/>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Native_Chart_Data!$F$1228:$F$1468</c:f>
              <c:numCache>
                <c:formatCode>General</c:formatCode>
                <c:ptCount val="241"/>
                <c:pt idx="0">
                  <c:v>6671.2479839550178</c:v>
                </c:pt>
                <c:pt idx="1">
                  <c:v>6568.698547910094</c:v>
                </c:pt>
                <c:pt idx="2">
                  <c:v>6453.9451764081532</c:v>
                </c:pt>
                <c:pt idx="3">
                  <c:v>6353.4611546852802</c:v>
                </c:pt>
                <c:pt idx="4">
                  <c:v>6253.0707671760938</c:v>
                </c:pt>
                <c:pt idx="5">
                  <c:v>6141.3739805987534</c:v>
                </c:pt>
                <c:pt idx="6">
                  <c:v>6043.3407753063475</c:v>
                </c:pt>
                <c:pt idx="7">
                  <c:v>5945.6334485608777</c:v>
                </c:pt>
                <c:pt idx="8">
                  <c:v>5837.1856328694821</c:v>
                </c:pt>
                <c:pt idx="9">
                  <c:v>5741.7295362966088</c:v>
                </c:pt>
                <c:pt idx="10">
                  <c:v>5646.7277866164695</c:v>
                </c:pt>
                <c:pt idx="11">
                  <c:v>5541.4542258106449</c:v>
                </c:pt>
                <c:pt idx="12">
                  <c:v>5448.2441741170287</c:v>
                </c:pt>
                <c:pt idx="13">
                  <c:v>5355.7535640556407</c:v>
                </c:pt>
                <c:pt idx="14">
                  <c:v>5253.1451203444094</c:v>
                </c:pt>
                <c:pt idx="15">
                  <c:v>5162.261744423181</c:v>
                </c:pt>
                <c:pt idx="16">
                  <c:v>5072.4876261423988</c:v>
                </c:pt>
                <c:pt idx="17">
                  <c:v>4972.6494839789893</c:v>
                </c:pt>
                <c:pt idx="18">
                  <c:v>4884.2685576372187</c:v>
                </c:pt>
                <c:pt idx="19">
                  <c:v>4797.5202527371293</c:v>
                </c:pt>
                <c:pt idx="20">
                  <c:v>4700.3891661272646</c:v>
                </c:pt>
                <c:pt idx="21">
                  <c:v>4614.8462996856424</c:v>
                </c:pt>
                <c:pt idx="22">
                  <c:v>4530.5093392336075</c:v>
                </c:pt>
                <c:pt idx="23">
                  <c:v>4436.0864161767022</c:v>
                </c:pt>
                <c:pt idx="24">
                  <c:v>4353.3618800404856</c:v>
                </c:pt>
                <c:pt idx="25">
                  <c:v>4271.5992312773296</c:v>
                </c:pt>
                <c:pt idx="26">
                  <c:v>4179.9352678498881</c:v>
                </c:pt>
                <c:pt idx="27">
                  <c:v>4099.9658977903973</c:v>
                </c:pt>
                <c:pt idx="28">
                  <c:v>4020.642850016849</c:v>
                </c:pt>
                <c:pt idx="29">
                  <c:v>3932.1224212477778</c:v>
                </c:pt>
                <c:pt idx="30">
                  <c:v>3854.8328075100399</c:v>
                </c:pt>
                <c:pt idx="31">
                  <c:v>3777.7390062611744</c:v>
                </c:pt>
                <c:pt idx="32">
                  <c:v>3692.4898473144344</c:v>
                </c:pt>
                <c:pt idx="33">
                  <c:v>3617.6794807622759</c:v>
                </c:pt>
                <c:pt idx="34">
                  <c:v>3542.9615560105917</c:v>
                </c:pt>
                <c:pt idx="35">
                  <c:v>3460.5582527761894</c:v>
                </c:pt>
                <c:pt idx="36">
                  <c:v>3387.9425003472197</c:v>
                </c:pt>
                <c:pt idx="37">
                  <c:v>3315.7545835019178</c:v>
                </c:pt>
                <c:pt idx="38">
                  <c:v>3236.4613821608532</c:v>
                </c:pt>
                <c:pt idx="39">
                  <c:v>3166.259400612073</c:v>
                </c:pt>
                <c:pt idx="40">
                  <c:v>3096.9092919272548</c:v>
                </c:pt>
                <c:pt idx="41">
                  <c:v>3020.7723219878835</c:v>
                </c:pt>
                <c:pt idx="42">
                  <c:v>2953.0454000908212</c:v>
                </c:pt>
                <c:pt idx="43">
                  <c:v>2886.8093182607818</c:v>
                </c:pt>
                <c:pt idx="44">
                  <c:v>2813.2125751554345</c:v>
                </c:pt>
                <c:pt idx="45">
                  <c:v>2747.9784005923898</c:v>
                </c:pt>
                <c:pt idx="46">
                  <c:v>2684.5299483671524</c:v>
                </c:pt>
                <c:pt idx="47">
                  <c:v>2613.1887828674335</c:v>
                </c:pt>
                <c:pt idx="48">
                  <c:v>2550.8882906400845</c:v>
                </c:pt>
                <c:pt idx="49">
                  <c:v>2489.7392629473461</c:v>
                </c:pt>
                <c:pt idx="50">
                  <c:v>2421.2039336802191</c:v>
                </c:pt>
                <c:pt idx="51">
                  <c:v>2361.7787973155059</c:v>
                </c:pt>
                <c:pt idx="52">
                  <c:v>2303.344286876124</c:v>
                </c:pt>
                <c:pt idx="53">
                  <c:v>2237.6242728070965</c:v>
                </c:pt>
                <c:pt idx="54">
                  <c:v>2180.8662292442368</c:v>
                </c:pt>
                <c:pt idx="55">
                  <c:v>2124.6961361378512</c:v>
                </c:pt>
                <c:pt idx="56">
                  <c:v>2061.9306805806214</c:v>
                </c:pt>
                <c:pt idx="57">
                  <c:v>2007.8337102011103</c:v>
                </c:pt>
                <c:pt idx="58">
                  <c:v>1953.8304542430778</c:v>
                </c:pt>
                <c:pt idx="59">
                  <c:v>1894.3114493737276</c:v>
                </c:pt>
                <c:pt idx="60">
                  <c:v>1842.8570097666177</c:v>
                </c:pt>
                <c:pt idx="61">
                  <c:v>1791.3583570829956</c:v>
                </c:pt>
                <c:pt idx="62">
                  <c:v>1735.3520404808066</c:v>
                </c:pt>
                <c:pt idx="63">
                  <c:v>1686.2442602676783</c:v>
                </c:pt>
                <c:pt idx="64">
                  <c:v>1637.3177434988168</c:v>
                </c:pt>
                <c:pt idx="65">
                  <c:v>1584.1474784934796</c:v>
                </c:pt>
                <c:pt idx="66">
                  <c:v>1537.2156175815205</c:v>
                </c:pt>
                <c:pt idx="67">
                  <c:v>1491.0140510931733</c:v>
                </c:pt>
                <c:pt idx="68">
                  <c:v>1440.7064420089457</c:v>
                </c:pt>
                <c:pt idx="69">
                  <c:v>1395.9069815926184</c:v>
                </c:pt>
                <c:pt idx="70">
                  <c:v>1352.5285718842533</c:v>
                </c:pt>
                <c:pt idx="71">
                  <c:v>1304.9764199784206</c:v>
                </c:pt>
                <c:pt idx="72">
                  <c:v>1262.9447905211184</c:v>
                </c:pt>
                <c:pt idx="73">
                  <c:v>1222.5976275941218</c:v>
                </c:pt>
                <c:pt idx="74">
                  <c:v>1177.5797561447957</c:v>
                </c:pt>
                <c:pt idx="75">
                  <c:v>1138.4256657523622</c:v>
                </c:pt>
                <c:pt idx="76">
                  <c:v>1100.589696399725</c:v>
                </c:pt>
                <c:pt idx="77">
                  <c:v>1058.3002345586074</c:v>
                </c:pt>
                <c:pt idx="78">
                  <c:v>1021.9153193332289</c:v>
                </c:pt>
                <c:pt idx="79">
                  <c:v>986.64556882876252</c:v>
                </c:pt>
                <c:pt idx="80">
                  <c:v>946.93028901938692</c:v>
                </c:pt>
                <c:pt idx="81">
                  <c:v>913.38844435295391</c:v>
                </c:pt>
                <c:pt idx="82">
                  <c:v>880.52295629152457</c:v>
                </c:pt>
                <c:pt idx="83">
                  <c:v>843.85241150892091</c:v>
                </c:pt>
                <c:pt idx="84">
                  <c:v>813.20584870524624</c:v>
                </c:pt>
                <c:pt idx="85">
                  <c:v>782.23831898070887</c:v>
                </c:pt>
                <c:pt idx="86">
                  <c:v>748.93086768833803</c:v>
                </c:pt>
                <c:pt idx="87">
                  <c:v>720.43324191293686</c:v>
                </c:pt>
                <c:pt idx="88">
                  <c:v>691.96705519544912</c:v>
                </c:pt>
                <c:pt idx="89">
                  <c:v>661.68999948461476</c:v>
                </c:pt>
                <c:pt idx="90">
                  <c:v>635.69825524385692</c:v>
                </c:pt>
                <c:pt idx="91">
                  <c:v>609.84988496189897</c:v>
                </c:pt>
                <c:pt idx="92">
                  <c:v>582.82512814340009</c:v>
                </c:pt>
                <c:pt idx="93">
                  <c:v>559.21212141093656</c:v>
                </c:pt>
                <c:pt idx="94">
                  <c:v>536.20036896901183</c:v>
                </c:pt>
                <c:pt idx="95">
                  <c:v>512.3169245672517</c:v>
                </c:pt>
                <c:pt idx="96">
                  <c:v>490.86443759611723</c:v>
                </c:pt>
                <c:pt idx="97">
                  <c:v>470.8262366207249</c:v>
                </c:pt>
                <c:pt idx="98">
                  <c:v>449.38514116972078</c:v>
                </c:pt>
                <c:pt idx="99">
                  <c:v>430.30959564342669</c:v>
                </c:pt>
                <c:pt idx="100">
                  <c:v>413.13501587361156</c:v>
                </c:pt>
                <c:pt idx="101">
                  <c:v>394.10574765913475</c:v>
                </c:pt>
                <c:pt idx="102">
                  <c:v>377.82373453094897</c:v>
                </c:pt>
                <c:pt idx="103">
                  <c:v>363.28651770825104</c:v>
                </c:pt>
                <c:pt idx="104">
                  <c:v>347.02160342794394</c:v>
                </c:pt>
                <c:pt idx="105">
                  <c:v>333.76794206181557</c:v>
                </c:pt>
                <c:pt idx="106">
                  <c:v>321.74541917953098</c:v>
                </c:pt>
                <c:pt idx="107">
                  <c:v>308.09338637329017</c:v>
                </c:pt>
                <c:pt idx="108">
                  <c:v>297.79268995907279</c:v>
                </c:pt>
                <c:pt idx="109">
                  <c:v>287.99444888229908</c:v>
                </c:pt>
                <c:pt idx="110">
                  <c:v>277.34427520472127</c:v>
                </c:pt>
                <c:pt idx="111">
                  <c:v>269.68897743893416</c:v>
                </c:pt>
                <c:pt idx="112">
                  <c:v>262.1373262830445</c:v>
                </c:pt>
                <c:pt idx="113">
                  <c:v>254.90519878903751</c:v>
                </c:pt>
                <c:pt idx="114">
                  <c:v>249.79768978087017</c:v>
                </c:pt>
                <c:pt idx="115">
                  <c:v>244.83703512320048</c:v>
                </c:pt>
                <c:pt idx="116">
                  <c:v>241.1070862491305</c:v>
                </c:pt>
                <c:pt idx="117">
                  <c:v>238.49468035564297</c:v>
                </c:pt>
                <c:pt idx="118">
                  <c:v>235.9173120128643</c:v>
                </c:pt>
                <c:pt idx="119">
                  <c:v>234.34957585937047</c:v>
                </c:pt>
                <c:pt idx="120">
                  <c:v>233.52787699140268</c:v>
                </c:pt>
                <c:pt idx="121">
                  <c:v>233.45037452297623</c:v>
                </c:pt>
                <c:pt idx="122">
                  <c:v>235.19841567119786</c:v>
                </c:pt>
                <c:pt idx="123">
                  <c:v>237.0225960137918</c:v>
                </c:pt>
                <c:pt idx="124">
                  <c:v>240.09565006494091</c:v>
                </c:pt>
                <c:pt idx="125">
                  <c:v>244.71146714319224</c:v>
                </c:pt>
                <c:pt idx="126">
                  <c:v>249.14725446361194</c:v>
                </c:pt>
                <c:pt idx="127">
                  <c:v>255.21873989523931</c:v>
                </c:pt>
                <c:pt idx="128">
                  <c:v>262.37433251239833</c:v>
                </c:pt>
                <c:pt idx="129">
                  <c:v>269.49464398527886</c:v>
                </c:pt>
                <c:pt idx="130">
                  <c:v>278.00342597194327</c:v>
                </c:pt>
                <c:pt idx="131">
                  <c:v>287.86798453674362</c:v>
                </c:pt>
                <c:pt idx="132">
                  <c:v>297.55144670801428</c:v>
                </c:pt>
                <c:pt idx="133">
                  <c:v>308.68111860671877</c:v>
                </c:pt>
                <c:pt idx="134">
                  <c:v>321.24889389520433</c:v>
                </c:pt>
                <c:pt idx="135">
                  <c:v>333.96907863243558</c:v>
                </c:pt>
                <c:pt idx="136">
                  <c:v>347.47422266834974</c:v>
                </c:pt>
                <c:pt idx="137">
                  <c:v>363.00118997829571</c:v>
                </c:pt>
                <c:pt idx="138">
                  <c:v>378.40627895976388</c:v>
                </c:pt>
                <c:pt idx="139">
                  <c:v>393.96041198478542</c:v>
                </c:pt>
                <c:pt idx="140">
                  <c:v>412.67306719892719</c:v>
                </c:pt>
                <c:pt idx="141">
                  <c:v>430.47048810299287</c:v>
                </c:pt>
                <c:pt idx="142">
                  <c:v>448.65774247510933</c:v>
                </c:pt>
                <c:pt idx="143">
                  <c:v>470.35834754862861</c:v>
                </c:pt>
                <c:pt idx="144">
                  <c:v>490.82527033564003</c:v>
                </c:pt>
                <c:pt idx="145">
                  <c:v>511.52104458926755</c:v>
                </c:pt>
                <c:pt idx="146">
                  <c:v>536.6856283700555</c:v>
                </c:pt>
                <c:pt idx="147">
                  <c:v>559.43789397154171</c:v>
                </c:pt>
                <c:pt idx="148">
                  <c:v>582.85498270378582</c:v>
                </c:pt>
                <c:pt idx="149">
                  <c:v>610.8989509460198</c:v>
                </c:pt>
                <c:pt idx="150">
                  <c:v>635.82445594909598</c:v>
                </c:pt>
                <c:pt idx="151">
                  <c:v>661.95151068738699</c:v>
                </c:pt>
                <c:pt idx="152">
                  <c:v>692.4932720409962</c:v>
                </c:pt>
                <c:pt idx="153">
                  <c:v>719.98873427612637</c:v>
                </c:pt>
                <c:pt idx="154">
                  <c:v>748.86127758557245</c:v>
                </c:pt>
                <c:pt idx="155">
                  <c:v>782.04327296375436</c:v>
                </c:pt>
                <c:pt idx="156">
                  <c:v>812.30782872011355</c:v>
                </c:pt>
                <c:pt idx="157">
                  <c:v>843.99023990953719</c:v>
                </c:pt>
                <c:pt idx="158">
                  <c:v>880.1287937053022</c:v>
                </c:pt>
                <c:pt idx="159">
                  <c:v>913.15153955208098</c:v>
                </c:pt>
                <c:pt idx="160">
                  <c:v>947.33527415572405</c:v>
                </c:pt>
                <c:pt idx="161">
                  <c:v>986.21098946721315</c:v>
                </c:pt>
                <c:pt idx="162">
                  <c:v>1021.9898236507371</c:v>
                </c:pt>
                <c:pt idx="163">
                  <c:v>1058.645815735003</c:v>
                </c:pt>
                <c:pt idx="164">
                  <c:v>1100.2228354690483</c:v>
                </c:pt>
                <c:pt idx="165">
                  <c:v>1138.7605574322938</c:v>
                </c:pt>
                <c:pt idx="166">
                  <c:v>1177.7366521085348</c:v>
                </c:pt>
                <c:pt idx="167">
                  <c:v>1222.6057281367232</c:v>
                </c:pt>
                <c:pt idx="168">
                  <c:v>1263.7436976342321</c:v>
                </c:pt>
                <c:pt idx="169">
                  <c:v>1304.993058303427</c:v>
                </c:pt>
                <c:pt idx="170">
                  <c:v>1352.9496387434049</c:v>
                </c:pt>
                <c:pt idx="171">
                  <c:v>1396.3473019036724</c:v>
                </c:pt>
                <c:pt idx="172">
                  <c:v>1440.15613079986</c:v>
                </c:pt>
                <c:pt idx="173">
                  <c:v>1491.0284044154114</c:v>
                </c:pt>
                <c:pt idx="174">
                  <c:v>1536.7947165438725</c:v>
                </c:pt>
                <c:pt idx="175">
                  <c:v>1583.2195430205654</c:v>
                </c:pt>
                <c:pt idx="176">
                  <c:v>1637.3411182670352</c:v>
                </c:pt>
                <c:pt idx="177">
                  <c:v>1685.5394953979162</c:v>
                </c:pt>
                <c:pt idx="178">
                  <c:v>1735.101566695354</c:v>
                </c:pt>
                <c:pt idx="179">
                  <c:v>1791.9512689962028</c:v>
                </c:pt>
                <c:pt idx="180">
                  <c:v>1842.779486102344</c:v>
                </c:pt>
                <c:pt idx="181">
                  <c:v>1894.9471352963021</c:v>
                </c:pt>
                <c:pt idx="182">
                  <c:v>1954.2554299760664</c:v>
                </c:pt>
                <c:pt idx="183">
                  <c:v>2007.7962312536522</c:v>
                </c:pt>
                <c:pt idx="184">
                  <c:v>2062.4558981393743</c:v>
                </c:pt>
                <c:pt idx="185">
                  <c:v>2124.4276204023909</c:v>
                </c:pt>
                <c:pt idx="186">
                  <c:v>2180.7142495266362</c:v>
                </c:pt>
                <c:pt idx="187">
                  <c:v>2237.9762205627935</c:v>
                </c:pt>
                <c:pt idx="188">
                  <c:v>2302.7493589619621</c:v>
                </c:pt>
                <c:pt idx="189">
                  <c:v>2361.943478253394</c:v>
                </c:pt>
                <c:pt idx="190">
                  <c:v>2421.619819894157</c:v>
                </c:pt>
                <c:pt idx="191">
                  <c:v>2489.3835360654489</c:v>
                </c:pt>
                <c:pt idx="192">
                  <c:v>2551.1472763301176</c:v>
                </c:pt>
                <c:pt idx="193">
                  <c:v>2612.9574942317927</c:v>
                </c:pt>
                <c:pt idx="194">
                  <c:v>2683.9185129860048</c:v>
                </c:pt>
                <c:pt idx="195">
                  <c:v>2748.1539582175906</c:v>
                </c:pt>
                <c:pt idx="196">
                  <c:v>2812.6430211949514</c:v>
                </c:pt>
                <c:pt idx="197">
                  <c:v>2886.7454611946159</c:v>
                </c:pt>
                <c:pt idx="198">
                  <c:v>2953.4833326943167</c:v>
                </c:pt>
                <c:pt idx="199">
                  <c:v>3020.5476721756841</c:v>
                </c:pt>
                <c:pt idx="200">
                  <c:v>3097.7527678159954</c:v>
                </c:pt>
                <c:pt idx="201">
                  <c:v>3166.7358346388191</c:v>
                </c:pt>
                <c:pt idx="202">
                  <c:v>3236.5059270244437</c:v>
                </c:pt>
                <c:pt idx="203">
                  <c:v>3316.5188117920811</c:v>
                </c:pt>
                <c:pt idx="204">
                  <c:v>3387.654474031865</c:v>
                </c:pt>
                <c:pt idx="205">
                  <c:v>3460.2015967853608</c:v>
                </c:pt>
                <c:pt idx="206">
                  <c:v>3542.8247059020114</c:v>
                </c:pt>
                <c:pt idx="207">
                  <c:v>3616.803052164903</c:v>
                </c:pt>
                <c:pt idx="208">
                  <c:v>3692.1830494024643</c:v>
                </c:pt>
                <c:pt idx="209">
                  <c:v>3777.6203108286313</c:v>
                </c:pt>
                <c:pt idx="210">
                  <c:v>3854.3093981437132</c:v>
                </c:pt>
                <c:pt idx="211">
                  <c:v>3932.4165893514773</c:v>
                </c:pt>
                <c:pt idx="212">
                  <c:v>4020.5820211383834</c:v>
                </c:pt>
                <c:pt idx="213">
                  <c:v>4100.0862314704727</c:v>
                </c:pt>
                <c:pt idx="214">
                  <c:v>4180.5724957116963</c:v>
                </c:pt>
                <c:pt idx="215">
                  <c:v>4271.2581348630956</c:v>
                </c:pt>
                <c:pt idx="216">
                  <c:v>4353.6239154244649</c:v>
                </c:pt>
                <c:pt idx="217">
                  <c:v>4436.5284317048536</c:v>
                </c:pt>
                <c:pt idx="218">
                  <c:v>4530.3282792832006</c:v>
                </c:pt>
                <c:pt idx="219">
                  <c:v>4615.4294066950188</c:v>
                </c:pt>
                <c:pt idx="220">
                  <c:v>4700.4031122124379</c:v>
                </c:pt>
                <c:pt idx="221">
                  <c:v>4797.5367354717901</c:v>
                </c:pt>
                <c:pt idx="222">
                  <c:v>4885.0168871785563</c:v>
                </c:pt>
                <c:pt idx="223">
                  <c:v>4972.4418683291915</c:v>
                </c:pt>
                <c:pt idx="224">
                  <c:v>5072.5799317173605</c:v>
                </c:pt>
                <c:pt idx="225">
                  <c:v>5162.2940643604143</c:v>
                </c:pt>
                <c:pt idx="226">
                  <c:v>5252.466158272302</c:v>
                </c:pt>
                <c:pt idx="227">
                  <c:v>5355.5487004070555</c:v>
                </c:pt>
                <c:pt idx="228">
                  <c:v>5447.708509483361</c:v>
                </c:pt>
                <c:pt idx="229">
                  <c:v>5540.6835798491593</c:v>
                </c:pt>
                <c:pt idx="230">
                  <c:v>5646.9615366363732</c:v>
                </c:pt>
                <c:pt idx="231">
                  <c:v>5741.5267452040116</c:v>
                </c:pt>
                <c:pt idx="232">
                  <c:v>5837.5354061440466</c:v>
                </c:pt>
                <c:pt idx="233">
                  <c:v>5946.3583069671922</c:v>
                </c:pt>
                <c:pt idx="234">
                  <c:v>6043.4383091821073</c:v>
                </c:pt>
                <c:pt idx="235">
                  <c:v>6142.1454666172249</c:v>
                </c:pt>
                <c:pt idx="236">
                  <c:v>6253.2838479641896</c:v>
                </c:pt>
                <c:pt idx="237">
                  <c:v>6353.0935741374824</c:v>
                </c:pt>
                <c:pt idx="238">
                  <c:v>6454.2131231685853</c:v>
                </c:pt>
                <c:pt idx="239">
                  <c:v>6568.2867749412108</c:v>
                </c:pt>
                <c:pt idx="240">
                  <c:v>6670.9703513931627</c:v>
                </c:pt>
              </c:numCache>
            </c:numRef>
          </c:yVal>
          <c:smooth val="0"/>
          <c:extLst>
            <c:ext xmlns:c16="http://schemas.microsoft.com/office/drawing/2014/chart" uri="{C3380CC4-5D6E-409C-BE32-E72D297353CC}">
              <c16:uniqueId val="{00000002-B70A-4F8F-9566-61C963DB81C5}"/>
            </c:ext>
          </c:extLst>
        </c:ser>
        <c:ser>
          <c:idx val="3"/>
          <c:order val="3"/>
          <c:tx>
            <c:v>Operating 25 km / 1600 km pass</c:v>
          </c:tx>
          <c:spPr>
            <a:ln w="19050">
              <a:solidFill>
                <a:srgbClr val="7C3AED"/>
              </a:solidFill>
              <a:prstDash val="solid"/>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Native_Chart_Data!$H$1228:$H$1468</c:f>
              <c:numCache>
                <c:formatCode>General</c:formatCode>
                <c:ptCount val="241"/>
                <c:pt idx="0">
                  <c:v>6671.2479839550178</c:v>
                </c:pt>
                <c:pt idx="1">
                  <c:v>6567.6354124258787</c:v>
                </c:pt>
                <c:pt idx="2">
                  <c:v>6451.6962205655063</c:v>
                </c:pt>
                <c:pt idx="3">
                  <c:v>6350.167209245199</c:v>
                </c:pt>
                <c:pt idx="4">
                  <c:v>6248.7403713794138</c:v>
                </c:pt>
                <c:pt idx="5">
                  <c:v>6135.8877852122096</c:v>
                </c:pt>
                <c:pt idx="6">
                  <c:v>6036.8362754499831</c:v>
                </c:pt>
                <c:pt idx="7">
                  <c:v>5938.11918347553</c:v>
                </c:pt>
                <c:pt idx="8">
                  <c:v>5828.5455889628411</c:v>
                </c:pt>
                <c:pt idx="9">
                  <c:v>5732.0978730477627</c:v>
                </c:pt>
                <c:pt idx="10">
                  <c:v>5636.1130432662549</c:v>
                </c:pt>
                <c:pt idx="11">
                  <c:v>5529.7437244077037</c:v>
                </c:pt>
                <c:pt idx="12">
                  <c:v>5435.568738499499</c:v>
                </c:pt>
                <c:pt idx="13">
                  <c:v>5342.1217334643588</c:v>
                </c:pt>
                <c:pt idx="14">
                  <c:v>5238.4475524689706</c:v>
                </c:pt>
                <c:pt idx="15">
                  <c:v>5146.6259274607673</c:v>
                </c:pt>
                <c:pt idx="16">
                  <c:v>5055.9220993338495</c:v>
                </c:pt>
                <c:pt idx="17">
                  <c:v>4955.0482406548499</c:v>
                </c:pt>
                <c:pt idx="18">
                  <c:v>4865.75575035372</c:v>
                </c:pt>
                <c:pt idx="19">
                  <c:v>4778.1044207351115</c:v>
                </c:pt>
                <c:pt idx="20">
                  <c:v>4679.9676383782244</c:v>
                </c:pt>
                <c:pt idx="21">
                  <c:v>4593.5398931048603</c:v>
                </c:pt>
                <c:pt idx="22">
                  <c:v>4508.3265930619218</c:v>
                </c:pt>
                <c:pt idx="23">
                  <c:v>4412.9279950265618</c:v>
                </c:pt>
                <c:pt idx="24">
                  <c:v>4329.345265186219</c:v>
                </c:pt>
                <c:pt idx="25">
                  <c:v>4246.732961959774</c:v>
                </c:pt>
                <c:pt idx="26">
                  <c:v>4154.1233443224446</c:v>
                </c:pt>
                <c:pt idx="27">
                  <c:v>4073.322465686445</c:v>
                </c:pt>
                <c:pt idx="28">
                  <c:v>3993.1764485772242</c:v>
                </c:pt>
                <c:pt idx="29">
                  <c:v>3903.7403863668333</c:v>
                </c:pt>
                <c:pt idx="30">
                  <c:v>3825.645949180202</c:v>
                </c:pt>
                <c:pt idx="31">
                  <c:v>3747.7558637232796</c:v>
                </c:pt>
                <c:pt idx="32">
                  <c:v>3661.6210921037882</c:v>
                </c:pt>
                <c:pt idx="33">
                  <c:v>3586.0325872303506</c:v>
                </c:pt>
                <c:pt idx="34">
                  <c:v>3510.5450633982268</c:v>
                </c:pt>
                <c:pt idx="35">
                  <c:v>3427.2861682596395</c:v>
                </c:pt>
                <c:pt idx="36">
                  <c:v>3353.9189626370085</c:v>
                </c:pt>
                <c:pt idx="37">
                  <c:v>3280.9881318388811</c:v>
                </c:pt>
                <c:pt idx="38">
                  <c:v>3200.8693593622015</c:v>
                </c:pt>
                <c:pt idx="39">
                  <c:v>3129.9426097473743</c:v>
                </c:pt>
                <c:pt idx="40">
                  <c:v>3059.8762722373463</c:v>
                </c:pt>
                <c:pt idx="41">
                  <c:v>2982.9437519309276</c:v>
                </c:pt>
                <c:pt idx="42">
                  <c:v>2914.5187470954347</c:v>
                </c:pt>
                <c:pt idx="43">
                  <c:v>2847.5931215678015</c:v>
                </c:pt>
                <c:pt idx="44">
                  <c:v>2773.2308488639746</c:v>
                </c:pt>
                <c:pt idx="45">
                  <c:v>2707.3252764901149</c:v>
                </c:pt>
                <c:pt idx="46">
                  <c:v>2643.2139656948998</c:v>
                </c:pt>
                <c:pt idx="47">
                  <c:v>2571.137291365269</c:v>
                </c:pt>
                <c:pt idx="48">
                  <c:v>2508.192086454721</c:v>
                </c:pt>
                <c:pt idx="49">
                  <c:v>2446.4068853196209</c:v>
                </c:pt>
                <c:pt idx="50">
                  <c:v>2377.1660679911497</c:v>
                </c:pt>
                <c:pt idx="51">
                  <c:v>2317.1229040708531</c:v>
                </c:pt>
                <c:pt idx="52">
                  <c:v>2258.0789053167259</c:v>
                </c:pt>
                <c:pt idx="53">
                  <c:v>2191.6834239549212</c:v>
                </c:pt>
                <c:pt idx="54">
                  <c:v>2134.3340379640949</c:v>
                </c:pt>
                <c:pt idx="55">
                  <c:v>2077.5811416705787</c:v>
                </c:pt>
                <c:pt idx="56">
                  <c:v>2014.1702395891407</c:v>
                </c:pt>
                <c:pt idx="57">
                  <c:v>1959.5086119092775</c:v>
                </c:pt>
                <c:pt idx="58">
                  <c:v>1904.9492378917314</c:v>
                </c:pt>
                <c:pt idx="59">
                  <c:v>1844.81480726674</c:v>
                </c:pt>
                <c:pt idx="60">
                  <c:v>1792.8223954868949</c:v>
                </c:pt>
                <c:pt idx="61">
                  <c:v>1740.7943098713745</c:v>
                </c:pt>
                <c:pt idx="62">
                  <c:v>1684.2025882821126</c:v>
                </c:pt>
                <c:pt idx="63">
                  <c:v>1634.5835210238645</c:v>
                </c:pt>
                <c:pt idx="64">
                  <c:v>1585.1542564507204</c:v>
                </c:pt>
                <c:pt idx="65">
                  <c:v>1531.4286072268783</c:v>
                </c:pt>
                <c:pt idx="66">
                  <c:v>1484.0121443974156</c:v>
                </c:pt>
                <c:pt idx="67">
                  <c:v>1437.3345152324011</c:v>
                </c:pt>
                <c:pt idx="68">
                  <c:v>1386.5015426982363</c:v>
                </c:pt>
                <c:pt idx="69">
                  <c:v>1341.2441654920215</c:v>
                </c:pt>
                <c:pt idx="70">
                  <c:v>1297.4163782346052</c:v>
                </c:pt>
                <c:pt idx="71">
                  <c:v>1249.3688836474032</c:v>
                </c:pt>
                <c:pt idx="72">
                  <c:v>1206.9060225278288</c:v>
                </c:pt>
                <c:pt idx="73">
                  <c:v>1166.1361671793973</c:v>
                </c:pt>
                <c:pt idx="74">
                  <c:v>1120.6529738172696</c:v>
                </c:pt>
                <c:pt idx="75">
                  <c:v>1081.0943368901799</c:v>
                </c:pt>
                <c:pt idx="76">
                  <c:v>1042.8623602437233</c:v>
                </c:pt>
                <c:pt idx="77">
                  <c:v>1000.1375972583725</c:v>
                </c:pt>
                <c:pt idx="78">
                  <c:v>963.37482062595336</c:v>
                </c:pt>
                <c:pt idx="79">
                  <c:v>927.73574795528327</c:v>
                </c:pt>
                <c:pt idx="80">
                  <c:v>887.61518777024196</c:v>
                </c:pt>
                <c:pt idx="81">
                  <c:v>853.72216682438443</c:v>
                </c:pt>
                <c:pt idx="82">
                  <c:v>820.51404172436776</c:v>
                </c:pt>
                <c:pt idx="83">
                  <c:v>783.46823733466601</c:v>
                </c:pt>
                <c:pt idx="84">
                  <c:v>752.49718337918262</c:v>
                </c:pt>
                <c:pt idx="85">
                  <c:v>721.2137017436736</c:v>
                </c:pt>
                <c:pt idx="86">
                  <c:v>687.56101161277263</c:v>
                </c:pt>
                <c:pt idx="87">
                  <c:v>658.76557981317865</c:v>
                </c:pt>
                <c:pt idx="88">
                  <c:v>630.01012631233505</c:v>
                </c:pt>
                <c:pt idx="89">
                  <c:v>599.4178525315383</c:v>
                </c:pt>
                <c:pt idx="90">
                  <c:v>573.15498739420343</c:v>
                </c:pt>
                <c:pt idx="91">
                  <c:v>547.04403545650553</c:v>
                </c:pt>
                <c:pt idx="92">
                  <c:v>519.73408133661223</c:v>
                </c:pt>
                <c:pt idx="93">
                  <c:v>495.87663883518746</c:v>
                </c:pt>
                <c:pt idx="94">
                  <c:v>472.62898986513858</c:v>
                </c:pt>
                <c:pt idx="95">
                  <c:v>448.49036893055194</c:v>
                </c:pt>
                <c:pt idx="96">
                  <c:v>426.82013131807196</c:v>
                </c:pt>
                <c:pt idx="97">
                  <c:v>406.57271894217143</c:v>
                </c:pt>
                <c:pt idx="98">
                  <c:v>384.90646772690855</c:v>
                </c:pt>
                <c:pt idx="99">
                  <c:v>365.63985668688503</c:v>
                </c:pt>
                <c:pt idx="100">
                  <c:v>348.28275064417738</c:v>
                </c:pt>
                <c:pt idx="101">
                  <c:v>329.0583474340097</c:v>
                </c:pt>
                <c:pt idx="102">
                  <c:v>312.61195391971023</c:v>
                </c:pt>
                <c:pt idx="103">
                  <c:v>297.91889595173575</c:v>
                </c:pt>
                <c:pt idx="104">
                  <c:v>281.48886744430553</c:v>
                </c:pt>
                <c:pt idx="105">
                  <c:v>268.09751081967937</c:v>
                </c:pt>
                <c:pt idx="106">
                  <c:v>255.9458319197341</c:v>
                </c:pt>
                <c:pt idx="107">
                  <c:v>242.15870565493802</c:v>
                </c:pt>
                <c:pt idx="108">
                  <c:v>231.74699910983864</c:v>
                </c:pt>
                <c:pt idx="109">
                  <c:v>221.84628714302016</c:v>
                </c:pt>
                <c:pt idx="110">
                  <c:v>211.09104077545487</c:v>
                </c:pt>
                <c:pt idx="111">
                  <c:v>203.35141800640167</c:v>
                </c:pt>
                <c:pt idx="112">
                  <c:v>195.72398108808298</c:v>
                </c:pt>
                <c:pt idx="113">
                  <c:v>188.41680167265642</c:v>
                </c:pt>
                <c:pt idx="114">
                  <c:v>183.25165278883884</c:v>
                </c:pt>
                <c:pt idx="115">
                  <c:v>178.24189749635596</c:v>
                </c:pt>
                <c:pt idx="116">
                  <c:v>174.46691746943421</c:v>
                </c:pt>
                <c:pt idx="117">
                  <c:v>171.82355682791237</c:v>
                </c:pt>
                <c:pt idx="118">
                  <c:v>169.22377297793633</c:v>
                </c:pt>
                <c:pt idx="119">
                  <c:v>167.64102644015861</c:v>
                </c:pt>
                <c:pt idx="120">
                  <c:v>166.81505795177227</c:v>
                </c:pt>
                <c:pt idx="121">
                  <c:v>166.74182510376431</c:v>
                </c:pt>
                <c:pt idx="122">
                  <c:v>168.50487663626993</c:v>
                </c:pt>
                <c:pt idx="123">
                  <c:v>170.3514724860612</c:v>
                </c:pt>
                <c:pt idx="124">
                  <c:v>173.45548128524464</c:v>
                </c:pt>
                <c:pt idx="125">
                  <c:v>178.11632951634772</c:v>
                </c:pt>
                <c:pt idx="126">
                  <c:v>182.60121747158061</c:v>
                </c:pt>
                <c:pt idx="127">
                  <c:v>188.73034277885816</c:v>
                </c:pt>
                <c:pt idx="128">
                  <c:v>195.9609873174368</c:v>
                </c:pt>
                <c:pt idx="129">
                  <c:v>203.15708455274637</c:v>
                </c:pt>
                <c:pt idx="130">
                  <c:v>211.7501915426769</c:v>
                </c:pt>
                <c:pt idx="131">
                  <c:v>221.71982279746464</c:v>
                </c:pt>
                <c:pt idx="132">
                  <c:v>231.50575585878019</c:v>
                </c:pt>
                <c:pt idx="133">
                  <c:v>242.74643788836661</c:v>
                </c:pt>
                <c:pt idx="134">
                  <c:v>255.44930663540742</c:v>
                </c:pt>
                <c:pt idx="135">
                  <c:v>268.29864739029938</c:v>
                </c:pt>
                <c:pt idx="136">
                  <c:v>281.94148668471132</c:v>
                </c:pt>
                <c:pt idx="137">
                  <c:v>297.63356822178037</c:v>
                </c:pt>
                <c:pt idx="138">
                  <c:v>313.19449834852514</c:v>
                </c:pt>
                <c:pt idx="139">
                  <c:v>328.91301175966038</c:v>
                </c:pt>
                <c:pt idx="140">
                  <c:v>347.82080196949306</c:v>
                </c:pt>
                <c:pt idx="141">
                  <c:v>365.80074914645121</c:v>
                </c:pt>
                <c:pt idx="142">
                  <c:v>384.17906903229709</c:v>
                </c:pt>
                <c:pt idx="143">
                  <c:v>406.10482987007515</c:v>
                </c:pt>
                <c:pt idx="144">
                  <c:v>426.78096405759464</c:v>
                </c:pt>
                <c:pt idx="145">
                  <c:v>447.69448895256767</c:v>
                </c:pt>
                <c:pt idx="146">
                  <c:v>473.11424926618224</c:v>
                </c:pt>
                <c:pt idx="147">
                  <c:v>496.10241139579267</c:v>
                </c:pt>
                <c:pt idx="148">
                  <c:v>519.76393589699796</c:v>
                </c:pt>
                <c:pt idx="149">
                  <c:v>548.09310144062636</c:v>
                </c:pt>
                <c:pt idx="150">
                  <c:v>573.28118809944237</c:v>
                </c:pt>
                <c:pt idx="151">
                  <c:v>599.67936373431053</c:v>
                </c:pt>
                <c:pt idx="152">
                  <c:v>630.53634315788202</c:v>
                </c:pt>
                <c:pt idx="153">
                  <c:v>658.32107217636792</c:v>
                </c:pt>
                <c:pt idx="154">
                  <c:v>687.49142151000706</c:v>
                </c:pt>
                <c:pt idx="155">
                  <c:v>721.0186557267192</c:v>
                </c:pt>
                <c:pt idx="156">
                  <c:v>751.59916339404981</c:v>
                </c:pt>
                <c:pt idx="157">
                  <c:v>783.6060657352823</c:v>
                </c:pt>
                <c:pt idx="158">
                  <c:v>820.11987913814539</c:v>
                </c:pt>
                <c:pt idx="159">
                  <c:v>853.48526202351161</c:v>
                </c:pt>
                <c:pt idx="160">
                  <c:v>888.02017290657932</c:v>
                </c:pt>
                <c:pt idx="161">
                  <c:v>927.30116859373413</c:v>
                </c:pt>
                <c:pt idx="162">
                  <c:v>963.44932494346153</c:v>
                </c:pt>
                <c:pt idx="163">
                  <c:v>1000.4831784347678</c:v>
                </c:pt>
                <c:pt idx="164">
                  <c:v>1042.4954993130464</c:v>
                </c:pt>
                <c:pt idx="165">
                  <c:v>1081.4292285701115</c:v>
                </c:pt>
                <c:pt idx="166">
                  <c:v>1120.809869781009</c:v>
                </c:pt>
                <c:pt idx="167">
                  <c:v>1166.1442677219984</c:v>
                </c:pt>
                <c:pt idx="168">
                  <c:v>1207.7049296409427</c:v>
                </c:pt>
                <c:pt idx="169">
                  <c:v>1249.3855219724098</c:v>
                </c:pt>
                <c:pt idx="170">
                  <c:v>1297.8374450937565</c:v>
                </c:pt>
                <c:pt idx="171">
                  <c:v>1341.6844858030752</c:v>
                </c:pt>
                <c:pt idx="172">
                  <c:v>1385.951231489151</c:v>
                </c:pt>
                <c:pt idx="173">
                  <c:v>1437.3488685546395</c:v>
                </c:pt>
                <c:pt idx="174">
                  <c:v>1483.5912433597673</c:v>
                </c:pt>
                <c:pt idx="175">
                  <c:v>1530.5006717539641</c:v>
                </c:pt>
                <c:pt idx="176">
                  <c:v>1585.1776312189386</c:v>
                </c:pt>
                <c:pt idx="177">
                  <c:v>1633.8787561541026</c:v>
                </c:pt>
                <c:pt idx="178">
                  <c:v>1683.9521144966598</c:v>
                </c:pt>
                <c:pt idx="179">
                  <c:v>1741.3872217845812</c:v>
                </c:pt>
                <c:pt idx="180">
                  <c:v>1792.7448718226212</c:v>
                </c:pt>
                <c:pt idx="181">
                  <c:v>1845.4504931893146</c:v>
                </c:pt>
                <c:pt idx="182">
                  <c:v>1905.3742136247199</c:v>
                </c:pt>
                <c:pt idx="183">
                  <c:v>1959.4711329618194</c:v>
                </c:pt>
                <c:pt idx="184">
                  <c:v>2014.6954571478936</c:v>
                </c:pt>
                <c:pt idx="185">
                  <c:v>2077.3126259351188</c:v>
                </c:pt>
                <c:pt idx="186">
                  <c:v>2134.1820582464943</c:v>
                </c:pt>
                <c:pt idx="187">
                  <c:v>2192.0353717106186</c:v>
                </c:pt>
                <c:pt idx="188">
                  <c:v>2257.4839774025636</c:v>
                </c:pt>
                <c:pt idx="189">
                  <c:v>2317.2875850087416</c:v>
                </c:pt>
                <c:pt idx="190">
                  <c:v>2377.5819542050881</c:v>
                </c:pt>
                <c:pt idx="191">
                  <c:v>2446.0511584377236</c:v>
                </c:pt>
                <c:pt idx="192">
                  <c:v>2508.4510721447541</c:v>
                </c:pt>
                <c:pt idx="193">
                  <c:v>2570.9060027296282</c:v>
                </c:pt>
                <c:pt idx="194">
                  <c:v>2642.6025303137526</c:v>
                </c:pt>
                <c:pt idx="195">
                  <c:v>2707.5008341153157</c:v>
                </c:pt>
                <c:pt idx="196">
                  <c:v>2772.6612949034916</c:v>
                </c:pt>
                <c:pt idx="197">
                  <c:v>2847.5292645016361</c:v>
                </c:pt>
                <c:pt idx="198">
                  <c:v>2914.9566796989302</c:v>
                </c:pt>
                <c:pt idx="199">
                  <c:v>2982.7191021187282</c:v>
                </c:pt>
                <c:pt idx="200">
                  <c:v>3060.7197481260864</c:v>
                </c:pt>
                <c:pt idx="201">
                  <c:v>3130.4190437741199</c:v>
                </c:pt>
                <c:pt idx="202">
                  <c:v>3200.9139042257916</c:v>
                </c:pt>
                <c:pt idx="203">
                  <c:v>3281.7523601290445</c:v>
                </c:pt>
                <c:pt idx="204">
                  <c:v>3353.6309363216533</c:v>
                </c:pt>
                <c:pt idx="205">
                  <c:v>3426.9295122688118</c:v>
                </c:pt>
                <c:pt idx="206">
                  <c:v>3510.4082132896465</c:v>
                </c:pt>
                <c:pt idx="207">
                  <c:v>3585.1561586329776</c:v>
                </c:pt>
                <c:pt idx="208">
                  <c:v>3661.3142941918177</c:v>
                </c:pt>
                <c:pt idx="209">
                  <c:v>3747.6371682907366</c:v>
                </c:pt>
                <c:pt idx="210">
                  <c:v>3825.1225398138749</c:v>
                </c:pt>
                <c:pt idx="211">
                  <c:v>3904.0345544705324</c:v>
                </c:pt>
                <c:pt idx="212">
                  <c:v>3993.1156196987595</c:v>
                </c:pt>
                <c:pt idx="213">
                  <c:v>4073.4427993665199</c:v>
                </c:pt>
                <c:pt idx="214">
                  <c:v>4154.7605721842538</c:v>
                </c:pt>
                <c:pt idx="215">
                  <c:v>4246.39186554554</c:v>
                </c:pt>
                <c:pt idx="216">
                  <c:v>4329.6073005701974</c:v>
                </c:pt>
                <c:pt idx="217">
                  <c:v>4413.3700105547132</c:v>
                </c:pt>
                <c:pt idx="218">
                  <c:v>4508.1455331115139</c:v>
                </c:pt>
                <c:pt idx="219">
                  <c:v>4594.1230001142367</c:v>
                </c:pt>
                <c:pt idx="220">
                  <c:v>4679.9815844633977</c:v>
                </c:pt>
                <c:pt idx="221">
                  <c:v>4778.1209034697722</c:v>
                </c:pt>
                <c:pt idx="222">
                  <c:v>4866.5040798950586</c:v>
                </c:pt>
                <c:pt idx="223">
                  <c:v>4954.8406250050512</c:v>
                </c:pt>
                <c:pt idx="224">
                  <c:v>5056.0144049088103</c:v>
                </c:pt>
                <c:pt idx="225">
                  <c:v>5146.6582473980006</c:v>
                </c:pt>
                <c:pt idx="226">
                  <c:v>5237.7685903968631</c:v>
                </c:pt>
                <c:pt idx="227">
                  <c:v>5341.9168698157728</c:v>
                </c:pt>
                <c:pt idx="228">
                  <c:v>5435.0330738658304</c:v>
                </c:pt>
                <c:pt idx="229">
                  <c:v>5528.973078446219</c:v>
                </c:pt>
                <c:pt idx="230">
                  <c:v>5636.3467932861586</c:v>
                </c:pt>
                <c:pt idx="231">
                  <c:v>5731.8950819551656</c:v>
                </c:pt>
                <c:pt idx="232">
                  <c:v>5828.8953622374065</c:v>
                </c:pt>
                <c:pt idx="233">
                  <c:v>5938.8440418818445</c:v>
                </c:pt>
                <c:pt idx="234">
                  <c:v>6036.9338093257429</c:v>
                </c:pt>
                <c:pt idx="235">
                  <c:v>6136.659271230682</c:v>
                </c:pt>
                <c:pt idx="236">
                  <c:v>6248.9534521675077</c:v>
                </c:pt>
                <c:pt idx="237">
                  <c:v>6349.7996286974003</c:v>
                </c:pt>
                <c:pt idx="238">
                  <c:v>6451.9641673259403</c:v>
                </c:pt>
                <c:pt idx="239">
                  <c:v>6567.2236394569945</c:v>
                </c:pt>
                <c:pt idx="240">
                  <c:v>6670.9703513931627</c:v>
                </c:pt>
              </c:numCache>
            </c:numRef>
          </c:yVal>
          <c:smooth val="0"/>
          <c:extLst>
            <c:ext xmlns:c16="http://schemas.microsoft.com/office/drawing/2014/chart" uri="{C3380CC4-5D6E-409C-BE32-E72D297353CC}">
              <c16:uniqueId val="{00000003-B70A-4F8F-9566-61C963DB81C5}"/>
            </c:ext>
          </c:extLst>
        </c:ser>
        <c:dLbls>
          <c:showLegendKey val="0"/>
          <c:showVal val="0"/>
          <c:showCatName val="0"/>
          <c:showSerName val="0"/>
          <c:showPercent val="0"/>
          <c:showBubbleSize val="0"/>
        </c:dLbls>
        <c:axId val="700012"/>
        <c:axId val="700013"/>
      </c:scatterChart>
      <c:valAx>
        <c:axId val="700012"/>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3"/>
        <c:crosses val="min"/>
        <c:crossBetween val="midCat"/>
        <c:majorUnit val="500"/>
      </c:valAx>
      <c:valAx>
        <c:axId val="700013"/>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2"/>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Native_Chart_Data!$A$1473:$A$1713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Native_Chart_Data!$B$1473:$B$1713</c:f>
              <c:numCache>
                <c:formatCode>General</c:formatCode>
                <c:ptCount val="241"/>
                <c:pt idx="0">
                  <c:v>2738.7528797589603</c:v>
                </c:pt>
                <c:pt idx="1">
                  <c:v>2737.7462241092339</c:v>
                </c:pt>
                <c:pt idx="2">
                  <c:v>2736.6230846331491</c:v>
                </c:pt>
                <c:pt idx="3">
                  <c:v>2735.6330546630293</c:v>
                </c:pt>
                <c:pt idx="4">
                  <c:v>2734.6508580754062</c:v>
                </c:pt>
                <c:pt idx="5">
                  <c:v>2733.5552577832691</c:v>
                </c:pt>
                <c:pt idx="6">
                  <c:v>2732.5897271659751</c:v>
                </c:pt>
                <c:pt idx="7">
                  <c:v>2731.6320487010912</c:v>
                </c:pt>
                <c:pt idx="8">
                  <c:v>2730.5640535799016</c:v>
                </c:pt>
                <c:pt idx="9">
                  <c:v>2729.6230805624396</c:v>
                </c:pt>
                <c:pt idx="10">
                  <c:v>2728.6899780807412</c:v>
                </c:pt>
                <c:pt idx="11">
                  <c:v>2727.6496527585241</c:v>
                </c:pt>
                <c:pt idx="12">
                  <c:v>2726.7332943721008</c:v>
                </c:pt>
                <c:pt idx="13">
                  <c:v>2725.8248245109639</c:v>
                </c:pt>
                <c:pt idx="14">
                  <c:v>2724.8122322311165</c:v>
                </c:pt>
                <c:pt idx="15">
                  <c:v>2723.920544268542</c:v>
                </c:pt>
                <c:pt idx="16">
                  <c:v>2723.0367624197406</c:v>
                </c:pt>
                <c:pt idx="17">
                  <c:v>2722.0519650158485</c:v>
                </c:pt>
                <c:pt idx="18">
                  <c:v>2721.1850020092143</c:v>
                </c:pt>
                <c:pt idx="19">
                  <c:v>2720.3259622967576</c:v>
                </c:pt>
                <c:pt idx="20">
                  <c:v>2719.3690201677696</c:v>
                </c:pt>
                <c:pt idx="21">
                  <c:v>2718.5268353664997</c:v>
                </c:pt>
                <c:pt idx="22">
                  <c:v>2717.6925906248262</c:v>
                </c:pt>
                <c:pt idx="23">
                  <c:v>2716.7635627106388</c:v>
                </c:pt>
                <c:pt idx="24">
                  <c:v>2715.9462080599938</c:v>
                </c:pt>
                <c:pt idx="25">
                  <c:v>2715.1368098124726</c:v>
                </c:pt>
                <c:pt idx="26">
                  <c:v>2714.235753570058</c:v>
                </c:pt>
                <c:pt idx="27">
                  <c:v>2713.4432796899005</c:v>
                </c:pt>
                <c:pt idx="28">
                  <c:v>2712.6587781279418</c:v>
                </c:pt>
                <c:pt idx="29">
                  <c:v>2711.7857495077187</c:v>
                </c:pt>
                <c:pt idx="30">
                  <c:v>2711.0182056718681</c:v>
                </c:pt>
                <c:pt idx="31">
                  <c:v>2710.2586496341951</c:v>
                </c:pt>
                <c:pt idx="32">
                  <c:v>2709.4137030571701</c:v>
                </c:pt>
                <c:pt idx="33">
                  <c:v>2708.6711371730257</c:v>
                </c:pt>
                <c:pt idx="34">
                  <c:v>2707.9365741255974</c:v>
                </c:pt>
                <c:pt idx="35">
                  <c:v>2707.1197624607562</c:v>
                </c:pt>
                <c:pt idx="36">
                  <c:v>2706.4022210494791</c:v>
                </c:pt>
                <c:pt idx="37">
                  <c:v>2705.6926970657478</c:v>
                </c:pt>
                <c:pt idx="38">
                  <c:v>2704.9040716081277</c:v>
                </c:pt>
                <c:pt idx="39">
                  <c:v>2704.2115997852675</c:v>
                </c:pt>
                <c:pt idx="40">
                  <c:v>2703.527159526966</c:v>
                </c:pt>
                <c:pt idx="41">
                  <c:v>2702.7667699761951</c:v>
                </c:pt>
                <c:pt idx="42">
                  <c:v>2702.0994114328023</c:v>
                </c:pt>
                <c:pt idx="43">
                  <c:v>2701.4400981312092</c:v>
                </c:pt>
                <c:pt idx="44">
                  <c:v>2700.7079925706203</c:v>
                </c:pt>
                <c:pt idx="45">
                  <c:v>2700.0657895548352</c:v>
                </c:pt>
                <c:pt idx="46">
                  <c:v>2699.43164499259</c:v>
                </c:pt>
                <c:pt idx="47">
                  <c:v>2698.7278698689106</c:v>
                </c:pt>
                <c:pt idx="48">
                  <c:v>2698.1108631681168</c:v>
                </c:pt>
                <c:pt idx="49">
                  <c:v>2697.5019276614603</c:v>
                </c:pt>
                <c:pt idx="50">
                  <c:v>2696.8265277651735</c:v>
                </c:pt>
                <c:pt idx="51">
                  <c:v>2696.2347566886478</c:v>
                </c:pt>
                <c:pt idx="52">
                  <c:v>2695.6510690703108</c:v>
                </c:pt>
                <c:pt idx="53">
                  <c:v>2695.0040875164605</c:v>
                </c:pt>
                <c:pt idx="54">
                  <c:v>2694.4375898786375</c:v>
                </c:pt>
                <c:pt idx="55">
                  <c:v>2693.8791874812646</c:v>
                </c:pt>
                <c:pt idx="56">
                  <c:v>2693.2606656910839</c:v>
                </c:pt>
                <c:pt idx="57">
                  <c:v>2692.7194777953123</c:v>
                </c:pt>
                <c:pt idx="58">
                  <c:v>2692.1863964353583</c:v>
                </c:pt>
                <c:pt idx="59">
                  <c:v>2691.5963741184592</c:v>
                </c:pt>
                <c:pt idx="60">
                  <c:v>2691.0805307414003</c:v>
                </c:pt>
                <c:pt idx="61">
                  <c:v>2690.5728047037751</c:v>
                </c:pt>
                <c:pt idx="62">
                  <c:v>2690.0113198410036</c:v>
                </c:pt>
                <c:pt idx="63">
                  <c:v>2689.520854217586</c:v>
                </c:pt>
                <c:pt idx="64">
                  <c:v>2689.038516240782</c:v>
                </c:pt>
                <c:pt idx="65">
                  <c:v>2688.505605067754</c:v>
                </c:pt>
                <c:pt idx="66">
                  <c:v>2688.0405488767533</c:v>
                </c:pt>
                <c:pt idx="67">
                  <c:v>2687.5836301386457</c:v>
                </c:pt>
                <c:pt idx="68">
                  <c:v>2687.0793271300054</c:v>
                </c:pt>
                <c:pt idx="69">
                  <c:v>2686.6397104802963</c:v>
                </c:pt>
                <c:pt idx="70">
                  <c:v>2686.2082405845767</c:v>
                </c:pt>
                <c:pt idx="71">
                  <c:v>2685.7325784389564</c:v>
                </c:pt>
                <c:pt idx="72">
                  <c:v>2685.318429856306</c:v>
                </c:pt>
                <c:pt idx="73">
                  <c:v>2684.9124368195003</c:v>
                </c:pt>
                <c:pt idx="74">
                  <c:v>2684.4654464452342</c:v>
                </c:pt>
                <c:pt idx="75">
                  <c:v>2684.0767928598584</c:v>
                </c:pt>
                <c:pt idx="76">
                  <c:v>2683.6963030990701</c:v>
                </c:pt>
                <c:pt idx="77">
                  <c:v>2683.2780136005345</c:v>
                </c:pt>
                <c:pt idx="78">
                  <c:v>2682.9148803352541</c:v>
                </c:pt>
                <c:pt idx="79">
                  <c:v>2682.5599186564959</c:v>
                </c:pt>
                <c:pt idx="80">
                  <c:v>2682.1703573214322</c:v>
                </c:pt>
                <c:pt idx="81">
                  <c:v>2681.8327680804646</c:v>
                </c:pt>
                <c:pt idx="82">
                  <c:v>2681.5033576678143</c:v>
                </c:pt>
                <c:pt idx="83">
                  <c:v>2681.1425499551765</c:v>
                </c:pt>
                <c:pt idx="84">
                  <c:v>2680.8305268137187</c:v>
                </c:pt>
                <c:pt idx="85">
                  <c:v>2680.526689218967</c:v>
                </c:pt>
                <c:pt idx="86">
                  <c:v>2680.1946587476814</c:v>
                </c:pt>
                <c:pt idx="87">
                  <c:v>2679.9082221420913</c:v>
                </c:pt>
                <c:pt idx="88">
                  <c:v>2679.6299772752322</c:v>
                </c:pt>
                <c:pt idx="89">
                  <c:v>2679.3267458137466</c:v>
                </c:pt>
                <c:pt idx="90">
                  <c:v>2679.0659145324939</c:v>
                </c:pt>
                <c:pt idx="91">
                  <c:v>2678.8132806528729</c:v>
                </c:pt>
                <c:pt idx="92">
                  <c:v>2678.53886810944</c:v>
                </c:pt>
                <c:pt idx="93">
                  <c:v>2678.3036592847507</c:v>
                </c:pt>
                <c:pt idx="94">
                  <c:v>2678.0766529929315</c:v>
                </c:pt>
                <c:pt idx="95">
                  <c:v>2677.8310774067595</c:v>
                </c:pt>
                <c:pt idx="96">
                  <c:v>2677.6215065069619</c:v>
                </c:pt>
                <c:pt idx="97">
                  <c:v>2677.4201427373237</c:v>
                </c:pt>
                <c:pt idx="98">
                  <c:v>2677.2034202705154</c:v>
                </c:pt>
                <c:pt idx="99">
                  <c:v>2677.019501093122</c:v>
                </c:pt>
                <c:pt idx="100">
                  <c:v>2676.843793107199</c:v>
                </c:pt>
                <c:pt idx="101">
                  <c:v>2676.6559380375311</c:v>
                </c:pt>
                <c:pt idx="102">
                  <c:v>2676.4976827030932</c:v>
                </c:pt>
                <c:pt idx="103">
                  <c:v>2676.3476420836173</c:v>
                </c:pt>
                <c:pt idx="104">
                  <c:v>2676.1886667981512</c:v>
                </c:pt>
                <c:pt idx="105">
                  <c:v>2676.0560857448104</c:v>
                </c:pt>
                <c:pt idx="106">
                  <c:v>2675.93172239053</c:v>
                </c:pt>
                <c:pt idx="107">
                  <c:v>2675.801637380072</c:v>
                </c:pt>
                <c:pt idx="108">
                  <c:v>2675.6947393589066</c:v>
                </c:pt>
                <c:pt idx="109">
                  <c:v>2675.5960614801529</c:v>
                </c:pt>
                <c:pt idx="110">
                  <c:v>2675.4948753344852</c:v>
                </c:pt>
                <c:pt idx="111">
                  <c:v>2675.4136674055262</c:v>
                </c:pt>
                <c:pt idx="112">
                  <c:v>2675.3406815205371</c:v>
                </c:pt>
                <c:pt idx="113">
                  <c:v>2675.2684009246454</c:v>
                </c:pt>
                <c:pt idx="114">
                  <c:v>2675.2128884537788</c:v>
                </c:pt>
                <c:pt idx="115">
                  <c:v>2675.1655993857221</c:v>
                </c:pt>
                <c:pt idx="116">
                  <c:v>2675.1222291167342</c:v>
                </c:pt>
                <c:pt idx="117">
                  <c:v>2675.0924157732229</c:v>
                </c:pt>
                <c:pt idx="118">
                  <c:v>2675.0708266480583</c:v>
                </c:pt>
                <c:pt idx="119">
                  <c:v>2675.0563695731153</c:v>
                </c:pt>
                <c:pt idx="120">
                  <c:v>2675.0522573279914</c:v>
                </c:pt>
                <c:pt idx="121">
                  <c:v>2675.0563695731153</c:v>
                </c:pt>
                <c:pt idx="122">
                  <c:v>2675.0708266480583</c:v>
                </c:pt>
                <c:pt idx="123">
                  <c:v>2675.0924157732229</c:v>
                </c:pt>
                <c:pt idx="124">
                  <c:v>2675.1222291167342</c:v>
                </c:pt>
                <c:pt idx="125">
                  <c:v>2675.1655993857221</c:v>
                </c:pt>
                <c:pt idx="126">
                  <c:v>2675.2128884537788</c:v>
                </c:pt>
                <c:pt idx="127">
                  <c:v>2675.2684009246454</c:v>
                </c:pt>
                <c:pt idx="128">
                  <c:v>2675.3406815205371</c:v>
                </c:pt>
                <c:pt idx="129">
                  <c:v>2675.4136674055262</c:v>
                </c:pt>
                <c:pt idx="130">
                  <c:v>2675.4948753344852</c:v>
                </c:pt>
                <c:pt idx="131">
                  <c:v>2675.5960614801529</c:v>
                </c:pt>
                <c:pt idx="132">
                  <c:v>2675.6947393589066</c:v>
                </c:pt>
                <c:pt idx="133">
                  <c:v>2675.801637380072</c:v>
                </c:pt>
                <c:pt idx="134">
                  <c:v>2675.93172239053</c:v>
                </c:pt>
                <c:pt idx="135">
                  <c:v>2676.0560857448104</c:v>
                </c:pt>
                <c:pt idx="136">
                  <c:v>2676.1886667981512</c:v>
                </c:pt>
                <c:pt idx="137">
                  <c:v>2676.3476420836173</c:v>
                </c:pt>
                <c:pt idx="138">
                  <c:v>2676.4976827030932</c:v>
                </c:pt>
                <c:pt idx="139">
                  <c:v>2676.6559380375311</c:v>
                </c:pt>
                <c:pt idx="140">
                  <c:v>2676.843793107199</c:v>
                </c:pt>
                <c:pt idx="141">
                  <c:v>2677.019501093122</c:v>
                </c:pt>
                <c:pt idx="142">
                  <c:v>2677.2034202705154</c:v>
                </c:pt>
                <c:pt idx="143">
                  <c:v>2677.4201427373237</c:v>
                </c:pt>
                <c:pt idx="144">
                  <c:v>2677.6215065069619</c:v>
                </c:pt>
                <c:pt idx="145">
                  <c:v>2677.8310774067595</c:v>
                </c:pt>
                <c:pt idx="146">
                  <c:v>2678.0766529929315</c:v>
                </c:pt>
                <c:pt idx="147">
                  <c:v>2678.3036592847507</c:v>
                </c:pt>
                <c:pt idx="148">
                  <c:v>2678.53886810944</c:v>
                </c:pt>
                <c:pt idx="149">
                  <c:v>2678.8132806528729</c:v>
                </c:pt>
                <c:pt idx="150">
                  <c:v>2679.0659145324939</c:v>
                </c:pt>
                <c:pt idx="151">
                  <c:v>2679.3267458137466</c:v>
                </c:pt>
                <c:pt idx="152">
                  <c:v>2679.6299772752322</c:v>
                </c:pt>
                <c:pt idx="153">
                  <c:v>2679.9082221420913</c:v>
                </c:pt>
                <c:pt idx="154">
                  <c:v>2680.1946587476814</c:v>
                </c:pt>
                <c:pt idx="155">
                  <c:v>2680.526689218967</c:v>
                </c:pt>
                <c:pt idx="156">
                  <c:v>2680.8305268137187</c:v>
                </c:pt>
                <c:pt idx="157">
                  <c:v>2681.1425499551765</c:v>
                </c:pt>
                <c:pt idx="158">
                  <c:v>2681.5033576678143</c:v>
                </c:pt>
                <c:pt idx="159">
                  <c:v>2681.8327680804646</c:v>
                </c:pt>
                <c:pt idx="160">
                  <c:v>2682.1703573214322</c:v>
                </c:pt>
                <c:pt idx="161">
                  <c:v>2682.5599186564959</c:v>
                </c:pt>
                <c:pt idx="162">
                  <c:v>2682.9148803352541</c:v>
                </c:pt>
                <c:pt idx="163">
                  <c:v>2683.2780136005345</c:v>
                </c:pt>
                <c:pt idx="164">
                  <c:v>2683.6963030990701</c:v>
                </c:pt>
                <c:pt idx="165">
                  <c:v>2684.0767928598584</c:v>
                </c:pt>
                <c:pt idx="166">
                  <c:v>2684.4654464452342</c:v>
                </c:pt>
                <c:pt idx="167">
                  <c:v>2684.9124368195003</c:v>
                </c:pt>
                <c:pt idx="168">
                  <c:v>2685.318429856306</c:v>
                </c:pt>
                <c:pt idx="169">
                  <c:v>2685.7325784389564</c:v>
                </c:pt>
                <c:pt idx="170">
                  <c:v>2686.2082405845767</c:v>
                </c:pt>
                <c:pt idx="171">
                  <c:v>2686.6397104802963</c:v>
                </c:pt>
                <c:pt idx="172">
                  <c:v>2687.0793271300054</c:v>
                </c:pt>
                <c:pt idx="173">
                  <c:v>2687.5836301386457</c:v>
                </c:pt>
                <c:pt idx="174">
                  <c:v>2688.0405488767533</c:v>
                </c:pt>
                <c:pt idx="175">
                  <c:v>2688.505605067754</c:v>
                </c:pt>
                <c:pt idx="176">
                  <c:v>2689.038516240782</c:v>
                </c:pt>
                <c:pt idx="177">
                  <c:v>2689.520854217586</c:v>
                </c:pt>
                <c:pt idx="178">
                  <c:v>2690.0113198410036</c:v>
                </c:pt>
                <c:pt idx="179">
                  <c:v>2690.5728047037751</c:v>
                </c:pt>
                <c:pt idx="180">
                  <c:v>2691.0805307414003</c:v>
                </c:pt>
                <c:pt idx="181">
                  <c:v>2691.5963741184592</c:v>
                </c:pt>
                <c:pt idx="182">
                  <c:v>2692.1863964353583</c:v>
                </c:pt>
                <c:pt idx="183">
                  <c:v>2692.7194777953123</c:v>
                </c:pt>
                <c:pt idx="184">
                  <c:v>2693.2606656910839</c:v>
                </c:pt>
                <c:pt idx="185">
                  <c:v>2693.8791874812646</c:v>
                </c:pt>
                <c:pt idx="186">
                  <c:v>2694.4375898786375</c:v>
                </c:pt>
                <c:pt idx="187">
                  <c:v>2695.0040875164605</c:v>
                </c:pt>
                <c:pt idx="188">
                  <c:v>2695.6510690703108</c:v>
                </c:pt>
                <c:pt idx="189">
                  <c:v>2696.2347566886478</c:v>
                </c:pt>
                <c:pt idx="190">
                  <c:v>2696.8265277651735</c:v>
                </c:pt>
                <c:pt idx="191">
                  <c:v>2697.5019276614603</c:v>
                </c:pt>
                <c:pt idx="192">
                  <c:v>2698.1108631681168</c:v>
                </c:pt>
                <c:pt idx="193">
                  <c:v>2698.7278698689106</c:v>
                </c:pt>
                <c:pt idx="194">
                  <c:v>2699.43164499259</c:v>
                </c:pt>
                <c:pt idx="195">
                  <c:v>2700.0657895548352</c:v>
                </c:pt>
                <c:pt idx="196">
                  <c:v>2700.7079925706203</c:v>
                </c:pt>
                <c:pt idx="197">
                  <c:v>2701.4400981312092</c:v>
                </c:pt>
                <c:pt idx="198">
                  <c:v>2702.0994114328023</c:v>
                </c:pt>
                <c:pt idx="199">
                  <c:v>2702.7667699761951</c:v>
                </c:pt>
                <c:pt idx="200">
                  <c:v>2703.527159526966</c:v>
                </c:pt>
                <c:pt idx="201">
                  <c:v>2704.2115997852675</c:v>
                </c:pt>
                <c:pt idx="202">
                  <c:v>2704.9040716081277</c:v>
                </c:pt>
                <c:pt idx="203">
                  <c:v>2705.6926970657478</c:v>
                </c:pt>
                <c:pt idx="204">
                  <c:v>2706.4022210494791</c:v>
                </c:pt>
                <c:pt idx="205">
                  <c:v>2707.1197624607562</c:v>
                </c:pt>
                <c:pt idx="206">
                  <c:v>2707.9365741255974</c:v>
                </c:pt>
                <c:pt idx="207">
                  <c:v>2708.6711371730257</c:v>
                </c:pt>
                <c:pt idx="208">
                  <c:v>2709.4137030571701</c:v>
                </c:pt>
                <c:pt idx="209">
                  <c:v>2710.2586496341951</c:v>
                </c:pt>
                <c:pt idx="210">
                  <c:v>2711.0182056718681</c:v>
                </c:pt>
                <c:pt idx="211">
                  <c:v>2711.7857495077187</c:v>
                </c:pt>
                <c:pt idx="212">
                  <c:v>2712.6587781279418</c:v>
                </c:pt>
                <c:pt idx="213">
                  <c:v>2713.4432796899005</c:v>
                </c:pt>
                <c:pt idx="214">
                  <c:v>2714.235753570058</c:v>
                </c:pt>
                <c:pt idx="215">
                  <c:v>2715.1368098124726</c:v>
                </c:pt>
                <c:pt idx="216">
                  <c:v>2715.9462080599938</c:v>
                </c:pt>
                <c:pt idx="217">
                  <c:v>2716.7635627106388</c:v>
                </c:pt>
                <c:pt idx="218">
                  <c:v>2717.6925906248262</c:v>
                </c:pt>
                <c:pt idx="219">
                  <c:v>2718.5268353664997</c:v>
                </c:pt>
                <c:pt idx="220">
                  <c:v>2719.3690201677696</c:v>
                </c:pt>
                <c:pt idx="221">
                  <c:v>2720.3259622967576</c:v>
                </c:pt>
                <c:pt idx="222">
                  <c:v>2721.1850020092143</c:v>
                </c:pt>
                <c:pt idx="223">
                  <c:v>2722.0519650158485</c:v>
                </c:pt>
                <c:pt idx="224">
                  <c:v>2723.0367624197406</c:v>
                </c:pt>
                <c:pt idx="225">
                  <c:v>2723.920544268542</c:v>
                </c:pt>
                <c:pt idx="226">
                  <c:v>2724.8122322311165</c:v>
                </c:pt>
                <c:pt idx="227">
                  <c:v>2725.8248245109639</c:v>
                </c:pt>
                <c:pt idx="228">
                  <c:v>2726.7332943721008</c:v>
                </c:pt>
                <c:pt idx="229">
                  <c:v>2727.6496527585241</c:v>
                </c:pt>
                <c:pt idx="230">
                  <c:v>2728.6899780807412</c:v>
                </c:pt>
                <c:pt idx="231">
                  <c:v>2729.6230805624396</c:v>
                </c:pt>
                <c:pt idx="232">
                  <c:v>2730.5640535799016</c:v>
                </c:pt>
                <c:pt idx="233">
                  <c:v>2731.6320487010912</c:v>
                </c:pt>
                <c:pt idx="234">
                  <c:v>2732.5897271659751</c:v>
                </c:pt>
                <c:pt idx="235">
                  <c:v>2733.5552577832691</c:v>
                </c:pt>
                <c:pt idx="236">
                  <c:v>2734.6508580754062</c:v>
                </c:pt>
                <c:pt idx="237">
                  <c:v>2735.6330546630293</c:v>
                </c:pt>
                <c:pt idx="238">
                  <c:v>2736.6230846331491</c:v>
                </c:pt>
                <c:pt idx="239">
                  <c:v>2737.7462241092339</c:v>
                </c:pt>
                <c:pt idx="240">
                  <c:v>2738.7528797589603</c:v>
                </c:pt>
              </c:numCache>
            </c:numRef>
          </c:yVal>
          <c:smooth val="0"/>
          <c:extLst>
            <c:ext xmlns:c16="http://schemas.microsoft.com/office/drawing/2014/chart" uri="{C3380CC4-5D6E-409C-BE32-E72D297353CC}">
              <c16:uniqueId val="{00000000-59DB-42D2-A7DE-1CE9FBC74854}"/>
            </c:ext>
          </c:extLst>
        </c:ser>
        <c:ser>
          <c:idx val="1"/>
          <c:order val="1"/>
          <c:tx>
            <c:v>Paper low-altitude 35 km / 800 km pass</c:v>
          </c:tx>
          <c:spPr>
            <a:ln w="19050">
              <a:solidFill>
                <a:srgbClr val="F97316"/>
              </a:solidFill>
              <a:prstDash val="solid"/>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Native_Chart_Data!$D$1473:$D$1713</c:f>
              <c:numCache>
                <c:formatCode>General</c:formatCode>
                <c:ptCount val="241"/>
                <c:pt idx="0">
                  <c:v>4006.5669904921833</c:v>
                </c:pt>
                <c:pt idx="1">
                  <c:v>3959.7846663670321</c:v>
                </c:pt>
                <c:pt idx="2">
                  <c:v>3907.5201435523309</c:v>
                </c:pt>
                <c:pt idx="3">
                  <c:v>3861.3869170271155</c:v>
                </c:pt>
                <c:pt idx="4">
                  <c:v>3815.5579418876782</c:v>
                </c:pt>
                <c:pt idx="5">
                  <c:v>3764.3630333251954</c:v>
                </c:pt>
                <c:pt idx="6">
                  <c:v>3719.1779432130656</c:v>
                </c:pt>
                <c:pt idx="7">
                  <c:v>3674.2945786544519</c:v>
                </c:pt>
                <c:pt idx="8">
                  <c:v>3624.1604034921179</c:v>
                </c:pt>
                <c:pt idx="9">
                  <c:v>3579.915397473851</c:v>
                </c:pt>
                <c:pt idx="10">
                  <c:v>3535.9694398561164</c:v>
                </c:pt>
                <c:pt idx="11">
                  <c:v>3486.8865852502836</c:v>
                </c:pt>
                <c:pt idx="12">
                  <c:v>3443.5731304663896</c:v>
                </c:pt>
                <c:pt idx="13">
                  <c:v>3400.5558883978983</c:v>
                </c:pt>
                <c:pt idx="14">
                  <c:v>3352.5143841718163</c:v>
                </c:pt>
                <c:pt idx="15">
                  <c:v>3310.1234447175161</c:v>
                </c:pt>
                <c:pt idx="16">
                  <c:v>3268.0257165997627</c:v>
                </c:pt>
                <c:pt idx="17">
                  <c:v>3221.0150100806709</c:v>
                </c:pt>
                <c:pt idx="18">
                  <c:v>3179.5370247648771</c:v>
                </c:pt>
                <c:pt idx="19">
                  <c:v>3138.34907670858</c:v>
                </c:pt>
                <c:pt idx="20">
                  <c:v>3092.3580081209293</c:v>
                </c:pt>
                <c:pt idx="21">
                  <c:v>3051.7828688525797</c:v>
                </c:pt>
                <c:pt idx="22">
                  <c:v>3011.4944133564245</c:v>
                </c:pt>
                <c:pt idx="23">
                  <c:v>2966.5111922476426</c:v>
                </c:pt>
                <c:pt idx="24">
                  <c:v>2926.8282235073743</c:v>
                </c:pt>
                <c:pt idx="25">
                  <c:v>2887.428399392069</c:v>
                </c:pt>
                <c:pt idx="26">
                  <c:v>2843.4405826900111</c:v>
                </c:pt>
                <c:pt idx="27">
                  <c:v>2804.6385226625612</c:v>
                </c:pt>
                <c:pt idx="28">
                  <c:v>2766.1158768793084</c:v>
                </c:pt>
                <c:pt idx="29">
                  <c:v>2723.1103493336241</c:v>
                </c:pt>
                <c:pt idx="30">
                  <c:v>2685.1773334232421</c:v>
                </c:pt>
                <c:pt idx="31">
                  <c:v>2647.519805513155</c:v>
                </c:pt>
                <c:pt idx="32">
                  <c:v>2605.4827634648645</c:v>
                </c:pt>
                <c:pt idx="33">
                  <c:v>2568.4063111009086</c:v>
                </c:pt>
                <c:pt idx="34">
                  <c:v>2531.6012212817732</c:v>
                </c:pt>
                <c:pt idx="35">
                  <c:v>2490.5181609486822</c:v>
                </c:pt>
                <c:pt idx="36">
                  <c:v>2454.2851668233561</c:v>
                </c:pt>
                <c:pt idx="37">
                  <c:v>2418.3192089337513</c:v>
                </c:pt>
                <c:pt idx="38">
                  <c:v>2378.1749207105045</c:v>
                </c:pt>
                <c:pt idx="39">
                  <c:v>2342.7716518918514</c:v>
                </c:pt>
                <c:pt idx="40">
                  <c:v>2307.6308927499517</c:v>
                </c:pt>
                <c:pt idx="41">
                  <c:v>2268.409463423141</c:v>
                </c:pt>
                <c:pt idx="42">
                  <c:v>2233.8215641775168</c:v>
                </c:pt>
                <c:pt idx="43">
                  <c:v>2199.4914513372773</c:v>
                </c:pt>
                <c:pt idx="44">
                  <c:v>2161.1762766414804</c:v>
                </c:pt>
                <c:pt idx="45">
                  <c:v>2127.3887833117165</c:v>
                </c:pt>
                <c:pt idx="46">
                  <c:v>2093.8541637603007</c:v>
                </c:pt>
                <c:pt idx="47">
                  <c:v>2056.4279743959351</c:v>
                </c:pt>
                <c:pt idx="48">
                  <c:v>2023.4253433638573</c:v>
                </c:pt>
                <c:pt idx="49">
                  <c:v>1990.6704964522148</c:v>
                </c:pt>
                <c:pt idx="50">
                  <c:v>1954.1154016181265</c:v>
                </c:pt>
                <c:pt idx="51">
                  <c:v>1921.8815542974669</c:v>
                </c:pt>
                <c:pt idx="52">
                  <c:v>1889.8902432096763</c:v>
                </c:pt>
                <c:pt idx="53">
                  <c:v>1854.1877969704217</c:v>
                </c:pt>
                <c:pt idx="54">
                  <c:v>1822.7061870307282</c:v>
                </c:pt>
                <c:pt idx="55">
                  <c:v>1791.4617344869769</c:v>
                </c:pt>
                <c:pt idx="56">
                  <c:v>1756.5930320423254</c:v>
                </c:pt>
                <c:pt idx="57">
                  <c:v>1725.8467418024873</c:v>
                </c:pt>
                <c:pt idx="58">
                  <c:v>1695.3321376263839</c:v>
                </c:pt>
                <c:pt idx="59">
                  <c:v>1661.27795099574</c:v>
                </c:pt>
                <c:pt idx="60">
                  <c:v>1631.2498263703887</c:v>
                </c:pt>
                <c:pt idx="61">
                  <c:v>1601.4478772869256</c:v>
                </c:pt>
                <c:pt idx="62">
                  <c:v>1568.1888433957399</c:v>
                </c:pt>
                <c:pt idx="63">
                  <c:v>1538.8616802693725</c:v>
                </c:pt>
                <c:pt idx="64">
                  <c:v>1509.7552162254726</c:v>
                </c:pt>
                <c:pt idx="65">
                  <c:v>1477.272095393459</c:v>
                </c:pt>
                <c:pt idx="66">
                  <c:v>1448.628895361848</c:v>
                </c:pt>
                <c:pt idx="67">
                  <c:v>1420.2010523856848</c:v>
                </c:pt>
                <c:pt idx="68">
                  <c:v>1388.4750825653464</c:v>
                </c:pt>
                <c:pt idx="69">
                  <c:v>1360.4994034490926</c:v>
                </c:pt>
                <c:pt idx="70">
                  <c:v>1332.7340115462373</c:v>
                </c:pt>
                <c:pt idx="71">
                  <c:v>1301.7473946103885</c:v>
                </c:pt>
                <c:pt idx="72">
                  <c:v>1274.4238323326915</c:v>
                </c:pt>
                <c:pt idx="73">
                  <c:v>1247.305949695761</c:v>
                </c:pt>
                <c:pt idx="74">
                  <c:v>1217.0425226665805</c:v>
                </c:pt>
                <c:pt idx="75">
                  <c:v>1190.3573781400514</c:v>
                </c:pt>
                <c:pt idx="76">
                  <c:v>1163.8740325347778</c:v>
                </c:pt>
                <c:pt idx="77">
                  <c:v>1134.3202022333339</c:v>
                </c:pt>
                <c:pt idx="78">
                  <c:v>1108.2624133501783</c:v>
                </c:pt>
                <c:pt idx="79">
                  <c:v>1082.4036420950645</c:v>
                </c:pt>
                <c:pt idx="80">
                  <c:v>1053.5497018470367</c:v>
                </c:pt>
                <c:pt idx="81">
                  <c:v>1028.1121624339564</c:v>
                </c:pt>
                <c:pt idx="82">
                  <c:v>1002.8724909144175</c:v>
                </c:pt>
                <c:pt idx="83">
                  <c:v>974.71450211271815</c:v>
                </c:pt>
                <c:pt idx="84">
                  <c:v>949.89595685143365</c:v>
                </c:pt>
                <c:pt idx="85">
                  <c:v>925.27653395464438</c:v>
                </c:pt>
                <c:pt idx="86">
                  <c:v>897.81905962626126</c:v>
                </c:pt>
                <c:pt idx="87">
                  <c:v>873.62687375191115</c:v>
                </c:pt>
                <c:pt idx="88">
                  <c:v>849.63861157700319</c:v>
                </c:pt>
                <c:pt idx="89">
                  <c:v>822.89876155971092</c:v>
                </c:pt>
                <c:pt idx="90">
                  <c:v>799.35304652578816</c:v>
                </c:pt>
                <c:pt idx="91">
                  <c:v>776.02132681113301</c:v>
                </c:pt>
                <c:pt idx="92">
                  <c:v>750.03486285335612</c:v>
                </c:pt>
                <c:pt idx="93">
                  <c:v>727.17474536725172</c:v>
                </c:pt>
                <c:pt idx="94">
                  <c:v>704.54661686923862</c:v>
                </c:pt>
                <c:pt idx="95">
                  <c:v>679.37735188566262</c:v>
                </c:pt>
                <c:pt idx="96">
                  <c:v>657.27068851642468</c:v>
                </c:pt>
                <c:pt idx="97">
                  <c:v>635.42608587189397</c:v>
                </c:pt>
                <c:pt idx="98">
                  <c:v>611.18062071366592</c:v>
                </c:pt>
                <c:pt idx="99">
                  <c:v>589.93930874913281</c:v>
                </c:pt>
                <c:pt idx="100">
                  <c:v>569.00880810029753</c:v>
                </c:pt>
                <c:pt idx="101">
                  <c:v>545.85993350873184</c:v>
                </c:pt>
                <c:pt idx="102">
                  <c:v>525.66427144455326</c:v>
                </c:pt>
                <c:pt idx="103">
                  <c:v>505.85734229616077</c:v>
                </c:pt>
                <c:pt idx="104">
                  <c:v>484.08118424505756</c:v>
                </c:pt>
                <c:pt idx="105">
                  <c:v>465.21831918360385</c:v>
                </c:pt>
                <c:pt idx="106">
                  <c:v>446.86749403358624</c:v>
                </c:pt>
                <c:pt idx="107">
                  <c:v>426.90066876687405</c:v>
                </c:pt>
                <c:pt idx="108">
                  <c:v>409.82236463418178</c:v>
                </c:pt>
                <c:pt idx="109">
                  <c:v>393.44746490213646</c:v>
                </c:pt>
                <c:pt idx="110">
                  <c:v>375.96606957909472</c:v>
                </c:pt>
                <c:pt idx="111">
                  <c:v>361.36283308427818</c:v>
                </c:pt>
                <c:pt idx="112">
                  <c:v>347.74512770791858</c:v>
                </c:pt>
                <c:pt idx="113">
                  <c:v>333.7408733876195</c:v>
                </c:pt>
                <c:pt idx="114">
                  <c:v>322.5932252064959</c:v>
                </c:pt>
                <c:pt idx="115">
                  <c:v>312.79808444872799</c:v>
                </c:pt>
                <c:pt idx="116">
                  <c:v>303.54886988121996</c:v>
                </c:pt>
                <c:pt idx="117">
                  <c:v>297.03061836832649</c:v>
                </c:pt>
                <c:pt idx="118">
                  <c:v>292.22322937692019</c:v>
                </c:pt>
                <c:pt idx="119">
                  <c:v>288.96093772220826</c:v>
                </c:pt>
                <c:pt idx="120">
                  <c:v>288.02648974651419</c:v>
                </c:pt>
                <c:pt idx="121">
                  <c:v>288.96093772220826</c:v>
                </c:pt>
                <c:pt idx="122">
                  <c:v>292.22322937692019</c:v>
                </c:pt>
                <c:pt idx="123">
                  <c:v>297.03061836832649</c:v>
                </c:pt>
                <c:pt idx="124">
                  <c:v>303.54886988121996</c:v>
                </c:pt>
                <c:pt idx="125">
                  <c:v>312.79808444872799</c:v>
                </c:pt>
                <c:pt idx="126">
                  <c:v>322.5932252064959</c:v>
                </c:pt>
                <c:pt idx="127">
                  <c:v>333.7408733876195</c:v>
                </c:pt>
                <c:pt idx="128">
                  <c:v>347.74512770791858</c:v>
                </c:pt>
                <c:pt idx="129">
                  <c:v>361.36283308427818</c:v>
                </c:pt>
                <c:pt idx="130">
                  <c:v>375.96606957909472</c:v>
                </c:pt>
                <c:pt idx="131">
                  <c:v>393.44746490213646</c:v>
                </c:pt>
                <c:pt idx="132">
                  <c:v>409.82236463418178</c:v>
                </c:pt>
                <c:pt idx="133">
                  <c:v>426.90066876687405</c:v>
                </c:pt>
                <c:pt idx="134">
                  <c:v>446.86749403358624</c:v>
                </c:pt>
                <c:pt idx="135">
                  <c:v>465.21831918360385</c:v>
                </c:pt>
                <c:pt idx="136">
                  <c:v>484.08118424505756</c:v>
                </c:pt>
                <c:pt idx="137">
                  <c:v>505.85734229616077</c:v>
                </c:pt>
                <c:pt idx="138">
                  <c:v>525.66427144455326</c:v>
                </c:pt>
                <c:pt idx="139">
                  <c:v>545.85993350873184</c:v>
                </c:pt>
                <c:pt idx="140">
                  <c:v>569.00880810029753</c:v>
                </c:pt>
                <c:pt idx="141">
                  <c:v>589.93930874913281</c:v>
                </c:pt>
                <c:pt idx="142">
                  <c:v>611.18062071366592</c:v>
                </c:pt>
                <c:pt idx="143">
                  <c:v>635.42608587189397</c:v>
                </c:pt>
                <c:pt idx="144">
                  <c:v>657.27068851642468</c:v>
                </c:pt>
                <c:pt idx="145">
                  <c:v>679.37735188566262</c:v>
                </c:pt>
                <c:pt idx="146">
                  <c:v>704.54661686923862</c:v>
                </c:pt>
                <c:pt idx="147">
                  <c:v>727.17474536725172</c:v>
                </c:pt>
                <c:pt idx="148">
                  <c:v>750.03486285335612</c:v>
                </c:pt>
                <c:pt idx="149">
                  <c:v>776.02132681113301</c:v>
                </c:pt>
                <c:pt idx="150">
                  <c:v>799.35304652578816</c:v>
                </c:pt>
                <c:pt idx="151">
                  <c:v>822.89876155971092</c:v>
                </c:pt>
                <c:pt idx="152">
                  <c:v>849.63861157700319</c:v>
                </c:pt>
                <c:pt idx="153">
                  <c:v>873.6268737519348</c:v>
                </c:pt>
                <c:pt idx="154">
                  <c:v>897.81905962626126</c:v>
                </c:pt>
                <c:pt idx="155">
                  <c:v>925.27653395464438</c:v>
                </c:pt>
                <c:pt idx="156">
                  <c:v>949.89595685143365</c:v>
                </c:pt>
                <c:pt idx="157">
                  <c:v>974.71450211271815</c:v>
                </c:pt>
                <c:pt idx="158">
                  <c:v>1002.8724909144175</c:v>
                </c:pt>
                <c:pt idx="159">
                  <c:v>1028.1121624339564</c:v>
                </c:pt>
                <c:pt idx="160">
                  <c:v>1053.5497018470367</c:v>
                </c:pt>
                <c:pt idx="161">
                  <c:v>1082.4036420950645</c:v>
                </c:pt>
                <c:pt idx="162">
                  <c:v>1108.2624133501783</c:v>
                </c:pt>
                <c:pt idx="163">
                  <c:v>1134.3202022333339</c:v>
                </c:pt>
                <c:pt idx="164">
                  <c:v>1163.8740325347601</c:v>
                </c:pt>
                <c:pt idx="165">
                  <c:v>1190.3573781400514</c:v>
                </c:pt>
                <c:pt idx="166">
                  <c:v>1217.0425226665805</c:v>
                </c:pt>
                <c:pt idx="167">
                  <c:v>1247.305949695761</c:v>
                </c:pt>
                <c:pt idx="168">
                  <c:v>1274.4238323326915</c:v>
                </c:pt>
                <c:pt idx="169">
                  <c:v>1301.7473946103885</c:v>
                </c:pt>
                <c:pt idx="170">
                  <c:v>1332.7340115462373</c:v>
                </c:pt>
                <c:pt idx="171">
                  <c:v>1360.4994034490926</c:v>
                </c:pt>
                <c:pt idx="172">
                  <c:v>1388.4750825653464</c:v>
                </c:pt>
                <c:pt idx="173">
                  <c:v>1420.2010523856848</c:v>
                </c:pt>
                <c:pt idx="174">
                  <c:v>1448.6288953618625</c:v>
                </c:pt>
                <c:pt idx="175">
                  <c:v>1477.272095393459</c:v>
                </c:pt>
                <c:pt idx="176">
                  <c:v>1509.7552162254726</c:v>
                </c:pt>
                <c:pt idx="177">
                  <c:v>1538.8616802693725</c:v>
                </c:pt>
                <c:pt idx="178">
                  <c:v>1568.1888433957661</c:v>
                </c:pt>
                <c:pt idx="179">
                  <c:v>1601.4478772869256</c:v>
                </c:pt>
                <c:pt idx="180">
                  <c:v>1631.2498263703887</c:v>
                </c:pt>
                <c:pt idx="181">
                  <c:v>1661.27795099574</c:v>
                </c:pt>
                <c:pt idx="182">
                  <c:v>1695.3321376263839</c:v>
                </c:pt>
                <c:pt idx="183">
                  <c:v>1725.8467418024873</c:v>
                </c:pt>
                <c:pt idx="184">
                  <c:v>1756.5930320423138</c:v>
                </c:pt>
                <c:pt idx="185">
                  <c:v>1791.4617344869769</c:v>
                </c:pt>
                <c:pt idx="186">
                  <c:v>1822.7061870307282</c:v>
                </c:pt>
                <c:pt idx="187">
                  <c:v>1854.1877969704217</c:v>
                </c:pt>
                <c:pt idx="188">
                  <c:v>1889.8902432096763</c:v>
                </c:pt>
                <c:pt idx="189">
                  <c:v>1921.8815542974669</c:v>
                </c:pt>
                <c:pt idx="190">
                  <c:v>1954.1154016181265</c:v>
                </c:pt>
                <c:pt idx="191">
                  <c:v>1990.6704964522148</c:v>
                </c:pt>
                <c:pt idx="192">
                  <c:v>2023.4253433638573</c:v>
                </c:pt>
                <c:pt idx="193">
                  <c:v>2056.4279743959246</c:v>
                </c:pt>
                <c:pt idx="194">
                  <c:v>2093.8541637602912</c:v>
                </c:pt>
                <c:pt idx="195">
                  <c:v>2127.3887833117165</c:v>
                </c:pt>
                <c:pt idx="196">
                  <c:v>2161.1762766414804</c:v>
                </c:pt>
                <c:pt idx="197">
                  <c:v>2199.4914513372773</c:v>
                </c:pt>
                <c:pt idx="198">
                  <c:v>2233.8215641775168</c:v>
                </c:pt>
                <c:pt idx="199">
                  <c:v>2268.4094634231324</c:v>
                </c:pt>
                <c:pt idx="200">
                  <c:v>2307.6308927499517</c:v>
                </c:pt>
                <c:pt idx="201">
                  <c:v>2342.7716518918514</c:v>
                </c:pt>
                <c:pt idx="202">
                  <c:v>2378.1749207105045</c:v>
                </c:pt>
                <c:pt idx="203">
                  <c:v>2418.3192089337513</c:v>
                </c:pt>
                <c:pt idx="204">
                  <c:v>2454.2851668233561</c:v>
                </c:pt>
                <c:pt idx="205">
                  <c:v>2490.5181609486822</c:v>
                </c:pt>
                <c:pt idx="206">
                  <c:v>2531.6012212817732</c:v>
                </c:pt>
                <c:pt idx="207">
                  <c:v>2568.4063111009086</c:v>
                </c:pt>
                <c:pt idx="208">
                  <c:v>2605.4827634648645</c:v>
                </c:pt>
                <c:pt idx="209">
                  <c:v>2647.519805513155</c:v>
                </c:pt>
                <c:pt idx="210">
                  <c:v>2685.1773334232421</c:v>
                </c:pt>
                <c:pt idx="211">
                  <c:v>2723.1103493336241</c:v>
                </c:pt>
                <c:pt idx="212">
                  <c:v>2766.1158768793084</c:v>
                </c:pt>
                <c:pt idx="213">
                  <c:v>2804.6385226625612</c:v>
                </c:pt>
                <c:pt idx="214">
                  <c:v>2843.4405826900188</c:v>
                </c:pt>
                <c:pt idx="215">
                  <c:v>2887.428399392069</c:v>
                </c:pt>
                <c:pt idx="216">
                  <c:v>2926.8282235073743</c:v>
                </c:pt>
                <c:pt idx="217">
                  <c:v>2966.5111922476426</c:v>
                </c:pt>
                <c:pt idx="218">
                  <c:v>3011.4944133564245</c:v>
                </c:pt>
                <c:pt idx="219">
                  <c:v>3051.7828688525797</c:v>
                </c:pt>
                <c:pt idx="220">
                  <c:v>3092.3580081209293</c:v>
                </c:pt>
                <c:pt idx="221">
                  <c:v>3138.34907670858</c:v>
                </c:pt>
                <c:pt idx="222">
                  <c:v>3179.5370247648771</c:v>
                </c:pt>
                <c:pt idx="223">
                  <c:v>3221.0150100806709</c:v>
                </c:pt>
                <c:pt idx="224">
                  <c:v>3268.0257165997627</c:v>
                </c:pt>
                <c:pt idx="225">
                  <c:v>3310.1234447175161</c:v>
                </c:pt>
                <c:pt idx="226">
                  <c:v>3352.5143841718163</c:v>
                </c:pt>
                <c:pt idx="227">
                  <c:v>3400.5558883978983</c:v>
                </c:pt>
                <c:pt idx="228">
                  <c:v>3443.5731304663896</c:v>
                </c:pt>
                <c:pt idx="229">
                  <c:v>3486.8865852502836</c:v>
                </c:pt>
                <c:pt idx="230">
                  <c:v>3535.9694398561164</c:v>
                </c:pt>
                <c:pt idx="231">
                  <c:v>3579.915397473851</c:v>
                </c:pt>
                <c:pt idx="232">
                  <c:v>3624.1604034921179</c:v>
                </c:pt>
                <c:pt idx="233">
                  <c:v>3674.2945786544519</c:v>
                </c:pt>
                <c:pt idx="234">
                  <c:v>3719.1779432130656</c:v>
                </c:pt>
                <c:pt idx="235">
                  <c:v>3764.3630333251954</c:v>
                </c:pt>
                <c:pt idx="236">
                  <c:v>3815.5579418876782</c:v>
                </c:pt>
                <c:pt idx="237">
                  <c:v>3861.3869170271155</c:v>
                </c:pt>
                <c:pt idx="238">
                  <c:v>3907.5201435523309</c:v>
                </c:pt>
                <c:pt idx="239">
                  <c:v>3959.7846663670321</c:v>
                </c:pt>
                <c:pt idx="240">
                  <c:v>4006.5669904921833</c:v>
                </c:pt>
              </c:numCache>
            </c:numRef>
          </c:yVal>
          <c:smooth val="0"/>
          <c:extLst>
            <c:ext xmlns:c16="http://schemas.microsoft.com/office/drawing/2014/chart" uri="{C3380CC4-5D6E-409C-BE32-E72D297353CC}">
              <c16:uniqueId val="{00000001-59DB-42D2-A7DE-1CE9FBC74854}"/>
            </c:ext>
          </c:extLst>
        </c:ser>
        <c:ser>
          <c:idx val="2"/>
          <c:order val="2"/>
          <c:tx>
            <c:v>Paper ice-ocean 35 km / 1600 km pass</c:v>
          </c:tx>
          <c:spPr>
            <a:ln w="19050">
              <a:solidFill>
                <a:srgbClr val="16A34A"/>
              </a:solidFill>
              <a:prstDash val="solid"/>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Native_Chart_Data!$F$1473:$F$1713</c:f>
              <c:numCache>
                <c:formatCode>General</c:formatCode>
                <c:ptCount val="241"/>
                <c:pt idx="0">
                  <c:v>9500.9899232733605</c:v>
                </c:pt>
                <c:pt idx="1">
                  <c:v>9376.9488060561434</c:v>
                </c:pt>
                <c:pt idx="2">
                  <c:v>9238.4874028396462</c:v>
                </c:pt>
                <c:pt idx="3">
                  <c:v>9116.3739007837139</c:v>
                </c:pt>
                <c:pt idx="4">
                  <c:v>8995.1660445283178</c:v>
                </c:pt>
                <c:pt idx="5">
                  <c:v>8859.8885063548314</c:v>
                </c:pt>
                <c:pt idx="6">
                  <c:v>8740.6018276314735</c:v>
                </c:pt>
                <c:pt idx="7">
                  <c:v>8622.2175923928862</c:v>
                </c:pt>
                <c:pt idx="8">
                  <c:v>8490.1126571758014</c:v>
                </c:pt>
                <c:pt idx="9">
                  <c:v>8373.6424099258602</c:v>
                </c:pt>
                <c:pt idx="10">
                  <c:v>8258.0710351577345</c:v>
                </c:pt>
                <c:pt idx="11">
                  <c:v>8129.1261442908717</c:v>
                </c:pt>
                <c:pt idx="12">
                  <c:v>8015.4607514084237</c:v>
                </c:pt>
                <c:pt idx="13">
                  <c:v>7902.6902595707297</c:v>
                </c:pt>
                <c:pt idx="14">
                  <c:v>7776.8914462931525</c:v>
                </c:pt>
                <c:pt idx="15">
                  <c:v>7666.0180432897014</c:v>
                </c:pt>
                <c:pt idx="16">
                  <c:v>7556.0351349179427</c:v>
                </c:pt>
                <c:pt idx="17">
                  <c:v>7433.3669028529466</c:v>
                </c:pt>
                <c:pt idx="18">
                  <c:v>7325.2712267935003</c:v>
                </c:pt>
                <c:pt idx="19">
                  <c:v>7218.0611664589442</c:v>
                </c:pt>
                <c:pt idx="20">
                  <c:v>7098.506357692575</c:v>
                </c:pt>
                <c:pt idx="21">
                  <c:v>6993.1726266478481</c:v>
                </c:pt>
                <c:pt idx="22">
                  <c:v>6888.7191192634255</c:v>
                </c:pt>
                <c:pt idx="23">
                  <c:v>6772.2587713643579</c:v>
                </c:pt>
                <c:pt idx="24">
                  <c:v>6669.6695538641015</c:v>
                </c:pt>
                <c:pt idx="25">
                  <c:v>6567.9546108397826</c:v>
                </c:pt>
                <c:pt idx="26">
                  <c:v>6454.5678022887669</c:v>
                </c:pt>
                <c:pt idx="27">
                  <c:v>6354.703876330992</c:v>
                </c:pt>
                <c:pt idx="28">
                  <c:v>6255.7076711632635</c:v>
                </c:pt>
                <c:pt idx="29">
                  <c:v>6145.3713547660091</c:v>
                </c:pt>
                <c:pt idx="30">
                  <c:v>6048.2115560449747</c:v>
                </c:pt>
                <c:pt idx="31">
                  <c:v>5951.9122690476443</c:v>
                </c:pt>
                <c:pt idx="32">
                  <c:v>5844.6010930614657</c:v>
                </c:pt>
                <c:pt idx="33">
                  <c:v>5750.1221522344285</c:v>
                </c:pt>
                <c:pt idx="34">
                  <c:v>5656.4958042939516</c:v>
                </c:pt>
                <c:pt idx="35">
                  <c:v>5552.1819212211358</c:v>
                </c:pt>
                <c:pt idx="36">
                  <c:v>5460.3582902555545</c:v>
                </c:pt>
                <c:pt idx="37">
                  <c:v>5369.3785657395565</c:v>
                </c:pt>
                <c:pt idx="38">
                  <c:v>5268.0314290477454</c:v>
                </c:pt>
                <c:pt idx="39">
                  <c:v>5178.835096993912</c:v>
                </c:pt>
                <c:pt idx="40">
                  <c:v>5090.4731562763036</c:v>
                </c:pt>
                <c:pt idx="41">
                  <c:v>4992.0593057230481</c:v>
                </c:pt>
                <c:pt idx="42">
                  <c:v>4905.4596046667839</c:v>
                </c:pt>
                <c:pt idx="43">
                  <c:v>4819.6838871821446</c:v>
                </c:pt>
                <c:pt idx="44">
                  <c:v>4724.1667239784019</c:v>
                </c:pt>
                <c:pt idx="45">
                  <c:v>4640.1301264745007</c:v>
                </c:pt>
                <c:pt idx="46">
                  <c:v>4556.9061458124115</c:v>
                </c:pt>
                <c:pt idx="47">
                  <c:v>4464.2456995999191</c:v>
                </c:pt>
                <c:pt idx="48">
                  <c:v>4382.7356096105759</c:v>
                </c:pt>
                <c:pt idx="49">
                  <c:v>4302.025742951585</c:v>
                </c:pt>
                <c:pt idx="50">
                  <c:v>4212.1784335476086</c:v>
                </c:pt>
                <c:pt idx="51">
                  <c:v>4133.1549738663607</c:v>
                </c:pt>
                <c:pt idx="52">
                  <c:v>4054.9182491071806</c:v>
                </c:pt>
                <c:pt idx="53">
                  <c:v>3967.8366472645534</c:v>
                </c:pt>
                <c:pt idx="54">
                  <c:v>3891.256447672386</c:v>
                </c:pt>
                <c:pt idx="55">
                  <c:v>3815.4483329742607</c:v>
                </c:pt>
                <c:pt idx="56">
                  <c:v>3731.0809261239974</c:v>
                </c:pt>
                <c:pt idx="57">
                  <c:v>3656.8969182108149</c:v>
                </c:pt>
                <c:pt idx="58">
                  <c:v>3583.4691205577215</c:v>
                </c:pt>
                <c:pt idx="59">
                  <c:v>3501.760091807711</c:v>
                </c:pt>
                <c:pt idx="60">
                  <c:v>3429.9213186632924</c:v>
                </c:pt>
                <c:pt idx="61">
                  <c:v>3358.8216005216295</c:v>
                </c:pt>
                <c:pt idx="62">
                  <c:v>3279.710632319749</c:v>
                </c:pt>
                <c:pt idx="63">
                  <c:v>3210.1620844044405</c:v>
                </c:pt>
                <c:pt idx="64">
                  <c:v>3141.3341110240226</c:v>
                </c:pt>
                <c:pt idx="65">
                  <c:v>3064.7562292393345</c:v>
                </c:pt>
                <c:pt idx="66">
                  <c:v>2997.4387220817075</c:v>
                </c:pt>
                <c:pt idx="67">
                  <c:v>2930.8219568286472</c:v>
                </c:pt>
                <c:pt idx="68">
                  <c:v>2856.707437171217</c:v>
                </c:pt>
                <c:pt idx="69">
                  <c:v>2791.5575527526471</c:v>
                </c:pt>
                <c:pt idx="70">
                  <c:v>2727.0872248769224</c:v>
                </c:pt>
                <c:pt idx="71">
                  <c:v>2655.3615925812765</c:v>
                </c:pt>
                <c:pt idx="72">
                  <c:v>2592.3117154336151</c:v>
                </c:pt>
                <c:pt idx="73">
                  <c:v>2529.9188951271449</c:v>
                </c:pt>
                <c:pt idx="74">
                  <c:v>2460.5030623996822</c:v>
                </c:pt>
                <c:pt idx="75">
                  <c:v>2399.4815554213374</c:v>
                </c:pt>
                <c:pt idx="76">
                  <c:v>2339.0933871403463</c:v>
                </c:pt>
                <c:pt idx="77">
                  <c:v>2271.9039940577863</c:v>
                </c:pt>
                <c:pt idx="78">
                  <c:v>2212.8355811384035</c:v>
                </c:pt>
                <c:pt idx="79">
                  <c:v>2154.3757519290621</c:v>
                </c:pt>
                <c:pt idx="80">
                  <c:v>2089.3258107719435</c:v>
                </c:pt>
                <c:pt idx="81">
                  <c:v>2032.1322695231349</c:v>
                </c:pt>
                <c:pt idx="82">
                  <c:v>1975.5218318440923</c:v>
                </c:pt>
                <c:pt idx="83">
                  <c:v>1912.5218325119242</c:v>
                </c:pt>
                <c:pt idx="84">
                  <c:v>1857.1231620816707</c:v>
                </c:pt>
                <c:pt idx="85">
                  <c:v>1802.2819043727304</c:v>
                </c:pt>
                <c:pt idx="86">
                  <c:v>1741.2416393615815</c:v>
                </c:pt>
                <c:pt idx="87">
                  <c:v>1687.5579776583929</c:v>
                </c:pt>
                <c:pt idx="88">
                  <c:v>1634.406668398929</c:v>
                </c:pt>
                <c:pt idx="89">
                  <c:v>1575.2382195812656</c:v>
                </c:pt>
                <c:pt idx="90">
                  <c:v>1523.1929864371127</c:v>
                </c:pt>
                <c:pt idx="91">
                  <c:v>1471.657065923119</c:v>
                </c:pt>
                <c:pt idx="92">
                  <c:v>1414.2797453815531</c:v>
                </c:pt>
                <c:pt idx="93">
                  <c:v>1363.8048794660731</c:v>
                </c:pt>
                <c:pt idx="94">
                  <c:v>1313.820661862484</c:v>
                </c:pt>
                <c:pt idx="95">
                  <c:v>1258.1693986938863</c:v>
                </c:pt>
                <c:pt idx="96">
                  <c:v>1209.2143519498034</c:v>
                </c:pt>
                <c:pt idx="97">
                  <c:v>1160.7398106982935</c:v>
                </c:pt>
                <c:pt idx="98">
                  <c:v>1106.7799512839299</c:v>
                </c:pt>
                <c:pt idx="99">
                  <c:v>1059.3278163208254</c:v>
                </c:pt>
                <c:pt idx="100">
                  <c:v>1012.362240937457</c:v>
                </c:pt>
                <c:pt idx="101">
                  <c:v>960.11703342820601</c:v>
                </c:pt>
                <c:pt idx="102">
                  <c:v>914.21509447541018</c:v>
                </c:pt>
                <c:pt idx="103">
                  <c:v>868.83708028220633</c:v>
                </c:pt>
                <c:pt idx="104">
                  <c:v>818.44200766992435</c:v>
                </c:pt>
                <c:pt idx="105">
                  <c:v>774.26357736360831</c:v>
                </c:pt>
                <c:pt idx="106">
                  <c:v>730.70973255620993</c:v>
                </c:pt>
                <c:pt idx="107">
                  <c:v>682.52802138756863</c:v>
                </c:pt>
                <c:pt idx="108">
                  <c:v>640.5073835750494</c:v>
                </c:pt>
                <c:pt idx="109">
                  <c:v>599.34841039901539</c:v>
                </c:pt>
                <c:pt idx="110">
                  <c:v>554.23623167510391</c:v>
                </c:pt>
                <c:pt idx="111">
                  <c:v>515.38593594731606</c:v>
                </c:pt>
                <c:pt idx="112">
                  <c:v>477.94862974966588</c:v>
                </c:pt>
                <c:pt idx="113">
                  <c:v>437.89929731903487</c:v>
                </c:pt>
                <c:pt idx="114">
                  <c:v>404.58204465567519</c:v>
                </c:pt>
                <c:pt idx="115">
                  <c:v>373.95808704286753</c:v>
                </c:pt>
                <c:pt idx="116">
                  <c:v>343.5612623013572</c:v>
                </c:pt>
                <c:pt idx="117">
                  <c:v>321.04928767386309</c:v>
                </c:pt>
                <c:pt idx="118">
                  <c:v>303.73346224026676</c:v>
                </c:pt>
                <c:pt idx="119">
                  <c:v>291.57635730626026</c:v>
                </c:pt>
                <c:pt idx="120">
                  <c:v>288.02648974651419</c:v>
                </c:pt>
                <c:pt idx="121">
                  <c:v>291.57635730626026</c:v>
                </c:pt>
                <c:pt idx="122">
                  <c:v>303.73346224026676</c:v>
                </c:pt>
                <c:pt idx="123">
                  <c:v>321.04928767386309</c:v>
                </c:pt>
                <c:pt idx="124">
                  <c:v>343.5612623013572</c:v>
                </c:pt>
                <c:pt idx="125">
                  <c:v>373.95808704286753</c:v>
                </c:pt>
                <c:pt idx="126">
                  <c:v>404.58204465567519</c:v>
                </c:pt>
                <c:pt idx="127">
                  <c:v>437.89929731903487</c:v>
                </c:pt>
                <c:pt idx="128">
                  <c:v>477.94862974966588</c:v>
                </c:pt>
                <c:pt idx="129">
                  <c:v>515.38593594731606</c:v>
                </c:pt>
                <c:pt idx="130">
                  <c:v>554.23623167510391</c:v>
                </c:pt>
                <c:pt idx="131">
                  <c:v>599.34841039901539</c:v>
                </c:pt>
                <c:pt idx="132">
                  <c:v>640.5073835750494</c:v>
                </c:pt>
                <c:pt idx="133">
                  <c:v>682.52802138756863</c:v>
                </c:pt>
                <c:pt idx="134">
                  <c:v>730.70973255620993</c:v>
                </c:pt>
                <c:pt idx="135">
                  <c:v>774.26357736360831</c:v>
                </c:pt>
                <c:pt idx="136">
                  <c:v>818.44200766992435</c:v>
                </c:pt>
                <c:pt idx="137">
                  <c:v>868.83708028218246</c:v>
                </c:pt>
                <c:pt idx="138">
                  <c:v>914.21509447536471</c:v>
                </c:pt>
                <c:pt idx="139">
                  <c:v>960.11703342820601</c:v>
                </c:pt>
                <c:pt idx="140">
                  <c:v>1012.362240937457</c:v>
                </c:pt>
                <c:pt idx="141">
                  <c:v>1059.3278163208254</c:v>
                </c:pt>
                <c:pt idx="142">
                  <c:v>1106.7799512839299</c:v>
                </c:pt>
                <c:pt idx="143">
                  <c:v>1160.7398106982935</c:v>
                </c:pt>
                <c:pt idx="144">
                  <c:v>1209.2143519498034</c:v>
                </c:pt>
                <c:pt idx="145">
                  <c:v>1258.1693986938863</c:v>
                </c:pt>
                <c:pt idx="146">
                  <c:v>1313.820661862484</c:v>
                </c:pt>
                <c:pt idx="147">
                  <c:v>1363.8048794660731</c:v>
                </c:pt>
                <c:pt idx="148">
                  <c:v>1414.2797453815531</c:v>
                </c:pt>
                <c:pt idx="149">
                  <c:v>1471.657065923119</c:v>
                </c:pt>
                <c:pt idx="150">
                  <c:v>1523.1929864371127</c:v>
                </c:pt>
                <c:pt idx="151">
                  <c:v>1575.2382195812656</c:v>
                </c:pt>
                <c:pt idx="152">
                  <c:v>1634.406668398929</c:v>
                </c:pt>
                <c:pt idx="153">
                  <c:v>1687.5579776583929</c:v>
                </c:pt>
                <c:pt idx="154">
                  <c:v>1741.2416393615815</c:v>
                </c:pt>
                <c:pt idx="155">
                  <c:v>1802.2819043727418</c:v>
                </c:pt>
                <c:pt idx="156">
                  <c:v>1857.1231620816707</c:v>
                </c:pt>
                <c:pt idx="157">
                  <c:v>1912.5218325119242</c:v>
                </c:pt>
                <c:pt idx="158">
                  <c:v>1975.5218318440923</c:v>
                </c:pt>
                <c:pt idx="159">
                  <c:v>2032.1322695231349</c:v>
                </c:pt>
                <c:pt idx="160">
                  <c:v>2089.3258107719435</c:v>
                </c:pt>
                <c:pt idx="161">
                  <c:v>2154.3757519290621</c:v>
                </c:pt>
                <c:pt idx="162">
                  <c:v>2212.8355811384035</c:v>
                </c:pt>
                <c:pt idx="163">
                  <c:v>2271.9039940577863</c:v>
                </c:pt>
                <c:pt idx="164">
                  <c:v>2339.0933871403463</c:v>
                </c:pt>
                <c:pt idx="165">
                  <c:v>2399.4815554213374</c:v>
                </c:pt>
                <c:pt idx="166">
                  <c:v>2460.5030623996822</c:v>
                </c:pt>
                <c:pt idx="167">
                  <c:v>2529.9188951271449</c:v>
                </c:pt>
                <c:pt idx="168">
                  <c:v>2592.3117154336151</c:v>
                </c:pt>
                <c:pt idx="169">
                  <c:v>2655.3615925812765</c:v>
                </c:pt>
                <c:pt idx="170">
                  <c:v>2727.0872248769224</c:v>
                </c:pt>
                <c:pt idx="171">
                  <c:v>2791.5575527526471</c:v>
                </c:pt>
                <c:pt idx="172">
                  <c:v>2856.707437171217</c:v>
                </c:pt>
                <c:pt idx="173">
                  <c:v>2930.8219568286472</c:v>
                </c:pt>
                <c:pt idx="174">
                  <c:v>2997.4387220817075</c:v>
                </c:pt>
                <c:pt idx="175">
                  <c:v>3064.7562292393281</c:v>
                </c:pt>
                <c:pt idx="176">
                  <c:v>3141.3341110240226</c:v>
                </c:pt>
                <c:pt idx="177">
                  <c:v>3210.1620844044405</c:v>
                </c:pt>
                <c:pt idx="178">
                  <c:v>3279.710632319749</c:v>
                </c:pt>
                <c:pt idx="179">
                  <c:v>3358.8216005216295</c:v>
                </c:pt>
                <c:pt idx="180">
                  <c:v>3429.9213186632924</c:v>
                </c:pt>
                <c:pt idx="181">
                  <c:v>3501.760091807711</c:v>
                </c:pt>
                <c:pt idx="182">
                  <c:v>3583.4691205577215</c:v>
                </c:pt>
                <c:pt idx="183">
                  <c:v>3656.8969182108149</c:v>
                </c:pt>
                <c:pt idx="184">
                  <c:v>3731.0809261239924</c:v>
                </c:pt>
                <c:pt idx="185">
                  <c:v>3815.4483329742607</c:v>
                </c:pt>
                <c:pt idx="186">
                  <c:v>3891.256447672386</c:v>
                </c:pt>
                <c:pt idx="187">
                  <c:v>3967.8366472645534</c:v>
                </c:pt>
                <c:pt idx="188">
                  <c:v>4054.9182491071751</c:v>
                </c:pt>
                <c:pt idx="189">
                  <c:v>4133.1549738663607</c:v>
                </c:pt>
                <c:pt idx="190">
                  <c:v>4212.1784335476086</c:v>
                </c:pt>
                <c:pt idx="191">
                  <c:v>4302.0257429515896</c:v>
                </c:pt>
                <c:pt idx="192">
                  <c:v>4382.7356096105759</c:v>
                </c:pt>
                <c:pt idx="193">
                  <c:v>4464.2456995999191</c:v>
                </c:pt>
                <c:pt idx="194">
                  <c:v>4556.9061458124152</c:v>
                </c:pt>
                <c:pt idx="195">
                  <c:v>4640.1301264745007</c:v>
                </c:pt>
                <c:pt idx="196">
                  <c:v>4724.1667239784065</c:v>
                </c:pt>
                <c:pt idx="197">
                  <c:v>4819.6838871821474</c:v>
                </c:pt>
                <c:pt idx="198">
                  <c:v>4905.4596046667839</c:v>
                </c:pt>
                <c:pt idx="199">
                  <c:v>4992.0593057230435</c:v>
                </c:pt>
                <c:pt idx="200">
                  <c:v>5090.4731562763036</c:v>
                </c:pt>
                <c:pt idx="201">
                  <c:v>5178.835096993912</c:v>
                </c:pt>
                <c:pt idx="202">
                  <c:v>5268.0314290477454</c:v>
                </c:pt>
                <c:pt idx="203">
                  <c:v>5369.3785657395565</c:v>
                </c:pt>
                <c:pt idx="204">
                  <c:v>5460.3582902555545</c:v>
                </c:pt>
                <c:pt idx="205">
                  <c:v>5552.1819212211276</c:v>
                </c:pt>
                <c:pt idx="206">
                  <c:v>5656.4958042939516</c:v>
                </c:pt>
                <c:pt idx="207">
                  <c:v>5750.1221522344285</c:v>
                </c:pt>
                <c:pt idx="208">
                  <c:v>5844.6010930614657</c:v>
                </c:pt>
                <c:pt idx="209">
                  <c:v>5951.9122690476443</c:v>
                </c:pt>
                <c:pt idx="210">
                  <c:v>6048.2115560449747</c:v>
                </c:pt>
                <c:pt idx="211">
                  <c:v>6145.3713547660127</c:v>
                </c:pt>
                <c:pt idx="212">
                  <c:v>6255.7076711632635</c:v>
                </c:pt>
                <c:pt idx="213">
                  <c:v>6354.703876330992</c:v>
                </c:pt>
                <c:pt idx="214">
                  <c:v>6454.5678022887641</c:v>
                </c:pt>
                <c:pt idx="215">
                  <c:v>6567.9546108397826</c:v>
                </c:pt>
                <c:pt idx="216">
                  <c:v>6669.6695538641015</c:v>
                </c:pt>
                <c:pt idx="217">
                  <c:v>6772.2587713643579</c:v>
                </c:pt>
                <c:pt idx="218">
                  <c:v>6888.7191192634255</c:v>
                </c:pt>
                <c:pt idx="219">
                  <c:v>6993.1726266478481</c:v>
                </c:pt>
                <c:pt idx="220">
                  <c:v>7098.5063576925695</c:v>
                </c:pt>
                <c:pt idx="221">
                  <c:v>7218.0611664589442</c:v>
                </c:pt>
                <c:pt idx="222">
                  <c:v>7325.2712267935003</c:v>
                </c:pt>
                <c:pt idx="223">
                  <c:v>7433.3669028529466</c:v>
                </c:pt>
                <c:pt idx="224">
                  <c:v>7556.0351349179427</c:v>
                </c:pt>
                <c:pt idx="225">
                  <c:v>7666.0180432897014</c:v>
                </c:pt>
                <c:pt idx="226">
                  <c:v>7776.8914462931562</c:v>
                </c:pt>
                <c:pt idx="227">
                  <c:v>7902.6902595707261</c:v>
                </c:pt>
                <c:pt idx="228">
                  <c:v>8015.4607514084237</c:v>
                </c:pt>
                <c:pt idx="229">
                  <c:v>8129.1261442908699</c:v>
                </c:pt>
                <c:pt idx="230">
                  <c:v>8258.0710351577345</c:v>
                </c:pt>
                <c:pt idx="231">
                  <c:v>8373.6424099258602</c:v>
                </c:pt>
                <c:pt idx="232">
                  <c:v>8490.1126571758014</c:v>
                </c:pt>
                <c:pt idx="233">
                  <c:v>8622.2175923928862</c:v>
                </c:pt>
                <c:pt idx="234">
                  <c:v>8740.6018276314735</c:v>
                </c:pt>
                <c:pt idx="235">
                  <c:v>8859.8885063548314</c:v>
                </c:pt>
                <c:pt idx="236">
                  <c:v>8995.1660445283196</c:v>
                </c:pt>
                <c:pt idx="237">
                  <c:v>9116.3739007837139</c:v>
                </c:pt>
                <c:pt idx="238">
                  <c:v>9238.487402839648</c:v>
                </c:pt>
                <c:pt idx="239">
                  <c:v>9376.948806056138</c:v>
                </c:pt>
                <c:pt idx="240">
                  <c:v>9500.9899232733605</c:v>
                </c:pt>
              </c:numCache>
            </c:numRef>
          </c:yVal>
          <c:smooth val="0"/>
          <c:extLst>
            <c:ext xmlns:c16="http://schemas.microsoft.com/office/drawing/2014/chart" uri="{C3380CC4-5D6E-409C-BE32-E72D297353CC}">
              <c16:uniqueId val="{00000002-59DB-42D2-A7DE-1CE9FBC74854}"/>
            </c:ext>
          </c:extLst>
        </c:ser>
        <c:ser>
          <c:idx val="3"/>
          <c:order val="3"/>
          <c:tx>
            <c:v>Operating 25 km / 1600 km pass</c:v>
          </c:tx>
          <c:spPr>
            <a:ln w="19050">
              <a:solidFill>
                <a:srgbClr val="7C3AED"/>
              </a:solidFill>
              <a:prstDash val="solid"/>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Native_Chart_Data!$H$1473:$H$1713</c:f>
              <c:numCache>
                <c:formatCode>General</c:formatCode>
                <c:ptCount val="241"/>
                <c:pt idx="0">
                  <c:v>9500.9899232733605</c:v>
                </c:pt>
                <c:pt idx="1">
                  <c:v>9376.0545934952825</c:v>
                </c:pt>
                <c:pt idx="2">
                  <c:v>9236.6010042814323</c:v>
                </c:pt>
                <c:pt idx="3">
                  <c:v>9113.617881954191</c:v>
                </c:pt>
                <c:pt idx="4">
                  <c:v>8991.5520543354905</c:v>
                </c:pt>
                <c:pt idx="5">
                  <c:v>8855.3232842094876</c:v>
                </c:pt>
                <c:pt idx="6">
                  <c:v>8735.2035534356819</c:v>
                </c:pt>
                <c:pt idx="7">
                  <c:v>8615.9980720706571</c:v>
                </c:pt>
                <c:pt idx="8">
                  <c:v>8482.9834109222265</c:v>
                </c:pt>
                <c:pt idx="9">
                  <c:v>8365.7171770078276</c:v>
                </c:pt>
                <c:pt idx="10">
                  <c:v>8249.3617845544723</c:v>
                </c:pt>
                <c:pt idx="11">
                  <c:v>8119.5492469653982</c:v>
                </c:pt>
                <c:pt idx="12">
                  <c:v>8005.1254484618212</c:v>
                </c:pt>
                <c:pt idx="13">
                  <c:v>7891.6086886825724</c:v>
                </c:pt>
                <c:pt idx="14">
                  <c:v>7764.9849009013669</c:v>
                </c:pt>
                <c:pt idx="15">
                  <c:v>7653.3912060529701</c:v>
                </c:pt>
                <c:pt idx="16">
                  <c:v>7542.700317284668</c:v>
                </c:pt>
                <c:pt idx="17">
                  <c:v>7419.2503937327101</c:v>
                </c:pt>
                <c:pt idx="18">
                  <c:v>7310.4730873835651</c:v>
                </c:pt>
                <c:pt idx="19">
                  <c:v>7202.5938862445973</c:v>
                </c:pt>
                <c:pt idx="20">
                  <c:v>7082.3012947740126</c:v>
                </c:pt>
                <c:pt idx="21">
                  <c:v>6976.325155041407</c:v>
                </c:pt>
                <c:pt idx="22">
                  <c:v>6871.2419096860749</c:v>
                </c:pt>
                <c:pt idx="23">
                  <c:v>6754.0883248186901</c:v>
                </c:pt>
                <c:pt idx="24">
                  <c:v>6650.8964888556302</c:v>
                </c:pt>
                <c:pt idx="25">
                  <c:v>6548.5917811077279</c:v>
                </c:pt>
                <c:pt idx="26">
                  <c:v>6434.5569245182351</c:v>
                </c:pt>
                <c:pt idx="27">
                  <c:v>6334.130742726853</c:v>
                </c:pt>
                <c:pt idx="28">
                  <c:v>6234.5853184731659</c:v>
                </c:pt>
                <c:pt idx="29">
                  <c:v>6123.6467860475259</c:v>
                </c:pt>
                <c:pt idx="30">
                  <c:v>6025.9656641770644</c:v>
                </c:pt>
                <c:pt idx="31">
                  <c:v>5929.1582714862652</c:v>
                </c:pt>
                <c:pt idx="32">
                  <c:v>5821.2913463973637</c:v>
                </c:pt>
                <c:pt idx="33">
                  <c:v>5726.332575075653</c:v>
                </c:pt>
                <c:pt idx="34">
                  <c:v>5632.2397896392276</c:v>
                </c:pt>
                <c:pt idx="35">
                  <c:v>5527.4172410510082</c:v>
                </c:pt>
                <c:pt idx="36">
                  <c:v>5435.1558124688245</c:v>
                </c:pt>
                <c:pt idx="37">
                  <c:v>5343.7518501523427</c:v>
                </c:pt>
                <c:pt idx="38">
                  <c:v>5241.943717406506</c:v>
                </c:pt>
                <c:pt idx="39">
                  <c:v>5152.352129116699</c:v>
                </c:pt>
                <c:pt idx="40">
                  <c:v>5063.6086456793191</c:v>
                </c:pt>
                <c:pt idx="41">
                  <c:v>4964.782008157169</c:v>
                </c:pt>
                <c:pt idx="42">
                  <c:v>4877.8300542852958</c:v>
                </c:pt>
                <c:pt idx="43">
                  <c:v>4791.715932694854</c:v>
                </c:pt>
                <c:pt idx="44">
                  <c:v>4695.834666007484</c:v>
                </c:pt>
                <c:pt idx="45">
                  <c:v>4611.4892166235932</c:v>
                </c:pt>
                <c:pt idx="46">
                  <c:v>4527.9703428921011</c:v>
                </c:pt>
                <c:pt idx="47">
                  <c:v>4434.9948626697533</c:v>
                </c:pt>
                <c:pt idx="48">
                  <c:v>4353.2196326758594</c:v>
                </c:pt>
                <c:pt idx="49">
                  <c:v>4272.2586618025425</c:v>
                </c:pt>
                <c:pt idx="50">
                  <c:v>4182.1456571735444</c:v>
                </c:pt>
                <c:pt idx="51">
                  <c:v>4102.9009668625113</c:v>
                </c:pt>
                <c:pt idx="52">
                  <c:v>4024.4570813468608</c:v>
                </c:pt>
                <c:pt idx="53">
                  <c:v>3937.1592412789855</c:v>
                </c:pt>
                <c:pt idx="54">
                  <c:v>3860.4017717773222</c:v>
                </c:pt>
                <c:pt idx="55">
                  <c:v>3784.4304363200208</c:v>
                </c:pt>
                <c:pt idx="56">
                  <c:v>3699.8961734258551</c:v>
                </c:pt>
                <c:pt idx="57">
                  <c:v>3625.5787216297722</c:v>
                </c:pt>
                <c:pt idx="58">
                  <c:v>3552.0314391676843</c:v>
                </c:pt>
                <c:pt idx="59">
                  <c:v>3470.2046174700768</c:v>
                </c:pt>
                <c:pt idx="60">
                  <c:v>3398.275856941299</c:v>
                </c:pt>
                <c:pt idx="61">
                  <c:v>3327.0999332019856</c:v>
                </c:pt>
                <c:pt idx="62">
                  <c:v>3247.9196088934864</c:v>
                </c:pt>
                <c:pt idx="63">
                  <c:v>3178.3238656808849</c:v>
                </c:pt>
                <c:pt idx="64">
                  <c:v>3109.4621922008068</c:v>
                </c:pt>
                <c:pt idx="65">
                  <c:v>3032.8623798858607</c:v>
                </c:pt>
                <c:pt idx="66">
                  <c:v>2965.5394356653028</c:v>
                </c:pt>
                <c:pt idx="67">
                  <c:v>2898.930305024403</c:v>
                </c:pt>
                <c:pt idx="68">
                  <c:v>2824.8397867428093</c:v>
                </c:pt>
                <c:pt idx="69">
                  <c:v>2759.7247264813568</c:v>
                </c:pt>
                <c:pt idx="70">
                  <c:v>2695.3016989076077</c:v>
                </c:pt>
                <c:pt idx="71">
                  <c:v>2623.643900129246</c:v>
                </c:pt>
                <c:pt idx="72">
                  <c:v>2560.6670284536167</c:v>
                </c:pt>
                <c:pt idx="73">
                  <c:v>2498.3588768603126</c:v>
                </c:pt>
                <c:pt idx="74">
                  <c:v>2429.0518438601966</c:v>
                </c:pt>
                <c:pt idx="75">
                  <c:v>2368.1387047809635</c:v>
                </c:pt>
                <c:pt idx="76">
                  <c:v>2307.869477325939</c:v>
                </c:pt>
                <c:pt idx="77">
                  <c:v>2240.8260060943512</c:v>
                </c:pt>
                <c:pt idx="78">
                  <c:v>2181.8975570992638</c:v>
                </c:pt>
                <c:pt idx="79">
                  <c:v>2123.5868153942761</c:v>
                </c:pt>
                <c:pt idx="80">
                  <c:v>2058.7148075309083</c:v>
                </c:pt>
                <c:pt idx="81">
                  <c:v>2001.6878257232431</c:v>
                </c:pt>
                <c:pt idx="82">
                  <c:v>1945.2511482815198</c:v>
                </c:pt>
                <c:pt idx="83">
                  <c:v>1882.4543117385992</c:v>
                </c:pt>
                <c:pt idx="84">
                  <c:v>1827.2421550832848</c:v>
                </c:pt>
                <c:pt idx="85">
                  <c:v>1772.5920499108024</c:v>
                </c:pt>
                <c:pt idx="86">
                  <c:v>1711.7711368171172</c:v>
                </c:pt>
                <c:pt idx="87">
                  <c:v>1658.2850643618456</c:v>
                </c:pt>
                <c:pt idx="88">
                  <c:v>1605.3325327342354</c:v>
                </c:pt>
                <c:pt idx="89">
                  <c:v>1546.3874430517001</c:v>
                </c:pt>
                <c:pt idx="90">
                  <c:v>1494.538848738704</c:v>
                </c:pt>
                <c:pt idx="91">
                  <c:v>1443.1960281662846</c:v>
                </c:pt>
                <c:pt idx="92">
                  <c:v>1386.0293710733336</c:v>
                </c:pt>
                <c:pt idx="93">
                  <c:v>1335.7335814317601</c:v>
                </c:pt>
                <c:pt idx="94">
                  <c:v>1285.9182668026356</c:v>
                </c:pt>
                <c:pt idx="95">
                  <c:v>1230.4415066288307</c:v>
                </c:pt>
                <c:pt idx="96">
                  <c:v>1181.6244054437507</c:v>
                </c:pt>
                <c:pt idx="97">
                  <c:v>1133.2680310356866</c:v>
                </c:pt>
                <c:pt idx="98">
                  <c:v>1079.4124988914414</c:v>
                </c:pt>
                <c:pt idx="99">
                  <c:v>1032.0225937697833</c:v>
                </c:pt>
                <c:pt idx="100">
                  <c:v>985.08502580385175</c:v>
                </c:pt>
                <c:pt idx="101">
                  <c:v>932.82274514534868</c:v>
                </c:pt>
                <c:pt idx="102">
                  <c:v>886.85449472026994</c:v>
                </c:pt>
                <c:pt idx="103">
                  <c:v>841.35327888293671</c:v>
                </c:pt>
                <c:pt idx="104">
                  <c:v>790.73922174294944</c:v>
                </c:pt>
                <c:pt idx="105">
                  <c:v>746.28169026439843</c:v>
                </c:pt>
                <c:pt idx="106">
                  <c:v>702.35477860817696</c:v>
                </c:pt>
                <c:pt idx="107">
                  <c:v>653.62041243254544</c:v>
                </c:pt>
                <c:pt idx="108">
                  <c:v>610.9686237412925</c:v>
                </c:pt>
                <c:pt idx="109">
                  <c:v>569.02276868174431</c:v>
                </c:pt>
                <c:pt idx="110">
                  <c:v>522.8056693168993</c:v>
                </c:pt>
                <c:pt idx="111">
                  <c:v>482.74430884328382</c:v>
                </c:pt>
                <c:pt idx="112">
                  <c:v>443.8466445893456</c:v>
                </c:pt>
                <c:pt idx="113">
                  <c:v>401.81820551497754</c:v>
                </c:pt>
                <c:pt idx="114">
                  <c:v>366.42028097133147</c:v>
                </c:pt>
                <c:pt idx="115">
                  <c:v>333.41947696346216</c:v>
                </c:pt>
                <c:pt idx="116">
                  <c:v>300.07341715264386</c:v>
                </c:pt>
                <c:pt idx="117">
                  <c:v>274.87151736535009</c:v>
                </c:pt>
                <c:pt idx="118">
                  <c:v>255.10349072494134</c:v>
                </c:pt>
                <c:pt idx="119">
                  <c:v>240.97664531965657</c:v>
                </c:pt>
                <c:pt idx="120">
                  <c:v>236.80676373491008</c:v>
                </c:pt>
                <c:pt idx="121">
                  <c:v>240.97664531965657</c:v>
                </c:pt>
                <c:pt idx="122">
                  <c:v>255.10349072494134</c:v>
                </c:pt>
                <c:pt idx="123">
                  <c:v>274.87151736535009</c:v>
                </c:pt>
                <c:pt idx="124">
                  <c:v>300.07341715264386</c:v>
                </c:pt>
                <c:pt idx="125">
                  <c:v>333.41947696346216</c:v>
                </c:pt>
                <c:pt idx="126">
                  <c:v>366.42028097133147</c:v>
                </c:pt>
                <c:pt idx="127">
                  <c:v>401.81820551497754</c:v>
                </c:pt>
                <c:pt idx="128">
                  <c:v>443.8466445893456</c:v>
                </c:pt>
                <c:pt idx="129">
                  <c:v>482.74430884328382</c:v>
                </c:pt>
                <c:pt idx="130">
                  <c:v>522.8056693168993</c:v>
                </c:pt>
                <c:pt idx="131">
                  <c:v>569.02276868174431</c:v>
                </c:pt>
                <c:pt idx="132">
                  <c:v>610.9686237412925</c:v>
                </c:pt>
                <c:pt idx="133">
                  <c:v>653.62041243254544</c:v>
                </c:pt>
                <c:pt idx="134">
                  <c:v>702.35477860817696</c:v>
                </c:pt>
                <c:pt idx="135">
                  <c:v>746.28169026439843</c:v>
                </c:pt>
                <c:pt idx="136">
                  <c:v>790.73922174294944</c:v>
                </c:pt>
                <c:pt idx="137">
                  <c:v>841.35327888296126</c:v>
                </c:pt>
                <c:pt idx="138">
                  <c:v>886.85449472026994</c:v>
                </c:pt>
                <c:pt idx="139">
                  <c:v>932.82274514534868</c:v>
                </c:pt>
                <c:pt idx="140">
                  <c:v>985.08502580385175</c:v>
                </c:pt>
                <c:pt idx="141">
                  <c:v>1032.0225937697833</c:v>
                </c:pt>
                <c:pt idx="142">
                  <c:v>1079.4124988914414</c:v>
                </c:pt>
                <c:pt idx="143">
                  <c:v>1133.2680310356866</c:v>
                </c:pt>
                <c:pt idx="144">
                  <c:v>1181.6244054437507</c:v>
                </c:pt>
                <c:pt idx="145">
                  <c:v>1230.4415066288307</c:v>
                </c:pt>
                <c:pt idx="146">
                  <c:v>1285.9182668026356</c:v>
                </c:pt>
                <c:pt idx="147">
                  <c:v>1335.7335814317601</c:v>
                </c:pt>
                <c:pt idx="148">
                  <c:v>1386.0293710733336</c:v>
                </c:pt>
                <c:pt idx="149">
                  <c:v>1443.1960281662846</c:v>
                </c:pt>
                <c:pt idx="150">
                  <c:v>1494.538848738704</c:v>
                </c:pt>
                <c:pt idx="151">
                  <c:v>1546.3874430517001</c:v>
                </c:pt>
                <c:pt idx="152">
                  <c:v>1605.3325327342354</c:v>
                </c:pt>
                <c:pt idx="153">
                  <c:v>1658.2850643618456</c:v>
                </c:pt>
                <c:pt idx="154">
                  <c:v>1711.7711368171172</c:v>
                </c:pt>
                <c:pt idx="155">
                  <c:v>1772.5920499108024</c:v>
                </c:pt>
                <c:pt idx="156">
                  <c:v>1827.2421550832848</c:v>
                </c:pt>
                <c:pt idx="157">
                  <c:v>1882.4543117385992</c:v>
                </c:pt>
                <c:pt idx="158">
                  <c:v>1945.2511482815198</c:v>
                </c:pt>
                <c:pt idx="159">
                  <c:v>2001.6878257232431</c:v>
                </c:pt>
                <c:pt idx="160">
                  <c:v>2058.7148075309083</c:v>
                </c:pt>
                <c:pt idx="161">
                  <c:v>2123.5868153942665</c:v>
                </c:pt>
                <c:pt idx="162">
                  <c:v>2181.8975570992638</c:v>
                </c:pt>
                <c:pt idx="163">
                  <c:v>2240.8260060943512</c:v>
                </c:pt>
                <c:pt idx="164">
                  <c:v>2307.8694773259299</c:v>
                </c:pt>
                <c:pt idx="165">
                  <c:v>2368.1387047809635</c:v>
                </c:pt>
                <c:pt idx="166">
                  <c:v>2429.0518438601889</c:v>
                </c:pt>
                <c:pt idx="167">
                  <c:v>2498.3588768603126</c:v>
                </c:pt>
                <c:pt idx="168">
                  <c:v>2560.6670284536167</c:v>
                </c:pt>
                <c:pt idx="169">
                  <c:v>2623.6439001292542</c:v>
                </c:pt>
                <c:pt idx="170">
                  <c:v>2695.3016989076004</c:v>
                </c:pt>
                <c:pt idx="171">
                  <c:v>2759.7247264813568</c:v>
                </c:pt>
                <c:pt idx="172">
                  <c:v>2824.8397867428093</c:v>
                </c:pt>
                <c:pt idx="173">
                  <c:v>2898.9303050244098</c:v>
                </c:pt>
                <c:pt idx="174">
                  <c:v>2965.5394356653028</c:v>
                </c:pt>
                <c:pt idx="175">
                  <c:v>3032.8623798858607</c:v>
                </c:pt>
                <c:pt idx="176">
                  <c:v>3109.4621922008068</c:v>
                </c:pt>
                <c:pt idx="177">
                  <c:v>3178.3238656808849</c:v>
                </c:pt>
                <c:pt idx="178">
                  <c:v>3247.91960889348</c:v>
                </c:pt>
                <c:pt idx="179">
                  <c:v>3327.0999332019915</c:v>
                </c:pt>
                <c:pt idx="180">
                  <c:v>3398.275856941299</c:v>
                </c:pt>
                <c:pt idx="181">
                  <c:v>3470.2046174700704</c:v>
                </c:pt>
                <c:pt idx="182">
                  <c:v>3552.0314391676843</c:v>
                </c:pt>
                <c:pt idx="183">
                  <c:v>3625.5787216297722</c:v>
                </c:pt>
                <c:pt idx="184">
                  <c:v>3699.896173425861</c:v>
                </c:pt>
                <c:pt idx="185">
                  <c:v>3784.4304363200208</c:v>
                </c:pt>
                <c:pt idx="186">
                  <c:v>3860.4017717773222</c:v>
                </c:pt>
                <c:pt idx="187">
                  <c:v>3937.159241278996</c:v>
                </c:pt>
                <c:pt idx="188">
                  <c:v>4024.4570813468608</c:v>
                </c:pt>
                <c:pt idx="189">
                  <c:v>4102.9009668625113</c:v>
                </c:pt>
                <c:pt idx="190">
                  <c:v>4182.1456571735444</c:v>
                </c:pt>
                <c:pt idx="191">
                  <c:v>4272.258661802538</c:v>
                </c:pt>
                <c:pt idx="192">
                  <c:v>4353.2196326758594</c:v>
                </c:pt>
                <c:pt idx="193">
                  <c:v>4434.9948626697578</c:v>
                </c:pt>
                <c:pt idx="194">
                  <c:v>4527.9703428920966</c:v>
                </c:pt>
                <c:pt idx="195">
                  <c:v>4611.4892166235932</c:v>
                </c:pt>
                <c:pt idx="196">
                  <c:v>4695.8346660074885</c:v>
                </c:pt>
                <c:pt idx="197">
                  <c:v>4791.715932694854</c:v>
                </c:pt>
                <c:pt idx="198">
                  <c:v>4877.8300542852958</c:v>
                </c:pt>
                <c:pt idx="199">
                  <c:v>4964.7820081571645</c:v>
                </c:pt>
                <c:pt idx="200">
                  <c:v>5063.6086456793228</c:v>
                </c:pt>
                <c:pt idx="201">
                  <c:v>5152.352129116699</c:v>
                </c:pt>
                <c:pt idx="202">
                  <c:v>5241.943717406506</c:v>
                </c:pt>
                <c:pt idx="203">
                  <c:v>5343.7518501523427</c:v>
                </c:pt>
                <c:pt idx="204">
                  <c:v>5435.1558124688245</c:v>
                </c:pt>
                <c:pt idx="205">
                  <c:v>5527.4172410510055</c:v>
                </c:pt>
                <c:pt idx="206">
                  <c:v>5632.2397896392322</c:v>
                </c:pt>
                <c:pt idx="207">
                  <c:v>5726.332575075653</c:v>
                </c:pt>
                <c:pt idx="208">
                  <c:v>5821.2913463973637</c:v>
                </c:pt>
                <c:pt idx="209">
                  <c:v>5929.1582714862625</c:v>
                </c:pt>
                <c:pt idx="210">
                  <c:v>6025.9656641770644</c:v>
                </c:pt>
                <c:pt idx="211">
                  <c:v>6123.6467860475295</c:v>
                </c:pt>
                <c:pt idx="212">
                  <c:v>6234.5853184731659</c:v>
                </c:pt>
                <c:pt idx="213">
                  <c:v>6334.130742726853</c:v>
                </c:pt>
                <c:pt idx="214">
                  <c:v>6434.5569245182351</c:v>
                </c:pt>
                <c:pt idx="215">
                  <c:v>6548.5917811077343</c:v>
                </c:pt>
                <c:pt idx="216">
                  <c:v>6650.8964888556302</c:v>
                </c:pt>
                <c:pt idx="217">
                  <c:v>6754.0883248186901</c:v>
                </c:pt>
                <c:pt idx="218">
                  <c:v>6871.2419096860749</c:v>
                </c:pt>
                <c:pt idx="219">
                  <c:v>6976.325155041407</c:v>
                </c:pt>
                <c:pt idx="220">
                  <c:v>7082.3012947740099</c:v>
                </c:pt>
                <c:pt idx="221">
                  <c:v>7202.5938862445973</c:v>
                </c:pt>
                <c:pt idx="222">
                  <c:v>7310.4730873835651</c:v>
                </c:pt>
                <c:pt idx="223">
                  <c:v>7419.2503937327128</c:v>
                </c:pt>
                <c:pt idx="224">
                  <c:v>7542.700317284668</c:v>
                </c:pt>
                <c:pt idx="225">
                  <c:v>7653.3912060529701</c:v>
                </c:pt>
                <c:pt idx="226">
                  <c:v>7764.9849009013706</c:v>
                </c:pt>
                <c:pt idx="227">
                  <c:v>7891.6086886825724</c:v>
                </c:pt>
                <c:pt idx="228">
                  <c:v>8005.1254484618212</c:v>
                </c:pt>
                <c:pt idx="229">
                  <c:v>8119.5492469653946</c:v>
                </c:pt>
                <c:pt idx="230">
                  <c:v>8249.3617845544723</c:v>
                </c:pt>
                <c:pt idx="231">
                  <c:v>8365.7171770078276</c:v>
                </c:pt>
                <c:pt idx="232">
                  <c:v>8482.9834109222265</c:v>
                </c:pt>
                <c:pt idx="233">
                  <c:v>8615.9980720706571</c:v>
                </c:pt>
                <c:pt idx="234">
                  <c:v>8735.2035534356819</c:v>
                </c:pt>
                <c:pt idx="235">
                  <c:v>8855.3232842094876</c:v>
                </c:pt>
                <c:pt idx="236">
                  <c:v>8991.5520543354942</c:v>
                </c:pt>
                <c:pt idx="237">
                  <c:v>9113.617881954191</c:v>
                </c:pt>
                <c:pt idx="238">
                  <c:v>9236.6010042814341</c:v>
                </c:pt>
                <c:pt idx="239">
                  <c:v>9376.0545934952825</c:v>
                </c:pt>
                <c:pt idx="240">
                  <c:v>9500.9899232733605</c:v>
                </c:pt>
              </c:numCache>
            </c:numRef>
          </c:yVal>
          <c:smooth val="0"/>
          <c:extLst>
            <c:ext xmlns:c16="http://schemas.microsoft.com/office/drawing/2014/chart" uri="{C3380CC4-5D6E-409C-BE32-E72D297353CC}">
              <c16:uniqueId val="{00000003-59DB-42D2-A7DE-1CE9FBC74854}"/>
            </c:ext>
          </c:extLst>
        </c:ser>
        <c:dLbls>
          <c:showLegendKey val="0"/>
          <c:showVal val="0"/>
          <c:showCatName val="0"/>
          <c:showSerName val="0"/>
          <c:showPercent val="0"/>
          <c:showBubbleSize val="0"/>
        </c:dLbls>
        <c:axId val="700014"/>
        <c:axId val="700015"/>
      </c:scatterChart>
      <c:valAx>
        <c:axId val="700014"/>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5"/>
        <c:crosses val="min"/>
        <c:crossBetween val="midCat"/>
        <c:majorUnit val="500"/>
      </c:valAx>
      <c:valAx>
        <c:axId val="700015"/>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4"/>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Native_Chart_Data!$A$1718:$A$1958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Native_Chart_Data!$B$1718:$B$1958</c:f>
              <c:numCache>
                <c:formatCode>General</c:formatCode>
                <c:ptCount val="241"/>
                <c:pt idx="0">
                  <c:v>2737.9721339616262</c:v>
                </c:pt>
                <c:pt idx="1">
                  <c:v>2736.9528201395592</c:v>
                </c:pt>
                <c:pt idx="2">
                  <c:v>2735.8693928822458</c:v>
                </c:pt>
                <c:pt idx="3">
                  <c:v>2734.7537852754253</c:v>
                </c:pt>
                <c:pt idx="4">
                  <c:v>2733.8712853195143</c:v>
                </c:pt>
                <c:pt idx="5">
                  <c:v>2732.687149406082</c:v>
                </c:pt>
                <c:pt idx="6">
                  <c:v>2731.6895767899719</c:v>
                </c:pt>
                <c:pt idx="7">
                  <c:v>2730.7088318781148</c:v>
                </c:pt>
                <c:pt idx="8">
                  <c:v>2729.5241867812651</c:v>
                </c:pt>
                <c:pt idx="9">
                  <c:v>2728.5707503638432</c:v>
                </c:pt>
                <c:pt idx="10">
                  <c:v>2727.45681982305</c:v>
                </c:pt>
                <c:pt idx="11">
                  <c:v>2726.3354650184833</c:v>
                </c:pt>
                <c:pt idx="12">
                  <c:v>2725.4452542994177</c:v>
                </c:pt>
                <c:pt idx="13">
                  <c:v>2724.3586238461326</c:v>
                </c:pt>
                <c:pt idx="14">
                  <c:v>2723.2627061687181</c:v>
                </c:pt>
                <c:pt idx="15">
                  <c:v>2722.4209257280004</c:v>
                </c:pt>
                <c:pt idx="16">
                  <c:v>2721.453798788491</c:v>
                </c:pt>
                <c:pt idx="17">
                  <c:v>2720.3789439041557</c:v>
                </c:pt>
                <c:pt idx="18">
                  <c:v>2719.5300576923719</c:v>
                </c:pt>
                <c:pt idx="19">
                  <c:v>2718.6801987581757</c:v>
                </c:pt>
                <c:pt idx="20">
                  <c:v>2717.6974345549215</c:v>
                </c:pt>
                <c:pt idx="21">
                  <c:v>2716.8250307204657</c:v>
                </c:pt>
                <c:pt idx="22">
                  <c:v>2716.0170983071607</c:v>
                </c:pt>
                <c:pt idx="23">
                  <c:v>2715.0613483936577</c:v>
                </c:pt>
                <c:pt idx="24">
                  <c:v>2714.2779556726477</c:v>
                </c:pt>
                <c:pt idx="25">
                  <c:v>2713.5291977559514</c:v>
                </c:pt>
                <c:pt idx="26">
                  <c:v>2712.5601656074723</c:v>
                </c:pt>
                <c:pt idx="27">
                  <c:v>2711.7731730634732</c:v>
                </c:pt>
                <c:pt idx="28">
                  <c:v>2711.1609992569461</c:v>
                </c:pt>
                <c:pt idx="29">
                  <c:v>2710.338289310354</c:v>
                </c:pt>
                <c:pt idx="30">
                  <c:v>2709.6428929865006</c:v>
                </c:pt>
                <c:pt idx="31">
                  <c:v>2708.85476109416</c:v>
                </c:pt>
                <c:pt idx="32">
                  <c:v>2708.0463093967692</c:v>
                </c:pt>
                <c:pt idx="33">
                  <c:v>2707.2816005599116</c:v>
                </c:pt>
                <c:pt idx="34">
                  <c:v>2706.6595368359267</c:v>
                </c:pt>
                <c:pt idx="35">
                  <c:v>2705.8693463886002</c:v>
                </c:pt>
                <c:pt idx="36">
                  <c:v>2705.2770547538398</c:v>
                </c:pt>
                <c:pt idx="37">
                  <c:v>2704.5693253611653</c:v>
                </c:pt>
                <c:pt idx="38">
                  <c:v>2703.6905678073786</c:v>
                </c:pt>
                <c:pt idx="39">
                  <c:v>2702.949725274078</c:v>
                </c:pt>
                <c:pt idx="40">
                  <c:v>2702.3426391343892</c:v>
                </c:pt>
                <c:pt idx="41">
                  <c:v>2701.587502760221</c:v>
                </c:pt>
                <c:pt idx="42">
                  <c:v>2700.8810640310994</c:v>
                </c:pt>
                <c:pt idx="43">
                  <c:v>2700.0703913209777</c:v>
                </c:pt>
                <c:pt idx="44">
                  <c:v>2699.2430908261645</c:v>
                </c:pt>
                <c:pt idx="45">
                  <c:v>2698.4858261088816</c:v>
                </c:pt>
                <c:pt idx="46">
                  <c:v>2697.912683127855</c:v>
                </c:pt>
                <c:pt idx="47">
                  <c:v>2697.0681163678028</c:v>
                </c:pt>
                <c:pt idx="48">
                  <c:v>2696.3049663672955</c:v>
                </c:pt>
                <c:pt idx="49">
                  <c:v>2695.6592976495863</c:v>
                </c:pt>
                <c:pt idx="50">
                  <c:v>2694.8999569640541</c:v>
                </c:pt>
                <c:pt idx="51">
                  <c:v>2694.1431538106372</c:v>
                </c:pt>
                <c:pt idx="52">
                  <c:v>2693.5887701095885</c:v>
                </c:pt>
                <c:pt idx="53">
                  <c:v>2692.7579631655858</c:v>
                </c:pt>
                <c:pt idx="54">
                  <c:v>2692.1746655892334</c:v>
                </c:pt>
                <c:pt idx="55">
                  <c:v>2691.668504525569</c:v>
                </c:pt>
                <c:pt idx="56">
                  <c:v>2690.9024159206665</c:v>
                </c:pt>
                <c:pt idx="57">
                  <c:v>2690.3688239418552</c:v>
                </c:pt>
                <c:pt idx="58">
                  <c:v>2689.8799811873109</c:v>
                </c:pt>
                <c:pt idx="59">
                  <c:v>2689.3682686667476</c:v>
                </c:pt>
                <c:pt idx="60">
                  <c:v>2688.8491812316879</c:v>
                </c:pt>
                <c:pt idx="61">
                  <c:v>2688.4185300402251</c:v>
                </c:pt>
                <c:pt idx="62">
                  <c:v>2687.9354849524943</c:v>
                </c:pt>
                <c:pt idx="63">
                  <c:v>2687.4656545086355</c:v>
                </c:pt>
                <c:pt idx="64">
                  <c:v>2686.9865062165222</c:v>
                </c:pt>
                <c:pt idx="65">
                  <c:v>2686.5763667331762</c:v>
                </c:pt>
                <c:pt idx="66">
                  <c:v>2686.1230281089606</c:v>
                </c:pt>
                <c:pt idx="67">
                  <c:v>2685.7641048695896</c:v>
                </c:pt>
                <c:pt idx="68">
                  <c:v>2685.2667592520247</c:v>
                </c:pt>
                <c:pt idx="69">
                  <c:v>2684.8382682822116</c:v>
                </c:pt>
                <c:pt idx="70">
                  <c:v>2684.3442588116868</c:v>
                </c:pt>
                <c:pt idx="71">
                  <c:v>2684.0091118985915</c:v>
                </c:pt>
                <c:pt idx="72">
                  <c:v>2683.537186227637</c:v>
                </c:pt>
                <c:pt idx="73">
                  <c:v>2682.9593998812611</c:v>
                </c:pt>
                <c:pt idx="74">
                  <c:v>2682.5936759748174</c:v>
                </c:pt>
                <c:pt idx="75">
                  <c:v>2682.1747296808348</c:v>
                </c:pt>
                <c:pt idx="76">
                  <c:v>2681.633377970777</c:v>
                </c:pt>
                <c:pt idx="77">
                  <c:v>2681.0742778958761</c:v>
                </c:pt>
                <c:pt idx="78">
                  <c:v>2680.8050317196712</c:v>
                </c:pt>
                <c:pt idx="79">
                  <c:v>2680.3072133612891</c:v>
                </c:pt>
                <c:pt idx="80">
                  <c:v>2679.9104357341862</c:v>
                </c:pt>
                <c:pt idx="81">
                  <c:v>2679.4176164876385</c:v>
                </c:pt>
                <c:pt idx="82">
                  <c:v>2679.1011383607356</c:v>
                </c:pt>
                <c:pt idx="83">
                  <c:v>2678.620330554761</c:v>
                </c:pt>
                <c:pt idx="84">
                  <c:v>2678.2274086948387</c:v>
                </c:pt>
                <c:pt idx="85">
                  <c:v>2677.9011023671369</c:v>
                </c:pt>
                <c:pt idx="86">
                  <c:v>2677.5923280337583</c:v>
                </c:pt>
                <c:pt idx="87">
                  <c:v>2677.3368515879529</c:v>
                </c:pt>
                <c:pt idx="88">
                  <c:v>2676.8935781249206</c:v>
                </c:pt>
                <c:pt idx="89">
                  <c:v>2676.6826725277347</c:v>
                </c:pt>
                <c:pt idx="90">
                  <c:v>2676.2980549112249</c:v>
                </c:pt>
                <c:pt idx="91">
                  <c:v>2676.0772755395565</c:v>
                </c:pt>
                <c:pt idx="92">
                  <c:v>2675.7482372623963</c:v>
                </c:pt>
                <c:pt idx="93">
                  <c:v>2675.5210025946371</c:v>
                </c:pt>
                <c:pt idx="94">
                  <c:v>2675.2435096732338</c:v>
                </c:pt>
                <c:pt idx="95">
                  <c:v>2674.8308245474545</c:v>
                </c:pt>
                <c:pt idx="96">
                  <c:v>2674.7105794245053</c:v>
                </c:pt>
                <c:pt idx="97">
                  <c:v>2674.359012410629</c:v>
                </c:pt>
                <c:pt idx="98">
                  <c:v>2674.1900165683978</c:v>
                </c:pt>
                <c:pt idx="99">
                  <c:v>2673.894654942711</c:v>
                </c:pt>
                <c:pt idx="100">
                  <c:v>2673.7596972090009</c:v>
                </c:pt>
                <c:pt idx="101">
                  <c:v>2673.572737760398</c:v>
                </c:pt>
                <c:pt idx="102">
                  <c:v>2673.3024730717379</c:v>
                </c:pt>
                <c:pt idx="103">
                  <c:v>2673.2073752697829</c:v>
                </c:pt>
                <c:pt idx="104">
                  <c:v>2673.1725556374686</c:v>
                </c:pt>
                <c:pt idx="105">
                  <c:v>2672.9293325644585</c:v>
                </c:pt>
                <c:pt idx="106">
                  <c:v>2672.8882972109009</c:v>
                </c:pt>
                <c:pt idx="107">
                  <c:v>2672.8488768179254</c:v>
                </c:pt>
                <c:pt idx="108">
                  <c:v>2672.7173618544525</c:v>
                </c:pt>
                <c:pt idx="109">
                  <c:v>2672.7770442223359</c:v>
                </c:pt>
                <c:pt idx="110">
                  <c:v>2672.7206538052651</c:v>
                </c:pt>
                <c:pt idx="111">
                  <c:v>2672.5986396111089</c:v>
                </c:pt>
                <c:pt idx="112">
                  <c:v>2672.6169862341058</c:v>
                </c:pt>
                <c:pt idx="113">
                  <c:v>2672.4600191223049</c:v>
                </c:pt>
                <c:pt idx="114">
                  <c:v>2672.4187092220673</c:v>
                </c:pt>
                <c:pt idx="115">
                  <c:v>2672.3765444545224</c:v>
                </c:pt>
                <c:pt idx="116">
                  <c:v>2672.2849887663119</c:v>
                </c:pt>
                <c:pt idx="117">
                  <c:v>2672.2252634034899</c:v>
                </c:pt>
                <c:pt idx="118">
                  <c:v>2672.0265961152877</c:v>
                </c:pt>
                <c:pt idx="119">
                  <c:v>2671.9704462755117</c:v>
                </c:pt>
                <c:pt idx="120">
                  <c:v>2671.8569109380314</c:v>
                </c:pt>
                <c:pt idx="121">
                  <c:v>2671.7347624653162</c:v>
                </c:pt>
                <c:pt idx="122">
                  <c:v>2671.6247904009706</c:v>
                </c:pt>
                <c:pt idx="123">
                  <c:v>2671.6549134965071</c:v>
                </c:pt>
                <c:pt idx="124">
                  <c:v>2671.5544812824301</c:v>
                </c:pt>
                <c:pt idx="125">
                  <c:v>2671.5552629166964</c:v>
                </c:pt>
                <c:pt idx="126">
                  <c:v>2671.6426309227986</c:v>
                </c:pt>
                <c:pt idx="127">
                  <c:v>2671.5287542409565</c:v>
                </c:pt>
                <c:pt idx="128">
                  <c:v>2671.7164768981124</c:v>
                </c:pt>
                <c:pt idx="129">
                  <c:v>2671.6321310975477</c:v>
                </c:pt>
                <c:pt idx="130">
                  <c:v>2671.7859679590338</c:v>
                </c:pt>
                <c:pt idx="131">
                  <c:v>2672.0025883219796</c:v>
                </c:pt>
                <c:pt idx="132">
                  <c:v>2672.1459076177921</c:v>
                </c:pt>
                <c:pt idx="133">
                  <c:v>2672.2620883765708</c:v>
                </c:pt>
                <c:pt idx="134">
                  <c:v>2672.4787069540553</c:v>
                </c:pt>
                <c:pt idx="135">
                  <c:v>2672.7084579796765</c:v>
                </c:pt>
                <c:pt idx="136">
                  <c:v>2672.8111298337622</c:v>
                </c:pt>
                <c:pt idx="137">
                  <c:v>2673.0186412762982</c:v>
                </c:pt>
                <c:pt idx="138">
                  <c:v>2673.298433729452</c:v>
                </c:pt>
                <c:pt idx="139">
                  <c:v>2673.5257336157001</c:v>
                </c:pt>
                <c:pt idx="140">
                  <c:v>2673.8821196789372</c:v>
                </c:pt>
                <c:pt idx="141">
                  <c:v>2674.108450593098</c:v>
                </c:pt>
                <c:pt idx="142">
                  <c:v>2674.2842198249568</c:v>
                </c:pt>
                <c:pt idx="143">
                  <c:v>2674.6197712683879</c:v>
                </c:pt>
                <c:pt idx="144">
                  <c:v>2674.8112882001351</c:v>
                </c:pt>
                <c:pt idx="145">
                  <c:v>2675.0957780917061</c:v>
                </c:pt>
                <c:pt idx="146">
                  <c:v>2675.2952657628025</c:v>
                </c:pt>
                <c:pt idx="147">
                  <c:v>2675.5869444872728</c:v>
                </c:pt>
                <c:pt idx="148">
                  <c:v>2675.7284415975018</c:v>
                </c:pt>
                <c:pt idx="149">
                  <c:v>2676.0397845083698</c:v>
                </c:pt>
                <c:pt idx="150">
                  <c:v>2676.4128817659403</c:v>
                </c:pt>
                <c:pt idx="151">
                  <c:v>2676.7007790282851</c:v>
                </c:pt>
                <c:pt idx="152">
                  <c:v>2676.9553204763829</c:v>
                </c:pt>
                <c:pt idx="153">
                  <c:v>2677.210266088246</c:v>
                </c:pt>
                <c:pt idx="154">
                  <c:v>2677.5398892825219</c:v>
                </c:pt>
                <c:pt idx="155">
                  <c:v>2677.7716485761302</c:v>
                </c:pt>
                <c:pt idx="156">
                  <c:v>2678.0591123143704</c:v>
                </c:pt>
                <c:pt idx="157">
                  <c:v>2678.3248962424841</c:v>
                </c:pt>
                <c:pt idx="158">
                  <c:v>2678.7603431942562</c:v>
                </c:pt>
                <c:pt idx="159">
                  <c:v>2678.934012540692</c:v>
                </c:pt>
                <c:pt idx="160">
                  <c:v>2679.2731517739471</c:v>
                </c:pt>
                <c:pt idx="161">
                  <c:v>2679.6384849074366</c:v>
                </c:pt>
                <c:pt idx="162">
                  <c:v>2679.9865256495527</c:v>
                </c:pt>
                <c:pt idx="163">
                  <c:v>2680.3628439768113</c:v>
                </c:pt>
                <c:pt idx="164">
                  <c:v>2680.656874477047</c:v>
                </c:pt>
                <c:pt idx="165">
                  <c:v>2681.1410389461162</c:v>
                </c:pt>
                <c:pt idx="166">
                  <c:v>2681.4410343801505</c:v>
                </c:pt>
                <c:pt idx="167">
                  <c:v>2681.9939788953425</c:v>
                </c:pt>
                <c:pt idx="168">
                  <c:v>2682.3919407186913</c:v>
                </c:pt>
                <c:pt idx="169">
                  <c:v>2682.9158806588962</c:v>
                </c:pt>
                <c:pt idx="170">
                  <c:v>2683.4438459390726</c:v>
                </c:pt>
                <c:pt idx="171">
                  <c:v>2684.0530894635986</c:v>
                </c:pt>
                <c:pt idx="172">
                  <c:v>2684.4264672966287</c:v>
                </c:pt>
                <c:pt idx="173">
                  <c:v>2685.2021480085291</c:v>
                </c:pt>
                <c:pt idx="174">
                  <c:v>2685.7460339181407</c:v>
                </c:pt>
                <c:pt idx="175">
                  <c:v>2686.2420281089157</c:v>
                </c:pt>
                <c:pt idx="176">
                  <c:v>2686.848274404113</c:v>
                </c:pt>
                <c:pt idx="177">
                  <c:v>2687.4641738490877</c:v>
                </c:pt>
                <c:pt idx="178">
                  <c:v>2688.1876250722621</c:v>
                </c:pt>
                <c:pt idx="179">
                  <c:v>2688.7222176431492</c:v>
                </c:pt>
                <c:pt idx="180">
                  <c:v>2689.3696122533497</c:v>
                </c:pt>
                <c:pt idx="181">
                  <c:v>2689.9524090049945</c:v>
                </c:pt>
                <c:pt idx="182">
                  <c:v>2690.5667082175996</c:v>
                </c:pt>
                <c:pt idx="183">
                  <c:v>2691.2861129347111</c:v>
                </c:pt>
                <c:pt idx="184">
                  <c:v>2691.7084514155754</c:v>
                </c:pt>
                <c:pt idx="185">
                  <c:v>2692.3320799684448</c:v>
                </c:pt>
                <c:pt idx="186">
                  <c:v>2692.9418963583466</c:v>
                </c:pt>
                <c:pt idx="187">
                  <c:v>2693.5471794573295</c:v>
                </c:pt>
                <c:pt idx="188">
                  <c:v>2694.1066115218923</c:v>
                </c:pt>
                <c:pt idx="189">
                  <c:v>2694.5893132697602</c:v>
                </c:pt>
                <c:pt idx="190">
                  <c:v>2695.2278389412959</c:v>
                </c:pt>
                <c:pt idx="191">
                  <c:v>2695.8930735840954</c:v>
                </c:pt>
                <c:pt idx="192">
                  <c:v>2696.4463864364902</c:v>
                </c:pt>
                <c:pt idx="193">
                  <c:v>2696.9847033524652</c:v>
                </c:pt>
                <c:pt idx="194">
                  <c:v>2697.5027559631326</c:v>
                </c:pt>
                <c:pt idx="195">
                  <c:v>2698.211716438776</c:v>
                </c:pt>
                <c:pt idx="196">
                  <c:v>2698.7445748679534</c:v>
                </c:pt>
                <c:pt idx="197">
                  <c:v>2699.5507501819761</c:v>
                </c:pt>
                <c:pt idx="198">
                  <c:v>2700.1000665260294</c:v>
                </c:pt>
                <c:pt idx="199">
                  <c:v>2700.798934050626</c:v>
                </c:pt>
                <c:pt idx="200">
                  <c:v>2701.6135071673953</c:v>
                </c:pt>
                <c:pt idx="201">
                  <c:v>2702.2275564022739</c:v>
                </c:pt>
                <c:pt idx="202">
                  <c:v>2702.9347012405674</c:v>
                </c:pt>
                <c:pt idx="203">
                  <c:v>2703.8102548708271</c:v>
                </c:pt>
                <c:pt idx="204">
                  <c:v>2704.614349908813</c:v>
                </c:pt>
                <c:pt idx="205">
                  <c:v>2705.3495311488232</c:v>
                </c:pt>
                <c:pt idx="206">
                  <c:v>2706.4288747660044</c:v>
                </c:pt>
                <c:pt idx="207">
                  <c:v>2707.1859976785427</c:v>
                </c:pt>
                <c:pt idx="208">
                  <c:v>2708.0535136916324</c:v>
                </c:pt>
                <c:pt idx="209">
                  <c:v>2708.9759331232062</c:v>
                </c:pt>
                <c:pt idx="210">
                  <c:v>2709.9297554985205</c:v>
                </c:pt>
                <c:pt idx="211">
                  <c:v>2710.7767597783932</c:v>
                </c:pt>
                <c:pt idx="212">
                  <c:v>2711.6756857341511</c:v>
                </c:pt>
                <c:pt idx="213">
                  <c:v>2712.6188196120961</c:v>
                </c:pt>
                <c:pt idx="214">
                  <c:v>2713.4032506309049</c:v>
                </c:pt>
                <c:pt idx="215">
                  <c:v>2714.4305325830087</c:v>
                </c:pt>
                <c:pt idx="216">
                  <c:v>2715.1240578360221</c:v>
                </c:pt>
                <c:pt idx="217">
                  <c:v>2716.0288479017681</c:v>
                </c:pt>
                <c:pt idx="218">
                  <c:v>2717.0017454216668</c:v>
                </c:pt>
                <c:pt idx="219">
                  <c:v>2717.7655816374827</c:v>
                </c:pt>
                <c:pt idx="220">
                  <c:v>2718.5624236411568</c:v>
                </c:pt>
                <c:pt idx="221">
                  <c:v>2719.4600228979743</c:v>
                </c:pt>
                <c:pt idx="222">
                  <c:v>2720.284625130148</c:v>
                </c:pt>
                <c:pt idx="223">
                  <c:v>2721.136694205718</c:v>
                </c:pt>
                <c:pt idx="224">
                  <c:v>2722.0161317735797</c:v>
                </c:pt>
                <c:pt idx="225">
                  <c:v>2722.8437124522143</c:v>
                </c:pt>
                <c:pt idx="226">
                  <c:v>2723.7535103247137</c:v>
                </c:pt>
                <c:pt idx="227">
                  <c:v>2724.6194788259563</c:v>
                </c:pt>
                <c:pt idx="228">
                  <c:v>2725.5426746113139</c:v>
                </c:pt>
                <c:pt idx="229">
                  <c:v>2726.4905339389343</c:v>
                </c:pt>
                <c:pt idx="230">
                  <c:v>2727.3660689754033</c:v>
                </c:pt>
                <c:pt idx="231">
                  <c:v>2728.4267562236205</c:v>
                </c:pt>
                <c:pt idx="232">
                  <c:v>2729.3458026865251</c:v>
                </c:pt>
                <c:pt idx="233">
                  <c:v>2730.3273772876369</c:v>
                </c:pt>
                <c:pt idx="234">
                  <c:v>2731.2756154062386</c:v>
                </c:pt>
                <c:pt idx="235">
                  <c:v>2732.4109903611452</c:v>
                </c:pt>
                <c:pt idx="236">
                  <c:v>2733.3737112683802</c:v>
                </c:pt>
                <c:pt idx="237">
                  <c:v>2734.400824079456</c:v>
                </c:pt>
                <c:pt idx="238">
                  <c:v>2735.4474657815513</c:v>
                </c:pt>
                <c:pt idx="239">
                  <c:v>2736.577363887402</c:v>
                </c:pt>
                <c:pt idx="240">
                  <c:v>2737.580395373951</c:v>
                </c:pt>
              </c:numCache>
            </c:numRef>
          </c:yVal>
          <c:smooth val="0"/>
          <c:extLst>
            <c:ext xmlns:c16="http://schemas.microsoft.com/office/drawing/2014/chart" uri="{C3380CC4-5D6E-409C-BE32-E72D297353CC}">
              <c16:uniqueId val="{00000000-3FC4-4A1A-B71B-5C8ED8DD3469}"/>
            </c:ext>
          </c:extLst>
        </c:ser>
        <c:ser>
          <c:idx val="1"/>
          <c:order val="1"/>
          <c:tx>
            <c:v>Paper low-altitude 35 km / 800 km pass</c:v>
          </c:tx>
          <c:spPr>
            <a:ln w="19050">
              <a:solidFill>
                <a:srgbClr val="F97316"/>
              </a:solidFill>
              <a:prstDash val="solid"/>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Native_Chart_Data!$D$1718:$D$1958</c:f>
              <c:numCache>
                <c:formatCode>General</c:formatCode>
                <c:ptCount val="241"/>
                <c:pt idx="0">
                  <c:v>4006.1845220388846</c:v>
                </c:pt>
                <c:pt idx="1">
                  <c:v>3959.1477374020114</c:v>
                </c:pt>
                <c:pt idx="2">
                  <c:v>3906.6899803154161</c:v>
                </c:pt>
                <c:pt idx="3">
                  <c:v>3860.6694546054136</c:v>
                </c:pt>
                <c:pt idx="4">
                  <c:v>3815.0773000226741</c:v>
                </c:pt>
                <c:pt idx="5">
                  <c:v>3764.0154250777559</c:v>
                </c:pt>
                <c:pt idx="6">
                  <c:v>3718.7207527081573</c:v>
                </c:pt>
                <c:pt idx="7">
                  <c:v>3673.7176119881537</c:v>
                </c:pt>
                <c:pt idx="8">
                  <c:v>3623.5784569317379</c:v>
                </c:pt>
                <c:pt idx="9">
                  <c:v>3579.3219687815858</c:v>
                </c:pt>
                <c:pt idx="10">
                  <c:v>3535.5397391924798</c:v>
                </c:pt>
                <c:pt idx="11">
                  <c:v>3486.6311054490343</c:v>
                </c:pt>
                <c:pt idx="12">
                  <c:v>3443.2133979979462</c:v>
                </c:pt>
                <c:pt idx="13">
                  <c:v>3399.8955380999778</c:v>
                </c:pt>
                <c:pt idx="14">
                  <c:v>3351.8342589880513</c:v>
                </c:pt>
                <c:pt idx="15">
                  <c:v>3309.70809101759</c:v>
                </c:pt>
                <c:pt idx="16">
                  <c:v>3267.7091245426209</c:v>
                </c:pt>
                <c:pt idx="17">
                  <c:v>3220.525348840778</c:v>
                </c:pt>
                <c:pt idx="18">
                  <c:v>3178.9032534055073</c:v>
                </c:pt>
                <c:pt idx="19">
                  <c:v>3137.6276900805829</c:v>
                </c:pt>
                <c:pt idx="20">
                  <c:v>3091.6849371722919</c:v>
                </c:pt>
                <c:pt idx="21">
                  <c:v>3051.4674905866668</c:v>
                </c:pt>
                <c:pt idx="22">
                  <c:v>3011.205038375484</c:v>
                </c:pt>
                <c:pt idx="23">
                  <c:v>2965.8915391952009</c:v>
                </c:pt>
                <c:pt idx="24">
                  <c:v>2926.020997254117</c:v>
                </c:pt>
                <c:pt idx="25">
                  <c:v>2886.8217574751084</c:v>
                </c:pt>
                <c:pt idx="26">
                  <c:v>2843.1030562454516</c:v>
                </c:pt>
                <c:pt idx="27">
                  <c:v>2804.3248063441019</c:v>
                </c:pt>
                <c:pt idx="28">
                  <c:v>2765.6399481746071</c:v>
                </c:pt>
                <c:pt idx="29">
                  <c:v>2722.5308660022711</c:v>
                </c:pt>
                <c:pt idx="30">
                  <c:v>2684.5852689818762</c:v>
                </c:pt>
                <c:pt idx="31">
                  <c:v>2647.0848704043919</c:v>
                </c:pt>
                <c:pt idx="32">
                  <c:v>2605.1463027637274</c:v>
                </c:pt>
                <c:pt idx="33">
                  <c:v>2568.0199583114172</c:v>
                </c:pt>
                <c:pt idx="34">
                  <c:v>2531.0671004076148</c:v>
                </c:pt>
                <c:pt idx="35">
                  <c:v>2489.8874815984691</c:v>
                </c:pt>
                <c:pt idx="36">
                  <c:v>2453.7296576050267</c:v>
                </c:pt>
                <c:pt idx="37">
                  <c:v>2417.9520871285163</c:v>
                </c:pt>
                <c:pt idx="38">
                  <c:v>2377.7187158263891</c:v>
                </c:pt>
                <c:pt idx="39">
                  <c:v>2342.2688468973838</c:v>
                </c:pt>
                <c:pt idx="40">
                  <c:v>2306.9945829969192</c:v>
                </c:pt>
                <c:pt idx="41">
                  <c:v>2267.7158327632287</c:v>
                </c:pt>
                <c:pt idx="42">
                  <c:v>2233.2466648870986</c:v>
                </c:pt>
                <c:pt idx="43">
                  <c:v>2199.1466378667237</c:v>
                </c:pt>
                <c:pt idx="44">
                  <c:v>2160.8515796643778</c:v>
                </c:pt>
                <c:pt idx="45">
                  <c:v>2126.7530364399495</c:v>
                </c:pt>
                <c:pt idx="46">
                  <c:v>2093.1696294265362</c:v>
                </c:pt>
                <c:pt idx="47">
                  <c:v>2056.0497159682136</c:v>
                </c:pt>
                <c:pt idx="48">
                  <c:v>2023.202170567554</c:v>
                </c:pt>
                <c:pt idx="49">
                  <c:v>1990.4033581092428</c:v>
                </c:pt>
                <c:pt idx="50">
                  <c:v>1953.6477907064188</c:v>
                </c:pt>
                <c:pt idx="51">
                  <c:v>1921.275488770779</c:v>
                </c:pt>
                <c:pt idx="52">
                  <c:v>1889.3707989649024</c:v>
                </c:pt>
                <c:pt idx="53">
                  <c:v>1853.9523697485693</c:v>
                </c:pt>
                <c:pt idx="54">
                  <c:v>1822.521136552667</c:v>
                </c:pt>
                <c:pt idx="55">
                  <c:v>1791.0443942278735</c:v>
                </c:pt>
                <c:pt idx="56">
                  <c:v>1756.0232098844801</c:v>
                </c:pt>
                <c:pt idx="57">
                  <c:v>1725.3056164649161</c:v>
                </c:pt>
                <c:pt idx="58">
                  <c:v>1694.9715481778403</c:v>
                </c:pt>
                <c:pt idx="59">
                  <c:v>1660.9821859294339</c:v>
                </c:pt>
                <c:pt idx="60">
                  <c:v>1630.7962996352992</c:v>
                </c:pt>
                <c:pt idx="61">
                  <c:v>1600.8913289068564</c:v>
                </c:pt>
                <c:pt idx="62">
                  <c:v>1567.6371166506372</c:v>
                </c:pt>
                <c:pt idx="63">
                  <c:v>1538.2795008459386</c:v>
                </c:pt>
                <c:pt idx="64">
                  <c:v>1509.2748460225423</c:v>
                </c:pt>
                <c:pt idx="65">
                  <c:v>1477.0077782495264</c:v>
                </c:pt>
                <c:pt idx="66">
                  <c:v>1448.2038804819972</c:v>
                </c:pt>
                <c:pt idx="67">
                  <c:v>1419.5639331716729</c:v>
                </c:pt>
                <c:pt idx="68">
                  <c:v>1387.9562667314381</c:v>
                </c:pt>
                <c:pt idx="69">
                  <c:v>1360.1592081481224</c:v>
                </c:pt>
                <c:pt idx="70">
                  <c:v>1332.4930771425575</c:v>
                </c:pt>
                <c:pt idx="71">
                  <c:v>1301.4430776136699</c:v>
                </c:pt>
                <c:pt idx="72">
                  <c:v>1274.0147754263153</c:v>
                </c:pt>
                <c:pt idx="73">
                  <c:v>1246.7289435174778</c:v>
                </c:pt>
                <c:pt idx="74">
                  <c:v>1216.5900679551614</c:v>
                </c:pt>
                <c:pt idx="75">
                  <c:v>1190.1745889310876</c:v>
                </c:pt>
                <c:pt idx="76">
                  <c:v>1163.6467818706994</c:v>
                </c:pt>
                <c:pt idx="77">
                  <c:v>1133.8107705131229</c:v>
                </c:pt>
                <c:pt idx="78">
                  <c:v>1107.6634767328169</c:v>
                </c:pt>
                <c:pt idx="79">
                  <c:v>1081.9289025291496</c:v>
                </c:pt>
                <c:pt idx="80">
                  <c:v>1053.2379157384207</c:v>
                </c:pt>
                <c:pt idx="81">
                  <c:v>1027.767895171937</c:v>
                </c:pt>
                <c:pt idx="82">
                  <c:v>1002.3635175983735</c:v>
                </c:pt>
                <c:pt idx="83">
                  <c:v>974.1534456502709</c:v>
                </c:pt>
                <c:pt idx="84">
                  <c:v>949.34392635173151</c:v>
                </c:pt>
                <c:pt idx="85">
                  <c:v>924.78663030799089</c:v>
                </c:pt>
                <c:pt idx="86">
                  <c:v>897.50242392505288</c:v>
                </c:pt>
                <c:pt idx="87">
                  <c:v>873.27080004631364</c:v>
                </c:pt>
                <c:pt idx="88">
                  <c:v>849.12984187462246</c:v>
                </c:pt>
                <c:pt idx="89">
                  <c:v>822.34501602136879</c:v>
                </c:pt>
                <c:pt idx="90">
                  <c:v>798.90009501225063</c:v>
                </c:pt>
                <c:pt idx="91">
                  <c:v>775.77566578672599</c:v>
                </c:pt>
                <c:pt idx="92">
                  <c:v>749.72198990354002</c:v>
                </c:pt>
                <c:pt idx="93">
                  <c:v>726.84076843162893</c:v>
                </c:pt>
                <c:pt idx="94">
                  <c:v>704.11343477229673</c:v>
                </c:pt>
                <c:pt idx="95">
                  <c:v>678.77072367215521</c:v>
                </c:pt>
                <c:pt idx="96">
                  <c:v>656.77019713308391</c:v>
                </c:pt>
                <c:pt idx="97">
                  <c:v>635.15479923340808</c:v>
                </c:pt>
                <c:pt idx="98">
                  <c:v>610.85101130020757</c:v>
                </c:pt>
                <c:pt idx="99">
                  <c:v>589.28130689759246</c:v>
                </c:pt>
                <c:pt idx="100">
                  <c:v>568.26718007725287</c:v>
                </c:pt>
                <c:pt idx="101">
                  <c:v>545.32357532591755</c:v>
                </c:pt>
                <c:pt idx="102">
                  <c:v>525.24182983237324</c:v>
                </c:pt>
                <c:pt idx="103">
                  <c:v>505.33032450173971</c:v>
                </c:pt>
                <c:pt idx="104">
                  <c:v>483.24555653411164</c:v>
                </c:pt>
                <c:pt idx="105">
                  <c:v>464.18181230773371</c:v>
                </c:pt>
                <c:pt idx="106">
                  <c:v>445.93034998876044</c:v>
                </c:pt>
                <c:pt idx="107">
                  <c:v>426.13145439102254</c:v>
                </c:pt>
                <c:pt idx="108">
                  <c:v>409.00969233753852</c:v>
                </c:pt>
                <c:pt idx="109">
                  <c:v>392.42990322520836</c:v>
                </c:pt>
                <c:pt idx="110">
                  <c:v>374.53187538648746</c:v>
                </c:pt>
                <c:pt idx="111">
                  <c:v>359.84961427998934</c:v>
                </c:pt>
                <c:pt idx="112">
                  <c:v>346.3884478023773</c:v>
                </c:pt>
                <c:pt idx="113">
                  <c:v>332.31359909858111</c:v>
                </c:pt>
                <c:pt idx="114">
                  <c:v>320.93709247237001</c:v>
                </c:pt>
                <c:pt idx="115">
                  <c:v>310.87780289071844</c:v>
                </c:pt>
                <c:pt idx="116">
                  <c:v>301.35715791919762</c:v>
                </c:pt>
                <c:pt idx="117">
                  <c:v>294.56495100603121</c:v>
                </c:pt>
                <c:pt idx="118">
                  <c:v>289.82836487521752</c:v>
                </c:pt>
                <c:pt idx="119">
                  <c:v>286.67680825861191</c:v>
                </c:pt>
                <c:pt idx="120">
                  <c:v>285.44962589236945</c:v>
                </c:pt>
                <c:pt idx="121">
                  <c:v>285.94379017860734</c:v>
                </c:pt>
                <c:pt idx="122">
                  <c:v>289.50463278641934</c:v>
                </c:pt>
                <c:pt idx="123">
                  <c:v>294.65525229787505</c:v>
                </c:pt>
                <c:pt idx="124">
                  <c:v>301.38085055997664</c:v>
                </c:pt>
                <c:pt idx="125">
                  <c:v>310.74079426450356</c:v>
                </c:pt>
                <c:pt idx="126">
                  <c:v>320.44458185581664</c:v>
                </c:pt>
                <c:pt idx="127">
                  <c:v>331.64586416596222</c:v>
                </c:pt>
                <c:pt idx="128">
                  <c:v>346.12592546911691</c:v>
                </c:pt>
                <c:pt idx="129">
                  <c:v>360.20186691744988</c:v>
                </c:pt>
                <c:pt idx="130">
                  <c:v>374.97917413201401</c:v>
                </c:pt>
                <c:pt idx="131">
                  <c:v>392.27768292643788</c:v>
                </c:pt>
                <c:pt idx="132">
                  <c:v>408.57024154816395</c:v>
                </c:pt>
                <c:pt idx="133">
                  <c:v>425.93971816821346</c:v>
                </c:pt>
                <c:pt idx="134">
                  <c:v>446.34212138232749</c:v>
                </c:pt>
                <c:pt idx="135">
                  <c:v>464.78135252033411</c:v>
                </c:pt>
                <c:pt idx="136">
                  <c:v>483.43610586362189</c:v>
                </c:pt>
                <c:pt idx="137">
                  <c:v>505.17284028347888</c:v>
                </c:pt>
                <c:pt idx="138">
                  <c:v>525.03019565514762</c:v>
                </c:pt>
                <c:pt idx="139">
                  <c:v>545.29452697986096</c:v>
                </c:pt>
                <c:pt idx="140">
                  <c:v>568.61600000218164</c:v>
                </c:pt>
                <c:pt idx="141">
                  <c:v>589.59507301286499</c:v>
                </c:pt>
                <c:pt idx="142">
                  <c:v>610.62327523191266</c:v>
                </c:pt>
                <c:pt idx="143">
                  <c:v>634.71424303829974</c:v>
                </c:pt>
                <c:pt idx="144">
                  <c:v>656.75968145235436</c:v>
                </c:pt>
                <c:pt idx="145">
                  <c:v>678.93437857841104</c:v>
                </c:pt>
                <c:pt idx="146">
                  <c:v>704.14498363623863</c:v>
                </c:pt>
                <c:pt idx="147">
                  <c:v>726.68128533067841</c:v>
                </c:pt>
                <c:pt idx="148">
                  <c:v>749.50151193452609</c:v>
                </c:pt>
                <c:pt idx="149">
                  <c:v>775.4018440048759</c:v>
                </c:pt>
                <c:pt idx="150">
                  <c:v>798.91281268474222</c:v>
                </c:pt>
                <c:pt idx="151">
                  <c:v>822.69139202090196</c:v>
                </c:pt>
                <c:pt idx="152">
                  <c:v>849.29963946003977</c:v>
                </c:pt>
                <c:pt idx="153">
                  <c:v>873.10949786357935</c:v>
                </c:pt>
                <c:pt idx="154">
                  <c:v>897.26652126135866</c:v>
                </c:pt>
                <c:pt idx="155">
                  <c:v>924.86414819099969</c:v>
                </c:pt>
                <c:pt idx="156">
                  <c:v>949.69451540625494</c:v>
                </c:pt>
                <c:pt idx="157">
                  <c:v>974.48553419291693</c:v>
                </c:pt>
                <c:pt idx="158">
                  <c:v>1002.4378207984545</c:v>
                </c:pt>
                <c:pt idx="159">
                  <c:v>1027.5870587413654</c:v>
                </c:pt>
                <c:pt idx="160">
                  <c:v>1053.0619961686964</c:v>
                </c:pt>
                <c:pt idx="161">
                  <c:v>1082.1146416403806</c:v>
                </c:pt>
                <c:pt idx="162">
                  <c:v>1108.0213073047621</c:v>
                </c:pt>
                <c:pt idx="163">
                  <c:v>1133.8978649739838</c:v>
                </c:pt>
                <c:pt idx="164">
                  <c:v>1163.2045223369321</c:v>
                </c:pt>
                <c:pt idx="165">
                  <c:v>1189.7387412010428</c:v>
                </c:pt>
                <c:pt idx="166">
                  <c:v>1216.6467476359549</c:v>
                </c:pt>
                <c:pt idx="167">
                  <c:v>1246.8959337465285</c:v>
                </c:pt>
                <c:pt idx="168">
                  <c:v>1273.9426663277293</c:v>
                </c:pt>
                <c:pt idx="169">
                  <c:v>1301.2535415684738</c:v>
                </c:pt>
                <c:pt idx="170">
                  <c:v>1332.2058701793264</c:v>
                </c:pt>
                <c:pt idx="171">
                  <c:v>1359.9452187192626</c:v>
                </c:pt>
                <c:pt idx="172">
                  <c:v>1388.0981650857836</c:v>
                </c:pt>
                <c:pt idx="173">
                  <c:v>1419.9573139350396</c:v>
                </c:pt>
                <c:pt idx="174">
                  <c:v>1448.2337315103855</c:v>
                </c:pt>
                <c:pt idx="175">
                  <c:v>1476.6661603886619</c:v>
                </c:pt>
                <c:pt idx="176">
                  <c:v>1509.2529786221271</c:v>
                </c:pt>
                <c:pt idx="177">
                  <c:v>1538.4831289843698</c:v>
                </c:pt>
                <c:pt idx="178">
                  <c:v>1567.9590204754618</c:v>
                </c:pt>
                <c:pt idx="179">
                  <c:v>1601.1205159498156</c:v>
                </c:pt>
                <c:pt idx="180">
                  <c:v>1630.7637614719622</c:v>
                </c:pt>
                <c:pt idx="181">
                  <c:v>1660.6990177446987</c:v>
                </c:pt>
                <c:pt idx="182">
                  <c:v>1694.8225866146461</c:v>
                </c:pt>
                <c:pt idx="183">
                  <c:v>1725.5482605386435</c:v>
                </c:pt>
                <c:pt idx="184">
                  <c:v>1756.3205691070345</c:v>
                </c:pt>
                <c:pt idx="185">
                  <c:v>1790.9188228799637</c:v>
                </c:pt>
                <c:pt idx="186">
                  <c:v>1821.9533285761061</c:v>
                </c:pt>
                <c:pt idx="187">
                  <c:v>1853.5962489578701</c:v>
                </c:pt>
                <c:pt idx="188">
                  <c:v>1889.5699053140133</c:v>
                </c:pt>
                <c:pt idx="189">
                  <c:v>1921.4798302362296</c:v>
                </c:pt>
                <c:pt idx="190">
                  <c:v>1953.5879483646522</c:v>
                </c:pt>
                <c:pt idx="191">
                  <c:v>1990.0401318933384</c:v>
                </c:pt>
                <c:pt idx="192">
                  <c:v>2022.8801679683361</c:v>
                </c:pt>
                <c:pt idx="193">
                  <c:v>2055.9167011409659</c:v>
                </c:pt>
                <c:pt idx="194">
                  <c:v>2093.535999451713</c:v>
                </c:pt>
                <c:pt idx="195">
                  <c:v>2127.0890152273869</c:v>
                </c:pt>
                <c:pt idx="196">
                  <c:v>2160.6819275242242</c:v>
                </c:pt>
                <c:pt idx="197">
                  <c:v>2198.8670009595298</c:v>
                </c:pt>
                <c:pt idx="198">
                  <c:v>2233.3796452003226</c:v>
                </c:pt>
                <c:pt idx="199">
                  <c:v>2268.093572924754</c:v>
                </c:pt>
                <c:pt idx="200">
                  <c:v>2307.269279658743</c:v>
                </c:pt>
                <c:pt idx="201">
                  <c:v>2342.3978367116929</c:v>
                </c:pt>
                <c:pt idx="202">
                  <c:v>2377.586319197082</c:v>
                </c:pt>
                <c:pt idx="203">
                  <c:v>2417.6598864735997</c:v>
                </c:pt>
                <c:pt idx="204">
                  <c:v>2453.8264418630224</c:v>
                </c:pt>
                <c:pt idx="205">
                  <c:v>2490.2166397829856</c:v>
                </c:pt>
                <c:pt idx="206">
                  <c:v>2531.154808755311</c:v>
                </c:pt>
                <c:pt idx="207">
                  <c:v>2567.7411755466196</c:v>
                </c:pt>
                <c:pt idx="208">
                  <c:v>2604.7028372749974</c:v>
                </c:pt>
                <c:pt idx="209">
                  <c:v>2646.9794339407081</c:v>
                </c:pt>
                <c:pt idx="210">
                  <c:v>2684.8439175922672</c:v>
                </c:pt>
                <c:pt idx="211">
                  <c:v>2722.7356281270404</c:v>
                </c:pt>
                <c:pt idx="212">
                  <c:v>2765.5141301691888</c:v>
                </c:pt>
                <c:pt idx="213">
                  <c:v>2803.9763312366531</c:v>
                </c:pt>
                <c:pt idx="214">
                  <c:v>2842.8304615876677</c:v>
                </c:pt>
                <c:pt idx="215">
                  <c:v>2886.984046410364</c:v>
                </c:pt>
                <c:pt idx="216">
                  <c:v>2926.6072868304295</c:v>
                </c:pt>
                <c:pt idx="217">
                  <c:v>2966.1118770408548</c:v>
                </c:pt>
                <c:pt idx="218">
                  <c:v>3010.7839804780428</c:v>
                </c:pt>
                <c:pt idx="219">
                  <c:v>3051.1779591603058</c:v>
                </c:pt>
                <c:pt idx="220">
                  <c:v>3091.9929842947872</c:v>
                </c:pt>
                <c:pt idx="221">
                  <c:v>3137.9971314740387</c:v>
                </c:pt>
                <c:pt idx="222">
                  <c:v>3179.0930306359223</c:v>
                </c:pt>
                <c:pt idx="223">
                  <c:v>3220.474419904112</c:v>
                </c:pt>
                <c:pt idx="224">
                  <c:v>3267.3868480184751</c:v>
                </c:pt>
                <c:pt idx="225">
                  <c:v>3309.459484632871</c:v>
                </c:pt>
                <c:pt idx="226">
                  <c:v>3352.0649024359104</c:v>
                </c:pt>
                <c:pt idx="227">
                  <c:v>3400.2165495983063</c:v>
                </c:pt>
                <c:pt idx="228">
                  <c:v>3443.0391736592751</c:v>
                </c:pt>
                <c:pt idx="229">
                  <c:v>3486.1231127043511</c:v>
                </c:pt>
                <c:pt idx="230">
                  <c:v>3535.2172163611772</c:v>
                </c:pt>
                <c:pt idx="231">
                  <c:v>3579.3846173845591</c:v>
                </c:pt>
                <c:pt idx="232">
                  <c:v>3623.8013398415765</c:v>
                </c:pt>
                <c:pt idx="233">
                  <c:v>3673.7926080967623</c:v>
                </c:pt>
                <c:pt idx="234">
                  <c:v>3718.4769576241201</c:v>
                </c:pt>
                <c:pt idx="235">
                  <c:v>3763.5617882218221</c:v>
                </c:pt>
                <c:pt idx="236">
                  <c:v>3814.9348272569846</c:v>
                </c:pt>
                <c:pt idx="237">
                  <c:v>3861.0175580175628</c:v>
                </c:pt>
                <c:pt idx="238">
                  <c:v>3907.2721084737309</c:v>
                </c:pt>
                <c:pt idx="239">
                  <c:v>3959.1875965265444</c:v>
                </c:pt>
                <c:pt idx="240">
                  <c:v>4005.8185439109393</c:v>
                </c:pt>
              </c:numCache>
            </c:numRef>
          </c:yVal>
          <c:smooth val="0"/>
          <c:extLst>
            <c:ext xmlns:c16="http://schemas.microsoft.com/office/drawing/2014/chart" uri="{C3380CC4-5D6E-409C-BE32-E72D297353CC}">
              <c16:uniqueId val="{00000001-3FC4-4A1A-B71B-5C8ED8DD3469}"/>
            </c:ext>
          </c:extLst>
        </c:ser>
        <c:ser>
          <c:idx val="2"/>
          <c:order val="2"/>
          <c:tx>
            <c:v>Paper ice-ocean 35 km / 1600 km pass</c:v>
          </c:tx>
          <c:spPr>
            <a:ln w="19050">
              <a:solidFill>
                <a:srgbClr val="16A34A"/>
              </a:solidFill>
              <a:prstDash val="solid"/>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Native_Chart_Data!$F$1718:$F$1958</c:f>
              <c:numCache>
                <c:formatCode>General</c:formatCode>
                <c:ptCount val="241"/>
                <c:pt idx="0">
                  <c:v>9500.5563713434549</c:v>
                </c:pt>
                <c:pt idx="1">
                  <c:v>9376.6806348938517</c:v>
                </c:pt>
                <c:pt idx="2">
                  <c:v>9237.8669365752503</c:v>
                </c:pt>
                <c:pt idx="3">
                  <c:v>9116.2154348858567</c:v>
                </c:pt>
                <c:pt idx="4">
                  <c:v>8994.6970197989122</c:v>
                </c:pt>
                <c:pt idx="5">
                  <c:v>8859.3401609879784</c:v>
                </c:pt>
                <c:pt idx="6">
                  <c:v>8740.3317888613292</c:v>
                </c:pt>
                <c:pt idx="7">
                  <c:v>8621.5307574745584</c:v>
                </c:pt>
                <c:pt idx="8">
                  <c:v>8489.7380215571848</c:v>
                </c:pt>
                <c:pt idx="9">
                  <c:v>8373.1619172502797</c:v>
                </c:pt>
                <c:pt idx="10">
                  <c:v>8257.4964797093962</c:v>
                </c:pt>
                <c:pt idx="11">
                  <c:v>8128.7951309951241</c:v>
                </c:pt>
                <c:pt idx="12">
                  <c:v>8015.0991696438123</c:v>
                </c:pt>
                <c:pt idx="13">
                  <c:v>7902.1303992220219</c:v>
                </c:pt>
                <c:pt idx="14">
                  <c:v>7776.6419921566758</c:v>
                </c:pt>
                <c:pt idx="15">
                  <c:v>7665.4810009588955</c:v>
                </c:pt>
                <c:pt idx="16">
                  <c:v>7555.4396771768133</c:v>
                </c:pt>
                <c:pt idx="17">
                  <c:v>7433.0998810073406</c:v>
                </c:pt>
                <c:pt idx="18">
                  <c:v>7324.5461683556623</c:v>
                </c:pt>
                <c:pt idx="19">
                  <c:v>7217.7111257460656</c:v>
                </c:pt>
                <c:pt idx="20">
                  <c:v>7098.019488341909</c:v>
                </c:pt>
                <c:pt idx="21">
                  <c:v>6992.6479613045003</c:v>
                </c:pt>
                <c:pt idx="22">
                  <c:v>6888.445538379483</c:v>
                </c:pt>
                <c:pt idx="23">
                  <c:v>6771.7898508147382</c:v>
                </c:pt>
                <c:pt idx="24">
                  <c:v>6669.2420000628108</c:v>
                </c:pt>
                <c:pt idx="25">
                  <c:v>6567.6171221874147</c:v>
                </c:pt>
                <c:pt idx="26">
                  <c:v>6453.9467364016009</c:v>
                </c:pt>
                <c:pt idx="27">
                  <c:v>6354.1486283599243</c:v>
                </c:pt>
                <c:pt idx="28">
                  <c:v>6255.3661723368041</c:v>
                </c:pt>
                <c:pt idx="29">
                  <c:v>6144.6351333130369</c:v>
                </c:pt>
                <c:pt idx="30">
                  <c:v>6047.9709491570866</c:v>
                </c:pt>
                <c:pt idx="31">
                  <c:v>5951.3995132318396</c:v>
                </c:pt>
                <c:pt idx="32">
                  <c:v>5844.0721638618543</c:v>
                </c:pt>
                <c:pt idx="33">
                  <c:v>5749.953698963689</c:v>
                </c:pt>
                <c:pt idx="34">
                  <c:v>5655.9040450008442</c:v>
                </c:pt>
                <c:pt idx="35">
                  <c:v>5551.8507587493432</c:v>
                </c:pt>
                <c:pt idx="36">
                  <c:v>5459.9978954557082</c:v>
                </c:pt>
                <c:pt idx="37">
                  <c:v>5368.7858670736305</c:v>
                </c:pt>
                <c:pt idx="38">
                  <c:v>5267.6229939401692</c:v>
                </c:pt>
                <c:pt idx="39">
                  <c:v>5178.4098507792496</c:v>
                </c:pt>
                <c:pt idx="40">
                  <c:v>5089.8373760297081</c:v>
                </c:pt>
                <c:pt idx="41">
                  <c:v>4991.7556848343556</c:v>
                </c:pt>
                <c:pt idx="42">
                  <c:v>4904.9522223155282</c:v>
                </c:pt>
                <c:pt idx="43">
                  <c:v>4819.1911730470674</c:v>
                </c:pt>
                <c:pt idx="44">
                  <c:v>4723.9805013496798</c:v>
                </c:pt>
                <c:pt idx="45">
                  <c:v>4639.4759832505997</c:v>
                </c:pt>
                <c:pt idx="46">
                  <c:v>4556.6085833356701</c:v>
                </c:pt>
                <c:pt idx="47">
                  <c:v>4463.7842600742597</c:v>
                </c:pt>
                <c:pt idx="48">
                  <c:v>4382.1612160771374</c:v>
                </c:pt>
                <c:pt idx="49">
                  <c:v>4301.6858681205158</c:v>
                </c:pt>
                <c:pt idx="50">
                  <c:v>4211.6044697693824</c:v>
                </c:pt>
                <c:pt idx="51">
                  <c:v>4132.6729700126252</c:v>
                </c:pt>
                <c:pt idx="52">
                  <c:v>4054.6161492634942</c:v>
                </c:pt>
                <c:pt idx="53">
                  <c:v>3967.3646091084047</c:v>
                </c:pt>
                <c:pt idx="54">
                  <c:v>3890.8212117810226</c:v>
                </c:pt>
                <c:pt idx="55">
                  <c:v>3815.2605376380343</c:v>
                </c:pt>
                <c:pt idx="56">
                  <c:v>3730.4741694394993</c:v>
                </c:pt>
                <c:pt idx="57">
                  <c:v>3656.6573503957438</c:v>
                </c:pt>
                <c:pt idx="58">
                  <c:v>3583.0250741165628</c:v>
                </c:pt>
                <c:pt idx="59">
                  <c:v>3501.2289891404321</c:v>
                </c:pt>
                <c:pt idx="60">
                  <c:v>3429.6338635999455</c:v>
                </c:pt>
                <c:pt idx="61">
                  <c:v>3358.2164161547216</c:v>
                </c:pt>
                <c:pt idx="62">
                  <c:v>3279.3795744452109</c:v>
                </c:pt>
                <c:pt idx="63">
                  <c:v>3209.8191909006891</c:v>
                </c:pt>
                <c:pt idx="64">
                  <c:v>3140.8681177150429</c:v>
                </c:pt>
                <c:pt idx="65">
                  <c:v>3064.4631201672241</c:v>
                </c:pt>
                <c:pt idx="66">
                  <c:v>2997.1693225152612</c:v>
                </c:pt>
                <c:pt idx="67">
                  <c:v>2930.2908632621511</c:v>
                </c:pt>
                <c:pt idx="68">
                  <c:v>2856.4586636516369</c:v>
                </c:pt>
                <c:pt idx="69">
                  <c:v>2791.0833339882856</c:v>
                </c:pt>
                <c:pt idx="70">
                  <c:v>2726.5981963853515</c:v>
                </c:pt>
                <c:pt idx="71">
                  <c:v>2655.1337085230689</c:v>
                </c:pt>
                <c:pt idx="72">
                  <c:v>2591.7076432416902</c:v>
                </c:pt>
                <c:pt idx="73">
                  <c:v>2529.6567125397137</c:v>
                </c:pt>
                <c:pt idx="74">
                  <c:v>2460.1080312741733</c:v>
                </c:pt>
                <c:pt idx="75">
                  <c:v>2399.0378578441891</c:v>
                </c:pt>
                <c:pt idx="76">
                  <c:v>2338.8485456735179</c:v>
                </c:pt>
                <c:pt idx="77">
                  <c:v>2271.4757396841865</c:v>
                </c:pt>
                <c:pt idx="78">
                  <c:v>2212.418081073065</c:v>
                </c:pt>
                <c:pt idx="79">
                  <c:v>2154.0690645390168</c:v>
                </c:pt>
                <c:pt idx="80">
                  <c:v>2088.8534893517472</c:v>
                </c:pt>
                <c:pt idx="81">
                  <c:v>2031.6981626888248</c:v>
                </c:pt>
                <c:pt idx="82">
                  <c:v>1975.2592929672044</c:v>
                </c:pt>
                <c:pt idx="83">
                  <c:v>1911.982365755576</c:v>
                </c:pt>
                <c:pt idx="84">
                  <c:v>1856.953435568455</c:v>
                </c:pt>
                <c:pt idx="85">
                  <c:v>1801.9356748527755</c:v>
                </c:pt>
                <c:pt idx="86">
                  <c:v>1740.8922865861819</c:v>
                </c:pt>
                <c:pt idx="87">
                  <c:v>1687.4158648553757</c:v>
                </c:pt>
                <c:pt idx="88">
                  <c:v>1633.9682240085044</c:v>
                </c:pt>
                <c:pt idx="89">
                  <c:v>1574.9472856715226</c:v>
                </c:pt>
                <c:pt idx="90">
                  <c:v>1522.8401884505734</c:v>
                </c:pt>
                <c:pt idx="91">
                  <c:v>1471.2359482529555</c:v>
                </c:pt>
                <c:pt idx="92">
                  <c:v>1413.9478129220597</c:v>
                </c:pt>
                <c:pt idx="93">
                  <c:v>1363.4686402752654</c:v>
                </c:pt>
                <c:pt idx="94">
                  <c:v>1313.3523256405263</c:v>
                </c:pt>
                <c:pt idx="95">
                  <c:v>1257.9527051449093</c:v>
                </c:pt>
                <c:pt idx="96">
                  <c:v>1208.8837969605011</c:v>
                </c:pt>
                <c:pt idx="97">
                  <c:v>1160.3541102258998</c:v>
                </c:pt>
                <c:pt idx="98">
                  <c:v>1106.5635226541449</c:v>
                </c:pt>
                <c:pt idx="99">
                  <c:v>1058.8311599750984</c:v>
                </c:pt>
                <c:pt idx="100">
                  <c:v>1012.0645953546137</c:v>
                </c:pt>
                <c:pt idx="101">
                  <c:v>959.69924903664662</c:v>
                </c:pt>
                <c:pt idx="102">
                  <c:v>913.74304655812273</c:v>
                </c:pt>
                <c:pt idx="103">
                  <c:v>868.53954910038283</c:v>
                </c:pt>
                <c:pt idx="104">
                  <c:v>817.96886498585218</c:v>
                </c:pt>
                <c:pt idx="105">
                  <c:v>773.86253249710478</c:v>
                </c:pt>
                <c:pt idx="106">
                  <c:v>730.45064756576733</c:v>
                </c:pt>
                <c:pt idx="107">
                  <c:v>682.09606558096584</c:v>
                </c:pt>
                <c:pt idx="108">
                  <c:v>640.0475870733427</c:v>
                </c:pt>
                <c:pt idx="109">
                  <c:v>599.06617619374094</c:v>
                </c:pt>
                <c:pt idx="110">
                  <c:v>553.49789644653742</c:v>
                </c:pt>
                <c:pt idx="111">
                  <c:v>514.98377625998137</c:v>
                </c:pt>
                <c:pt idx="112">
                  <c:v>477.16353031854209</c:v>
                </c:pt>
                <c:pt idx="113">
                  <c:v>437.01578228380879</c:v>
                </c:pt>
                <c:pt idx="114">
                  <c:v>403.78577502854455</c:v>
                </c:pt>
                <c:pt idx="115">
                  <c:v>372.5309517744891</c:v>
                </c:pt>
                <c:pt idx="116">
                  <c:v>342.25446091655817</c:v>
                </c:pt>
                <c:pt idx="117">
                  <c:v>319.39972411688655</c:v>
                </c:pt>
                <c:pt idx="118">
                  <c:v>301.59997247160845</c:v>
                </c:pt>
                <c:pt idx="119">
                  <c:v>289.24127915271742</c:v>
                </c:pt>
                <c:pt idx="120">
                  <c:v>285.44962589236945</c:v>
                </c:pt>
                <c:pt idx="121">
                  <c:v>288.79557683680258</c:v>
                </c:pt>
                <c:pt idx="122">
                  <c:v>301.6329876220608</c:v>
                </c:pt>
                <c:pt idx="123">
                  <c:v>318.90919270787663</c:v>
                </c:pt>
                <c:pt idx="124">
                  <c:v>341.87709206203817</c:v>
                </c:pt>
                <c:pt idx="125">
                  <c:v>372.99975846273446</c:v>
                </c:pt>
                <c:pt idx="126">
                  <c:v>403.35525783550514</c:v>
                </c:pt>
                <c:pt idx="127">
                  <c:v>437.34229608591249</c:v>
                </c:pt>
                <c:pt idx="128">
                  <c:v>477.3110002130046</c:v>
                </c:pt>
                <c:pt idx="129">
                  <c:v>514.78233737355038</c:v>
                </c:pt>
                <c:pt idx="130">
                  <c:v>553.90060553675846</c:v>
                </c:pt>
                <c:pt idx="131">
                  <c:v>598.77676623660375</c:v>
                </c:pt>
                <c:pt idx="132">
                  <c:v>640.03792855503775</c:v>
                </c:pt>
                <c:pt idx="133">
                  <c:v>682.16473456554218</c:v>
                </c:pt>
                <c:pt idx="134">
                  <c:v>730.16792776960813</c:v>
                </c:pt>
                <c:pt idx="135">
                  <c:v>773.87378998537463</c:v>
                </c:pt>
                <c:pt idx="136">
                  <c:v>818.23194447410526</c:v>
                </c:pt>
                <c:pt idx="137">
                  <c:v>868.3304441097539</c:v>
                </c:pt>
                <c:pt idx="138">
                  <c:v>914.04280073711163</c:v>
                </c:pt>
                <c:pt idx="139">
                  <c:v>959.76811067927008</c:v>
                </c:pt>
                <c:pt idx="140">
                  <c:v>1011.9614443866486</c:v>
                </c:pt>
                <c:pt idx="141">
                  <c:v>1059.1278356854446</c:v>
                </c:pt>
                <c:pt idx="142">
                  <c:v>1106.2320111687281</c:v>
                </c:pt>
                <c:pt idx="143">
                  <c:v>1160.4295298230816</c:v>
                </c:pt>
                <c:pt idx="144">
                  <c:v>1208.8255450612025</c:v>
                </c:pt>
                <c:pt idx="145">
                  <c:v>1257.6964388963677</c:v>
                </c:pt>
                <c:pt idx="146">
                  <c:v>1313.5384373341913</c:v>
                </c:pt>
                <c:pt idx="147">
                  <c:v>1363.4922501356443</c:v>
                </c:pt>
                <c:pt idx="148">
                  <c:v>1413.8780595568705</c:v>
                </c:pt>
                <c:pt idx="149">
                  <c:v>1471.4549088802494</c:v>
                </c:pt>
                <c:pt idx="150">
                  <c:v>1522.8148844349405</c:v>
                </c:pt>
                <c:pt idx="151">
                  <c:v>1574.8772268654202</c:v>
                </c:pt>
                <c:pt idx="152">
                  <c:v>1634.2100712797871</c:v>
                </c:pt>
                <c:pt idx="153">
                  <c:v>1686.9799883696526</c:v>
                </c:pt>
                <c:pt idx="154">
                  <c:v>1740.9784489069013</c:v>
                </c:pt>
                <c:pt idx="155">
                  <c:v>1801.8730716501491</c:v>
                </c:pt>
                <c:pt idx="156">
                  <c:v>1856.7086148968674</c:v>
                </c:pt>
                <c:pt idx="157">
                  <c:v>1912.259873742373</c:v>
                </c:pt>
                <c:pt idx="158">
                  <c:v>1975.1014147397316</c:v>
                </c:pt>
                <c:pt idx="159">
                  <c:v>2031.7985558053063</c:v>
                </c:pt>
                <c:pt idx="160">
                  <c:v>2089.0735031949753</c:v>
                </c:pt>
                <c:pt idx="161">
                  <c:v>2153.9516480745888</c:v>
                </c:pt>
                <c:pt idx="162">
                  <c:v>2212.4908066079583</c:v>
                </c:pt>
                <c:pt idx="163">
                  <c:v>2271.6279066061034</c:v>
                </c:pt>
                <c:pt idx="164">
                  <c:v>2338.4592438207114</c:v>
                </c:pt>
                <c:pt idx="165">
                  <c:v>2399.2316666520933</c:v>
                </c:pt>
                <c:pt idx="166">
                  <c:v>2460.0404173793613</c:v>
                </c:pt>
                <c:pt idx="167">
                  <c:v>2529.4862966892333</c:v>
                </c:pt>
                <c:pt idx="168">
                  <c:v>2592.146348508657</c:v>
                </c:pt>
                <c:pt idx="169">
                  <c:v>2654.8892109327271</c:v>
                </c:pt>
                <c:pt idx="170">
                  <c:v>2726.8255061130581</c:v>
                </c:pt>
                <c:pt idx="171">
                  <c:v>2791.2253149758362</c:v>
                </c:pt>
                <c:pt idx="172">
                  <c:v>2856.2260336940121</c:v>
                </c:pt>
                <c:pt idx="173">
                  <c:v>2930.4635049360486</c:v>
                </c:pt>
                <c:pt idx="174">
                  <c:v>2997.0388676298153</c:v>
                </c:pt>
                <c:pt idx="175">
                  <c:v>3064.1595178111925</c:v>
                </c:pt>
                <c:pt idx="176">
                  <c:v>3141.0226701663896</c:v>
                </c:pt>
                <c:pt idx="177">
                  <c:v>3209.6363774109341</c:v>
                </c:pt>
                <c:pt idx="178">
                  <c:v>3279.2329425589828</c:v>
                </c:pt>
                <c:pt idx="179">
                  <c:v>3358.5960476551613</c:v>
                </c:pt>
                <c:pt idx="180">
                  <c:v>3429.3588510465356</c:v>
                </c:pt>
                <c:pt idx="181">
                  <c:v>3501.549494764668</c:v>
                </c:pt>
                <c:pt idx="182">
                  <c:v>3583.0738605817146</c:v>
                </c:pt>
                <c:pt idx="183">
                  <c:v>3656.4070068229498</c:v>
                </c:pt>
                <c:pt idx="184">
                  <c:v>3730.7434368680811</c:v>
                </c:pt>
                <c:pt idx="185">
                  <c:v>3814.9219703228828</c:v>
                </c:pt>
                <c:pt idx="186">
                  <c:v>3890.7671657116257</c:v>
                </c:pt>
                <c:pt idx="187">
                  <c:v>3967.4807487458083</c:v>
                </c:pt>
                <c:pt idx="188">
                  <c:v>4054.3706512176195</c:v>
                </c:pt>
                <c:pt idx="189">
                  <c:v>4132.7477325196587</c:v>
                </c:pt>
                <c:pt idx="190">
                  <c:v>4211.9413090353128</c:v>
                </c:pt>
                <c:pt idx="191">
                  <c:v>4301.4635118338947</c:v>
                </c:pt>
                <c:pt idx="192">
                  <c:v>4382.539155040683</c:v>
                </c:pt>
                <c:pt idx="193">
                  <c:v>4463.7348531875177</c:v>
                </c:pt>
                <c:pt idx="194">
                  <c:v>4556.3885695193476</c:v>
                </c:pt>
                <c:pt idx="195">
                  <c:v>4639.8085071502774</c:v>
                </c:pt>
                <c:pt idx="196">
                  <c:v>4723.4754348042952</c:v>
                </c:pt>
                <c:pt idx="197">
                  <c:v>4819.2543627230234</c:v>
                </c:pt>
                <c:pt idx="198">
                  <c:v>4905.0062605782241</c:v>
                </c:pt>
                <c:pt idx="199">
                  <c:v>4991.4893814494799</c:v>
                </c:pt>
                <c:pt idx="200">
                  <c:v>5090.1470497930613</c:v>
                </c:pt>
                <c:pt idx="201">
                  <c:v>5178.5082795811222</c:v>
                </c:pt>
                <c:pt idx="202">
                  <c:v>5267.4812917949212</c:v>
                </c:pt>
                <c:pt idx="203">
                  <c:v>5369.1561202217617</c:v>
                </c:pt>
                <c:pt idx="204">
                  <c:v>5459.8605829956996</c:v>
                </c:pt>
                <c:pt idx="205">
                  <c:v>5551.6388512875928</c:v>
                </c:pt>
                <c:pt idx="206">
                  <c:v>5656.2511890795613</c:v>
                </c:pt>
                <c:pt idx="207">
                  <c:v>5749.3574043712242</c:v>
                </c:pt>
                <c:pt idx="208">
                  <c:v>5844.2746200925321</c:v>
                </c:pt>
                <c:pt idx="209">
                  <c:v>5951.4289657749514</c:v>
                </c:pt>
                <c:pt idx="210">
                  <c:v>6047.7020502811029</c:v>
                </c:pt>
                <c:pt idx="211">
                  <c:v>6145.1113384527371</c:v>
                </c:pt>
                <c:pt idx="212">
                  <c:v>6255.2175947007745</c:v>
                </c:pt>
                <c:pt idx="213">
                  <c:v>6354.2808257531133</c:v>
                </c:pt>
                <c:pt idx="214">
                  <c:v>6454.255793929251</c:v>
                </c:pt>
                <c:pt idx="215">
                  <c:v>6567.3472902900339</c:v>
                </c:pt>
                <c:pt idx="216">
                  <c:v>6669.1577665974264</c:v>
                </c:pt>
                <c:pt idx="217">
                  <c:v>6771.9546878484725</c:v>
                </c:pt>
                <c:pt idx="218">
                  <c:v>6888.0214262066011</c:v>
                </c:pt>
                <c:pt idx="219">
                  <c:v>6992.888996566192</c:v>
                </c:pt>
                <c:pt idx="220">
                  <c:v>7098.013869852497</c:v>
                </c:pt>
                <c:pt idx="221">
                  <c:v>7217.5464800794807</c:v>
                </c:pt>
                <c:pt idx="222">
                  <c:v>7325.1092721845771</c:v>
                </c:pt>
                <c:pt idx="223">
                  <c:v>7432.7823912122676</c:v>
                </c:pt>
                <c:pt idx="224">
                  <c:v>7555.73320099179</c:v>
                </c:pt>
                <c:pt idx="225">
                  <c:v>7665.6363551419226</c:v>
                </c:pt>
                <c:pt idx="226">
                  <c:v>7776.3134840233197</c:v>
                </c:pt>
                <c:pt idx="227">
                  <c:v>7902.2341100275926</c:v>
                </c:pt>
                <c:pt idx="228">
                  <c:v>8014.9694328813939</c:v>
                </c:pt>
                <c:pt idx="229">
                  <c:v>8128.406130195016</c:v>
                </c:pt>
                <c:pt idx="230">
                  <c:v>8257.7629002644753</c:v>
                </c:pt>
                <c:pt idx="231">
                  <c:v>8373.1377315914651</c:v>
                </c:pt>
                <c:pt idx="232">
                  <c:v>8489.6063171329315</c:v>
                </c:pt>
                <c:pt idx="233">
                  <c:v>8622.0242394248799</c:v>
                </c:pt>
                <c:pt idx="234">
                  <c:v>8739.9137668744534</c:v>
                </c:pt>
                <c:pt idx="235">
                  <c:v>8859.6036444884012</c:v>
                </c:pt>
                <c:pt idx="236">
                  <c:v>8994.6520223731113</c:v>
                </c:pt>
                <c:pt idx="237">
                  <c:v>9115.7810299135654</c:v>
                </c:pt>
                <c:pt idx="238">
                  <c:v>9238.143445583908</c:v>
                </c:pt>
                <c:pt idx="239">
                  <c:v>9376.3675213349452</c:v>
                </c:pt>
                <c:pt idx="240">
                  <c:v>9500.4590031016614</c:v>
                </c:pt>
              </c:numCache>
            </c:numRef>
          </c:yVal>
          <c:smooth val="0"/>
          <c:extLst>
            <c:ext xmlns:c16="http://schemas.microsoft.com/office/drawing/2014/chart" uri="{C3380CC4-5D6E-409C-BE32-E72D297353CC}">
              <c16:uniqueId val="{00000002-3FC4-4A1A-B71B-5C8ED8DD3469}"/>
            </c:ext>
          </c:extLst>
        </c:ser>
        <c:ser>
          <c:idx val="3"/>
          <c:order val="3"/>
          <c:tx>
            <c:v>Operating 25 km / 1600 km pass</c:v>
          </c:tx>
          <c:spPr>
            <a:ln w="19050">
              <a:solidFill>
                <a:srgbClr val="7C3AED"/>
              </a:solidFill>
              <a:prstDash val="solid"/>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Native_Chart_Data!$H$1718:$H$1958</c:f>
              <c:numCache>
                <c:formatCode>General</c:formatCode>
                <c:ptCount val="241"/>
                <c:pt idx="0">
                  <c:v>9500.5563713434549</c:v>
                </c:pt>
                <c:pt idx="1">
                  <c:v>9375.7864531212308</c:v>
                </c:pt>
                <c:pt idx="2">
                  <c:v>9235.9806918794056</c:v>
                </c:pt>
                <c:pt idx="3">
                  <c:v>9113.459474677602</c:v>
                </c:pt>
                <c:pt idx="4">
                  <c:v>8991.083262053251</c:v>
                </c:pt>
                <c:pt idx="5">
                  <c:v>8854.7752905537527</c:v>
                </c:pt>
                <c:pt idx="6">
                  <c:v>8734.9337239521119</c:v>
                </c:pt>
                <c:pt idx="7">
                  <c:v>8615.311864200492</c:v>
                </c:pt>
                <c:pt idx="8">
                  <c:v>8482.6091772207692</c:v>
                </c:pt>
                <c:pt idx="9">
                  <c:v>8365.2372704199115</c:v>
                </c:pt>
                <c:pt idx="10">
                  <c:v>8248.7880169790551</c:v>
                </c:pt>
                <c:pt idx="11">
                  <c:v>8119.2187457949549</c:v>
                </c:pt>
                <c:pt idx="12">
                  <c:v>8004.7644846026124</c:v>
                </c:pt>
                <c:pt idx="13">
                  <c:v>7891.0498786081262</c:v>
                </c:pt>
                <c:pt idx="14">
                  <c:v>7764.7359630806814</c:v>
                </c:pt>
                <c:pt idx="15">
                  <c:v>7652.8553713180618</c:v>
                </c:pt>
                <c:pt idx="16">
                  <c:v>7542.1063082979317</c:v>
                </c:pt>
                <c:pt idx="17">
                  <c:v>7418.9840787376506</c:v>
                </c:pt>
                <c:pt idx="18">
                  <c:v>7309.7500919691383</c:v>
                </c:pt>
                <c:pt idx="19">
                  <c:v>7202.2449127278005</c:v>
                </c:pt>
                <c:pt idx="20">
                  <c:v>7081.8160256542114</c:v>
                </c:pt>
                <c:pt idx="21">
                  <c:v>6975.8023290740502</c:v>
                </c:pt>
                <c:pt idx="22">
                  <c:v>6870.9693497228955</c:v>
                </c:pt>
                <c:pt idx="23">
                  <c:v>6753.6212781446657</c:v>
                </c:pt>
                <c:pt idx="24">
                  <c:v>6650.4707476140602</c:v>
                </c:pt>
                <c:pt idx="25">
                  <c:v>6548.2558080936396</c:v>
                </c:pt>
                <c:pt idx="26">
                  <c:v>6433.9388308039552</c:v>
                </c:pt>
                <c:pt idx="27">
                  <c:v>6333.5783023463191</c:v>
                </c:pt>
                <c:pt idx="28">
                  <c:v>6234.2456420387598</c:v>
                </c:pt>
                <c:pt idx="29">
                  <c:v>6122.9147357874672</c:v>
                </c:pt>
                <c:pt idx="30">
                  <c:v>6025.7264928486038</c:v>
                </c:pt>
                <c:pt idx="31">
                  <c:v>5928.6487363287824</c:v>
                </c:pt>
                <c:pt idx="32">
                  <c:v>5820.7659333649044</c:v>
                </c:pt>
                <c:pt idx="33">
                  <c:v>5726.1652983833264</c:v>
                </c:pt>
                <c:pt idx="34">
                  <c:v>5631.6523725758498</c:v>
                </c:pt>
                <c:pt idx="35">
                  <c:v>5527.0886441711264</c:v>
                </c:pt>
                <c:pt idx="36">
                  <c:v>5434.7983466366604</c:v>
                </c:pt>
                <c:pt idx="37">
                  <c:v>5343.1642028627093</c:v>
                </c:pt>
                <c:pt idx="38">
                  <c:v>5241.5389512381753</c:v>
                </c:pt>
                <c:pt idx="39">
                  <c:v>5151.930884437782</c:v>
                </c:pt>
                <c:pt idx="40">
                  <c:v>5062.979131012552</c:v>
                </c:pt>
                <c:pt idx="41">
                  <c:v>4964.4815363743965</c:v>
                </c:pt>
                <c:pt idx="42">
                  <c:v>4877.3281793595488</c:v>
                </c:pt>
                <c:pt idx="43">
                  <c:v>4791.2288130859006</c:v>
                </c:pt>
                <c:pt idx="44">
                  <c:v>4695.6506664601484</c:v>
                </c:pt>
                <c:pt idx="45">
                  <c:v>4610.8432409878296</c:v>
                </c:pt>
                <c:pt idx="46">
                  <c:v>4527.6766627690777</c:v>
                </c:pt>
                <c:pt idx="47">
                  <c:v>4434.5397505577357</c:v>
                </c:pt>
                <c:pt idx="48">
                  <c:v>4352.6534696058097</c:v>
                </c:pt>
                <c:pt idx="49">
                  <c:v>4271.9238735944728</c:v>
                </c:pt>
                <c:pt idx="50">
                  <c:v>4181.5807170764128</c:v>
                </c:pt>
                <c:pt idx="51">
                  <c:v>4102.4268767595477</c:v>
                </c:pt>
                <c:pt idx="52">
                  <c:v>4024.1601603091813</c:v>
                </c:pt>
                <c:pt idx="53">
                  <c:v>3936.6957000760913</c:v>
                </c:pt>
                <c:pt idx="54">
                  <c:v>3859.9747157263751</c:v>
                </c:pt>
                <c:pt idx="55">
                  <c:v>3784.2463249330663</c:v>
                </c:pt>
                <c:pt idx="56">
                  <c:v>3699.30191597568</c:v>
                </c:pt>
                <c:pt idx="57">
                  <c:v>3625.3443038047226</c:v>
                </c:pt>
                <c:pt idx="58">
                  <c:v>3551.5973602312506</c:v>
                </c:pt>
                <c:pt idx="59">
                  <c:v>3469.686028659542</c:v>
                </c:pt>
                <c:pt idx="60">
                  <c:v>3397.9954704146958</c:v>
                </c:pt>
                <c:pt idx="61">
                  <c:v>3326.5102905939862</c:v>
                </c:pt>
                <c:pt idx="62">
                  <c:v>3247.5974715741572</c:v>
                </c:pt>
                <c:pt idx="63">
                  <c:v>3177.9906184151841</c:v>
                </c:pt>
                <c:pt idx="64">
                  <c:v>3109.0098879375118</c:v>
                </c:pt>
                <c:pt idx="65">
                  <c:v>3032.5783074211417</c:v>
                </c:pt>
                <c:pt idx="66">
                  <c:v>2965.2787082449991</c:v>
                </c:pt>
                <c:pt idx="67">
                  <c:v>2898.4170708379361</c:v>
                </c:pt>
                <c:pt idx="68">
                  <c:v>2824.5997932549617</c:v>
                </c:pt>
                <c:pt idx="69">
                  <c:v>2759.2679936296245</c:v>
                </c:pt>
                <c:pt idx="70">
                  <c:v>2694.8315049743364</c:v>
                </c:pt>
                <c:pt idx="71">
                  <c:v>2623.425230126642</c:v>
                </c:pt>
                <c:pt idx="72">
                  <c:v>2560.0884884495222</c:v>
                </c:pt>
                <c:pt idx="73">
                  <c:v>2498.1082649566547</c:v>
                </c:pt>
                <c:pt idx="74">
                  <c:v>2428.6751332041599</c:v>
                </c:pt>
                <c:pt idx="75">
                  <c:v>2367.7165122313922</c:v>
                </c:pt>
                <c:pt idx="76">
                  <c:v>2307.6370328025259</c:v>
                </c:pt>
                <c:pt idx="77">
                  <c:v>2240.4205489602696</c:v>
                </c:pt>
                <c:pt idx="78">
                  <c:v>2181.5032877091103</c:v>
                </c:pt>
                <c:pt idx="79">
                  <c:v>2123.2979627605791</c:v>
                </c:pt>
                <c:pt idx="80">
                  <c:v>2058.2713726578759</c:v>
                </c:pt>
                <c:pt idx="81">
                  <c:v>2001.2814752782569</c:v>
                </c:pt>
                <c:pt idx="82">
                  <c:v>1945.0061543286497</c:v>
                </c:pt>
                <c:pt idx="83">
                  <c:v>1881.9527809601716</c:v>
                </c:pt>
                <c:pt idx="84">
                  <c:v>1827.0848976277341</c:v>
                </c:pt>
                <c:pt idx="85">
                  <c:v>1772.2724325966283</c:v>
                </c:pt>
                <c:pt idx="86">
                  <c:v>1711.4500227839458</c:v>
                </c:pt>
                <c:pt idx="87">
                  <c:v>1658.1549567841441</c:v>
                </c:pt>
                <c:pt idx="88">
                  <c:v>1604.9328537633521</c:v>
                </c:pt>
                <c:pt idx="89">
                  <c:v>1546.1235434612527</c:v>
                </c:pt>
                <c:pt idx="90">
                  <c:v>1494.2203317731464</c:v>
                </c:pt>
                <c:pt idx="91">
                  <c:v>1442.8176951311209</c:v>
                </c:pt>
                <c:pt idx="92">
                  <c:v>1385.7328673887378</c:v>
                </c:pt>
                <c:pt idx="93">
                  <c:v>1335.4348399634109</c:v>
                </c:pt>
                <c:pt idx="94">
                  <c:v>1285.5045115158039</c:v>
                </c:pt>
                <c:pt idx="95">
                  <c:v>1230.2512960142781</c:v>
                </c:pt>
                <c:pt idx="96">
                  <c:v>1181.3360267787766</c:v>
                </c:pt>
                <c:pt idx="97">
                  <c:v>1132.9336684812708</c:v>
                </c:pt>
                <c:pt idx="98">
                  <c:v>1079.2262262421423</c:v>
                </c:pt>
                <c:pt idx="99">
                  <c:v>1031.5980886484233</c:v>
                </c:pt>
                <c:pt idx="100">
                  <c:v>984.83232316756278</c:v>
                </c:pt>
                <c:pt idx="101">
                  <c:v>932.47086417565833</c:v>
                </c:pt>
                <c:pt idx="102">
                  <c:v>886.4597372531108</c:v>
                </c:pt>
                <c:pt idx="103">
                  <c:v>841.10617866958785</c:v>
                </c:pt>
                <c:pt idx="104">
                  <c:v>790.34943900575047</c:v>
                </c:pt>
                <c:pt idx="105">
                  <c:v>745.95352702240598</c:v>
                </c:pt>
                <c:pt idx="106">
                  <c:v>702.14412105454505</c:v>
                </c:pt>
                <c:pt idx="107">
                  <c:v>653.27165402849096</c:v>
                </c:pt>
                <c:pt idx="108">
                  <c:v>610.59938371274075</c:v>
                </c:pt>
                <c:pt idx="109">
                  <c:v>568.79707280670505</c:v>
                </c:pt>
                <c:pt idx="110">
                  <c:v>522.21773646365784</c:v>
                </c:pt>
                <c:pt idx="111">
                  <c:v>482.42440731042831</c:v>
                </c:pt>
                <c:pt idx="112">
                  <c:v>443.22219695033067</c:v>
                </c:pt>
                <c:pt idx="113">
                  <c:v>401.11313686352298</c:v>
                </c:pt>
                <c:pt idx="114">
                  <c:v>365.78076718889946</c:v>
                </c:pt>
                <c:pt idx="115">
                  <c:v>332.263191455232</c:v>
                </c:pt>
                <c:pt idx="116">
                  <c:v>298.99852445548879</c:v>
                </c:pt>
                <c:pt idx="117">
                  <c:v>273.49339989879672</c:v>
                </c:pt>
                <c:pt idx="118">
                  <c:v>253.29273098341292</c:v>
                </c:pt>
                <c:pt idx="119">
                  <c:v>238.96678499620617</c:v>
                </c:pt>
                <c:pt idx="120">
                  <c:v>234.57893136334926</c:v>
                </c:pt>
                <c:pt idx="121">
                  <c:v>238.58427038631453</c:v>
                </c:pt>
                <c:pt idx="122">
                  <c:v>253.32068605780916</c:v>
                </c:pt>
                <c:pt idx="123">
                  <c:v>273.08464898019122</c:v>
                </c:pt>
                <c:pt idx="124">
                  <c:v>298.68879997180886</c:v>
                </c:pt>
                <c:pt idx="125">
                  <c:v>332.64252675411603</c:v>
                </c:pt>
                <c:pt idx="126">
                  <c:v>365.43560445237125</c:v>
                </c:pt>
                <c:pt idx="127">
                  <c:v>401.37349365440116</c:v>
                </c:pt>
                <c:pt idx="128">
                  <c:v>443.33938132861306</c:v>
                </c:pt>
                <c:pt idx="129">
                  <c:v>482.26431149858644</c:v>
                </c:pt>
                <c:pt idx="130">
                  <c:v>522.53825722477666</c:v>
                </c:pt>
                <c:pt idx="131">
                  <c:v>568.56582355287799</c:v>
                </c:pt>
                <c:pt idx="132">
                  <c:v>610.59163236774418</c:v>
                </c:pt>
                <c:pt idx="133">
                  <c:v>653.32707067539548</c:v>
                </c:pt>
                <c:pt idx="134">
                  <c:v>701.91440074358138</c:v>
                </c:pt>
                <c:pt idx="135">
                  <c:v>745.96273446882867</c:v>
                </c:pt>
                <c:pt idx="136">
                  <c:v>790.56611762367856</c:v>
                </c:pt>
                <c:pt idx="137">
                  <c:v>840.93260789643091</c:v>
                </c:pt>
                <c:pt idx="138">
                  <c:v>886.71036944254934</c:v>
                </c:pt>
                <c:pt idx="139">
                  <c:v>932.52884488052541</c:v>
                </c:pt>
                <c:pt idx="140">
                  <c:v>984.74477679457118</c:v>
                </c:pt>
                <c:pt idx="141">
                  <c:v>1031.8516257890719</c:v>
                </c:pt>
                <c:pt idx="142">
                  <c:v>1078.941017998533</c:v>
                </c:pt>
                <c:pt idx="143">
                  <c:v>1132.999036177561</c:v>
                </c:pt>
                <c:pt idx="144">
                  <c:v>1181.28521935239</c:v>
                </c:pt>
                <c:pt idx="145">
                  <c:v>1230.026408396081</c:v>
                </c:pt>
                <c:pt idx="146">
                  <c:v>1285.6689097446642</c:v>
                </c:pt>
                <c:pt idx="147">
                  <c:v>1335.4558137640058</c:v>
                </c:pt>
                <c:pt idx="148">
                  <c:v>1385.6705698984597</c:v>
                </c:pt>
                <c:pt idx="149">
                  <c:v>1443.0143943069845</c:v>
                </c:pt>
                <c:pt idx="150">
                  <c:v>1494.1974896231029</c:v>
                </c:pt>
                <c:pt idx="151">
                  <c:v>1546.060002257067</c:v>
                </c:pt>
                <c:pt idx="152">
                  <c:v>1605.1533049308823</c:v>
                </c:pt>
                <c:pt idx="153">
                  <c:v>1657.7559651879415</c:v>
                </c:pt>
                <c:pt idx="154">
                  <c:v>1711.5292151987778</c:v>
                </c:pt>
                <c:pt idx="155">
                  <c:v>1772.2146466917202</c:v>
                </c:pt>
                <c:pt idx="156">
                  <c:v>1826.858082720953</c:v>
                </c:pt>
                <c:pt idx="157">
                  <c:v>1882.2107610897619</c:v>
                </c:pt>
                <c:pt idx="158">
                  <c:v>1944.858837742305</c:v>
                </c:pt>
                <c:pt idx="159">
                  <c:v>2001.3754442363258</c:v>
                </c:pt>
                <c:pt idx="160">
                  <c:v>2058.4779229179353</c:v>
                </c:pt>
                <c:pt idx="161">
                  <c:v>2123.187380831977</c:v>
                </c:pt>
                <c:pt idx="162">
                  <c:v>2181.5719636316157</c:v>
                </c:pt>
                <c:pt idx="163">
                  <c:v>2240.5646109482909</c:v>
                </c:pt>
                <c:pt idx="164">
                  <c:v>2307.2674673048655</c:v>
                </c:pt>
                <c:pt idx="165">
                  <c:v>2367.9009230173892</c:v>
                </c:pt>
                <c:pt idx="166">
                  <c:v>2428.6106577782589</c:v>
                </c:pt>
                <c:pt idx="167">
                  <c:v>2497.9453758114569</c:v>
                </c:pt>
                <c:pt idx="168">
                  <c:v>2560.508645682442</c:v>
                </c:pt>
                <c:pt idx="169">
                  <c:v>2623.1906262677849</c:v>
                </c:pt>
                <c:pt idx="170">
                  <c:v>2695.0500562784723</c:v>
                </c:pt>
                <c:pt idx="171">
                  <c:v>2759.4047365661204</c:v>
                </c:pt>
                <c:pt idx="172">
                  <c:v>2824.3753796888477</c:v>
                </c:pt>
                <c:pt idx="173">
                  <c:v>2898.5839038762074</c:v>
                </c:pt>
                <c:pt idx="174">
                  <c:v>2965.1524552312057</c:v>
                </c:pt>
                <c:pt idx="175">
                  <c:v>3032.2840730905732</c:v>
                </c:pt>
                <c:pt idx="176">
                  <c:v>3109.1598983076765</c:v>
                </c:pt>
                <c:pt idx="177">
                  <c:v>3177.812951422256</c:v>
                </c:pt>
                <c:pt idx="178">
                  <c:v>3247.4547932261544</c:v>
                </c:pt>
                <c:pt idx="179">
                  <c:v>3326.8801699923215</c:v>
                </c:pt>
                <c:pt idx="180">
                  <c:v>3397.7272251123341</c:v>
                </c:pt>
                <c:pt idx="181">
                  <c:v>3469.9989806158633</c:v>
                </c:pt>
                <c:pt idx="182">
                  <c:v>3551.645051083141</c:v>
                </c:pt>
                <c:pt idx="183">
                  <c:v>3625.0993448641489</c:v>
                </c:pt>
                <c:pt idx="184">
                  <c:v>3699.5656343989554</c:v>
                </c:pt>
                <c:pt idx="185">
                  <c:v>3783.9144030090297</c:v>
                </c:pt>
                <c:pt idx="186">
                  <c:v>3859.9216859248836</c:v>
                </c:pt>
                <c:pt idx="187">
                  <c:v>3936.8097483681718</c:v>
                </c:pt>
                <c:pt idx="188">
                  <c:v>4023.9188730757278</c:v>
                </c:pt>
                <c:pt idx="189">
                  <c:v>4102.5004112922288</c:v>
                </c:pt>
                <c:pt idx="190">
                  <c:v>4181.9122594539649</c:v>
                </c:pt>
                <c:pt idx="191">
                  <c:v>4271.7048468823714</c:v>
                </c:pt>
                <c:pt idx="192">
                  <c:v>4353.0259921204488</c:v>
                </c:pt>
                <c:pt idx="193">
                  <c:v>4434.4910214656966</c:v>
                </c:pt>
                <c:pt idx="194">
                  <c:v>4527.4595208184792</c:v>
                </c:pt>
                <c:pt idx="195">
                  <c:v>4611.1716118682671</c:v>
                </c:pt>
                <c:pt idx="196">
                  <c:v>4695.1516327932304</c:v>
                </c:pt>
                <c:pt idx="197">
                  <c:v>4791.2912850201192</c:v>
                </c:pt>
                <c:pt idx="198">
                  <c:v>4877.3816308441801</c:v>
                </c:pt>
                <c:pt idx="199">
                  <c:v>4964.2179962937817</c:v>
                </c:pt>
                <c:pt idx="200">
                  <c:v>5063.2857521844699</c:v>
                </c:pt>
                <c:pt idx="201">
                  <c:v>5152.0283868009174</c:v>
                </c:pt>
                <c:pt idx="202">
                  <c:v>5241.3985225164788</c:v>
                </c:pt>
                <c:pt idx="203">
                  <c:v>5343.5312999492644</c:v>
                </c:pt>
                <c:pt idx="204">
                  <c:v>5434.6621505308067</c:v>
                </c:pt>
                <c:pt idx="205">
                  <c:v>5526.8783790378302</c:v>
                </c:pt>
                <c:pt idx="206">
                  <c:v>5631.9969689362852</c:v>
                </c:pt>
                <c:pt idx="207">
                  <c:v>5725.5731708500762</c:v>
                </c:pt>
                <c:pt idx="208">
                  <c:v>5820.9670434296495</c:v>
                </c:pt>
                <c:pt idx="209">
                  <c:v>5928.6780038190936</c:v>
                </c:pt>
                <c:pt idx="210">
                  <c:v>6025.4591988659058</c:v>
                </c:pt>
                <c:pt idx="211">
                  <c:v>6123.388242453002</c:v>
                </c:pt>
                <c:pt idx="212">
                  <c:v>6234.0978575250019</c:v>
                </c:pt>
                <c:pt idx="213">
                  <c:v>6333.7098311128047</c:v>
                </c:pt>
                <c:pt idx="214">
                  <c:v>6434.2464090236699</c:v>
                </c:pt>
                <c:pt idx="215">
                  <c:v>6547.9871884356353</c:v>
                </c:pt>
                <c:pt idx="216">
                  <c:v>6650.386871354116</c:v>
                </c:pt>
                <c:pt idx="217">
                  <c:v>6753.7854563481624</c:v>
                </c:pt>
                <c:pt idx="218">
                  <c:v>6870.5468208439188</c:v>
                </c:pt>
                <c:pt idx="219">
                  <c:v>6976.0425191762042</c:v>
                </c:pt>
                <c:pt idx="220">
                  <c:v>7081.8104256366196</c:v>
                </c:pt>
                <c:pt idx="221">
                  <c:v>7202.0807691718983</c:v>
                </c:pt>
                <c:pt idx="222">
                  <c:v>7310.3115934458438</c:v>
                </c:pt>
                <c:pt idx="223">
                  <c:v>7418.6674296546635</c:v>
                </c:pt>
                <c:pt idx="224">
                  <c:v>7542.3991178521374</c:v>
                </c:pt>
                <c:pt idx="225">
                  <c:v>7653.0103761009914</c:v>
                </c:pt>
                <c:pt idx="226">
                  <c:v>7764.4081350914239</c:v>
                </c:pt>
                <c:pt idx="227">
                  <c:v>7891.1533948112265</c:v>
                </c:pt>
                <c:pt idx="228">
                  <c:v>8004.6349696018278</c:v>
                </c:pt>
                <c:pt idx="229">
                  <c:v>8118.8303470518795</c:v>
                </c:pt>
                <c:pt idx="230">
                  <c:v>8249.0540721429843</c:v>
                </c:pt>
                <c:pt idx="231">
                  <c:v>8365.2131142691615</c:v>
                </c:pt>
                <c:pt idx="232">
                  <c:v>8482.4776141264228</c:v>
                </c:pt>
                <c:pt idx="233">
                  <c:v>8615.8048955832892</c:v>
                </c:pt>
                <c:pt idx="234">
                  <c:v>8734.5160260477151</c:v>
                </c:pt>
                <c:pt idx="235">
                  <c:v>8855.0386050321868</c:v>
                </c:pt>
                <c:pt idx="236">
                  <c:v>8991.0382869333407</c:v>
                </c:pt>
                <c:pt idx="237">
                  <c:v>9113.0252304483129</c:v>
                </c:pt>
                <c:pt idx="238">
                  <c:v>9236.2571323090415</c:v>
                </c:pt>
                <c:pt idx="239">
                  <c:v>9375.4733755196976</c:v>
                </c:pt>
                <c:pt idx="240">
                  <c:v>9500.4590031016614</c:v>
                </c:pt>
              </c:numCache>
            </c:numRef>
          </c:yVal>
          <c:smooth val="0"/>
          <c:extLst>
            <c:ext xmlns:c16="http://schemas.microsoft.com/office/drawing/2014/chart" uri="{C3380CC4-5D6E-409C-BE32-E72D297353CC}">
              <c16:uniqueId val="{00000003-3FC4-4A1A-B71B-5C8ED8DD3469}"/>
            </c:ext>
          </c:extLst>
        </c:ser>
        <c:dLbls>
          <c:showLegendKey val="0"/>
          <c:showVal val="0"/>
          <c:showCatName val="0"/>
          <c:showSerName val="0"/>
          <c:showPercent val="0"/>
          <c:showBubbleSize val="0"/>
        </c:dLbls>
        <c:axId val="700016"/>
        <c:axId val="700017"/>
      </c:scatterChart>
      <c:valAx>
        <c:axId val="700016"/>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7"/>
        <c:crosses val="min"/>
        <c:crossBetween val="midCat"/>
        <c:majorUnit val="500"/>
      </c:valAx>
      <c:valAx>
        <c:axId val="700017"/>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6"/>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Subsurface Truth Model: Icy Layers</a:t>
            </a:r>
          </a:p>
        </c:rich>
      </c:tx>
      <c:overlay val="1"/>
    </c:title>
    <c:autoTitleDeleted val="0"/>
    <c:plotArea>
      <c:layout/>
      <c:scatterChart>
        <c:scatterStyle val="lineMarker"/>
        <c:varyColors val="1"/>
        <c:ser>
          <c:idx val="0"/>
          <c:order val="0"/>
          <c:tx>
            <c:v>Icy top surface</c:v>
          </c:tx>
          <c:spPr>
            <a:ln w="22000">
              <a:solidFill>
                <a:srgbClr val="E76F24"/>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Subsurface_Live_Data!$B$2:$B$242</c:f>
              <c:numCache>
                <c:formatCode>0.000</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7FD1-40F1-BD51-6BBF234505A1}"/>
            </c:ext>
          </c:extLst>
        </c:ser>
        <c:ser>
          <c:idx val="1"/>
          <c:order val="1"/>
          <c:tx>
            <c:v>Shallow ice layer</c:v>
          </c:tx>
          <c:spPr>
            <a:ln w="22000">
              <a:solidFill>
                <a:srgbClr val="219653"/>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Subsurface_Live_Data!$G$2:$G$242</c:f>
              <c:numCache>
                <c:formatCode>0.000</c:formatCode>
                <c:ptCount val="241"/>
                <c:pt idx="0">
                  <c:v>-827.25110981457169</c:v>
                </c:pt>
                <c:pt idx="1">
                  <c:v>-835.69451183982665</c:v>
                </c:pt>
                <c:pt idx="2">
                  <c:v>-835.31366814235787</c:v>
                </c:pt>
                <c:pt idx="3">
                  <c:v>-818.39927837049322</c:v>
                </c:pt>
                <c:pt idx="4">
                  <c:v>-837.581975454587</c:v>
                </c:pt>
                <c:pt idx="5">
                  <c:v>-826.74916413969754</c:v>
                </c:pt>
                <c:pt idx="6">
                  <c:v>-837.14671714657402</c:v>
                </c:pt>
                <c:pt idx="7">
                  <c:v>-844.05192026415375</c:v>
                </c:pt>
                <c:pt idx="8">
                  <c:v>-831.78840055882279</c:v>
                </c:pt>
                <c:pt idx="9">
                  <c:v>-851.96149925087718</c:v>
                </c:pt>
                <c:pt idx="10">
                  <c:v>-852.35346856510455</c:v>
                </c:pt>
                <c:pt idx="11">
                  <c:v>-851.34201044906877</c:v>
                </c:pt>
                <c:pt idx="12">
                  <c:v>-867.08082452671044</c:v>
                </c:pt>
                <c:pt idx="13">
                  <c:v>-867.73242244392679</c:v>
                </c:pt>
                <c:pt idx="14">
                  <c:v>-881.97588678701368</c:v>
                </c:pt>
                <c:pt idx="15">
                  <c:v>-893.87245816726636</c:v>
                </c:pt>
                <c:pt idx="16">
                  <c:v>-901.69420616665491</c:v>
                </c:pt>
                <c:pt idx="17">
                  <c:v>-902.49397564882395</c:v>
                </c:pt>
                <c:pt idx="18">
                  <c:v>-931.54840554392672</c:v>
                </c:pt>
                <c:pt idx="19">
                  <c:v>-953.34029007790809</c:v>
                </c:pt>
                <c:pt idx="20">
                  <c:v>-949.3812081354597</c:v>
                </c:pt>
                <c:pt idx="21">
                  <c:v>-981.87751565612007</c:v>
                </c:pt>
                <c:pt idx="22">
                  <c:v>-989.71641941258827</c:v>
                </c:pt>
                <c:pt idx="23">
                  <c:v>-1009.0624324897547</c:v>
                </c:pt>
                <c:pt idx="24">
                  <c:v>-1035.2877490370649</c:v>
                </c:pt>
                <c:pt idx="25">
                  <c:v>-1039.9293139585957</c:v>
                </c:pt>
                <c:pt idx="26">
                  <c:v>-1060.2273748113207</c:v>
                </c:pt>
                <c:pt idx="27">
                  <c:v>-1070.5140647842013</c:v>
                </c:pt>
                <c:pt idx="28">
                  <c:v>-1094.5674472059293</c:v>
                </c:pt>
                <c:pt idx="29">
                  <c:v>-1108.188349642299</c:v>
                </c:pt>
                <c:pt idx="30">
                  <c:v>-1133.2528729996975</c:v>
                </c:pt>
                <c:pt idx="31">
                  <c:v>-1142.9729538539627</c:v>
                </c:pt>
                <c:pt idx="32">
                  <c:v>-1145.4758276935613</c:v>
                </c:pt>
                <c:pt idx="33">
                  <c:v>-1134.4027841568573</c:v>
                </c:pt>
                <c:pt idx="34">
                  <c:v>-1160.9887150334339</c:v>
                </c:pt>
                <c:pt idx="35">
                  <c:v>-1155.7366603426501</c:v>
                </c:pt>
                <c:pt idx="36">
                  <c:v>-1160.7363810524637</c:v>
                </c:pt>
                <c:pt idx="37">
                  <c:v>-1152.9455380751206</c:v>
                </c:pt>
                <c:pt idx="38">
                  <c:v>-1139.5432933982247</c:v>
                </c:pt>
                <c:pt idx="39">
                  <c:v>-1116.0937371427301</c:v>
                </c:pt>
                <c:pt idx="40">
                  <c:v>-1099.5178884077936</c:v>
                </c:pt>
                <c:pt idx="41">
                  <c:v>-1085.1246896002299</c:v>
                </c:pt>
                <c:pt idx="42">
                  <c:v>-1089.067499497856</c:v>
                </c:pt>
                <c:pt idx="43">
                  <c:v>-1050.7650963882015</c:v>
                </c:pt>
                <c:pt idx="44">
                  <c:v>-1046.5270456528119</c:v>
                </c:pt>
                <c:pt idx="45">
                  <c:v>-999.00827002652466</c:v>
                </c:pt>
                <c:pt idx="46">
                  <c:v>-989.19210552817231</c:v>
                </c:pt>
                <c:pt idx="47">
                  <c:v>-949.14663407511478</c:v>
                </c:pt>
                <c:pt idx="48">
                  <c:v>-928.86161701493154</c:v>
                </c:pt>
                <c:pt idx="49">
                  <c:v>-905.81184406606019</c:v>
                </c:pt>
                <c:pt idx="50">
                  <c:v>-898.58806740695366</c:v>
                </c:pt>
                <c:pt idx="51">
                  <c:v>-853.72063438924761</c:v>
                </c:pt>
                <c:pt idx="52">
                  <c:v>-840.72451408379857</c:v>
                </c:pt>
                <c:pt idx="53">
                  <c:v>-822.75543045364168</c:v>
                </c:pt>
                <c:pt idx="54">
                  <c:v>-801.13623148242152</c:v>
                </c:pt>
                <c:pt idx="55">
                  <c:v>-784.83949490122961</c:v>
                </c:pt>
                <c:pt idx="56">
                  <c:v>-787.40686095975809</c:v>
                </c:pt>
                <c:pt idx="57">
                  <c:v>-767.4404318221907</c:v>
                </c:pt>
                <c:pt idx="58">
                  <c:v>-763.65152903815363</c:v>
                </c:pt>
                <c:pt idx="59">
                  <c:v>-772.71133184617042</c:v>
                </c:pt>
                <c:pt idx="60">
                  <c:v>-769.94598755265633</c:v>
                </c:pt>
                <c:pt idx="61">
                  <c:v>-776.37477506912956</c:v>
                </c:pt>
                <c:pt idx="62">
                  <c:v>-767.52527889060059</c:v>
                </c:pt>
                <c:pt idx="63">
                  <c:v>-785.19012450319815</c:v>
                </c:pt>
                <c:pt idx="64">
                  <c:v>-779.41702855158371</c:v>
                </c:pt>
                <c:pt idx="65">
                  <c:v>-792.50568323820812</c:v>
                </c:pt>
                <c:pt idx="66">
                  <c:v>-797.08703249107589</c:v>
                </c:pt>
                <c:pt idx="67">
                  <c:v>-793.28798101013672</c:v>
                </c:pt>
                <c:pt idx="68">
                  <c:v>-808.63467922567224</c:v>
                </c:pt>
                <c:pt idx="69">
                  <c:v>-805.78343524621096</c:v>
                </c:pt>
                <c:pt idx="70">
                  <c:v>-813.69451562803215</c:v>
                </c:pt>
                <c:pt idx="71">
                  <c:v>-794.78350163840923</c:v>
                </c:pt>
                <c:pt idx="72">
                  <c:v>-798.75788100980196</c:v>
                </c:pt>
                <c:pt idx="73">
                  <c:v>-789.69184032131409</c:v>
                </c:pt>
                <c:pt idx="74">
                  <c:v>-780.06946466225554</c:v>
                </c:pt>
                <c:pt idx="75">
                  <c:v>-768.70103563652879</c:v>
                </c:pt>
                <c:pt idx="76">
                  <c:v>-735.22560875796239</c:v>
                </c:pt>
                <c:pt idx="77">
                  <c:v>-715.0511647172691</c:v>
                </c:pt>
                <c:pt idx="78">
                  <c:v>-723.89407039086745</c:v>
                </c:pt>
                <c:pt idx="79">
                  <c:v>-694.28092352025465</c:v>
                </c:pt>
                <c:pt idx="80">
                  <c:v>-694.15152354504517</c:v>
                </c:pt>
                <c:pt idx="81">
                  <c:v>-664.50884380609239</c:v>
                </c:pt>
                <c:pt idx="82">
                  <c:v>-652.65939054343926</c:v>
                </c:pt>
                <c:pt idx="83">
                  <c:v>-653.52314578479718</c:v>
                </c:pt>
                <c:pt idx="84">
                  <c:v>-624.30930632936884</c:v>
                </c:pt>
                <c:pt idx="85">
                  <c:v>-616.13431150553902</c:v>
                </c:pt>
                <c:pt idx="86">
                  <c:v>-628.6061295395906</c:v>
                </c:pt>
                <c:pt idx="87">
                  <c:v>-621.31997101026673</c:v>
                </c:pt>
                <c:pt idx="88">
                  <c:v>-595.43331312189957</c:v>
                </c:pt>
                <c:pt idx="89">
                  <c:v>-603.51854103066171</c:v>
                </c:pt>
                <c:pt idx="90">
                  <c:v>-593.98942948803028</c:v>
                </c:pt>
                <c:pt idx="91">
                  <c:v>-588.37017239082331</c:v>
                </c:pt>
                <c:pt idx="92">
                  <c:v>-596.58974141060094</c:v>
                </c:pt>
                <c:pt idx="93">
                  <c:v>-604.09853586280303</c:v>
                </c:pt>
                <c:pt idx="94">
                  <c:v>-597.35977297551881</c:v>
                </c:pt>
                <c:pt idx="95">
                  <c:v>-590.23973269668227</c:v>
                </c:pt>
                <c:pt idx="96">
                  <c:v>-610.30870931120694</c:v>
                </c:pt>
                <c:pt idx="97">
                  <c:v>-601.22511206989611</c:v>
                </c:pt>
                <c:pt idx="98">
                  <c:v>-610.05539865532819</c:v>
                </c:pt>
                <c:pt idx="99">
                  <c:v>-616.35349843163317</c:v>
                </c:pt>
                <c:pt idx="100">
                  <c:v>-629.69633373862496</c:v>
                </c:pt>
                <c:pt idx="101">
                  <c:v>-646.31625715341363</c:v>
                </c:pt>
                <c:pt idx="102">
                  <c:v>-653.29344821446239</c:v>
                </c:pt>
                <c:pt idx="103">
                  <c:v>-689.83729179781949</c:v>
                </c:pt>
                <c:pt idx="104">
                  <c:v>-693.30364039514052</c:v>
                </c:pt>
                <c:pt idx="105">
                  <c:v>-716.7800476133466</c:v>
                </c:pt>
                <c:pt idx="106">
                  <c:v>-761.47274064920543</c:v>
                </c:pt>
                <c:pt idx="107">
                  <c:v>-767.59791060004341</c:v>
                </c:pt>
                <c:pt idx="108">
                  <c:v>-793.57627679194559</c:v>
                </c:pt>
                <c:pt idx="109">
                  <c:v>-821.4930795336669</c:v>
                </c:pt>
                <c:pt idx="110">
                  <c:v>-848.98262075235903</c:v>
                </c:pt>
                <c:pt idx="111">
                  <c:v>-868.3905403605138</c:v>
                </c:pt>
                <c:pt idx="112">
                  <c:v>-881.10569988941234</c:v>
                </c:pt>
                <c:pt idx="113">
                  <c:v>-915.41549366469189</c:v>
                </c:pt>
                <c:pt idx="114">
                  <c:v>-913.55864831763938</c:v>
                </c:pt>
                <c:pt idx="115">
                  <c:v>-923.94342120947999</c:v>
                </c:pt>
                <c:pt idx="116">
                  <c:v>-919.04419343615996</c:v>
                </c:pt>
                <c:pt idx="117">
                  <c:v>-931.44566987885037</c:v>
                </c:pt>
                <c:pt idx="118">
                  <c:v>-927.79178667438009</c:v>
                </c:pt>
                <c:pt idx="119">
                  <c:v>-899.77353106998976</c:v>
                </c:pt>
                <c:pt idx="120">
                  <c:v>-895.70541742008413</c:v>
                </c:pt>
                <c:pt idx="121">
                  <c:v>-893.38870019604201</c:v>
                </c:pt>
                <c:pt idx="122">
                  <c:v>-877.03217508551245</c:v>
                </c:pt>
                <c:pt idx="123">
                  <c:v>-854.43897691191808</c:v>
                </c:pt>
                <c:pt idx="124">
                  <c:v>-831.51032282912763</c:v>
                </c:pt>
                <c:pt idx="125">
                  <c:v>-809.07566141031816</c:v>
                </c:pt>
                <c:pt idx="126">
                  <c:v>-811.9065257543798</c:v>
                </c:pt>
                <c:pt idx="127">
                  <c:v>-775.73649662040998</c:v>
                </c:pt>
                <c:pt idx="128">
                  <c:v>-764.34790589097713</c:v>
                </c:pt>
                <c:pt idx="129">
                  <c:v>-743.77600524172954</c:v>
                </c:pt>
                <c:pt idx="130">
                  <c:v>-747.82121088806457</c:v>
                </c:pt>
                <c:pt idx="131">
                  <c:v>-740.82532770764499</c:v>
                </c:pt>
                <c:pt idx="132">
                  <c:v>-729.77163094471314</c:v>
                </c:pt>
                <c:pt idx="133">
                  <c:v>-721.48459541023738</c:v>
                </c:pt>
                <c:pt idx="134">
                  <c:v>-694.38983127269228</c:v>
                </c:pt>
                <c:pt idx="135">
                  <c:v>-706.43456489441314</c:v>
                </c:pt>
                <c:pt idx="136">
                  <c:v>-694.86610093730985</c:v>
                </c:pt>
                <c:pt idx="137">
                  <c:v>-694.46639937048462</c:v>
                </c:pt>
                <c:pt idx="138">
                  <c:v>-676.02422338880478</c:v>
                </c:pt>
                <c:pt idx="139">
                  <c:v>-662.57290370699707</c:v>
                </c:pt>
                <c:pt idx="140">
                  <c:v>-670.16288907632327</c:v>
                </c:pt>
                <c:pt idx="141">
                  <c:v>-671.1441168172197</c:v>
                </c:pt>
                <c:pt idx="142">
                  <c:v>-650.80069715925788</c:v>
                </c:pt>
                <c:pt idx="143">
                  <c:v>-648.35921054542894</c:v>
                </c:pt>
                <c:pt idx="144">
                  <c:v>-648.16982807718796</c:v>
                </c:pt>
                <c:pt idx="145">
                  <c:v>-627.24526508281519</c:v>
                </c:pt>
                <c:pt idx="146">
                  <c:v>-623.50762011708503</c:v>
                </c:pt>
                <c:pt idx="147">
                  <c:v>-635.17084443295835</c:v>
                </c:pt>
                <c:pt idx="148">
                  <c:v>-625.36988096244704</c:v>
                </c:pt>
                <c:pt idx="149">
                  <c:v>-617.48490206385918</c:v>
                </c:pt>
                <c:pt idx="150">
                  <c:v>-629.27879426294362</c:v>
                </c:pt>
                <c:pt idx="151">
                  <c:v>-630.2289401594893</c:v>
                </c:pt>
                <c:pt idx="152">
                  <c:v>-624.16594168756342</c:v>
                </c:pt>
                <c:pt idx="153">
                  <c:v>-617.93354491439277</c:v>
                </c:pt>
                <c:pt idx="154">
                  <c:v>-621.41387111178801</c:v>
                </c:pt>
                <c:pt idx="155">
                  <c:v>-613.18638923435742</c:v>
                </c:pt>
                <c:pt idx="156">
                  <c:v>-610.3537736330311</c:v>
                </c:pt>
                <c:pt idx="157">
                  <c:v>-615.8511229245737</c:v>
                </c:pt>
                <c:pt idx="158">
                  <c:v>-603.8813269421064</c:v>
                </c:pt>
                <c:pt idx="159">
                  <c:v>-599.89440530868478</c:v>
                </c:pt>
                <c:pt idx="160">
                  <c:v>-600.89678995583677</c:v>
                </c:pt>
                <c:pt idx="161">
                  <c:v>-601.61948820479961</c:v>
                </c:pt>
                <c:pt idx="162">
                  <c:v>-605.4919082820436</c:v>
                </c:pt>
                <c:pt idx="163">
                  <c:v>-606.04174579770188</c:v>
                </c:pt>
                <c:pt idx="164">
                  <c:v>-605.73707187671687</c:v>
                </c:pt>
                <c:pt idx="165">
                  <c:v>-613.80224121009337</c:v>
                </c:pt>
                <c:pt idx="166">
                  <c:v>-620.79066022135544</c:v>
                </c:pt>
                <c:pt idx="167">
                  <c:v>-629.96784838133681</c:v>
                </c:pt>
                <c:pt idx="168">
                  <c:v>-622.60614781385084</c:v>
                </c:pt>
                <c:pt idx="169">
                  <c:v>-649.4410782922622</c:v>
                </c:pt>
                <c:pt idx="170">
                  <c:v>-648.00522513012231</c:v>
                </c:pt>
                <c:pt idx="171">
                  <c:v>-677.17675636965805</c:v>
                </c:pt>
                <c:pt idx="172">
                  <c:v>-681.36312533771093</c:v>
                </c:pt>
                <c:pt idx="173">
                  <c:v>-686.54778349019841</c:v>
                </c:pt>
                <c:pt idx="174">
                  <c:v>-723.77959798723191</c:v>
                </c:pt>
                <c:pt idx="175">
                  <c:v>-734.1635911712084</c:v>
                </c:pt>
                <c:pt idx="176">
                  <c:v>-759.76271854830065</c:v>
                </c:pt>
                <c:pt idx="177">
                  <c:v>-763.43011493348399</c:v>
                </c:pt>
                <c:pt idx="178">
                  <c:v>-791.24453247683118</c:v>
                </c:pt>
                <c:pt idx="179">
                  <c:v>-813.73731985125744</c:v>
                </c:pt>
                <c:pt idx="180">
                  <c:v>-822.08351869409103</c:v>
                </c:pt>
                <c:pt idx="181">
                  <c:v>-843.78897173592577</c:v>
                </c:pt>
                <c:pt idx="182">
                  <c:v>-848.93803326391298</c:v>
                </c:pt>
                <c:pt idx="183">
                  <c:v>-876.57380200535681</c:v>
                </c:pt>
                <c:pt idx="184">
                  <c:v>-877.3000445894819</c:v>
                </c:pt>
                <c:pt idx="185">
                  <c:v>-879.22163812003828</c:v>
                </c:pt>
                <c:pt idx="186">
                  <c:v>-889.15618688524762</c:v>
                </c:pt>
                <c:pt idx="187">
                  <c:v>-898.02138159280776</c:v>
                </c:pt>
                <c:pt idx="188">
                  <c:v>-891.56297807152623</c:v>
                </c:pt>
                <c:pt idx="189">
                  <c:v>-896.949702676274</c:v>
                </c:pt>
                <c:pt idx="190">
                  <c:v>-915.03460701777215</c:v>
                </c:pt>
                <c:pt idx="191">
                  <c:v>-926.67551268305454</c:v>
                </c:pt>
                <c:pt idx="192">
                  <c:v>-930.70733679681507</c:v>
                </c:pt>
                <c:pt idx="193">
                  <c:v>-922.53551173921244</c:v>
                </c:pt>
                <c:pt idx="194">
                  <c:v>-933.4887609746736</c:v>
                </c:pt>
                <c:pt idx="195">
                  <c:v>-944.26111330193589</c:v>
                </c:pt>
                <c:pt idx="196">
                  <c:v>-956.79823803001761</c:v>
                </c:pt>
                <c:pt idx="197">
                  <c:v>-943.24257637965866</c:v>
                </c:pt>
                <c:pt idx="198">
                  <c:v>-965.12439750133206</c:v>
                </c:pt>
                <c:pt idx="199">
                  <c:v>-982.35834668650136</c:v>
                </c:pt>
                <c:pt idx="200">
                  <c:v>-989.59984639816435</c:v>
                </c:pt>
                <c:pt idx="201">
                  <c:v>-1005.6995052698903</c:v>
                </c:pt>
                <c:pt idx="202">
                  <c:v>-1040.0839206202641</c:v>
                </c:pt>
                <c:pt idx="203">
                  <c:v>-1057.241706866886</c:v>
                </c:pt>
                <c:pt idx="204">
                  <c:v>-1064.2582731012205</c:v>
                </c:pt>
                <c:pt idx="205">
                  <c:v>-1082.5979557123781</c:v>
                </c:pt>
                <c:pt idx="206">
                  <c:v>-1100.5162624103223</c:v>
                </c:pt>
                <c:pt idx="207">
                  <c:v>-1125.7974556560137</c:v>
                </c:pt>
                <c:pt idx="208">
                  <c:v>-1144.149994084235</c:v>
                </c:pt>
                <c:pt idx="209">
                  <c:v>-1173.5027994666743</c:v>
                </c:pt>
                <c:pt idx="210">
                  <c:v>-1185.4426511273114</c:v>
                </c:pt>
                <c:pt idx="211">
                  <c:v>-1178.9484882610266</c:v>
                </c:pt>
                <c:pt idx="212">
                  <c:v>-1194.6122768624371</c:v>
                </c:pt>
                <c:pt idx="213">
                  <c:v>-1208.7687444969135</c:v>
                </c:pt>
                <c:pt idx="214">
                  <c:v>-1205.9391408246988</c:v>
                </c:pt>
                <c:pt idx="215">
                  <c:v>-1206.2612930816563</c:v>
                </c:pt>
                <c:pt idx="216">
                  <c:v>-1177.4784520475419</c:v>
                </c:pt>
                <c:pt idx="217">
                  <c:v>-1173.9897081315523</c:v>
                </c:pt>
                <c:pt idx="218">
                  <c:v>-1163.3050524570795</c:v>
                </c:pt>
                <c:pt idx="219">
                  <c:v>-1140.7977459413278</c:v>
                </c:pt>
                <c:pt idx="220">
                  <c:v>-1123.7823762869164</c:v>
                </c:pt>
                <c:pt idx="221">
                  <c:v>-1084.4235052137415</c:v>
                </c:pt>
                <c:pt idx="222">
                  <c:v>-1065.15152553097</c:v>
                </c:pt>
                <c:pt idx="223">
                  <c:v>-1023.8472309129764</c:v>
                </c:pt>
                <c:pt idx="224">
                  <c:v>-996.82173755649853</c:v>
                </c:pt>
                <c:pt idx="225">
                  <c:v>-979.62668459043789</c:v>
                </c:pt>
                <c:pt idx="226">
                  <c:v>-941.10779090790584</c:v>
                </c:pt>
                <c:pt idx="227">
                  <c:v>-924.02200757563605</c:v>
                </c:pt>
                <c:pt idx="228">
                  <c:v>-904.65516693176278</c:v>
                </c:pt>
                <c:pt idx="229">
                  <c:v>-891.21403733903935</c:v>
                </c:pt>
                <c:pt idx="230">
                  <c:v>-862.7135944994626</c:v>
                </c:pt>
                <c:pt idx="231">
                  <c:v>-852.41301064175013</c:v>
                </c:pt>
                <c:pt idx="232">
                  <c:v>-833.50109156152462</c:v>
                </c:pt>
                <c:pt idx="233">
                  <c:v>-817.14008022032203</c:v>
                </c:pt>
                <c:pt idx="234">
                  <c:v>-795.15338780366596</c:v>
                </c:pt>
                <c:pt idx="235">
                  <c:v>-806.47794483630878</c:v>
                </c:pt>
                <c:pt idx="236">
                  <c:v>-782.36745198911854</c:v>
                </c:pt>
                <c:pt idx="237">
                  <c:v>-781.52065057397203</c:v>
                </c:pt>
                <c:pt idx="238">
                  <c:v>-771.26615131731694</c:v>
                </c:pt>
                <c:pt idx="239">
                  <c:v>-791.69969338699855</c:v>
                </c:pt>
                <c:pt idx="240">
                  <c:v>-780.1011245225925</c:v>
                </c:pt>
              </c:numCache>
            </c:numRef>
          </c:yVal>
          <c:smooth val="0"/>
          <c:extLst>
            <c:ext xmlns:c16="http://schemas.microsoft.com/office/drawing/2014/chart" uri="{C3380CC4-5D6E-409C-BE32-E72D297353CC}">
              <c16:uniqueId val="{00000001-7FD1-40F1-BD51-6BBF234505A1}"/>
            </c:ext>
          </c:extLst>
        </c:ser>
        <c:ser>
          <c:idx val="2"/>
          <c:order val="2"/>
          <c:tx>
            <c:v>Warm/briny lens</c:v>
          </c:tx>
          <c:spPr>
            <a:ln w="22000">
              <a:solidFill>
                <a:srgbClr val="D49A22"/>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Subsurface_Live_Data!$J$2:$J$242</c:f>
              <c:numCache>
                <c:formatCode>0.000</c:formatCode>
                <c:ptCount val="241"/>
                <c:pt idx="0">
                  <c:v>-5469.6167304094452</c:v>
                </c:pt>
                <c:pt idx="1">
                  <c:v>-5484.6519044620727</c:v>
                </c:pt>
                <c:pt idx="2">
                  <c:v>-5487.9208754121937</c:v>
                </c:pt>
                <c:pt idx="3">
                  <c:v>-5471.3423999217111</c:v>
                </c:pt>
                <c:pt idx="4">
                  <c:v>-5489.7145702174776</c:v>
                </c:pt>
                <c:pt idx="5">
                  <c:v>-5474.1706250506713</c:v>
                </c:pt>
                <c:pt idx="6">
                  <c:v>-5478.1185718984498</c:v>
                </c:pt>
                <c:pt idx="7">
                  <c:v>-5475.8587683367805</c:v>
                </c:pt>
                <c:pt idx="8">
                  <c:v>-5451.1406419915475</c:v>
                </c:pt>
                <c:pt idx="9">
                  <c:v>-5457.8236188554847</c:v>
                </c:pt>
                <c:pt idx="10">
                  <c:v>-5441.6416267208006</c:v>
                </c:pt>
                <c:pt idx="11">
                  <c:v>-5421.8873589212117</c:v>
                </c:pt>
                <c:pt idx="12">
                  <c:v>-5417.639938008685</c:v>
                </c:pt>
                <c:pt idx="13">
                  <c:v>-5395.9216982660082</c:v>
                </c:pt>
                <c:pt idx="14">
                  <c:v>-5386.8077504961921</c:v>
                </c:pt>
                <c:pt idx="15">
                  <c:v>-5373.9080450902093</c:v>
                </c:pt>
                <c:pt idx="16">
                  <c:v>-5355.6441247545272</c:v>
                </c:pt>
                <c:pt idx="17">
                  <c:v>-5329.1729032899821</c:v>
                </c:pt>
                <c:pt idx="18">
                  <c:v>-5331.4698152275032</c:v>
                </c:pt>
                <c:pt idx="19">
                  <c:v>-5325.7654252517168</c:v>
                </c:pt>
                <c:pt idx="20">
                  <c:v>-5293.0240198977936</c:v>
                </c:pt>
                <c:pt idx="21">
                  <c:v>-5298.2591297231702</c:v>
                </c:pt>
                <c:pt idx="22">
                  <c:v>-5278.0159529866269</c:v>
                </c:pt>
                <c:pt idx="23">
                  <c:v>-5270.1564637981828</c:v>
                </c:pt>
                <c:pt idx="24">
                  <c:v>-5270.0342729096683</c:v>
                </c:pt>
                <c:pt idx="25">
                  <c:v>-5248.1559278122386</c:v>
                </c:pt>
                <c:pt idx="26">
                  <c:v>-5243.4482622119995</c:v>
                </c:pt>
                <c:pt idx="27">
                  <c:v>-5229.2865671993422</c:v>
                </c:pt>
                <c:pt idx="28">
                  <c:v>-5230.5288513473715</c:v>
                </c:pt>
                <c:pt idx="29">
                  <c:v>-5222.0325930924691</c:v>
                </c:pt>
                <c:pt idx="30">
                  <c:v>-5226.6257533889702</c:v>
                </c:pt>
                <c:pt idx="31">
                  <c:v>-5216.4199471214388</c:v>
                </c:pt>
                <c:pt idx="32">
                  <c:v>-5199.8729028495209</c:v>
                </c:pt>
                <c:pt idx="33">
                  <c:v>-5170.3297736039531</c:v>
                </c:pt>
                <c:pt idx="34">
                  <c:v>-5181.1073430208353</c:v>
                </c:pt>
                <c:pt idx="35">
                  <c:v>-5159.7400643138062</c:v>
                </c:pt>
                <c:pt idx="36">
                  <c:v>-5149.9806369244088</c:v>
                </c:pt>
                <c:pt idx="37">
                  <c:v>-5127.7202684517797</c:v>
                </c:pt>
                <c:pt idx="38">
                  <c:v>-5100.3179683082999</c:v>
                </c:pt>
                <c:pt idx="39">
                  <c:v>-5063.0236189190437</c:v>
                </c:pt>
                <c:pt idx="40">
                  <c:v>-5033.3267998786978</c:v>
                </c:pt>
                <c:pt idx="41">
                  <c:v>-5006.2004958256884</c:v>
                </c:pt>
                <c:pt idx="42">
                  <c:v>-4998.3297394704359</c:v>
                </c:pt>
                <c:pt idx="43">
                  <c:v>-4946.4699343706097</c:v>
                </c:pt>
                <c:pt idx="44">
                  <c:v>-4929.9763139430179</c:v>
                </c:pt>
                <c:pt idx="45">
                  <c:v>-4868.15535289123</c:v>
                </c:pt>
                <c:pt idx="46">
                  <c:v>-4845.2498297663533</c:v>
                </c:pt>
                <c:pt idx="47">
                  <c:v>-4790.3958138257221</c:v>
                </c:pt>
                <c:pt idx="48">
                  <c:v>-4755.5799926839818</c:v>
                </c:pt>
                <c:pt idx="49">
                  <c:v>-4717.2700233725591</c:v>
                </c:pt>
                <c:pt idx="50">
                  <c:v>-4694.7815906867754</c:v>
                </c:pt>
                <c:pt idx="51">
                  <c:v>-4632.3874716345299</c:v>
                </c:pt>
                <c:pt idx="52">
                  <c:v>-4602.4901431838944</c:v>
                </c:pt>
                <c:pt idx="53">
                  <c:v>-4566.7222049651718</c:v>
                </c:pt>
                <c:pt idx="54">
                  <c:v>-4526.4945388619635</c:v>
                </c:pt>
                <c:pt idx="55">
                  <c:v>-4491.2067931965375</c:v>
                </c:pt>
                <c:pt idx="56">
                  <c:v>-4475.0373808520171</c:v>
                </c:pt>
                <c:pt idx="57">
                  <c:v>-4434.9539897341474</c:v>
                </c:pt>
                <c:pt idx="58">
                  <c:v>-4411.3876446866234</c:v>
                </c:pt>
                <c:pt idx="59">
                  <c:v>-4400.9917329219843</c:v>
                </c:pt>
                <c:pt idx="60">
                  <c:v>-4378.1970660600473</c:v>
                </c:pt>
                <c:pt idx="61">
                  <c:v>-4365.0407135365995</c:v>
                </c:pt>
                <c:pt idx="62">
                  <c:v>-4336.1790303961716</c:v>
                </c:pt>
                <c:pt idx="63">
                  <c:v>-4335.2980079964491</c:v>
                </c:pt>
                <c:pt idx="64">
                  <c:v>-4310.5165812841242</c:v>
                </c:pt>
                <c:pt idx="65">
                  <c:v>-4306.0470342921108</c:v>
                </c:pt>
                <c:pt idx="66">
                  <c:v>-4293.5246022857764</c:v>
                </c:pt>
                <c:pt idx="67">
                  <c:v>-4273.2178303591509</c:v>
                </c:pt>
                <c:pt idx="68">
                  <c:v>-4273.9251026381835</c:v>
                </c:pt>
                <c:pt idx="69">
                  <c:v>-4256.8584908823996</c:v>
                </c:pt>
                <c:pt idx="70">
                  <c:v>-4252.2808701910499</c:v>
                </c:pt>
                <c:pt idx="71">
                  <c:v>-4221.1199579730464</c:v>
                </c:pt>
                <c:pt idx="72">
                  <c:v>-4215.2131487587558</c:v>
                </c:pt>
                <c:pt idx="73">
                  <c:v>-4197.1758495620206</c:v>
                </c:pt>
                <c:pt idx="74">
                  <c:v>-4180.0289732246592</c:v>
                </c:pt>
                <c:pt idx="75">
                  <c:v>-4162.5279940753953</c:v>
                </c:pt>
                <c:pt idx="76">
                  <c:v>-4123.4364726073572</c:v>
                </c:pt>
                <c:pt idx="77">
                  <c:v>-4099.5891491399234</c:v>
                </c:pt>
                <c:pt idx="78">
                  <c:v>-4107.2880746152441</c:v>
                </c:pt>
                <c:pt idx="79">
                  <c:v>-4076.1599656857925</c:v>
                </c:pt>
                <c:pt idx="80">
                  <c:v>-4076.8692848028691</c:v>
                </c:pt>
                <c:pt idx="81">
                  <c:v>-4047.838968520703</c:v>
                </c:pt>
                <c:pt idx="82">
                  <c:v>-4038.2114601787075</c:v>
                </c:pt>
                <c:pt idx="83">
                  <c:v>-4042.5491674661844</c:v>
                </c:pt>
                <c:pt idx="84">
                  <c:v>-4016.1245174503501</c:v>
                </c:pt>
                <c:pt idx="85">
                  <c:v>-4012.0250694001802</c:v>
                </c:pt>
                <c:pt idx="86">
                  <c:v>-4029.6819310394994</c:v>
                </c:pt>
                <c:pt idx="87">
                  <c:v>-4026.8476367694311</c:v>
                </c:pt>
                <c:pt idx="88">
                  <c:v>-4004.5733068936802</c:v>
                </c:pt>
                <c:pt idx="89">
                  <c:v>-4017.4749302138794</c:v>
                </c:pt>
                <c:pt idx="90">
                  <c:v>-4011.6806102895202</c:v>
                </c:pt>
                <c:pt idx="91">
                  <c:v>-4009.4886222890741</c:v>
                </c:pt>
                <c:pt idx="92">
                  <c:v>-4021.1349571969049</c:v>
                </c:pt>
                <c:pt idx="93">
                  <c:v>-4031.3754728571757</c:v>
                </c:pt>
                <c:pt idx="94">
                  <c:v>-4026.0414087328722</c:v>
                </c:pt>
                <c:pt idx="95">
                  <c:v>-4019.5308448699598</c:v>
                </c:pt>
                <c:pt idx="96">
                  <c:v>-4040.5400860772365</c:v>
                </c:pt>
                <c:pt idx="97">
                  <c:v>-4030.3812407233804</c:v>
                </c:pt>
                <c:pt idx="98">
                  <c:v>-4038.1075229025973</c:v>
                </c:pt>
                <c:pt idx="99">
                  <c:v>-4042.4709116829981</c:v>
                </c:pt>
                <c:pt idx="100">
                  <c:v>-4053.5211335516542</c:v>
                </c:pt>
                <c:pt idx="101">
                  <c:v>-4067.43016068726</c:v>
                </c:pt>
                <c:pt idx="102">
                  <c:v>-4070.857910634501</c:v>
                </c:pt>
                <c:pt idx="103">
                  <c:v>-4104.7852351082456</c:v>
                </c:pt>
                <c:pt idx="104">
                  <c:v>-4104.1130846329979</c:v>
                </c:pt>
                <c:pt idx="105">
                  <c:v>-4124.3113101892168</c:v>
                </c:pt>
                <c:pt idx="106">
                  <c:v>-4166.8189861570008</c:v>
                </c:pt>
                <c:pt idx="107">
                  <c:v>-4169.5531556277183</c:v>
                </c:pt>
                <c:pt idx="108">
                  <c:v>-4193.5666298548103</c:v>
                </c:pt>
                <c:pt idx="109">
                  <c:v>-4220.3988084671273</c:v>
                </c:pt>
                <c:pt idx="110">
                  <c:v>-4247.7853280077034</c:v>
                </c:pt>
                <c:pt idx="111">
                  <c:v>-4267.9486688948409</c:v>
                </c:pt>
                <c:pt idx="112">
                  <c:v>-4282.523813289301</c:v>
                </c:pt>
                <c:pt idx="113">
                  <c:v>-4321.1542420929873</c:v>
                </c:pt>
                <c:pt idx="114">
                  <c:v>-4323.8354745905672</c:v>
                </c:pt>
                <c:pt idx="115">
                  <c:v>-4341.1394448312385</c:v>
                </c:pt>
                <c:pt idx="116">
                  <c:v>-4344.520801916954</c:v>
                </c:pt>
                <c:pt idx="117">
                  <c:v>-4368.0272757413277</c:v>
                </c:pt>
                <c:pt idx="118">
                  <c:v>-4376.9944607136404</c:v>
                </c:pt>
                <c:pt idx="119">
                  <c:v>-4362.8231810118541</c:v>
                </c:pt>
                <c:pt idx="120">
                  <c:v>-4375.8704469742106</c:v>
                </c:pt>
                <c:pt idx="121">
                  <c:v>-4393.014522777029</c:v>
                </c:pt>
                <c:pt idx="122">
                  <c:v>-4397.7804202473189</c:v>
                </c:pt>
                <c:pt idx="123">
                  <c:v>-4398.2429151191873</c:v>
                </c:pt>
                <c:pt idx="124">
                  <c:v>-4400.4684864707579</c:v>
                </c:pt>
                <c:pt idx="125">
                  <c:v>-4405.2143559197875</c:v>
                </c:pt>
                <c:pt idx="126">
                  <c:v>-4438.1526264910344</c:v>
                </c:pt>
                <c:pt idx="127">
                  <c:v>-4432.1845014524642</c:v>
                </c:pt>
                <c:pt idx="128">
                  <c:v>-4453.574373916209</c:v>
                </c:pt>
                <c:pt idx="129">
                  <c:v>-4466.7482540273859</c:v>
                </c:pt>
                <c:pt idx="130">
                  <c:v>-4506.7050434002977</c:v>
                </c:pt>
                <c:pt idx="131">
                  <c:v>-4536.078008508066</c:v>
                </c:pt>
                <c:pt idx="132">
                  <c:v>-4561.9087752734576</c:v>
                </c:pt>
                <c:pt idx="133">
                  <c:v>-4591.0669061182116</c:v>
                </c:pt>
                <c:pt idx="134">
                  <c:v>-4600.8364206062988</c:v>
                </c:pt>
                <c:pt idx="135">
                  <c:v>-4651.3362239800736</c:v>
                </c:pt>
                <c:pt idx="136">
                  <c:v>-4676.9592187359767</c:v>
                </c:pt>
                <c:pt idx="137">
                  <c:v>-4713.7031025070137</c:v>
                </c:pt>
                <c:pt idx="138">
                  <c:v>-4730.9151522486482</c:v>
                </c:pt>
                <c:pt idx="139">
                  <c:v>-4752.3759955300084</c:v>
                </c:pt>
                <c:pt idx="140">
                  <c:v>-4794.6068785386415</c:v>
                </c:pt>
                <c:pt idx="141">
                  <c:v>-4828.624386947019</c:v>
                </c:pt>
                <c:pt idx="142">
                  <c:v>-4838.9368521267916</c:v>
                </c:pt>
                <c:pt idx="143">
                  <c:v>-4866.2629367500231</c:v>
                </c:pt>
                <c:pt idx="144">
                  <c:v>-4894.1798907566945</c:v>
                </c:pt>
                <c:pt idx="145">
                  <c:v>-4898.6441832943283</c:v>
                </c:pt>
                <c:pt idx="146">
                  <c:v>-4919.0824752235767</c:v>
                </c:pt>
                <c:pt idx="147">
                  <c:v>-4953.5818332222825</c:v>
                </c:pt>
                <c:pt idx="148">
                  <c:v>-4963.711524097982</c:v>
                </c:pt>
                <c:pt idx="149">
                  <c:v>-4973.8185154398916</c:v>
                </c:pt>
                <c:pt idx="150">
                  <c:v>-5002.4197716546269</c:v>
                </c:pt>
                <c:pt idx="151">
                  <c:v>-5017.7549624649246</c:v>
                </c:pt>
                <c:pt idx="152">
                  <c:v>-5023.8669493474872</c:v>
                </c:pt>
                <c:pt idx="153">
                  <c:v>-5027.9541027430569</c:v>
                </c:pt>
                <c:pt idx="154">
                  <c:v>-5040.3945943290237</c:v>
                </c:pt>
                <c:pt idx="155">
                  <c:v>-5038.9723221990234</c:v>
                </c:pt>
                <c:pt idx="156">
                  <c:v>-5041.6098670642568</c:v>
                </c:pt>
                <c:pt idx="157">
                  <c:v>-5051.4798498992241</c:v>
                </c:pt>
                <c:pt idx="158">
                  <c:v>-5041.8309694771269</c:v>
                </c:pt>
                <c:pt idx="159">
                  <c:v>-5039.2973281490486</c:v>
                </c:pt>
                <c:pt idx="160">
                  <c:v>-5040.8848087047199</c:v>
                </c:pt>
                <c:pt idx="161">
                  <c:v>-5041.2271852399908</c:v>
                </c:pt>
                <c:pt idx="162">
                  <c:v>-5044.0149048542862</c:v>
                </c:pt>
                <c:pt idx="163">
                  <c:v>-5042.6178256281</c:v>
                </c:pt>
                <c:pt idx="164">
                  <c:v>-5039.7104252442359</c:v>
                </c:pt>
                <c:pt idx="165">
                  <c:v>-5044.9949475084723</c:v>
                </c:pt>
                <c:pt idx="166">
                  <c:v>-5048.7131818981952</c:v>
                </c:pt>
                <c:pt idx="167">
                  <c:v>-5054.335893481355</c:v>
                </c:pt>
                <c:pt idx="168">
                  <c:v>-5042.4105020865072</c:v>
                </c:pt>
                <c:pt idx="169">
                  <c:v>-5065.8274406752289</c:v>
                </c:pt>
                <c:pt idx="170">
                  <c:v>-5059.5425874507409</c:v>
                </c:pt>
                <c:pt idx="171">
                  <c:v>-5084.8985873294541</c:v>
                </c:pt>
                <c:pt idx="172">
                  <c:v>-5083.9831438172932</c:v>
                </c:pt>
                <c:pt idx="173">
                  <c:v>-5083.844928799067</c:v>
                </c:pt>
                <c:pt idx="174">
                  <c:v>-5116.7959497806351</c:v>
                </c:pt>
                <c:pt idx="175">
                  <c:v>-5121.4447531783444</c:v>
                </c:pt>
                <c:pt idx="176">
                  <c:v>-5141.5538987048194</c:v>
                </c:pt>
                <c:pt idx="177">
                  <c:v>-5138.3669189829016</c:v>
                </c:pt>
                <c:pt idx="178">
                  <c:v>-5159.8138213377733</c:v>
                </c:pt>
                <c:pt idx="179">
                  <c:v>-5175.1246271612563</c:v>
                </c:pt>
                <c:pt idx="180">
                  <c:v>-5175.0306760825506</c:v>
                </c:pt>
                <c:pt idx="181">
                  <c:v>-5188.1077082483189</c:v>
                </c:pt>
                <c:pt idx="182">
                  <c:v>-5183.1196267110981</c:v>
                </c:pt>
                <c:pt idx="183">
                  <c:v>-5200.6669743608081</c:v>
                </c:pt>
                <c:pt idx="184">
                  <c:v>-5189.2329584195322</c:v>
                </c:pt>
                <c:pt idx="185">
                  <c:v>-5178.0403345887544</c:v>
                </c:pt>
                <c:pt idx="186">
                  <c:v>-5174.1489494565558</c:v>
                </c:pt>
                <c:pt idx="187">
                  <c:v>-5168.0694845685266</c:v>
                </c:pt>
                <c:pt idx="188">
                  <c:v>-5144.9401031654779</c:v>
                </c:pt>
                <c:pt idx="189">
                  <c:v>-5133.0641944692134</c:v>
                </c:pt>
                <c:pt idx="190">
                  <c:v>-5133.3503481631506</c:v>
                </c:pt>
                <c:pt idx="191">
                  <c:v>-5125.8968624220952</c:v>
                </c:pt>
                <c:pt idx="192">
                  <c:v>-5109.5465855901884</c:v>
                </c:pt>
                <c:pt idx="193">
                  <c:v>-5079.5883393898039</c:v>
                </c:pt>
                <c:pt idx="194">
                  <c:v>-5068.7489388333233</c:v>
                </c:pt>
                <c:pt idx="195">
                  <c:v>-5057.0277705502331</c:v>
                </c:pt>
                <c:pt idx="196">
                  <c:v>-5046.5771502834177</c:v>
                </c:pt>
                <c:pt idx="197">
                  <c:v>-5008.5185565896772</c:v>
                </c:pt>
                <c:pt idx="198">
                  <c:v>-5007.098026593233</c:v>
                </c:pt>
                <c:pt idx="199">
                  <c:v>-5000.7219651395735</c:v>
                </c:pt>
                <c:pt idx="200">
                  <c:v>-4983.9925354318057</c:v>
                </c:pt>
                <c:pt idx="201">
                  <c:v>-4976.7199249388595</c:v>
                </c:pt>
                <c:pt idx="202">
                  <c:v>-4988.8994423779086</c:v>
                </c:pt>
                <c:pt idx="203">
                  <c:v>-4983.7147878423048</c:v>
                </c:pt>
                <c:pt idx="204">
                  <c:v>-4968.7170606488444</c:v>
                </c:pt>
                <c:pt idx="205">
                  <c:v>-4966.4281153414795</c:v>
                </c:pt>
                <c:pt idx="206">
                  <c:v>-4964.7670330684941</c:v>
                </c:pt>
                <c:pt idx="207">
                  <c:v>-4971.9822988322612</c:v>
                </c:pt>
                <c:pt idx="208">
                  <c:v>-4973.3111167331308</c:v>
                </c:pt>
                <c:pt idx="209">
                  <c:v>-4987.5356756386163</c:v>
                </c:pt>
                <c:pt idx="210">
                  <c:v>-4985.145062455269</c:v>
                </c:pt>
                <c:pt idx="211">
                  <c:v>-4965.1401373826757</c:v>
                </c:pt>
                <c:pt idx="212">
                  <c:v>-4969.8456327820259</c:v>
                </c:pt>
                <c:pt idx="213">
                  <c:v>-4974.6277361762341</c:v>
                </c:pt>
                <c:pt idx="214">
                  <c:v>-4963.355883064407</c:v>
                </c:pt>
                <c:pt idx="215">
                  <c:v>-4956.9757173522758</c:v>
                </c:pt>
                <c:pt idx="216">
                  <c:v>-4921.8312373243652</c:v>
                </c:pt>
                <c:pt idx="217">
                  <c:v>-4914.5098487577943</c:v>
                </c:pt>
                <c:pt idx="218">
                  <c:v>-4901.0676789629679</c:v>
                </c:pt>
                <c:pt idx="219">
                  <c:v>-4876.5649848567682</c:v>
                </c:pt>
                <c:pt idx="220">
                  <c:v>-4858.8995189041434</c:v>
                </c:pt>
                <c:pt idx="221">
                  <c:v>-4818.9220872622673</c:v>
                </c:pt>
                <c:pt idx="222">
                  <c:v>-4800.6640671177256</c:v>
                </c:pt>
                <c:pt idx="223">
                  <c:v>-4760.0742317255244</c:v>
                </c:pt>
                <c:pt idx="224">
                  <c:v>-4734.7925778099561</c:v>
                </c:pt>
                <c:pt idx="225">
                  <c:v>-4719.9974799303654</c:v>
                </c:pt>
                <c:pt idx="226">
                  <c:v>-4683.0480682356992</c:v>
                </c:pt>
                <c:pt idx="227">
                  <c:v>-4668.2970184812839</c:v>
                </c:pt>
                <c:pt idx="228">
                  <c:v>-4650.8621331129116</c:v>
                </c:pt>
                <c:pt idx="229">
                  <c:v>-4639.1211436012563</c:v>
                </c:pt>
                <c:pt idx="230">
                  <c:v>-4611.0555230118453</c:v>
                </c:pt>
                <c:pt idx="231">
                  <c:v>-4601.1656539412143</c:v>
                </c:pt>
                <c:pt idx="232">
                  <c:v>-4581.3955647280345</c:v>
                </c:pt>
                <c:pt idx="233">
                  <c:v>-4563.2639821985213</c:v>
                </c:pt>
                <c:pt idx="234">
                  <c:v>-4538.1657909864734</c:v>
                </c:pt>
                <c:pt idx="235">
                  <c:v>-4546.5945917623949</c:v>
                </c:pt>
                <c:pt idx="236">
                  <c:v>-4516.8970444600664</c:v>
                </c:pt>
                <c:pt idx="237">
                  <c:v>-4510.1986905681706</c:v>
                </c:pt>
                <c:pt idx="238">
                  <c:v>-4492.4716007281322</c:v>
                </c:pt>
                <c:pt idx="239">
                  <c:v>-4505.5103823501204</c:v>
                </c:pt>
                <c:pt idx="240">
                  <c:v>-4484.0324843976732</c:v>
                </c:pt>
              </c:numCache>
            </c:numRef>
          </c:yVal>
          <c:smooth val="0"/>
          <c:extLst>
            <c:ext xmlns:c16="http://schemas.microsoft.com/office/drawing/2014/chart" uri="{C3380CC4-5D6E-409C-BE32-E72D297353CC}">
              <c16:uniqueId val="{00000002-7FD1-40F1-BD51-6BBF234505A1}"/>
            </c:ext>
          </c:extLst>
        </c:ser>
        <c:ser>
          <c:idx val="3"/>
          <c:order val="3"/>
          <c:tx>
            <c:v>Ice-ocean boundary</c:v>
          </c:tx>
          <c:spPr>
            <a:ln w="22000">
              <a:solidFill>
                <a:srgbClr val="7048B8"/>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Subsurface_Live_Data!$L$2:$L$242</c:f>
              <c:numCache>
                <c:formatCode>0.000</c:formatCode>
                <c:ptCount val="241"/>
                <c:pt idx="0">
                  <c:v>-14418.917091203173</c:v>
                </c:pt>
                <c:pt idx="1">
                  <c:v>-14438.070326253337</c:v>
                </c:pt>
                <c:pt idx="2">
                  <c:v>-14444.346042741296</c:v>
                </c:pt>
                <c:pt idx="3">
                  <c:v>-14428.521239758449</c:v>
                </c:pt>
                <c:pt idx="4">
                  <c:v>-14453.056089174926</c:v>
                </c:pt>
                <c:pt idx="5">
                  <c:v>-14439.433626269945</c:v>
                </c:pt>
                <c:pt idx="6">
                  <c:v>-14448.530982961516</c:v>
                </c:pt>
                <c:pt idx="7">
                  <c:v>-14451.043491876153</c:v>
                </c:pt>
                <c:pt idx="8">
                  <c:v>-14428.439405329738</c:v>
                </c:pt>
                <c:pt idx="9">
                  <c:v>-14442.113408265826</c:v>
                </c:pt>
                <c:pt idx="10">
                  <c:v>-14430.198202673149</c:v>
                </c:pt>
                <c:pt idx="11">
                  <c:v>-14414.684613966643</c:v>
                </c:pt>
                <c:pt idx="12">
                  <c:v>-14417.32116780461</c:v>
                </c:pt>
                <c:pt idx="13">
                  <c:v>-14400.512856126623</c:v>
                </c:pt>
                <c:pt idx="14">
                  <c:v>-14398.546067912983</c:v>
                </c:pt>
                <c:pt idx="15">
                  <c:v>-14392.738160031942</c:v>
                </c:pt>
                <c:pt idx="16">
                  <c:v>-14381.292965428154</c:v>
                </c:pt>
                <c:pt idx="17">
                  <c:v>-14360.973901182151</c:v>
                </c:pt>
                <c:pt idx="18">
                  <c:v>-14373.938748540688</c:v>
                </c:pt>
                <c:pt idx="19">
                  <c:v>-14378.277365315</c:v>
                </c:pt>
                <c:pt idx="20">
                  <c:v>-14352.297245309492</c:v>
                </c:pt>
                <c:pt idx="21">
                  <c:v>-14370.123164794744</c:v>
                </c:pt>
                <c:pt idx="22">
                  <c:v>-14359.427082125751</c:v>
                </c:pt>
                <c:pt idx="23">
                  <c:v>-14363.383082293727</c:v>
                </c:pt>
                <c:pt idx="24">
                  <c:v>-14376.706623450429</c:v>
                </c:pt>
                <c:pt idx="25">
                  <c:v>-14365.788307675193</c:v>
                </c:pt>
                <c:pt idx="26">
                  <c:v>-14375.018531112964</c:v>
                </c:pt>
                <c:pt idx="27">
                  <c:v>-14374.059453778262</c:v>
                </c:pt>
                <c:pt idx="28">
                  <c:v>-14391.263893766996</c:v>
                </c:pt>
                <c:pt idx="29">
                  <c:v>-14397.984246060068</c:v>
                </c:pt>
                <c:pt idx="30">
                  <c:v>-14420.259242085222</c:v>
                </c:pt>
                <c:pt idx="31">
                  <c:v>-14426.310755281738</c:v>
                </c:pt>
                <c:pt idx="32">
                  <c:v>-14425.794781692586</c:v>
                </c:pt>
                <c:pt idx="33">
                  <c:v>-14411.138298741691</c:v>
                </c:pt>
                <c:pt idx="34">
                  <c:v>-14443.135014697382</c:v>
                </c:pt>
                <c:pt idx="35">
                  <c:v>-14439.185599939738</c:v>
                </c:pt>
                <c:pt idx="36">
                  <c:v>-14449.178086262806</c:v>
                </c:pt>
                <c:pt idx="37">
                  <c:v>-14445.636705516727</c:v>
                </c:pt>
                <c:pt idx="38">
                  <c:v>-14436.957025877315</c:v>
                </c:pt>
                <c:pt idx="39">
                  <c:v>-14417.727999575573</c:v>
                </c:pt>
                <c:pt idx="40">
                  <c:v>-14407.889377873091</c:v>
                </c:pt>
                <c:pt idx="41">
                  <c:v>-14401.70930632222</c:v>
                </c:pt>
                <c:pt idx="42">
                  <c:v>-14418.204763014835</c:v>
                </c:pt>
                <c:pt idx="43">
                  <c:v>-14385.269852741802</c:v>
                </c:pt>
                <c:pt idx="44">
                  <c:v>-14393.359221488083</c:v>
                </c:pt>
                <c:pt idx="45">
                  <c:v>-14350.468525590761</c:v>
                </c:pt>
                <c:pt idx="46">
                  <c:v>-14352.617295748752</c:v>
                </c:pt>
                <c:pt idx="47">
                  <c:v>-14318.999830621673</c:v>
                </c:pt>
                <c:pt idx="48">
                  <c:v>-14308.856517741029</c:v>
                </c:pt>
                <c:pt idx="49">
                  <c:v>-14295.332442339692</c:v>
                </c:pt>
                <c:pt idx="50">
                  <c:v>-14300.415885570099</c:v>
                </c:pt>
                <c:pt idx="51">
                  <c:v>-14260.542753959315</c:v>
                </c:pt>
                <c:pt idx="52">
                  <c:v>-14258.213492996589</c:v>
                </c:pt>
                <c:pt idx="53">
                  <c:v>-14249.64775427259</c:v>
                </c:pt>
                <c:pt idx="54">
                  <c:v>-14236.40952611411</c:v>
                </c:pt>
                <c:pt idx="55">
                  <c:v>-14229.16735582466</c:v>
                </c:pt>
                <c:pt idx="56">
                  <c:v>-14244.035256695022</c:v>
                </c:pt>
                <c:pt idx="57">
                  <c:v>-14231.905034481515</c:v>
                </c:pt>
                <c:pt idx="58">
                  <c:v>-14238.815093702</c:v>
                </c:pt>
                <c:pt idx="59">
                  <c:v>-14260.896128557726</c:v>
                </c:pt>
                <c:pt idx="60">
                  <c:v>-14268.944316234569</c:v>
                </c:pt>
                <c:pt idx="61">
                  <c:v>-14288.026624104357</c:v>
                </c:pt>
                <c:pt idx="62">
                  <c:v>-14289.196106522582</c:v>
                </c:pt>
                <c:pt idx="63">
                  <c:v>-14322.200150894227</c:v>
                </c:pt>
                <c:pt idx="64">
                  <c:v>-14327.840688351031</c:v>
                </c:pt>
                <c:pt idx="65">
                  <c:v>-14356.46748345205</c:v>
                </c:pt>
                <c:pt idx="66">
                  <c:v>-14375.694288149673</c:v>
                </c:pt>
                <c:pt idx="67">
                  <c:v>-14385.779031476934</c:v>
                </c:pt>
                <c:pt idx="68">
                  <c:v>-14419.506210768355</c:v>
                </c:pt>
                <c:pt idx="69">
                  <c:v>-14432.614788236027</c:v>
                </c:pt>
                <c:pt idx="70">
                  <c:v>-14459.564768137981</c:v>
                </c:pt>
                <c:pt idx="71">
                  <c:v>-14455.777418178384</c:v>
                </c:pt>
                <c:pt idx="72">
                  <c:v>-14480.314546359405</c:v>
                </c:pt>
                <c:pt idx="73">
                  <c:v>-14490.528514074398</c:v>
                </c:pt>
                <c:pt idx="74">
                  <c:v>-14501.237633336215</c:v>
                </c:pt>
                <c:pt idx="75">
                  <c:v>-14511.00128853418</c:v>
                </c:pt>
                <c:pt idx="76">
                  <c:v>-14495.591696863494</c:v>
                </c:pt>
                <c:pt idx="77">
                  <c:v>-14496.985722923228</c:v>
                </c:pt>
                <c:pt idx="78">
                  <c:v>-14533.756303708313</c:v>
                </c:pt>
                <c:pt idx="79">
                  <c:v>-14525.669620829154</c:v>
                </c:pt>
                <c:pt idx="80">
                  <c:v>-14553.277755106479</c:v>
                </c:pt>
                <c:pt idx="81">
                  <c:v>-14546.380021110273</c:v>
                </c:pt>
                <c:pt idx="82">
                  <c:v>-14560.998215424897</c:v>
                </c:pt>
                <c:pt idx="83">
                  <c:v>-14590.934782298533</c:v>
                </c:pt>
                <c:pt idx="84">
                  <c:v>-14585.203100092946</c:v>
                </c:pt>
                <c:pt idx="85">
                  <c:v>-14604.326920234787</c:v>
                </c:pt>
                <c:pt idx="86">
                  <c:v>-14647.662365716487</c:v>
                </c:pt>
                <c:pt idx="87">
                  <c:v>-14667.052316868687</c:v>
                </c:pt>
                <c:pt idx="88">
                  <c:v>-14663.699984909834</c:v>
                </c:pt>
                <c:pt idx="89">
                  <c:v>-14699.872100069329</c:v>
                </c:pt>
                <c:pt idx="90">
                  <c:v>-14714.158418287903</c:v>
                </c:pt>
                <c:pt idx="91">
                  <c:v>-14731.981577522911</c:v>
                </c:pt>
                <c:pt idx="92">
                  <c:v>-14765.011800074113</c:v>
                </c:pt>
                <c:pt idx="93">
                  <c:v>-14795.870281341286</c:v>
                </c:pt>
                <c:pt idx="94">
                  <c:v>-14808.402251301039</c:v>
                </c:pt>
                <c:pt idx="95">
                  <c:v>-14819.017053115218</c:v>
                </c:pt>
                <c:pt idx="96">
                  <c:v>-14860.421779067037</c:v>
                </c:pt>
                <c:pt idx="97">
                  <c:v>-14865.703211978454</c:v>
                </c:pt>
                <c:pt idx="98">
                  <c:v>-14890.770615132484</c:v>
                </c:pt>
                <c:pt idx="99">
                  <c:v>-14911.387452628293</c:v>
                </c:pt>
                <c:pt idx="100">
                  <c:v>-14938.994260329999</c:v>
                </c:pt>
                <c:pt idx="101">
                  <c:v>-14969.208645159513</c:v>
                </c:pt>
                <c:pt idx="102">
                  <c:v>-14986.802291872824</c:v>
                </c:pt>
                <c:pt idx="103">
                  <c:v>-15038.470714429943</c:v>
                </c:pt>
                <c:pt idx="104">
                  <c:v>-15049.976479505625</c:v>
                </c:pt>
                <c:pt idx="105">
                  <c:v>-15084.529044272458</c:v>
                </c:pt>
                <c:pt idx="106">
                  <c:v>-15143.741352728106</c:v>
                </c:pt>
                <c:pt idx="107">
                  <c:v>-15156.810053842251</c:v>
                </c:pt>
                <c:pt idx="108">
                  <c:v>-15193.305657758663</c:v>
                </c:pt>
                <c:pt idx="109">
                  <c:v>-15232.152748061406</c:v>
                </c:pt>
                <c:pt idx="110">
                  <c:v>-15270.739266901903</c:v>
                </c:pt>
                <c:pt idx="111">
                  <c:v>-15300.168097654603</c:v>
                </c:pt>
                <c:pt idx="112">
                  <c:v>-15322.272607129138</c:v>
                </c:pt>
                <c:pt idx="113">
                  <c:v>-15370.816372797404</c:v>
                </c:pt>
                <c:pt idx="114">
                  <c:v>-15377.365104241066</c:v>
                </c:pt>
                <c:pt idx="115">
                  <c:v>-15399.542711637787</c:v>
                </c:pt>
                <c:pt idx="116">
                  <c:v>-15404.780758562109</c:v>
                </c:pt>
                <c:pt idx="117">
                  <c:v>-15431.868538728431</c:v>
                </c:pt>
                <c:pt idx="118">
                  <c:v>-15441.265377185226</c:v>
                </c:pt>
                <c:pt idx="119">
                  <c:v>-15423.147061354581</c:v>
                </c:pt>
                <c:pt idx="120">
                  <c:v>-15434.901752132686</c:v>
                </c:pt>
                <c:pt idx="121">
                  <c:v>-15450.154367550183</c:v>
                </c:pt>
                <c:pt idx="122">
                  <c:v>-15450.109837676768</c:v>
                </c:pt>
                <c:pt idx="123">
                  <c:v>-15443.962720494816</c:v>
                </c:pt>
                <c:pt idx="124">
                  <c:v>-15438.621175634598</c:v>
                </c:pt>
                <c:pt idx="125">
                  <c:v>-15434.944017383459</c:v>
                </c:pt>
                <c:pt idx="126">
                  <c:v>-15462.196366982054</c:v>
                </c:pt>
                <c:pt idx="127">
                  <c:v>-15443.887981795222</c:v>
                </c:pt>
                <c:pt idx="128">
                  <c:v>-15455.566222789841</c:v>
                </c:pt>
                <c:pt idx="129">
                  <c:v>-15456.686352241413</c:v>
                </c:pt>
                <c:pt idx="130">
                  <c:v>-15487.160462191765</c:v>
                </c:pt>
                <c:pt idx="131">
                  <c:v>-15504.407613836402</c:v>
                </c:pt>
                <c:pt idx="132">
                  <c:v>-15516.476234127493</c:v>
                </c:pt>
                <c:pt idx="133">
                  <c:v>-15531.222458018679</c:v>
                </c:pt>
                <c:pt idx="134">
                  <c:v>-15522.778766302994</c:v>
                </c:pt>
                <c:pt idx="135">
                  <c:v>-15559.713256277506</c:v>
                </c:pt>
                <c:pt idx="136">
                  <c:v>-15567.270186542002</c:v>
                </c:pt>
                <c:pt idx="137">
                  <c:v>-15586.527017055865</c:v>
                </c:pt>
                <c:pt idx="138">
                  <c:v>-15582.583363682052</c:v>
                </c:pt>
                <c:pt idx="139">
                  <c:v>-15582.596365294137</c:v>
                </c:pt>
                <c:pt idx="140">
                  <c:v>-15605.450801607874</c:v>
                </c:pt>
                <c:pt idx="141">
                  <c:v>-15618.159269137503</c:v>
                </c:pt>
                <c:pt idx="142">
                  <c:v>-15603.117838039268</c:v>
                </c:pt>
                <c:pt idx="143">
                  <c:v>-15606.804951279672</c:v>
                </c:pt>
                <c:pt idx="144">
                  <c:v>-15610.560104757184</c:v>
                </c:pt>
                <c:pt idx="145">
                  <c:v>-15587.03699253716</c:v>
                </c:pt>
                <c:pt idx="146">
                  <c:v>-15581.246797634583</c:v>
                </c:pt>
                <c:pt idx="147">
                  <c:v>-15591.07457750605</c:v>
                </c:pt>
                <c:pt idx="148">
                  <c:v>-15572.775613573844</c:v>
                </c:pt>
                <c:pt idx="149">
                  <c:v>-15554.171753306657</c:v>
                </c:pt>
                <c:pt idx="150">
                  <c:v>-15556.438072595502</c:v>
                </c:pt>
                <c:pt idx="151">
                  <c:v>-15543.432389632289</c:v>
                </c:pt>
                <c:pt idx="152">
                  <c:v>-15519.826436141113</c:v>
                </c:pt>
                <c:pt idx="153">
                  <c:v>-15493.88691676859</c:v>
                </c:pt>
                <c:pt idx="154">
                  <c:v>-15477.502632904781</c:v>
                </c:pt>
                <c:pt idx="155">
                  <c:v>-15445.401493629992</c:v>
                </c:pt>
                <c:pt idx="156">
                  <c:v>-15418.065581066588</c:v>
                </c:pt>
                <c:pt idx="157">
                  <c:v>-15399.157646165686</c:v>
                </c:pt>
                <c:pt idx="158">
                  <c:v>-15358.222406015737</c:v>
                </c:pt>
                <c:pt idx="159">
                  <c:v>-15325.658869319081</c:v>
                </c:pt>
                <c:pt idx="160">
                  <c:v>-15298.084591781701</c:v>
                </c:pt>
                <c:pt idx="161">
                  <c:v>-15269.407530564064</c:v>
                </c:pt>
                <c:pt idx="162">
                  <c:v>-15243.854854412102</c:v>
                </c:pt>
                <c:pt idx="163">
                  <c:v>-15213.882981103339</c:v>
                </c:pt>
                <c:pt idx="164">
                  <c:v>-15182.550551989852</c:v>
                </c:pt>
                <c:pt idx="165">
                  <c:v>-15160.923176576078</c:v>
                </c:pt>
                <c:pt idx="166">
                  <c:v>-15137.877336467061</c:v>
                </c:pt>
                <c:pt idx="167">
                  <c:v>-15117.366921837674</c:v>
                </c:pt>
                <c:pt idx="168">
                  <c:v>-15077.210273004299</c:v>
                </c:pt>
                <c:pt idx="169">
                  <c:v>-15077.694603690848</c:v>
                </c:pt>
                <c:pt idx="170">
                  <c:v>-15044.660419037193</c:v>
                </c:pt>
                <c:pt idx="171">
                  <c:v>-15048.028718645557</c:v>
                </c:pt>
                <c:pt idx="172">
                  <c:v>-15021.770375224734</c:v>
                </c:pt>
                <c:pt idx="173">
                  <c:v>-14996.713203449894</c:v>
                </c:pt>
                <c:pt idx="174">
                  <c:v>-15009.687571540328</c:v>
                </c:pt>
                <c:pt idx="175">
                  <c:v>-14990.705122295229</c:v>
                </c:pt>
                <c:pt idx="176">
                  <c:v>-14989.657095184195</c:v>
                </c:pt>
                <c:pt idx="177">
                  <c:v>-14962.36777053193</c:v>
                </c:pt>
                <c:pt idx="178">
                  <c:v>-14963.48933970446</c:v>
                </c:pt>
                <c:pt idx="179">
                  <c:v>-14957.961807796677</c:v>
                </c:pt>
                <c:pt idx="180">
                  <c:v>-14935.242803013412</c:v>
                </c:pt>
                <c:pt idx="181">
                  <c:v>-14927.938856966806</c:v>
                </c:pt>
                <c:pt idx="182">
                  <c:v>-14900.477297525096</c:v>
                </c:pt>
                <c:pt idx="183">
                  <c:v>-14899.185351361593</c:v>
                </c:pt>
                <c:pt idx="184">
                  <c:v>-14865.382288357474</c:v>
                </c:pt>
                <c:pt idx="185">
                  <c:v>-14832.43579068597</c:v>
                </c:pt>
                <c:pt idx="186">
                  <c:v>-14808.452528332622</c:v>
                </c:pt>
                <c:pt idx="187">
                  <c:v>-14782.677075782158</c:v>
                </c:pt>
                <c:pt idx="188">
                  <c:v>-14738.23242765449</c:v>
                </c:pt>
                <c:pt idx="189">
                  <c:v>-14707.452076853153</c:v>
                </c:pt>
                <c:pt idx="190">
                  <c:v>-14691.440569888668</c:v>
                </c:pt>
                <c:pt idx="191">
                  <c:v>-14667.578789924781</c:v>
                </c:pt>
                <c:pt idx="192">
                  <c:v>-14634.615404871765</c:v>
                </c:pt>
                <c:pt idx="193">
                  <c:v>-14587.24542802724</c:v>
                </c:pt>
                <c:pt idx="194">
                  <c:v>-14562.840092429553</c:v>
                </c:pt>
                <c:pt idx="195">
                  <c:v>-14538.657297416157</c:v>
                </c:pt>
                <c:pt idx="196">
                  <c:v>-14517.20431886105</c:v>
                </c:pt>
                <c:pt idx="197">
                  <c:v>-14465.607510710091</c:v>
                </c:pt>
                <c:pt idx="198">
                  <c:v>-14457.148757493887</c:v>
                </c:pt>
                <c:pt idx="199">
                  <c:v>-14444.44571473639</c:v>
                </c:pt>
                <c:pt idx="200">
                  <c:v>-14421.371695711605</c:v>
                </c:pt>
                <c:pt idx="201">
                  <c:v>-14410.529322776145</c:v>
                </c:pt>
                <c:pt idx="202">
                  <c:v>-14423.324212800715</c:v>
                </c:pt>
                <c:pt idx="203">
                  <c:v>-14417.788623406361</c:v>
                </c:pt>
                <c:pt idx="204">
                  <c:v>-14402.525557526371</c:v>
                </c:pt>
                <c:pt idx="205">
                  <c:v>-14403.196733656681</c:v>
                </c:pt>
                <c:pt idx="206">
                  <c:v>-14406.009005891032</c:v>
                </c:pt>
                <c:pt idx="207">
                  <c:v>-14420.337374859109</c:v>
                </c:pt>
                <c:pt idx="208">
                  <c:v>-14429.317009101396</c:v>
                </c:pt>
                <c:pt idx="209">
                  <c:v>-14454.317849409868</c:v>
                </c:pt>
                <c:pt idx="210">
                  <c:v>-14461.64969716686</c:v>
                </c:pt>
                <c:pt idx="211">
                  <c:v>-14450.120311627737</c:v>
                </c:pt>
                <c:pt idx="212">
                  <c:v>-14467.921761622723</c:v>
                </c:pt>
                <c:pt idx="213">
                  <c:v>-14486.909036842833</c:v>
                </c:pt>
                <c:pt idx="214">
                  <c:v>-14488.627055359988</c:v>
                </c:pt>
                <c:pt idx="215">
                  <c:v>-14496.884390013023</c:v>
                </c:pt>
                <c:pt idx="216">
                  <c:v>-14473.241046303809</c:v>
                </c:pt>
                <c:pt idx="217">
                  <c:v>-14482.132328151527</c:v>
                </c:pt>
                <c:pt idx="218">
                  <c:v>-14484.786170048697</c:v>
                </c:pt>
                <c:pt idx="219">
                  <c:v>-14475.49394203273</c:v>
                </c:pt>
                <c:pt idx="220">
                  <c:v>-14474.580890265492</c:v>
                </c:pt>
                <c:pt idx="221">
                  <c:v>-14448.738239597256</c:v>
                </c:pt>
                <c:pt idx="222">
                  <c:v>-14448.082892783248</c:v>
                </c:pt>
                <c:pt idx="223">
                  <c:v>-14422.317704849405</c:v>
                </c:pt>
                <c:pt idx="224">
                  <c:v>-14414.273906442186</c:v>
                </c:pt>
                <c:pt idx="225">
                  <c:v>-14418.377088687261</c:v>
                </c:pt>
                <c:pt idx="226">
                  <c:v>-14397.339714349637</c:v>
                </c:pt>
                <c:pt idx="227">
                  <c:v>-14401.647873720485</c:v>
                </c:pt>
                <c:pt idx="228">
                  <c:v>-14402.861040282778</c:v>
                </c:pt>
                <c:pt idx="229">
                  <c:v>-14410.456279765709</c:v>
                </c:pt>
                <c:pt idx="230">
                  <c:v>-14399.26031512111</c:v>
                </c:pt>
                <c:pt idx="231">
                  <c:v>-14408.532923771125</c:v>
                </c:pt>
                <c:pt idx="232">
                  <c:v>-14406.22123249475</c:v>
                </c:pt>
                <c:pt idx="233">
                  <c:v>-14405.389205330392</c:v>
                </c:pt>
                <c:pt idx="234">
                  <c:v>-14396.161389187902</c:v>
                </c:pt>
                <c:pt idx="235">
                  <c:v>-14424.636708154467</c:v>
                </c:pt>
                <c:pt idx="236">
                  <c:v>-14409.068490036336</c:v>
                </c:pt>
                <c:pt idx="237">
                  <c:v>-14419.079977465221</c:v>
                </c:pt>
                <c:pt idx="238">
                  <c:v>-14415.821519086745</c:v>
                </c:pt>
                <c:pt idx="239">
                  <c:v>-14446.883290941214</c:v>
                </c:pt>
                <c:pt idx="240">
                  <c:v>-14437.789716692811</c:v>
                </c:pt>
              </c:numCache>
            </c:numRef>
          </c:yVal>
          <c:smooth val="0"/>
          <c:extLst>
            <c:ext xmlns:c16="http://schemas.microsoft.com/office/drawing/2014/chart" uri="{C3380CC4-5D6E-409C-BE32-E72D297353CC}">
              <c16:uniqueId val="{00000003-7FD1-40F1-BD51-6BBF234505A1}"/>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title>
          <c:tx>
            <c:rich>
              <a:bodyPr/>
              <a:lstStyle/>
              <a:p>
                <a:pPr>
                  <a:defRPr/>
                </a:pPr>
                <a:r>
                  <a:t>Along-track position x (km)</a:t>
                </a:r>
              </a:p>
            </c:rich>
          </c:tx>
          <c:overlay val="1"/>
        </c:title>
        <c:numFmt formatCode="0.000"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Elevation relative to reference (m)</a:t>
                </a:r>
              </a:p>
            </c:rich>
          </c:tx>
          <c:overlay val="1"/>
        </c:title>
        <c:numFmt formatCode="0.000" sourceLinked="1"/>
        <c:majorTickMark val="none"/>
        <c:minorTickMark val="none"/>
        <c:tickLblPos val="nextTo"/>
        <c:crossAx val="10"/>
        <c:crosses val="min"/>
        <c:crossBetween val="midCat"/>
      </c:valAx>
    </c:plotArea>
    <c:legend>
      <c:legendPos val="b"/>
      <c:overlay val="1"/>
      <c:txPr>
        <a:bodyPr/>
        <a:lstStyle/>
        <a:p>
          <a:pPr>
            <a:defRPr sz="800"/>
          </a:pPr>
          <a:endParaRPr lang="en-US"/>
        </a:p>
      </c:txPr>
    </c:legend>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Scenario Comparison: Thin / Medium / Thick Ice</a:t>
            </a:r>
          </a:p>
        </c:rich>
      </c:tx>
      <c:overlay val="1"/>
    </c:title>
    <c:autoTitleDeleted val="0"/>
    <c:plotArea>
      <c:layout/>
      <c:scatterChart>
        <c:scatterStyle val="lineMarker"/>
        <c:varyColors val="1"/>
        <c:ser>
          <c:idx val="0"/>
          <c:order val="0"/>
          <c:tx>
            <c:v>Thin shell</c:v>
          </c:tx>
          <c:spPr>
            <a:ln w="22000">
              <a:solidFill>
                <a:srgbClr val="219653"/>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Subsurface_Scenario_Data!$E$2:$E$242</c:f>
              <c:numCache>
                <c:formatCode>General</c:formatCode>
                <c:ptCount val="241"/>
                <c:pt idx="0">
                  <c:v>7996.0889122995186</c:v>
                </c:pt>
                <c:pt idx="1">
                  <c:v>8001.8215151548156</c:v>
                </c:pt>
                <c:pt idx="2">
                  <c:v>8006.5360303443849</c:v>
                </c:pt>
                <c:pt idx="3">
                  <c:v>8009.5988889485607</c:v>
                </c:pt>
                <c:pt idx="4">
                  <c:v>8015.2190900335063</c:v>
                </c:pt>
                <c:pt idx="5">
                  <c:v>8018.0843272884222</c:v>
                </c:pt>
                <c:pt idx="6">
                  <c:v>8022.2983666189975</c:v>
                </c:pt>
                <c:pt idx="7">
                  <c:v>8025.8746240036371</c:v>
                </c:pt>
                <c:pt idx="8">
                  <c:v>8027.5550543455029</c:v>
                </c:pt>
                <c:pt idx="9">
                  <c:v>8031.481061615159</c:v>
                </c:pt>
                <c:pt idx="10">
                  <c:v>8033.469381447122</c:v>
                </c:pt>
                <c:pt idx="11">
                  <c:v>8035.0017823762018</c:v>
                </c:pt>
                <c:pt idx="12">
                  <c:v>8037.5446058931311</c:v>
                </c:pt>
                <c:pt idx="13">
                  <c:v>8038.5568456058609</c:v>
                </c:pt>
                <c:pt idx="14">
                  <c:v>8040.3535875252755</c:v>
                </c:pt>
                <c:pt idx="15">
                  <c:v>8041.6731295445206</c:v>
                </c:pt>
                <c:pt idx="16">
                  <c:v>8042.3952887891501</c:v>
                </c:pt>
                <c:pt idx="17">
                  <c:v>8042.3035266855986</c:v>
                </c:pt>
                <c:pt idx="18">
                  <c:v>8044.2483422487257</c:v>
                </c:pt>
                <c:pt idx="19">
                  <c:v>8045.4028783932099</c:v>
                </c:pt>
                <c:pt idx="20">
                  <c:v>8044.3067574650095</c:v>
                </c:pt>
                <c:pt idx="21">
                  <c:v>8045.9723569781308</c:v>
                </c:pt>
                <c:pt idx="22">
                  <c:v>8045.5209333106732</c:v>
                </c:pt>
                <c:pt idx="23">
                  <c:v>8045.8760486449801</c:v>
                </c:pt>
                <c:pt idx="24">
                  <c:v>8046.6890054117566</c:v>
                </c:pt>
                <c:pt idx="25">
                  <c:v>8045.6987331382661</c:v>
                </c:pt>
                <c:pt idx="26">
                  <c:v>8045.9133377207818</c:v>
                </c:pt>
                <c:pt idx="27">
                  <c:v>8045.2942306542163</c:v>
                </c:pt>
                <c:pt idx="28">
                  <c:v>8045.7677238824081</c:v>
                </c:pt>
                <c:pt idx="29">
                  <c:v>8045.4107734371564</c:v>
                </c:pt>
                <c:pt idx="30">
                  <c:v>8045.9946981363373</c:v>
                </c:pt>
                <c:pt idx="31">
                  <c:v>8045.3862416858165</c:v>
                </c:pt>
                <c:pt idx="32">
                  <c:v>8044.2513273512113</c:v>
                </c:pt>
                <c:pt idx="33">
                  <c:v>8042.092681745813</c:v>
                </c:pt>
                <c:pt idx="34">
                  <c:v>8043.0312593898516</c:v>
                </c:pt>
                <c:pt idx="35">
                  <c:v>8041.5031265016023</c:v>
                </c:pt>
                <c:pt idx="36">
                  <c:v>8040.8934425929065</c:v>
                </c:pt>
                <c:pt idx="37">
                  <c:v>8039.3622565597607</c:v>
                </c:pt>
                <c:pt idx="38">
                  <c:v>8037.4927972928035</c:v>
                </c:pt>
                <c:pt idx="39">
                  <c:v>8034.9359846046436</c:v>
                </c:pt>
                <c:pt idx="40">
                  <c:v>8033.0552229665464</c:v>
                </c:pt>
                <c:pt idx="41">
                  <c:v>8031.4801015215226</c:v>
                </c:pt>
                <c:pt idx="42">
                  <c:v>8031.5119347409091</c:v>
                </c:pt>
                <c:pt idx="43">
                  <c:v>8028.2972894673521</c:v>
                </c:pt>
                <c:pt idx="44">
                  <c:v>8027.9626909001181</c:v>
                </c:pt>
                <c:pt idx="45">
                  <c:v>8024.3106207657684</c:v>
                </c:pt>
                <c:pt idx="46">
                  <c:v>8023.843308857291</c:v>
                </c:pt>
                <c:pt idx="47">
                  <c:v>8021.1193653355558</c:v>
                </c:pt>
                <c:pt idx="48">
                  <c:v>8020.1564421952344</c:v>
                </c:pt>
                <c:pt idx="49">
                  <c:v>8019.1567207545086</c:v>
                </c:pt>
                <c:pt idx="50">
                  <c:v>8019.6211290852088</c:v>
                </c:pt>
                <c:pt idx="51">
                  <c:v>8017.2716976048387</c:v>
                </c:pt>
                <c:pt idx="52">
                  <c:v>8017.6958113577793</c:v>
                </c:pt>
                <c:pt idx="53">
                  <c:v>8017.9509080129192</c:v>
                </c:pt>
                <c:pt idx="54">
                  <c:v>8018.156655620427</c:v>
                </c:pt>
                <c:pt idx="55">
                  <c:v>8019.0471333771648</c:v>
                </c:pt>
                <c:pt idx="56">
                  <c:v>8021.7236389183072</c:v>
                </c:pt>
                <c:pt idx="57">
                  <c:v>8022.8814788933723</c:v>
                </c:pt>
                <c:pt idx="58">
                  <c:v>8025.6418566646807</c:v>
                </c:pt>
                <c:pt idx="59">
                  <c:v>8029.7543056318382</c:v>
                </c:pt>
                <c:pt idx="60">
                  <c:v>8033.2564205384979</c:v>
                </c:pt>
                <c:pt idx="61">
                  <c:v>8037.8506720254163</c:v>
                </c:pt>
                <c:pt idx="62">
                  <c:v>8041.5904066553258</c:v>
                </c:pt>
                <c:pt idx="63">
                  <c:v>8047.8434429337458</c:v>
                </c:pt>
                <c:pt idx="64">
                  <c:v>8052.6181267276843</c:v>
                </c:pt>
                <c:pt idx="65">
                  <c:v>8059.3211845911692</c:v>
                </c:pt>
                <c:pt idx="66">
                  <c:v>8065.7701061798716</c:v>
                </c:pt>
                <c:pt idx="67">
                  <c:v>8071.986345473626</c:v>
                </c:pt>
                <c:pt idx="68">
                  <c:v>8080.1873573314151</c:v>
                </c:pt>
                <c:pt idx="69">
                  <c:v>8087.3856574996253</c:v>
                </c:pt>
                <c:pt idx="70">
                  <c:v>8095.9098837484335</c:v>
                </c:pt>
                <c:pt idx="71">
                  <c:v>8102.7490794074438</c:v>
                </c:pt>
                <c:pt idx="72">
                  <c:v>8111.8915472875351</c:v>
                </c:pt>
                <c:pt idx="73">
                  <c:v>8120.4547121068317</c:v>
                </c:pt>
                <c:pt idx="74">
                  <c:v>8129.4364369591713</c:v>
                </c:pt>
                <c:pt idx="75">
                  <c:v>8138.7353589376953</c:v>
                </c:pt>
                <c:pt idx="76">
                  <c:v>8146.7099477726406</c:v>
                </c:pt>
                <c:pt idx="77">
                  <c:v>8156.1893602865075</c:v>
                </c:pt>
                <c:pt idx="78">
                  <c:v>8168.4209378805363</c:v>
                </c:pt>
                <c:pt idx="79">
                  <c:v>8177.9772176865754</c:v>
                </c:pt>
                <c:pt idx="80">
                  <c:v>8190.2898342134695</c:v>
                </c:pt>
                <c:pt idx="81">
                  <c:v>8200.6070098948603</c:v>
                </c:pt>
                <c:pt idx="82">
                  <c:v>8212.7015494195784</c:v>
                </c:pt>
                <c:pt idx="83">
                  <c:v>8226.1427705090227</c:v>
                </c:pt>
                <c:pt idx="84">
                  <c:v>8237.4738348356059</c:v>
                </c:pt>
                <c:pt idx="85">
                  <c:v>8250.7688399434955</c:v>
                </c:pt>
                <c:pt idx="86">
                  <c:v>8265.969507501748</c:v>
                </c:pt>
                <c:pt idx="87">
                  <c:v>8279.8074825048843</c:v>
                </c:pt>
                <c:pt idx="88">
                  <c:v>8292.3475798757609</c:v>
                </c:pt>
                <c:pt idx="89">
                  <c:v>8307.7782966956274</c:v>
                </c:pt>
                <c:pt idx="90">
                  <c:v>8321.9337620918523</c:v>
                </c:pt>
                <c:pt idx="91">
                  <c:v>8336.5124232828875</c:v>
                </c:pt>
                <c:pt idx="92">
                  <c:v>8352.2831661298642</c:v>
                </c:pt>
                <c:pt idx="93">
                  <c:v>8368.0521645810786</c:v>
                </c:pt>
                <c:pt idx="94">
                  <c:v>8382.7076834193758</c:v>
                </c:pt>
                <c:pt idx="95">
                  <c:v>8397.3369530824511</c:v>
                </c:pt>
                <c:pt idx="96">
                  <c:v>8414.1275231073814</c:v>
                </c:pt>
                <c:pt idx="97">
                  <c:v>8428.5377568981639</c:v>
                </c:pt>
                <c:pt idx="98">
                  <c:v>8444.3215254281567</c:v>
                </c:pt>
                <c:pt idx="99">
                  <c:v>8459.818996517155</c:v>
                </c:pt>
                <c:pt idx="100">
                  <c:v>8475.7798098672174</c:v>
                </c:pt>
                <c:pt idx="101">
                  <c:v>8491.8846204371148</c:v>
                </c:pt>
                <c:pt idx="102">
                  <c:v>8507.0813176514239</c:v>
                </c:pt>
                <c:pt idx="103">
                  <c:v>8524.5002288712094</c:v>
                </c:pt>
                <c:pt idx="104">
                  <c:v>8539.1033210460682</c:v>
                </c:pt>
                <c:pt idx="105">
                  <c:v>8555.1362266790056</c:v>
                </c:pt>
                <c:pt idx="106">
                  <c:v>8572.6841388003049</c:v>
                </c:pt>
                <c:pt idx="107">
                  <c:v>8586.9410559293337</c:v>
                </c:pt>
                <c:pt idx="108">
                  <c:v>8602.5825052643559</c:v>
                </c:pt>
                <c:pt idx="109">
                  <c:v>8618.1616291267928</c:v>
                </c:pt>
                <c:pt idx="110">
                  <c:v>8633.4789014470807</c:v>
                </c:pt>
                <c:pt idx="111">
                  <c:v>8647.9105779273214</c:v>
                </c:pt>
                <c:pt idx="112">
                  <c:v>8661.558044637015</c:v>
                </c:pt>
                <c:pt idx="113">
                  <c:v>8676.6797818908963</c:v>
                </c:pt>
                <c:pt idx="114">
                  <c:v>8688.6318877583744</c:v>
                </c:pt>
                <c:pt idx="115">
                  <c:v>8701.2854245545932</c:v>
                </c:pt>
                <c:pt idx="116">
                  <c:v>8712.4200717560852</c:v>
                </c:pt>
                <c:pt idx="117">
                  <c:v>8724.6358899982479</c:v>
                </c:pt>
                <c:pt idx="118">
                  <c:v>8735.2428830849803</c:v>
                </c:pt>
                <c:pt idx="119">
                  <c:v>8743.5589164145276</c:v>
                </c:pt>
                <c:pt idx="120">
                  <c:v>8753.4423793970509</c:v>
                </c:pt>
                <c:pt idx="121">
                  <c:v>8763.0947517730056</c:v>
                </c:pt>
                <c:pt idx="122">
                  <c:v>8771.2303199530579</c:v>
                </c:pt>
                <c:pt idx="123">
                  <c:v>8778.4547596889697</c:v>
                </c:pt>
                <c:pt idx="124">
                  <c:v>8785.220212838849</c:v>
                </c:pt>
                <c:pt idx="125">
                  <c:v>8791.5711577389902</c:v>
                </c:pt>
                <c:pt idx="126">
                  <c:v>8799.4717090965969</c:v>
                </c:pt>
                <c:pt idx="127">
                  <c:v>8803.7438508084033</c:v>
                </c:pt>
                <c:pt idx="128">
                  <c:v>8809.4797955160102</c:v>
                </c:pt>
                <c:pt idx="129">
                  <c:v>8813.9314947564344</c:v>
                </c:pt>
                <c:pt idx="130">
                  <c:v>8819.78633485516</c:v>
                </c:pt>
                <c:pt idx="131">
                  <c:v>8824.1608945340486</c:v>
                </c:pt>
                <c:pt idx="132">
                  <c:v>8827.5925629236899</c:v>
                </c:pt>
                <c:pt idx="133">
                  <c:v>8830.6068635575793</c:v>
                </c:pt>
                <c:pt idx="134">
                  <c:v>8831.4526290001759</c:v>
                </c:pt>
                <c:pt idx="135">
                  <c:v>8834.7583821892513</c:v>
                </c:pt>
                <c:pt idx="136">
                  <c:v>8835.4731519952329</c:v>
                </c:pt>
                <c:pt idx="137">
                  <c:v>8836.3709440562179</c:v>
                </c:pt>
                <c:pt idx="138">
                  <c:v>8835.0950837910495</c:v>
                </c:pt>
                <c:pt idx="139">
                  <c:v>8833.4816564570738</c:v>
                </c:pt>
                <c:pt idx="140">
                  <c:v>8832.8091513073086</c:v>
                </c:pt>
                <c:pt idx="141">
                  <c:v>8830.8535543046582</c:v>
                </c:pt>
                <c:pt idx="142">
                  <c:v>8826.4310451584952</c:v>
                </c:pt>
                <c:pt idx="143">
                  <c:v>8822.6872966294668</c:v>
                </c:pt>
                <c:pt idx="144">
                  <c:v>8818.3693528654676</c:v>
                </c:pt>
                <c:pt idx="145">
                  <c:v>8811.6386751225546</c:v>
                </c:pt>
                <c:pt idx="146">
                  <c:v>8805.5450982427465</c:v>
                </c:pt>
                <c:pt idx="147">
                  <c:v>8799.9564234531281</c:v>
                </c:pt>
                <c:pt idx="148">
                  <c:v>8791.9296378398594</c:v>
                </c:pt>
                <c:pt idx="149">
                  <c:v>8783.356604592489</c:v>
                </c:pt>
                <c:pt idx="150">
                  <c:v>8775.6812023652383</c:v>
                </c:pt>
                <c:pt idx="151">
                  <c:v>8766.4768128683809</c:v>
                </c:pt>
                <c:pt idx="152">
                  <c:v>8756.0744445344553</c:v>
                </c:pt>
                <c:pt idx="153">
                  <c:v>8745.0487851284906</c:v>
                </c:pt>
                <c:pt idx="154">
                  <c:v>8734.2199953002437</c:v>
                </c:pt>
                <c:pt idx="155">
                  <c:v>8721.8990276908116</c:v>
                </c:pt>
                <c:pt idx="156">
                  <c:v>8709.4879882571986</c:v>
                </c:pt>
                <c:pt idx="157">
                  <c:v>8697.2536363723011</c:v>
                </c:pt>
                <c:pt idx="158">
                  <c:v>8683.1589181737509</c:v>
                </c:pt>
                <c:pt idx="159">
                  <c:v>8669.2777170057507</c:v>
                </c:pt>
                <c:pt idx="160">
                  <c:v>8655.402741628599</c:v>
                </c:pt>
                <c:pt idx="161">
                  <c:v>8641.1441896196175</c:v>
                </c:pt>
                <c:pt idx="162">
                  <c:v>8626.809712809134</c:v>
                </c:pt>
                <c:pt idx="163">
                  <c:v>8611.9123242788737</c:v>
                </c:pt>
                <c:pt idx="164">
                  <c:v>8596.6815028887431</c:v>
                </c:pt>
                <c:pt idx="165">
                  <c:v>8581.8878464606441</c:v>
                </c:pt>
                <c:pt idx="166">
                  <c:v>8566.8034570677864</c:v>
                </c:pt>
                <c:pt idx="167">
                  <c:v>8551.7190124529043</c:v>
                </c:pt>
                <c:pt idx="168">
                  <c:v>8535.1600291402628</c:v>
                </c:pt>
                <c:pt idx="169">
                  <c:v>8521.2223695692737</c:v>
                </c:pt>
                <c:pt idx="170">
                  <c:v>8504.9208716367575</c:v>
                </c:pt>
                <c:pt idx="171">
                  <c:v>8491.0020962699928</c:v>
                </c:pt>
                <c:pt idx="172">
                  <c:v>8475.0299239335</c:v>
                </c:pt>
                <c:pt idx="173">
                  <c:v>8459.1101884738673</c:v>
                </c:pt>
                <c:pt idx="174">
                  <c:v>8445.7539674227246</c:v>
                </c:pt>
                <c:pt idx="175">
                  <c:v>8430.2571443645866</c:v>
                </c:pt>
                <c:pt idx="176">
                  <c:v>8416.0124363552513</c:v>
                </c:pt>
                <c:pt idx="177">
                  <c:v>8400.058566450718</c:v>
                </c:pt>
                <c:pt idx="178">
                  <c:v>8386.1090774401364</c:v>
                </c:pt>
                <c:pt idx="179">
                  <c:v>8371.8175568205061</c:v>
                </c:pt>
                <c:pt idx="180">
                  <c:v>8356.4931111288988</c:v>
                </c:pt>
                <c:pt idx="181">
                  <c:v>8342.3587480360875</c:v>
                </c:pt>
                <c:pt idx="182">
                  <c:v>8327.031801321893</c:v>
                </c:pt>
                <c:pt idx="183">
                  <c:v>8313.6608093524646</c:v>
                </c:pt>
                <c:pt idx="184">
                  <c:v>8298.3009954786448</c:v>
                </c:pt>
                <c:pt idx="185">
                  <c:v>8283.2241759645367</c:v>
                </c:pt>
                <c:pt idx="186">
                  <c:v>8268.9951908028888</c:v>
                </c:pt>
                <c:pt idx="187">
                  <c:v>8254.90407538211</c:v>
                </c:pt>
                <c:pt idx="188">
                  <c:v>8239.8265703285451</c:v>
                </c:pt>
                <c:pt idx="189">
                  <c:v>8225.96143205726</c:v>
                </c:pt>
                <c:pt idx="190">
                  <c:v>8213.3972129049998</c:v>
                </c:pt>
                <c:pt idx="191">
                  <c:v>8200.6191699441042</c:v>
                </c:pt>
                <c:pt idx="192">
                  <c:v>8187.554890852266</c:v>
                </c:pt>
                <c:pt idx="193">
                  <c:v>8173.857209666211</c:v>
                </c:pt>
                <c:pt idx="194">
                  <c:v>8162.060503251606</c:v>
                </c:pt>
                <c:pt idx="195">
                  <c:v>8150.6378710819663</c:v>
                </c:pt>
                <c:pt idx="196">
                  <c:v>8139.766847701806</c:v>
                </c:pt>
                <c:pt idx="197">
                  <c:v>8127.2341865260496</c:v>
                </c:pt>
                <c:pt idx="198">
                  <c:v>8117.9957689444173</c:v>
                </c:pt>
                <c:pt idx="199">
                  <c:v>8108.8563158042989</c:v>
                </c:pt>
                <c:pt idx="200">
                  <c:v>8099.4060776881306</c:v>
                </c:pt>
                <c:pt idx="201">
                  <c:v>8091.1747558351999</c:v>
                </c:pt>
                <c:pt idx="202">
                  <c:v>8084.9347262964393</c:v>
                </c:pt>
                <c:pt idx="203">
                  <c:v>8077.8522904327483</c:v>
                </c:pt>
                <c:pt idx="204">
                  <c:v>8070.508467801601</c:v>
                </c:pt>
                <c:pt idx="205">
                  <c:v>8064.635473836378</c:v>
                </c:pt>
                <c:pt idx="206">
                  <c:v>8059.299586653292</c:v>
                </c:pt>
                <c:pt idx="207">
                  <c:v>8055.1309616042417</c:v>
                </c:pt>
                <c:pt idx="208">
                  <c:v>8050.9864429223499</c:v>
                </c:pt>
                <c:pt idx="209">
                  <c:v>8048.3044470466793</c:v>
                </c:pt>
                <c:pt idx="210">
                  <c:v>8044.8034863244384</c:v>
                </c:pt>
                <c:pt idx="211">
                  <c:v>8040.3962053278174</c:v>
                </c:pt>
                <c:pt idx="212">
                  <c:v>8038.3299769996884</c:v>
                </c:pt>
                <c:pt idx="213">
                  <c:v>8036.6952238155545</c:v>
                </c:pt>
                <c:pt idx="214">
                  <c:v>8034.2360450420474</c:v>
                </c:pt>
                <c:pt idx="215">
                  <c:v>8032.5504051321695</c:v>
                </c:pt>
                <c:pt idx="216">
                  <c:v>8029.0310100211991</c:v>
                </c:pt>
                <c:pt idx="217">
                  <c:v>8028.0184473673744</c:v>
                </c:pt>
                <c:pt idx="218">
                  <c:v>8026.8816065566098</c:v>
                </c:pt>
                <c:pt idx="219">
                  <c:v>8025.2219752912024</c:v>
                </c:pt>
                <c:pt idx="220">
                  <c:v>8024.3988780354812</c:v>
                </c:pt>
                <c:pt idx="221">
                  <c:v>8022.1484421978039</c:v>
                </c:pt>
                <c:pt idx="222">
                  <c:v>8021.841184011073</c:v>
                </c:pt>
                <c:pt idx="223">
                  <c:v>8020.0648099080745</c:v>
                </c:pt>
                <c:pt idx="224">
                  <c:v>8019.6968658875849</c:v>
                </c:pt>
                <c:pt idx="225">
                  <c:v>8020.3450319075146</c:v>
                </c:pt>
                <c:pt idx="226">
                  <c:v>8019.4746473956557</c:v>
                </c:pt>
                <c:pt idx="227">
                  <c:v>8020.4793575013491</c:v>
                </c:pt>
                <c:pt idx="228">
                  <c:v>8021.4215853414116</c:v>
                </c:pt>
                <c:pt idx="229">
                  <c:v>8022.9246914475671</c:v>
                </c:pt>
                <c:pt idx="230">
                  <c:v>8023.2715062417174</c:v>
                </c:pt>
                <c:pt idx="231">
                  <c:v>8025.0968561751324</c:v>
                </c:pt>
                <c:pt idx="232">
                  <c:v>8026.2188259693512</c:v>
                </c:pt>
                <c:pt idx="233">
                  <c:v>8027.5029065989638</c:v>
                </c:pt>
                <c:pt idx="234">
                  <c:v>8028.2652639527205</c:v>
                </c:pt>
                <c:pt idx="235">
                  <c:v>8031.6029314648258</c:v>
                </c:pt>
                <c:pt idx="236">
                  <c:v>8031.9779495066068</c:v>
                </c:pt>
                <c:pt idx="237">
                  <c:v>8034.0767079236066</c:v>
                </c:pt>
                <c:pt idx="238">
                  <c:v>8035.2592083027321</c:v>
                </c:pt>
                <c:pt idx="239">
                  <c:v>8038.7242690505027</c:v>
                </c:pt>
                <c:pt idx="240">
                  <c:v>8039.4263003378273</c:v>
                </c:pt>
              </c:numCache>
            </c:numRef>
          </c:yVal>
          <c:smooth val="0"/>
          <c:extLst>
            <c:ext xmlns:c16="http://schemas.microsoft.com/office/drawing/2014/chart" uri="{C3380CC4-5D6E-409C-BE32-E72D297353CC}">
              <c16:uniqueId val="{00000000-DFDD-4B50-8F02-BB39E9FF672D}"/>
            </c:ext>
          </c:extLst>
        </c:ser>
        <c:ser>
          <c:idx val="1"/>
          <c:order val="1"/>
          <c:tx>
            <c:v>Medium shell</c:v>
          </c:tx>
          <c:spPr>
            <a:ln w="22000">
              <a:solidFill>
                <a:srgbClr val="7048B8"/>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Subsurface_Scenario_Data!$F$2:$F$242</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1-DFDD-4B50-8F02-BB39E9FF672D}"/>
            </c:ext>
          </c:extLst>
        </c:ser>
        <c:ser>
          <c:idx val="2"/>
          <c:order val="2"/>
          <c:tx>
            <c:v>Thick shell</c:v>
          </c:tx>
          <c:spPr>
            <a:ln w="22000">
              <a:solidFill>
                <a:srgbClr val="C43A3A"/>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Subsurface_Scenario_Data!$G$2:$G$242</c:f>
              <c:numCache>
                <c:formatCode>General</c:formatCode>
                <c:ptCount val="241"/>
                <c:pt idx="0">
                  <c:v>25442.101084589376</c:v>
                </c:pt>
                <c:pt idx="1">
                  <c:v>25460.341184583503</c:v>
                </c:pt>
                <c:pt idx="2">
                  <c:v>25475.341914732133</c:v>
                </c:pt>
                <c:pt idx="3">
                  <c:v>25485.087373927236</c:v>
                </c:pt>
                <c:pt idx="4">
                  <c:v>25502.969831924791</c:v>
                </c:pt>
                <c:pt idx="5">
                  <c:v>25512.086495917705</c:v>
                </c:pt>
                <c:pt idx="6">
                  <c:v>25525.494802878628</c:v>
                </c:pt>
                <c:pt idx="7">
                  <c:v>25536.873803647934</c:v>
                </c:pt>
                <c:pt idx="8">
                  <c:v>25542.220627462964</c:v>
                </c:pt>
                <c:pt idx="9">
                  <c:v>25554.712468775502</c:v>
                </c:pt>
                <c:pt idx="10">
                  <c:v>25561.038940968116</c:v>
                </c:pt>
                <c:pt idx="11">
                  <c:v>25565.914762106095</c:v>
                </c:pt>
                <c:pt idx="12">
                  <c:v>25574.005564205414</c:v>
                </c:pt>
                <c:pt idx="13">
                  <c:v>25577.226326927735</c:v>
                </c:pt>
                <c:pt idx="14">
                  <c:v>25582.943233034966</c:v>
                </c:pt>
                <c:pt idx="15">
                  <c:v>25587.141775823471</c:v>
                </c:pt>
                <c:pt idx="16">
                  <c:v>25589.439555238201</c:v>
                </c:pt>
                <c:pt idx="17">
                  <c:v>25589.147584908722</c:v>
                </c:pt>
                <c:pt idx="18">
                  <c:v>25595.33563442776</c:v>
                </c:pt>
                <c:pt idx="19">
                  <c:v>25599.009158523848</c:v>
                </c:pt>
                <c:pt idx="20">
                  <c:v>25595.521501025029</c:v>
                </c:pt>
                <c:pt idx="21">
                  <c:v>25600.821135839506</c:v>
                </c:pt>
                <c:pt idx="22">
                  <c:v>25599.384787806684</c:v>
                </c:pt>
                <c:pt idx="23">
                  <c:v>25600.514700234027</c:v>
                </c:pt>
                <c:pt idx="24">
                  <c:v>25603.101380855587</c:v>
                </c:pt>
                <c:pt idx="25">
                  <c:v>25599.950514530843</c:v>
                </c:pt>
                <c:pt idx="26">
                  <c:v>25600.633347293395</c:v>
                </c:pt>
                <c:pt idx="27">
                  <c:v>25598.663461172502</c:v>
                </c:pt>
                <c:pt idx="28">
                  <c:v>25600.170030534933</c:v>
                </c:pt>
                <c:pt idx="29">
                  <c:v>25599.034279118223</c:v>
                </c:pt>
                <c:pt idx="30">
                  <c:v>25600.892221342889</c:v>
                </c:pt>
                <c:pt idx="31">
                  <c:v>25598.956223545778</c:v>
                </c:pt>
                <c:pt idx="32">
                  <c:v>25595.345132481125</c:v>
                </c:pt>
                <c:pt idx="33">
                  <c:v>25588.476714645767</c:v>
                </c:pt>
                <c:pt idx="34">
                  <c:v>25591.463098058615</c:v>
                </c:pt>
                <c:pt idx="35">
                  <c:v>25586.600857050551</c:v>
                </c:pt>
                <c:pt idx="36">
                  <c:v>25584.660953704701</c:v>
                </c:pt>
                <c:pt idx="37">
                  <c:v>25579.78899814469</c:v>
                </c:pt>
                <c:pt idx="38">
                  <c:v>25573.840718658917</c:v>
                </c:pt>
                <c:pt idx="39">
                  <c:v>25565.705405560228</c:v>
                </c:pt>
                <c:pt idx="40">
                  <c:v>25559.721163984465</c:v>
                </c:pt>
                <c:pt idx="41">
                  <c:v>25554.709413932113</c:v>
                </c:pt>
                <c:pt idx="42">
                  <c:v>25554.810701448343</c:v>
                </c:pt>
                <c:pt idx="43">
                  <c:v>25544.582284668846</c:v>
                </c:pt>
                <c:pt idx="44">
                  <c:v>25543.517652864011</c:v>
                </c:pt>
                <c:pt idx="45">
                  <c:v>25531.897429709261</c:v>
                </c:pt>
                <c:pt idx="46">
                  <c:v>25530.410528182289</c:v>
                </c:pt>
                <c:pt idx="47">
                  <c:v>25521.743435158583</c:v>
                </c:pt>
                <c:pt idx="48">
                  <c:v>25518.679588803017</c:v>
                </c:pt>
                <c:pt idx="49">
                  <c:v>25515.498656946162</c:v>
                </c:pt>
                <c:pt idx="50">
                  <c:v>25516.976319816571</c:v>
                </c:pt>
                <c:pt idx="51">
                  <c:v>25509.500856015395</c:v>
                </c:pt>
                <c:pt idx="52">
                  <c:v>25510.850308865658</c:v>
                </c:pt>
                <c:pt idx="53">
                  <c:v>25511.661980041103</c:v>
                </c:pt>
                <c:pt idx="54">
                  <c:v>25512.316631519541</c:v>
                </c:pt>
                <c:pt idx="55">
                  <c:v>25515.149969836431</c:v>
                </c:pt>
                <c:pt idx="56">
                  <c:v>25523.666123830975</c:v>
                </c:pt>
                <c:pt idx="57">
                  <c:v>25527.350160115275</c:v>
                </c:pt>
                <c:pt idx="58">
                  <c:v>25536.133180296711</c:v>
                </c:pt>
                <c:pt idx="59">
                  <c:v>25549.218245192209</c:v>
                </c:pt>
                <c:pt idx="60">
                  <c:v>25560.361338077037</c:v>
                </c:pt>
                <c:pt idx="61">
                  <c:v>25574.979410989959</c:v>
                </c:pt>
                <c:pt idx="62">
                  <c:v>25586.878566630578</c:v>
                </c:pt>
                <c:pt idx="63">
                  <c:v>25606.774591152825</c:v>
                </c:pt>
                <c:pt idx="64">
                  <c:v>25621.966766860813</c:v>
                </c:pt>
                <c:pt idx="65">
                  <c:v>25643.294678244627</c:v>
                </c:pt>
                <c:pt idx="66">
                  <c:v>25663.813974208682</c:v>
                </c:pt>
                <c:pt idx="67">
                  <c:v>25683.592917416077</c:v>
                </c:pt>
                <c:pt idx="68">
                  <c:v>25709.687046054503</c:v>
                </c:pt>
                <c:pt idx="69">
                  <c:v>25732.590728407897</c:v>
                </c:pt>
                <c:pt idx="70">
                  <c:v>25759.713266472285</c:v>
                </c:pt>
                <c:pt idx="71">
                  <c:v>25781.474343569138</c:v>
                </c:pt>
                <c:pt idx="72">
                  <c:v>25810.564014096701</c:v>
                </c:pt>
                <c:pt idx="73">
                  <c:v>25837.810447612643</c:v>
                </c:pt>
                <c:pt idx="74">
                  <c:v>25866.388663051905</c:v>
                </c:pt>
                <c:pt idx="75">
                  <c:v>25895.976142074484</c:v>
                </c:pt>
                <c:pt idx="76">
                  <c:v>25921.349833822034</c:v>
                </c:pt>
                <c:pt idx="77">
                  <c:v>25951.511600911614</c:v>
                </c:pt>
                <c:pt idx="78">
                  <c:v>25990.430256892614</c:v>
                </c:pt>
                <c:pt idx="79">
                  <c:v>26020.83660173001</c:v>
                </c:pt>
                <c:pt idx="80">
                  <c:v>26060.013108861036</c:v>
                </c:pt>
                <c:pt idx="81">
                  <c:v>26092.840486029098</c:v>
                </c:pt>
                <c:pt idx="82">
                  <c:v>26131.323111789563</c:v>
                </c:pt>
                <c:pt idx="83">
                  <c:v>26174.090633437798</c:v>
                </c:pt>
                <c:pt idx="84">
                  <c:v>26210.144019931471</c:v>
                </c:pt>
                <c:pt idx="85">
                  <c:v>26252.446308911116</c:v>
                </c:pt>
                <c:pt idx="86">
                  <c:v>26300.81206932374</c:v>
                </c:pt>
                <c:pt idx="87">
                  <c:v>26344.841989788263</c:v>
                </c:pt>
                <c:pt idx="88">
                  <c:v>26384.742299604695</c:v>
                </c:pt>
                <c:pt idx="89">
                  <c:v>26433.840034940629</c:v>
                </c:pt>
                <c:pt idx="90">
                  <c:v>26478.880152110436</c:v>
                </c:pt>
                <c:pt idx="91">
                  <c:v>26525.266801354643</c:v>
                </c:pt>
                <c:pt idx="92">
                  <c:v>26575.446437685925</c:v>
                </c:pt>
                <c:pt idx="93">
                  <c:v>26625.620523667068</c:v>
                </c:pt>
                <c:pt idx="94">
                  <c:v>26672.251719970736</c:v>
                </c:pt>
                <c:pt idx="95">
                  <c:v>26718.799396171431</c:v>
                </c:pt>
                <c:pt idx="96">
                  <c:v>26772.223937159848</c:v>
                </c:pt>
                <c:pt idx="97">
                  <c:v>26818.074681039612</c:v>
                </c:pt>
                <c:pt idx="98">
                  <c:v>26868.295762725953</c:v>
                </c:pt>
                <c:pt idx="99">
                  <c:v>26917.605898009129</c:v>
                </c:pt>
                <c:pt idx="100">
                  <c:v>26968.390304122961</c:v>
                </c:pt>
                <c:pt idx="101">
                  <c:v>27019.632883208997</c:v>
                </c:pt>
                <c:pt idx="102">
                  <c:v>27067.986010709075</c:v>
                </c:pt>
                <c:pt idx="103">
                  <c:v>27123.409819135668</c:v>
                </c:pt>
                <c:pt idx="104">
                  <c:v>27169.874203328392</c:v>
                </c:pt>
                <c:pt idx="105">
                  <c:v>27220.887993978649</c:v>
                </c:pt>
                <c:pt idx="106">
                  <c:v>27276.722259819147</c:v>
                </c:pt>
                <c:pt idx="107">
                  <c:v>27322.085177956971</c:v>
                </c:pt>
                <c:pt idx="108">
                  <c:v>27371.853425841127</c:v>
                </c:pt>
                <c:pt idx="109">
                  <c:v>27421.423365403429</c:v>
                </c:pt>
                <c:pt idx="110">
                  <c:v>27470.160140967979</c:v>
                </c:pt>
                <c:pt idx="111">
                  <c:v>27516.079111586929</c:v>
                </c:pt>
                <c:pt idx="112">
                  <c:v>27559.502869299595</c:v>
                </c:pt>
                <c:pt idx="113">
                  <c:v>27607.617487834665</c:v>
                </c:pt>
                <c:pt idx="114">
                  <c:v>27645.646915594825</c:v>
                </c:pt>
                <c:pt idx="115">
                  <c:v>27685.908169037339</c:v>
                </c:pt>
                <c:pt idx="116">
                  <c:v>27721.336591951178</c:v>
                </c:pt>
                <c:pt idx="117">
                  <c:v>27760.205104539877</c:v>
                </c:pt>
                <c:pt idx="118">
                  <c:v>27793.95462799766</c:v>
                </c:pt>
                <c:pt idx="119">
                  <c:v>27820.414734046226</c:v>
                </c:pt>
                <c:pt idx="120">
                  <c:v>27851.862116263339</c:v>
                </c:pt>
                <c:pt idx="121">
                  <c:v>27882.574210186835</c:v>
                </c:pt>
                <c:pt idx="122">
                  <c:v>27908.460108941545</c:v>
                </c:pt>
                <c:pt idx="123">
                  <c:v>27931.446962646722</c:v>
                </c:pt>
                <c:pt idx="124">
                  <c:v>27952.973404487246</c:v>
                </c:pt>
                <c:pt idx="125">
                  <c:v>27973.180956442236</c:v>
                </c:pt>
                <c:pt idx="126">
                  <c:v>27998.319074398263</c:v>
                </c:pt>
                <c:pt idx="127">
                  <c:v>28011.91225257219</c:v>
                </c:pt>
                <c:pt idx="128">
                  <c:v>28030.162985732757</c:v>
                </c:pt>
                <c:pt idx="129">
                  <c:v>28044.327483315927</c:v>
                </c:pt>
                <c:pt idx="130">
                  <c:v>28062.956519993688</c:v>
                </c:pt>
                <c:pt idx="131">
                  <c:v>28076.875573517427</c:v>
                </c:pt>
                <c:pt idx="132">
                  <c:v>28087.794518393559</c:v>
                </c:pt>
                <c:pt idx="133">
                  <c:v>28097.385474955932</c:v>
                </c:pt>
                <c:pt idx="134">
                  <c:v>28100.076546818742</c:v>
                </c:pt>
                <c:pt idx="135">
                  <c:v>28110.594852420341</c:v>
                </c:pt>
                <c:pt idx="136">
                  <c:v>28112.869119984833</c:v>
                </c:pt>
                <c:pt idx="137">
                  <c:v>28115.725731087965</c:v>
                </c:pt>
                <c:pt idx="138">
                  <c:v>28111.666175698789</c:v>
                </c:pt>
                <c:pt idx="139">
                  <c:v>28106.532543272504</c:v>
                </c:pt>
                <c:pt idx="140">
                  <c:v>28104.392754159613</c:v>
                </c:pt>
                <c:pt idx="141">
                  <c:v>28098.170400060273</c:v>
                </c:pt>
                <c:pt idx="142">
                  <c:v>28084.098780049753</c:v>
                </c:pt>
                <c:pt idx="143">
                  <c:v>28072.186852911935</c:v>
                </c:pt>
                <c:pt idx="144">
                  <c:v>28058.447940935577</c:v>
                </c:pt>
                <c:pt idx="145">
                  <c:v>28037.032148117214</c:v>
                </c:pt>
                <c:pt idx="146">
                  <c:v>28017.643494408734</c:v>
                </c:pt>
                <c:pt idx="147">
                  <c:v>27999.861347350859</c:v>
                </c:pt>
                <c:pt idx="148">
                  <c:v>27974.321574945006</c:v>
                </c:pt>
                <c:pt idx="149">
                  <c:v>27947.043741885187</c:v>
                </c:pt>
                <c:pt idx="150">
                  <c:v>27922.622007525759</c:v>
                </c:pt>
                <c:pt idx="151">
                  <c:v>27893.33531367212</c:v>
                </c:pt>
                <c:pt idx="152">
                  <c:v>27860.236868973265</c:v>
                </c:pt>
                <c:pt idx="153">
                  <c:v>27825.155225408831</c:v>
                </c:pt>
                <c:pt idx="154">
                  <c:v>27790.699985046223</c:v>
                </c:pt>
                <c:pt idx="155">
                  <c:v>27751.496906288943</c:v>
                </c:pt>
                <c:pt idx="156">
                  <c:v>27712.00723536381</c:v>
                </c:pt>
                <c:pt idx="157">
                  <c:v>27673.079752093683</c:v>
                </c:pt>
                <c:pt idx="158">
                  <c:v>27628.232921461935</c:v>
                </c:pt>
                <c:pt idx="159">
                  <c:v>27584.065463200113</c:v>
                </c:pt>
                <c:pt idx="160">
                  <c:v>27539.917814272812</c:v>
                </c:pt>
                <c:pt idx="161">
                  <c:v>27494.549694244233</c:v>
                </c:pt>
                <c:pt idx="162">
                  <c:v>27448.939995301789</c:v>
                </c:pt>
                <c:pt idx="163">
                  <c:v>27401.539213614597</c:v>
                </c:pt>
                <c:pt idx="164">
                  <c:v>27353.077509191455</c:v>
                </c:pt>
                <c:pt idx="165">
                  <c:v>27306.006784192956</c:v>
                </c:pt>
                <c:pt idx="166">
                  <c:v>27258.010999761136</c:v>
                </c:pt>
                <c:pt idx="167">
                  <c:v>27210.015039622875</c:v>
                </c:pt>
                <c:pt idx="168">
                  <c:v>27157.327365446286</c:v>
                </c:pt>
                <c:pt idx="169">
                  <c:v>27112.980266811326</c:v>
                </c:pt>
                <c:pt idx="170">
                  <c:v>27061.111864298768</c:v>
                </c:pt>
                <c:pt idx="171">
                  <c:v>27016.824851768157</c:v>
                </c:pt>
                <c:pt idx="172">
                  <c:v>26966.004303424772</c:v>
                </c:pt>
                <c:pt idx="173">
                  <c:v>26915.350599689576</c:v>
                </c:pt>
                <c:pt idx="174">
                  <c:v>26872.853532708665</c:v>
                </c:pt>
                <c:pt idx="175">
                  <c:v>26823.545459341862</c:v>
                </c:pt>
                <c:pt idx="176">
                  <c:v>26778.221388403068</c:v>
                </c:pt>
                <c:pt idx="177">
                  <c:v>26727.459075070466</c:v>
                </c:pt>
                <c:pt idx="178">
                  <c:v>26683.074337309521</c:v>
                </c:pt>
                <c:pt idx="179">
                  <c:v>26637.601317156157</c:v>
                </c:pt>
                <c:pt idx="180">
                  <c:v>26588.841717228308</c:v>
                </c:pt>
                <c:pt idx="181">
                  <c:v>26543.868743751184</c:v>
                </c:pt>
                <c:pt idx="182">
                  <c:v>26495.1011860242</c:v>
                </c:pt>
                <c:pt idx="183">
                  <c:v>26452.55712066693</c:v>
                </c:pt>
                <c:pt idx="184">
                  <c:v>26403.684985613865</c:v>
                </c:pt>
                <c:pt idx="185">
                  <c:v>26355.713287159888</c:v>
                </c:pt>
                <c:pt idx="186">
                  <c:v>26310.439243463738</c:v>
                </c:pt>
                <c:pt idx="187">
                  <c:v>26265.603876215802</c:v>
                </c:pt>
                <c:pt idx="188">
                  <c:v>26217.629996499916</c:v>
                </c:pt>
                <c:pt idx="189">
                  <c:v>26173.513647454914</c:v>
                </c:pt>
                <c:pt idx="190">
                  <c:v>26133.536586515907</c:v>
                </c:pt>
                <c:pt idx="191">
                  <c:v>26092.879177094874</c:v>
                </c:pt>
                <c:pt idx="192">
                  <c:v>26051.311016348118</c:v>
                </c:pt>
                <c:pt idx="193">
                  <c:v>26007.727485301577</c:v>
                </c:pt>
                <c:pt idx="194">
                  <c:v>25970.192510346016</c:v>
                </c:pt>
                <c:pt idx="195">
                  <c:v>25933.847771624434</c:v>
                </c:pt>
                <c:pt idx="196">
                  <c:v>25899.258151778471</c:v>
                </c:pt>
                <c:pt idx="197">
                  <c:v>25859.381502582884</c:v>
                </c:pt>
                <c:pt idx="198">
                  <c:v>25829.986537550416</c:v>
                </c:pt>
                <c:pt idx="199">
                  <c:v>25800.906459377315</c:v>
                </c:pt>
                <c:pt idx="200">
                  <c:v>25770.837519916779</c:v>
                </c:pt>
                <c:pt idx="201">
                  <c:v>25744.646950384726</c:v>
                </c:pt>
                <c:pt idx="202">
                  <c:v>25724.792310943216</c:v>
                </c:pt>
                <c:pt idx="203">
                  <c:v>25702.257287740558</c:v>
                </c:pt>
                <c:pt idx="204">
                  <c:v>25678.89057936873</c:v>
                </c:pt>
                <c:pt idx="205">
                  <c:v>25660.203780388474</c:v>
                </c:pt>
                <c:pt idx="206">
                  <c:v>25643.225957533199</c:v>
                </c:pt>
                <c:pt idx="207">
                  <c:v>25629.962150558946</c:v>
                </c:pt>
                <c:pt idx="208">
                  <c:v>25616.77504566202</c:v>
                </c:pt>
                <c:pt idx="209">
                  <c:v>25608.241422421252</c:v>
                </c:pt>
                <c:pt idx="210">
                  <c:v>25597.102001941392</c:v>
                </c:pt>
                <c:pt idx="211">
                  <c:v>25583.078835133962</c:v>
                </c:pt>
                <c:pt idx="212">
                  <c:v>25576.504472271732</c:v>
                </c:pt>
                <c:pt idx="213">
                  <c:v>25571.302984867671</c:v>
                </c:pt>
                <c:pt idx="214">
                  <c:v>25563.478325133787</c:v>
                </c:pt>
                <c:pt idx="215">
                  <c:v>25558.114925420537</c:v>
                </c:pt>
                <c:pt idx="216">
                  <c:v>25546.91685006745</c:v>
                </c:pt>
                <c:pt idx="217">
                  <c:v>25543.695059805283</c:v>
                </c:pt>
                <c:pt idx="218">
                  <c:v>25540.077839043755</c:v>
                </c:pt>
                <c:pt idx="219">
                  <c:v>25534.797194108371</c:v>
                </c:pt>
                <c:pt idx="220">
                  <c:v>25532.178248294709</c:v>
                </c:pt>
                <c:pt idx="221">
                  <c:v>25525.017770629373</c:v>
                </c:pt>
                <c:pt idx="222">
                  <c:v>25524.040130944322</c:v>
                </c:pt>
                <c:pt idx="223">
                  <c:v>25518.38803152569</c:v>
                </c:pt>
                <c:pt idx="224">
                  <c:v>25517.217300551405</c:v>
                </c:pt>
                <c:pt idx="225">
                  <c:v>25519.279646978452</c:v>
                </c:pt>
                <c:pt idx="226">
                  <c:v>25516.510241713448</c:v>
                </c:pt>
                <c:pt idx="227">
                  <c:v>25519.707046595198</c:v>
                </c:pt>
                <c:pt idx="228">
                  <c:v>25522.705044268128</c:v>
                </c:pt>
                <c:pt idx="229">
                  <c:v>25527.487654605895</c:v>
                </c:pt>
                <c:pt idx="230">
                  <c:v>25528.591156223643</c:v>
                </c:pt>
                <c:pt idx="231">
                  <c:v>25534.399087829963</c:v>
                </c:pt>
                <c:pt idx="232">
                  <c:v>25537.96899172066</c:v>
                </c:pt>
                <c:pt idx="233">
                  <c:v>25542.054702814883</c:v>
                </c:pt>
                <c:pt idx="234">
                  <c:v>25544.480385304108</c:v>
                </c:pt>
                <c:pt idx="235">
                  <c:v>25555.100236478989</c:v>
                </c:pt>
                <c:pt idx="236">
                  <c:v>25556.293475702838</c:v>
                </c:pt>
                <c:pt idx="237">
                  <c:v>25562.971343393292</c:v>
                </c:pt>
                <c:pt idx="238">
                  <c:v>25566.733844599599</c:v>
                </c:pt>
                <c:pt idx="239">
                  <c:v>25577.759037887961</c:v>
                </c:pt>
                <c:pt idx="240">
                  <c:v>25579.992773802176</c:v>
                </c:pt>
              </c:numCache>
            </c:numRef>
          </c:yVal>
          <c:smooth val="0"/>
          <c:extLst>
            <c:ext xmlns:c16="http://schemas.microsoft.com/office/drawing/2014/chart" uri="{C3380CC4-5D6E-409C-BE32-E72D297353CC}">
              <c16:uniqueId val="{00000002-DFDD-4B50-8F02-BB39E9FF672D}"/>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title>
          <c:tx>
            <c:rich>
              <a:bodyPr/>
              <a:lstStyle/>
              <a:p>
                <a:pPr>
                  <a:defRPr/>
                </a:pPr>
                <a:r>
                  <a:t>Along-track position x (km)</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Depth to possible boundary (m)</a:t>
                </a:r>
              </a:p>
            </c:rich>
          </c:tx>
          <c:overlay val="1"/>
        </c:title>
        <c:numFmt formatCode="General" sourceLinked="1"/>
        <c:majorTickMark val="none"/>
        <c:minorTickMark val="none"/>
        <c:tickLblPos val="nextTo"/>
        <c:crossAx val="10"/>
        <c:crosses val="min"/>
        <c:crossBetween val="midCat"/>
      </c:valAx>
    </c:plotArea>
    <c:legend>
      <c:legendPos val="b"/>
      <c:overlay val="1"/>
      <c:txPr>
        <a:bodyPr/>
        <a:lstStyle/>
        <a:p>
          <a:pPr>
            <a:defRPr sz="800"/>
          </a:pPr>
          <a:endParaRPr lang="en-US"/>
        </a:p>
      </c:txPr>
    </c:legend>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Boundary Uncertainty Band</a:t>
            </a:r>
          </a:p>
        </c:rich>
      </c:tx>
      <c:overlay val="1"/>
    </c:title>
    <c:autoTitleDeleted val="0"/>
    <c:plotArea>
      <c:layout/>
      <c:scatterChart>
        <c:scatterStyle val="lineMarker"/>
        <c:varyColors val="1"/>
        <c:ser>
          <c:idx val="0"/>
          <c:order val="0"/>
          <c:tx>
            <c:v>Lower bound</c:v>
          </c:tx>
          <c:spPr>
            <a:ln w="22000">
              <a:solidFill>
                <a:srgbClr val="219653"/>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Subsurface_Scenario_Data!$C$2:$C$242</c:f>
              <c:numCache>
                <c:formatCode>General</c:formatCode>
                <c:ptCount val="241"/>
                <c:pt idx="0">
                  <c:v>13038.343476908214</c:v>
                </c:pt>
                <c:pt idx="1">
                  <c:v>13048.766391190573</c:v>
                </c:pt>
                <c:pt idx="2">
                  <c:v>13057.33823698979</c:v>
                </c:pt>
                <c:pt idx="3">
                  <c:v>13062.907070815563</c:v>
                </c:pt>
                <c:pt idx="4">
                  <c:v>13073.125618242737</c:v>
                </c:pt>
                <c:pt idx="5">
                  <c:v>13078.335140524403</c:v>
                </c:pt>
                <c:pt idx="6">
                  <c:v>13085.997030216358</c:v>
                </c:pt>
                <c:pt idx="7">
                  <c:v>13092.499316370247</c:v>
                </c:pt>
                <c:pt idx="8">
                  <c:v>13095.55464426455</c:v>
                </c:pt>
                <c:pt idx="9">
                  <c:v>13102.692839300287</c:v>
                </c:pt>
                <c:pt idx="10">
                  <c:v>13106.307966267494</c:v>
                </c:pt>
                <c:pt idx="11">
                  <c:v>13109.094149774912</c:v>
                </c:pt>
                <c:pt idx="12">
                  <c:v>13113.717465260237</c:v>
                </c:pt>
                <c:pt idx="13">
                  <c:v>13115.557901101563</c:v>
                </c:pt>
                <c:pt idx="14">
                  <c:v>13118.824704591409</c:v>
                </c:pt>
                <c:pt idx="15">
                  <c:v>13121.223871899127</c:v>
                </c:pt>
                <c:pt idx="16">
                  <c:v>13122.536888707544</c:v>
                </c:pt>
                <c:pt idx="17">
                  <c:v>13122.370048519269</c:v>
                </c:pt>
                <c:pt idx="18">
                  <c:v>13125.906076815863</c:v>
                </c:pt>
                <c:pt idx="19">
                  <c:v>13128.005233442198</c:v>
                </c:pt>
                <c:pt idx="20">
                  <c:v>13126.012286300016</c:v>
                </c:pt>
                <c:pt idx="21">
                  <c:v>13129.040649051145</c:v>
                </c:pt>
                <c:pt idx="22">
                  <c:v>13128.219878746677</c:v>
                </c:pt>
                <c:pt idx="23">
                  <c:v>13128.865542990872</c:v>
                </c:pt>
                <c:pt idx="24">
                  <c:v>13130.343646203193</c:v>
                </c:pt>
                <c:pt idx="25">
                  <c:v>13128.543151160482</c:v>
                </c:pt>
                <c:pt idx="26">
                  <c:v>13128.933341310511</c:v>
                </c:pt>
                <c:pt idx="27">
                  <c:v>13127.807692098573</c:v>
                </c:pt>
                <c:pt idx="28">
                  <c:v>13128.668588877104</c:v>
                </c:pt>
                <c:pt idx="29">
                  <c:v>13128.019588067556</c:v>
                </c:pt>
                <c:pt idx="30">
                  <c:v>13129.081269338794</c:v>
                </c:pt>
                <c:pt idx="31">
                  <c:v>13127.974984883302</c:v>
                </c:pt>
                <c:pt idx="32">
                  <c:v>13125.911504274929</c:v>
                </c:pt>
                <c:pt idx="33">
                  <c:v>13121.986694083294</c:v>
                </c:pt>
                <c:pt idx="34">
                  <c:v>13123.693198890638</c:v>
                </c:pt>
                <c:pt idx="35">
                  <c:v>13120.914775457457</c:v>
                </c:pt>
                <c:pt idx="36">
                  <c:v>13119.806259259829</c:v>
                </c:pt>
                <c:pt idx="37">
                  <c:v>13117.022284654109</c:v>
                </c:pt>
                <c:pt idx="38">
                  <c:v>13113.623267805096</c:v>
                </c:pt>
                <c:pt idx="39">
                  <c:v>13108.974517462988</c:v>
                </c:pt>
                <c:pt idx="40">
                  <c:v>13105.554950848265</c:v>
                </c:pt>
                <c:pt idx="41">
                  <c:v>13102.691093675494</c:v>
                </c:pt>
                <c:pt idx="42">
                  <c:v>13102.748972256197</c:v>
                </c:pt>
                <c:pt idx="43">
                  <c:v>13096.904162667912</c:v>
                </c:pt>
                <c:pt idx="44">
                  <c:v>13096.295801636577</c:v>
                </c:pt>
                <c:pt idx="45">
                  <c:v>13089.655674119578</c:v>
                </c:pt>
                <c:pt idx="46">
                  <c:v>13088.806016104165</c:v>
                </c:pt>
                <c:pt idx="47">
                  <c:v>13083.853391519191</c:v>
                </c:pt>
                <c:pt idx="48">
                  <c:v>13082.102622173152</c:v>
                </c:pt>
                <c:pt idx="49">
                  <c:v>13080.284946826378</c:v>
                </c:pt>
                <c:pt idx="50">
                  <c:v>13081.129325609469</c:v>
                </c:pt>
                <c:pt idx="51">
                  <c:v>13076.857632008796</c:v>
                </c:pt>
                <c:pt idx="52">
                  <c:v>13077.628747923234</c:v>
                </c:pt>
                <c:pt idx="53">
                  <c:v>13078.092560023488</c:v>
                </c:pt>
                <c:pt idx="54">
                  <c:v>13078.466646582594</c:v>
                </c:pt>
                <c:pt idx="55">
                  <c:v>13080.08569704939</c:v>
                </c:pt>
                <c:pt idx="56">
                  <c:v>13084.952070760557</c:v>
                </c:pt>
                <c:pt idx="57">
                  <c:v>13087.057234351585</c:v>
                </c:pt>
                <c:pt idx="58">
                  <c:v>13092.076103026691</c:v>
                </c:pt>
                <c:pt idx="59">
                  <c:v>13099.553282966977</c:v>
                </c:pt>
                <c:pt idx="60">
                  <c:v>13105.92076461545</c:v>
                </c:pt>
                <c:pt idx="61">
                  <c:v>13114.273949137119</c:v>
                </c:pt>
                <c:pt idx="62">
                  <c:v>13121.073466646045</c:v>
                </c:pt>
                <c:pt idx="63">
                  <c:v>13132.442623515901</c:v>
                </c:pt>
                <c:pt idx="64">
                  <c:v>13141.123866777607</c:v>
                </c:pt>
                <c:pt idx="65">
                  <c:v>13153.311244711216</c:v>
                </c:pt>
                <c:pt idx="66">
                  <c:v>13165.036556690675</c:v>
                </c:pt>
                <c:pt idx="67">
                  <c:v>13176.338809952045</c:v>
                </c:pt>
                <c:pt idx="68">
                  <c:v>13191.249740602572</c:v>
                </c:pt>
                <c:pt idx="69">
                  <c:v>13204.337559090227</c:v>
                </c:pt>
                <c:pt idx="70">
                  <c:v>13219.836152269878</c:v>
                </c:pt>
                <c:pt idx="71">
                  <c:v>13232.271053468079</c:v>
                </c:pt>
                <c:pt idx="72">
                  <c:v>13248.893722340972</c:v>
                </c:pt>
                <c:pt idx="73">
                  <c:v>13264.46311292151</c:v>
                </c:pt>
                <c:pt idx="74">
                  <c:v>13280.793521743946</c:v>
                </c:pt>
                <c:pt idx="75">
                  <c:v>13297.70065261399</c:v>
                </c:pt>
                <c:pt idx="76">
                  <c:v>13312.199905041163</c:v>
                </c:pt>
                <c:pt idx="77">
                  <c:v>13329.435200520922</c:v>
                </c:pt>
                <c:pt idx="78">
                  <c:v>13351.674432510064</c:v>
                </c:pt>
                <c:pt idx="79">
                  <c:v>13369.049486702863</c:v>
                </c:pt>
                <c:pt idx="80">
                  <c:v>13391.436062206307</c:v>
                </c:pt>
                <c:pt idx="81">
                  <c:v>13410.194563445199</c:v>
                </c:pt>
                <c:pt idx="82">
                  <c:v>13432.184635308322</c:v>
                </c:pt>
                <c:pt idx="83">
                  <c:v>13456.623219107312</c:v>
                </c:pt>
                <c:pt idx="84">
                  <c:v>13477.225154246555</c:v>
                </c:pt>
                <c:pt idx="85">
                  <c:v>13501.397890806353</c:v>
                </c:pt>
                <c:pt idx="86">
                  <c:v>13529.035468184995</c:v>
                </c:pt>
                <c:pt idx="87">
                  <c:v>13554.195422736151</c:v>
                </c:pt>
                <c:pt idx="88">
                  <c:v>13576.995599774111</c:v>
                </c:pt>
                <c:pt idx="89">
                  <c:v>13605.051448537502</c:v>
                </c:pt>
                <c:pt idx="90">
                  <c:v>13630.78865834882</c:v>
                </c:pt>
                <c:pt idx="91">
                  <c:v>13657.295315059795</c:v>
                </c:pt>
                <c:pt idx="92">
                  <c:v>13685.969392963387</c:v>
                </c:pt>
                <c:pt idx="93">
                  <c:v>13714.640299238325</c:v>
                </c:pt>
                <c:pt idx="94">
                  <c:v>13741.286697126136</c:v>
                </c:pt>
                <c:pt idx="95">
                  <c:v>13767.885369240817</c:v>
                </c:pt>
                <c:pt idx="96">
                  <c:v>13798.413678377055</c:v>
                </c:pt>
                <c:pt idx="97">
                  <c:v>13824.614103451207</c:v>
                </c:pt>
                <c:pt idx="98">
                  <c:v>13853.311864414831</c:v>
                </c:pt>
                <c:pt idx="99">
                  <c:v>13881.489084576646</c:v>
                </c:pt>
                <c:pt idx="100">
                  <c:v>13910.508745213121</c:v>
                </c:pt>
                <c:pt idx="101">
                  <c:v>13939.79021897657</c:v>
                </c:pt>
                <c:pt idx="102">
                  <c:v>13967.420577548042</c:v>
                </c:pt>
                <c:pt idx="103">
                  <c:v>13999.091325220381</c:v>
                </c:pt>
                <c:pt idx="104">
                  <c:v>14025.64240190194</c:v>
                </c:pt>
                <c:pt idx="105">
                  <c:v>14054.793139416372</c:v>
                </c:pt>
                <c:pt idx="106">
                  <c:v>14086.69843418237</c:v>
                </c:pt>
                <c:pt idx="107">
                  <c:v>14112.620101689698</c:v>
                </c:pt>
                <c:pt idx="108">
                  <c:v>14141.059100480645</c:v>
                </c:pt>
                <c:pt idx="109">
                  <c:v>14169.38478023053</c:v>
                </c:pt>
                <c:pt idx="110">
                  <c:v>14197.234366267417</c:v>
                </c:pt>
                <c:pt idx="111">
                  <c:v>14223.473778049673</c:v>
                </c:pt>
                <c:pt idx="112">
                  <c:v>14248.287353885482</c:v>
                </c:pt>
                <c:pt idx="113">
                  <c:v>14275.781421619809</c:v>
                </c:pt>
                <c:pt idx="114">
                  <c:v>14297.512523197043</c:v>
                </c:pt>
                <c:pt idx="115">
                  <c:v>14320.518953735622</c:v>
                </c:pt>
                <c:pt idx="116">
                  <c:v>14340.763766829245</c:v>
                </c:pt>
                <c:pt idx="117">
                  <c:v>14362.974345451357</c:v>
                </c:pt>
                <c:pt idx="118">
                  <c:v>14382.259787427234</c:v>
                </c:pt>
                <c:pt idx="119">
                  <c:v>14397.379848026414</c:v>
                </c:pt>
                <c:pt idx="120">
                  <c:v>14415.349780721908</c:v>
                </c:pt>
                <c:pt idx="121">
                  <c:v>14432.899548678191</c:v>
                </c:pt>
                <c:pt idx="122">
                  <c:v>14447.69149082374</c:v>
                </c:pt>
                <c:pt idx="123">
                  <c:v>14460.826835798127</c:v>
                </c:pt>
                <c:pt idx="124">
                  <c:v>14473.127659706997</c:v>
                </c:pt>
                <c:pt idx="125">
                  <c:v>14484.674832252707</c:v>
                </c:pt>
                <c:pt idx="126">
                  <c:v>14499.039471084721</c:v>
                </c:pt>
                <c:pt idx="127">
                  <c:v>14506.807001469824</c:v>
                </c:pt>
                <c:pt idx="128">
                  <c:v>14517.23599184729</c:v>
                </c:pt>
                <c:pt idx="129">
                  <c:v>14525.329990466244</c:v>
                </c:pt>
                <c:pt idx="130">
                  <c:v>14535.975154282107</c:v>
                </c:pt>
                <c:pt idx="131">
                  <c:v>14543.928899152816</c:v>
                </c:pt>
                <c:pt idx="132">
                  <c:v>14550.168296224891</c:v>
                </c:pt>
                <c:pt idx="133">
                  <c:v>14555.648842831961</c:v>
                </c:pt>
                <c:pt idx="134">
                  <c:v>14557.186598182137</c:v>
                </c:pt>
                <c:pt idx="135">
                  <c:v>14563.19705852591</c:v>
                </c:pt>
                <c:pt idx="136">
                  <c:v>14564.496639991332</c:v>
                </c:pt>
                <c:pt idx="137">
                  <c:v>14566.128989193123</c:v>
                </c:pt>
                <c:pt idx="138">
                  <c:v>14563.809243256452</c:v>
                </c:pt>
                <c:pt idx="139">
                  <c:v>14560.875739012859</c:v>
                </c:pt>
                <c:pt idx="140">
                  <c:v>14559.653002376923</c:v>
                </c:pt>
                <c:pt idx="141">
                  <c:v>14556.097371463013</c:v>
                </c:pt>
                <c:pt idx="142">
                  <c:v>14548.056445742717</c:v>
                </c:pt>
                <c:pt idx="143">
                  <c:v>14541.249630235392</c:v>
                </c:pt>
                <c:pt idx="144">
                  <c:v>14533.398823391759</c:v>
                </c:pt>
                <c:pt idx="145">
                  <c:v>14521.161227495551</c:v>
                </c:pt>
                <c:pt idx="146">
                  <c:v>14510.081996804991</c:v>
                </c:pt>
                <c:pt idx="147">
                  <c:v>14499.920769914777</c:v>
                </c:pt>
                <c:pt idx="148">
                  <c:v>14485.326614254289</c:v>
                </c:pt>
                <c:pt idx="149">
                  <c:v>14469.739281077251</c:v>
                </c:pt>
                <c:pt idx="150">
                  <c:v>14455.784004300433</c:v>
                </c:pt>
                <c:pt idx="151">
                  <c:v>14439.048750669783</c:v>
                </c:pt>
                <c:pt idx="152">
                  <c:v>14420.135353699008</c:v>
                </c:pt>
                <c:pt idx="153">
                  <c:v>14400.088700233617</c:v>
                </c:pt>
                <c:pt idx="154">
                  <c:v>14380.399991454986</c:v>
                </c:pt>
                <c:pt idx="155">
                  <c:v>14357.99823216511</c:v>
                </c:pt>
                <c:pt idx="156">
                  <c:v>14335.432705922178</c:v>
                </c:pt>
                <c:pt idx="157">
                  <c:v>14313.188429767819</c:v>
                </c:pt>
                <c:pt idx="158">
                  <c:v>14287.561669406819</c:v>
                </c:pt>
                <c:pt idx="159">
                  <c:v>14262.323121828636</c:v>
                </c:pt>
                <c:pt idx="160">
                  <c:v>14237.095893870179</c:v>
                </c:pt>
                <c:pt idx="161">
                  <c:v>14211.171253853849</c:v>
                </c:pt>
                <c:pt idx="162">
                  <c:v>14185.108568743879</c:v>
                </c:pt>
                <c:pt idx="163">
                  <c:v>14158.02240777977</c:v>
                </c:pt>
                <c:pt idx="164">
                  <c:v>14130.330005252259</c:v>
                </c:pt>
                <c:pt idx="165">
                  <c:v>14103.432448110259</c:v>
                </c:pt>
                <c:pt idx="166">
                  <c:v>14076.006285577792</c:v>
                </c:pt>
                <c:pt idx="167">
                  <c:v>14048.580022641643</c:v>
                </c:pt>
                <c:pt idx="168">
                  <c:v>14018.472780255021</c:v>
                </c:pt>
                <c:pt idx="169">
                  <c:v>13993.131581035042</c:v>
                </c:pt>
                <c:pt idx="170">
                  <c:v>13963.492493885011</c:v>
                </c:pt>
                <c:pt idx="171">
                  <c:v>13938.185629581803</c:v>
                </c:pt>
                <c:pt idx="172">
                  <c:v>13909.145316242726</c:v>
                </c:pt>
                <c:pt idx="173">
                  <c:v>13880.200342679758</c:v>
                </c:pt>
                <c:pt idx="174">
                  <c:v>13855.916304404951</c:v>
                </c:pt>
                <c:pt idx="175">
                  <c:v>13827.740262481064</c:v>
                </c:pt>
                <c:pt idx="176">
                  <c:v>13801.840793373181</c:v>
                </c:pt>
                <c:pt idx="177">
                  <c:v>13772.833757183123</c:v>
                </c:pt>
                <c:pt idx="178">
                  <c:v>13747.471049891155</c:v>
                </c:pt>
                <c:pt idx="179">
                  <c:v>13721.486466946375</c:v>
                </c:pt>
                <c:pt idx="180">
                  <c:v>13693.623838416177</c:v>
                </c:pt>
                <c:pt idx="181">
                  <c:v>13667.924996429248</c:v>
                </c:pt>
                <c:pt idx="182">
                  <c:v>13640.057820585258</c:v>
                </c:pt>
                <c:pt idx="183">
                  <c:v>13615.746926095389</c:v>
                </c:pt>
                <c:pt idx="184">
                  <c:v>13587.819991779352</c:v>
                </c:pt>
                <c:pt idx="185">
                  <c:v>13560.407592662792</c:v>
                </c:pt>
                <c:pt idx="186">
                  <c:v>13534.536710550707</c:v>
                </c:pt>
                <c:pt idx="187">
                  <c:v>13508.916500694744</c:v>
                </c:pt>
                <c:pt idx="188">
                  <c:v>13481.502855142809</c:v>
                </c:pt>
                <c:pt idx="189">
                  <c:v>13456.29351283138</c:v>
                </c:pt>
                <c:pt idx="190">
                  <c:v>13433.44947800909</c:v>
                </c:pt>
                <c:pt idx="191">
                  <c:v>13410.216672625642</c:v>
                </c:pt>
                <c:pt idx="192">
                  <c:v>13386.463437913209</c:v>
                </c:pt>
                <c:pt idx="193">
                  <c:v>13361.558563029474</c:v>
                </c:pt>
                <c:pt idx="194">
                  <c:v>13340.110005912009</c:v>
                </c:pt>
                <c:pt idx="195">
                  <c:v>13319.341583785392</c:v>
                </c:pt>
                <c:pt idx="196">
                  <c:v>13299.576086730554</c:v>
                </c:pt>
                <c:pt idx="197">
                  <c:v>13276.789430047362</c:v>
                </c:pt>
                <c:pt idx="198">
                  <c:v>13259.992307171666</c:v>
                </c:pt>
                <c:pt idx="199">
                  <c:v>13243.375119644179</c:v>
                </c:pt>
                <c:pt idx="200">
                  <c:v>13226.192868523873</c:v>
                </c:pt>
                <c:pt idx="201">
                  <c:v>13211.226828791272</c:v>
                </c:pt>
                <c:pt idx="202">
                  <c:v>13199.88132053898</c:v>
                </c:pt>
                <c:pt idx="203">
                  <c:v>13187.004164423177</c:v>
                </c:pt>
                <c:pt idx="204">
                  <c:v>13173.651759639273</c:v>
                </c:pt>
                <c:pt idx="205">
                  <c:v>13162.973588793413</c:v>
                </c:pt>
                <c:pt idx="206">
                  <c:v>13153.271975733256</c:v>
                </c:pt>
                <c:pt idx="207">
                  <c:v>13145.692657462256</c:v>
                </c:pt>
                <c:pt idx="208">
                  <c:v>13138.157168949725</c:v>
                </c:pt>
                <c:pt idx="209">
                  <c:v>13133.280812812143</c:v>
                </c:pt>
                <c:pt idx="210">
                  <c:v>13126.915429680796</c:v>
                </c:pt>
                <c:pt idx="211">
                  <c:v>13118.902191505122</c:v>
                </c:pt>
                <c:pt idx="212">
                  <c:v>13115.145412726704</c:v>
                </c:pt>
                <c:pt idx="213">
                  <c:v>13112.173134210097</c:v>
                </c:pt>
                <c:pt idx="214">
                  <c:v>13107.701900076449</c:v>
                </c:pt>
                <c:pt idx="215">
                  <c:v>13104.637100240307</c:v>
                </c:pt>
                <c:pt idx="216">
                  <c:v>13098.238200038542</c:v>
                </c:pt>
                <c:pt idx="217">
                  <c:v>13096.397177031589</c:v>
                </c:pt>
                <c:pt idx="218">
                  <c:v>13094.33019373929</c:v>
                </c:pt>
                <c:pt idx="219">
                  <c:v>13091.31268234764</c:v>
                </c:pt>
                <c:pt idx="220">
                  <c:v>13089.816141882691</c:v>
                </c:pt>
                <c:pt idx="221">
                  <c:v>13085.724440359641</c:v>
                </c:pt>
                <c:pt idx="222">
                  <c:v>13085.165789111041</c:v>
                </c:pt>
                <c:pt idx="223">
                  <c:v>13081.93601801468</c:v>
                </c:pt>
                <c:pt idx="224">
                  <c:v>13081.267028886517</c:v>
                </c:pt>
                <c:pt idx="225">
                  <c:v>13082.445512559116</c:v>
                </c:pt>
                <c:pt idx="226">
                  <c:v>13080.862995264828</c:v>
                </c:pt>
                <c:pt idx="227">
                  <c:v>13082.689740911543</c:v>
                </c:pt>
                <c:pt idx="228">
                  <c:v>13084.40288243893</c:v>
                </c:pt>
                <c:pt idx="229">
                  <c:v>13087.135802631939</c:v>
                </c:pt>
                <c:pt idx="230">
                  <c:v>13087.76637498494</c:v>
                </c:pt>
                <c:pt idx="231">
                  <c:v>13091.085193045694</c:v>
                </c:pt>
                <c:pt idx="232">
                  <c:v>13093.125138126092</c:v>
                </c:pt>
                <c:pt idx="233">
                  <c:v>13095.459830179932</c:v>
                </c:pt>
                <c:pt idx="234">
                  <c:v>13096.84593445949</c:v>
                </c:pt>
                <c:pt idx="235">
                  <c:v>13102.914420845136</c:v>
                </c:pt>
                <c:pt idx="236">
                  <c:v>13103.596271830193</c:v>
                </c:pt>
                <c:pt idx="237">
                  <c:v>13107.412196224737</c:v>
                </c:pt>
                <c:pt idx="238">
                  <c:v>13109.562196914057</c:v>
                </c:pt>
                <c:pt idx="239">
                  <c:v>13115.862307364549</c:v>
                </c:pt>
                <c:pt idx="240">
                  <c:v>13117.138727886957</c:v>
                </c:pt>
              </c:numCache>
            </c:numRef>
          </c:yVal>
          <c:smooth val="0"/>
          <c:extLst>
            <c:ext xmlns:c16="http://schemas.microsoft.com/office/drawing/2014/chart" uri="{C3380CC4-5D6E-409C-BE32-E72D297353CC}">
              <c16:uniqueId val="{00000000-7665-4C24-BF42-805E146800B9}"/>
            </c:ext>
          </c:extLst>
        </c:ser>
        <c:ser>
          <c:idx val="1"/>
          <c:order val="1"/>
          <c:tx>
            <c:v>Mean boundary</c:v>
          </c:tx>
          <c:spPr>
            <a:ln w="22000">
              <a:solidFill>
                <a:srgbClr val="7048B8"/>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Subsurface_Scenario_Data!$B$2:$B$242</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1-7665-4C24-BF42-805E146800B9}"/>
            </c:ext>
          </c:extLst>
        </c:ser>
        <c:ser>
          <c:idx val="2"/>
          <c:order val="2"/>
          <c:tx>
            <c:v>Upper bound</c:v>
          </c:tx>
          <c:spPr>
            <a:ln w="22000">
              <a:solidFill>
                <a:srgbClr val="C43A3A"/>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Subsurface_Scenario_Data!$D$2:$D$242</c:f>
              <c:numCache>
                <c:formatCode>General</c:formatCode>
                <c:ptCount val="241"/>
                <c:pt idx="0">
                  <c:v>16038.343476908214</c:v>
                </c:pt>
                <c:pt idx="1">
                  <c:v>16048.766391190573</c:v>
                </c:pt>
                <c:pt idx="2">
                  <c:v>16057.33823698979</c:v>
                </c:pt>
                <c:pt idx="3">
                  <c:v>16062.907070815563</c:v>
                </c:pt>
                <c:pt idx="4">
                  <c:v>16073.125618242737</c:v>
                </c:pt>
                <c:pt idx="5">
                  <c:v>16078.335140524403</c:v>
                </c:pt>
                <c:pt idx="6">
                  <c:v>16085.997030216358</c:v>
                </c:pt>
                <c:pt idx="7">
                  <c:v>16092.499316370247</c:v>
                </c:pt>
                <c:pt idx="8">
                  <c:v>16095.55464426455</c:v>
                </c:pt>
                <c:pt idx="9">
                  <c:v>16102.692839300287</c:v>
                </c:pt>
                <c:pt idx="10">
                  <c:v>16106.307966267494</c:v>
                </c:pt>
                <c:pt idx="11">
                  <c:v>16109.094149774912</c:v>
                </c:pt>
                <c:pt idx="12">
                  <c:v>16113.717465260237</c:v>
                </c:pt>
                <c:pt idx="13">
                  <c:v>16115.557901101563</c:v>
                </c:pt>
                <c:pt idx="14">
                  <c:v>16118.824704591409</c:v>
                </c:pt>
                <c:pt idx="15">
                  <c:v>16121.223871899127</c:v>
                </c:pt>
                <c:pt idx="16">
                  <c:v>16122.536888707544</c:v>
                </c:pt>
                <c:pt idx="17">
                  <c:v>16122.370048519269</c:v>
                </c:pt>
                <c:pt idx="18">
                  <c:v>16125.906076815863</c:v>
                </c:pt>
                <c:pt idx="19">
                  <c:v>16128.005233442198</c:v>
                </c:pt>
                <c:pt idx="20">
                  <c:v>16126.012286300016</c:v>
                </c:pt>
                <c:pt idx="21">
                  <c:v>16129.040649051145</c:v>
                </c:pt>
                <c:pt idx="22">
                  <c:v>16128.219878746677</c:v>
                </c:pt>
                <c:pt idx="23">
                  <c:v>16128.865542990872</c:v>
                </c:pt>
                <c:pt idx="24">
                  <c:v>16130.343646203193</c:v>
                </c:pt>
                <c:pt idx="25">
                  <c:v>16128.543151160482</c:v>
                </c:pt>
                <c:pt idx="26">
                  <c:v>16128.933341310511</c:v>
                </c:pt>
                <c:pt idx="27">
                  <c:v>16127.807692098573</c:v>
                </c:pt>
                <c:pt idx="28">
                  <c:v>16128.668588877104</c:v>
                </c:pt>
                <c:pt idx="29">
                  <c:v>16128.019588067556</c:v>
                </c:pt>
                <c:pt idx="30">
                  <c:v>16129.081269338794</c:v>
                </c:pt>
                <c:pt idx="31">
                  <c:v>16127.974984883302</c:v>
                </c:pt>
                <c:pt idx="32">
                  <c:v>16125.911504274929</c:v>
                </c:pt>
                <c:pt idx="33">
                  <c:v>16121.986694083294</c:v>
                </c:pt>
                <c:pt idx="34">
                  <c:v>16123.693198890638</c:v>
                </c:pt>
                <c:pt idx="35">
                  <c:v>16120.914775457457</c:v>
                </c:pt>
                <c:pt idx="36">
                  <c:v>16119.806259259829</c:v>
                </c:pt>
                <c:pt idx="37">
                  <c:v>16117.022284654109</c:v>
                </c:pt>
                <c:pt idx="38">
                  <c:v>16113.623267805096</c:v>
                </c:pt>
                <c:pt idx="39">
                  <c:v>16108.974517462988</c:v>
                </c:pt>
                <c:pt idx="40">
                  <c:v>16105.554950848265</c:v>
                </c:pt>
                <c:pt idx="41">
                  <c:v>16102.691093675494</c:v>
                </c:pt>
                <c:pt idx="42">
                  <c:v>16102.748972256197</c:v>
                </c:pt>
                <c:pt idx="43">
                  <c:v>16096.904162667912</c:v>
                </c:pt>
                <c:pt idx="44">
                  <c:v>16096.295801636577</c:v>
                </c:pt>
                <c:pt idx="45">
                  <c:v>16089.655674119578</c:v>
                </c:pt>
                <c:pt idx="46">
                  <c:v>16088.806016104165</c:v>
                </c:pt>
                <c:pt idx="47">
                  <c:v>16083.853391519191</c:v>
                </c:pt>
                <c:pt idx="48">
                  <c:v>16082.102622173152</c:v>
                </c:pt>
                <c:pt idx="49">
                  <c:v>16080.284946826378</c:v>
                </c:pt>
                <c:pt idx="50">
                  <c:v>16081.129325609469</c:v>
                </c:pt>
                <c:pt idx="51">
                  <c:v>16076.857632008796</c:v>
                </c:pt>
                <c:pt idx="52">
                  <c:v>16077.628747923234</c:v>
                </c:pt>
                <c:pt idx="53">
                  <c:v>16078.092560023488</c:v>
                </c:pt>
                <c:pt idx="54">
                  <c:v>16078.466646582594</c:v>
                </c:pt>
                <c:pt idx="55">
                  <c:v>16080.08569704939</c:v>
                </c:pt>
                <c:pt idx="56">
                  <c:v>16084.952070760557</c:v>
                </c:pt>
                <c:pt idx="57">
                  <c:v>16087.057234351585</c:v>
                </c:pt>
                <c:pt idx="58">
                  <c:v>16092.076103026691</c:v>
                </c:pt>
                <c:pt idx="59">
                  <c:v>16099.553282966977</c:v>
                </c:pt>
                <c:pt idx="60">
                  <c:v>16105.92076461545</c:v>
                </c:pt>
                <c:pt idx="61">
                  <c:v>16114.273949137119</c:v>
                </c:pt>
                <c:pt idx="62">
                  <c:v>16121.073466646045</c:v>
                </c:pt>
                <c:pt idx="63">
                  <c:v>16132.442623515901</c:v>
                </c:pt>
                <c:pt idx="64">
                  <c:v>16141.123866777607</c:v>
                </c:pt>
                <c:pt idx="65">
                  <c:v>16153.311244711216</c:v>
                </c:pt>
                <c:pt idx="66">
                  <c:v>16165.036556690675</c:v>
                </c:pt>
                <c:pt idx="67">
                  <c:v>16176.338809952045</c:v>
                </c:pt>
                <c:pt idx="68">
                  <c:v>16191.249740602572</c:v>
                </c:pt>
                <c:pt idx="69">
                  <c:v>16204.337559090227</c:v>
                </c:pt>
                <c:pt idx="70">
                  <c:v>16219.836152269878</c:v>
                </c:pt>
                <c:pt idx="71">
                  <c:v>16232.271053468079</c:v>
                </c:pt>
                <c:pt idx="72">
                  <c:v>16248.893722340972</c:v>
                </c:pt>
                <c:pt idx="73">
                  <c:v>16264.46311292151</c:v>
                </c:pt>
                <c:pt idx="74">
                  <c:v>16280.793521743946</c:v>
                </c:pt>
                <c:pt idx="75">
                  <c:v>16297.70065261399</c:v>
                </c:pt>
                <c:pt idx="76">
                  <c:v>16312.199905041163</c:v>
                </c:pt>
                <c:pt idx="77">
                  <c:v>16329.435200520922</c:v>
                </c:pt>
                <c:pt idx="78">
                  <c:v>16351.674432510064</c:v>
                </c:pt>
                <c:pt idx="79">
                  <c:v>16369.049486702863</c:v>
                </c:pt>
                <c:pt idx="80">
                  <c:v>16391.436062206307</c:v>
                </c:pt>
                <c:pt idx="81">
                  <c:v>16410.194563445199</c:v>
                </c:pt>
                <c:pt idx="82">
                  <c:v>16432.184635308324</c:v>
                </c:pt>
                <c:pt idx="83">
                  <c:v>16456.623219107314</c:v>
                </c:pt>
                <c:pt idx="84">
                  <c:v>16477.225154246553</c:v>
                </c:pt>
                <c:pt idx="85">
                  <c:v>16501.397890806351</c:v>
                </c:pt>
                <c:pt idx="86">
                  <c:v>16529.035468184993</c:v>
                </c:pt>
                <c:pt idx="87">
                  <c:v>16554.195422736149</c:v>
                </c:pt>
                <c:pt idx="88">
                  <c:v>16576.995599774113</c:v>
                </c:pt>
                <c:pt idx="89">
                  <c:v>16605.051448537502</c:v>
                </c:pt>
                <c:pt idx="90">
                  <c:v>16630.788658348822</c:v>
                </c:pt>
                <c:pt idx="91">
                  <c:v>16657.295315059797</c:v>
                </c:pt>
                <c:pt idx="92">
                  <c:v>16685.969392963387</c:v>
                </c:pt>
                <c:pt idx="93">
                  <c:v>16714.640299238323</c:v>
                </c:pt>
                <c:pt idx="94">
                  <c:v>16741.286697126136</c:v>
                </c:pt>
                <c:pt idx="95">
                  <c:v>16767.885369240816</c:v>
                </c:pt>
                <c:pt idx="96">
                  <c:v>16798.413678377055</c:v>
                </c:pt>
                <c:pt idx="97">
                  <c:v>16824.614103451207</c:v>
                </c:pt>
                <c:pt idx="98">
                  <c:v>16853.311864414831</c:v>
                </c:pt>
                <c:pt idx="99">
                  <c:v>16881.489084576646</c:v>
                </c:pt>
                <c:pt idx="100">
                  <c:v>16910.508745213119</c:v>
                </c:pt>
                <c:pt idx="101">
                  <c:v>16939.79021897657</c:v>
                </c:pt>
                <c:pt idx="102">
                  <c:v>16967.420577548044</c:v>
                </c:pt>
                <c:pt idx="103">
                  <c:v>16999.091325220383</c:v>
                </c:pt>
                <c:pt idx="104">
                  <c:v>17025.64240190194</c:v>
                </c:pt>
                <c:pt idx="105">
                  <c:v>17054.793139416372</c:v>
                </c:pt>
                <c:pt idx="106">
                  <c:v>17086.69843418237</c:v>
                </c:pt>
                <c:pt idx="107">
                  <c:v>17112.620101689696</c:v>
                </c:pt>
                <c:pt idx="108">
                  <c:v>17141.059100480645</c:v>
                </c:pt>
                <c:pt idx="109">
                  <c:v>17169.384780230532</c:v>
                </c:pt>
                <c:pt idx="110">
                  <c:v>17197.234366267417</c:v>
                </c:pt>
                <c:pt idx="111">
                  <c:v>17223.473778049673</c:v>
                </c:pt>
                <c:pt idx="112">
                  <c:v>17248.287353885484</c:v>
                </c:pt>
                <c:pt idx="113">
                  <c:v>17275.781421619809</c:v>
                </c:pt>
                <c:pt idx="114">
                  <c:v>17297.512523197045</c:v>
                </c:pt>
                <c:pt idx="115">
                  <c:v>17320.51895373562</c:v>
                </c:pt>
                <c:pt idx="116">
                  <c:v>17340.763766829245</c:v>
                </c:pt>
                <c:pt idx="117">
                  <c:v>17362.974345451359</c:v>
                </c:pt>
                <c:pt idx="118">
                  <c:v>17382.259787427232</c:v>
                </c:pt>
                <c:pt idx="119">
                  <c:v>17397.379848026416</c:v>
                </c:pt>
                <c:pt idx="120">
                  <c:v>17415.34978072191</c:v>
                </c:pt>
                <c:pt idx="121">
                  <c:v>17432.899548678193</c:v>
                </c:pt>
                <c:pt idx="122">
                  <c:v>17447.691490823738</c:v>
                </c:pt>
                <c:pt idx="123">
                  <c:v>17460.826835798129</c:v>
                </c:pt>
                <c:pt idx="124">
                  <c:v>17473.127659706995</c:v>
                </c:pt>
                <c:pt idx="125">
                  <c:v>17484.674832252706</c:v>
                </c:pt>
                <c:pt idx="126">
                  <c:v>17499.039471084721</c:v>
                </c:pt>
                <c:pt idx="127">
                  <c:v>17506.807001469824</c:v>
                </c:pt>
                <c:pt idx="128">
                  <c:v>17517.23599184729</c:v>
                </c:pt>
                <c:pt idx="129">
                  <c:v>17525.329990466242</c:v>
                </c:pt>
                <c:pt idx="130">
                  <c:v>17535.975154282107</c:v>
                </c:pt>
                <c:pt idx="131">
                  <c:v>17543.928899152816</c:v>
                </c:pt>
                <c:pt idx="132">
                  <c:v>17550.168296224889</c:v>
                </c:pt>
                <c:pt idx="133">
                  <c:v>17555.648842831961</c:v>
                </c:pt>
                <c:pt idx="134">
                  <c:v>17557.186598182139</c:v>
                </c:pt>
                <c:pt idx="135">
                  <c:v>17563.197058525911</c:v>
                </c:pt>
                <c:pt idx="136">
                  <c:v>17564.496639991332</c:v>
                </c:pt>
                <c:pt idx="137">
                  <c:v>17566.128989193123</c:v>
                </c:pt>
                <c:pt idx="138">
                  <c:v>17563.809243256452</c:v>
                </c:pt>
                <c:pt idx="139">
                  <c:v>17560.875739012859</c:v>
                </c:pt>
                <c:pt idx="140">
                  <c:v>17559.653002376923</c:v>
                </c:pt>
                <c:pt idx="141">
                  <c:v>17556.097371463013</c:v>
                </c:pt>
                <c:pt idx="142">
                  <c:v>17548.056445742717</c:v>
                </c:pt>
                <c:pt idx="143">
                  <c:v>17541.24963023539</c:v>
                </c:pt>
                <c:pt idx="144">
                  <c:v>17533.398823391759</c:v>
                </c:pt>
                <c:pt idx="145">
                  <c:v>17521.161227495551</c:v>
                </c:pt>
                <c:pt idx="146">
                  <c:v>17510.081996804991</c:v>
                </c:pt>
                <c:pt idx="147">
                  <c:v>17499.920769914777</c:v>
                </c:pt>
                <c:pt idx="148">
                  <c:v>17485.326614254289</c:v>
                </c:pt>
                <c:pt idx="149">
                  <c:v>17469.739281077251</c:v>
                </c:pt>
                <c:pt idx="150">
                  <c:v>17455.784004300433</c:v>
                </c:pt>
                <c:pt idx="151">
                  <c:v>17439.048750669783</c:v>
                </c:pt>
                <c:pt idx="152">
                  <c:v>17420.135353699006</c:v>
                </c:pt>
                <c:pt idx="153">
                  <c:v>17400.088700233617</c:v>
                </c:pt>
                <c:pt idx="154">
                  <c:v>17380.399991454986</c:v>
                </c:pt>
                <c:pt idx="155">
                  <c:v>17357.998232165111</c:v>
                </c:pt>
                <c:pt idx="156">
                  <c:v>17335.432705922176</c:v>
                </c:pt>
                <c:pt idx="157">
                  <c:v>17313.188429767819</c:v>
                </c:pt>
                <c:pt idx="158">
                  <c:v>17287.561669406819</c:v>
                </c:pt>
                <c:pt idx="159">
                  <c:v>17262.323121828638</c:v>
                </c:pt>
                <c:pt idx="160">
                  <c:v>17237.095893870181</c:v>
                </c:pt>
                <c:pt idx="161">
                  <c:v>17211.171253853849</c:v>
                </c:pt>
                <c:pt idx="162">
                  <c:v>17185.108568743879</c:v>
                </c:pt>
                <c:pt idx="163">
                  <c:v>17158.022407779768</c:v>
                </c:pt>
                <c:pt idx="164">
                  <c:v>17130.330005252261</c:v>
                </c:pt>
                <c:pt idx="165">
                  <c:v>17103.432448110259</c:v>
                </c:pt>
                <c:pt idx="166">
                  <c:v>17076.006285577794</c:v>
                </c:pt>
                <c:pt idx="167">
                  <c:v>17048.580022641643</c:v>
                </c:pt>
                <c:pt idx="168">
                  <c:v>17018.472780255019</c:v>
                </c:pt>
                <c:pt idx="169">
                  <c:v>16993.131581035042</c:v>
                </c:pt>
                <c:pt idx="170">
                  <c:v>16963.492493885009</c:v>
                </c:pt>
                <c:pt idx="171">
                  <c:v>16938.185629581803</c:v>
                </c:pt>
                <c:pt idx="172">
                  <c:v>16909.145316242728</c:v>
                </c:pt>
                <c:pt idx="173">
                  <c:v>16880.20034267976</c:v>
                </c:pt>
                <c:pt idx="174">
                  <c:v>16855.916304404949</c:v>
                </c:pt>
                <c:pt idx="175">
                  <c:v>16827.740262481064</c:v>
                </c:pt>
                <c:pt idx="176">
                  <c:v>16801.84079337318</c:v>
                </c:pt>
                <c:pt idx="177">
                  <c:v>16772.833757183122</c:v>
                </c:pt>
                <c:pt idx="178">
                  <c:v>16747.471049891155</c:v>
                </c:pt>
                <c:pt idx="179">
                  <c:v>16721.486466946375</c:v>
                </c:pt>
                <c:pt idx="180">
                  <c:v>16693.623838416177</c:v>
                </c:pt>
                <c:pt idx="181">
                  <c:v>16667.924996429247</c:v>
                </c:pt>
                <c:pt idx="182">
                  <c:v>16640.057820585258</c:v>
                </c:pt>
                <c:pt idx="183">
                  <c:v>16615.746926095388</c:v>
                </c:pt>
                <c:pt idx="184">
                  <c:v>16587.819991779354</c:v>
                </c:pt>
                <c:pt idx="185">
                  <c:v>16560.407592662792</c:v>
                </c:pt>
                <c:pt idx="186">
                  <c:v>16534.536710550707</c:v>
                </c:pt>
                <c:pt idx="187">
                  <c:v>16508.916500694744</c:v>
                </c:pt>
                <c:pt idx="188">
                  <c:v>16481.502855142811</c:v>
                </c:pt>
                <c:pt idx="189">
                  <c:v>16456.29351283138</c:v>
                </c:pt>
                <c:pt idx="190">
                  <c:v>16433.44947800909</c:v>
                </c:pt>
                <c:pt idx="191">
                  <c:v>16410.21667262564</c:v>
                </c:pt>
                <c:pt idx="192">
                  <c:v>16386.463437913211</c:v>
                </c:pt>
                <c:pt idx="193">
                  <c:v>16361.558563029474</c:v>
                </c:pt>
                <c:pt idx="194">
                  <c:v>16340.110005912009</c:v>
                </c:pt>
                <c:pt idx="195">
                  <c:v>16319.341583785392</c:v>
                </c:pt>
                <c:pt idx="196">
                  <c:v>16299.576086730554</c:v>
                </c:pt>
                <c:pt idx="197">
                  <c:v>16276.789430047362</c:v>
                </c:pt>
                <c:pt idx="198">
                  <c:v>16259.992307171666</c:v>
                </c:pt>
                <c:pt idx="199">
                  <c:v>16243.375119644179</c:v>
                </c:pt>
                <c:pt idx="200">
                  <c:v>16226.192868523873</c:v>
                </c:pt>
                <c:pt idx="201">
                  <c:v>16211.226828791272</c:v>
                </c:pt>
                <c:pt idx="202">
                  <c:v>16199.88132053898</c:v>
                </c:pt>
                <c:pt idx="203">
                  <c:v>16187.004164423177</c:v>
                </c:pt>
                <c:pt idx="204">
                  <c:v>16173.651759639273</c:v>
                </c:pt>
                <c:pt idx="205">
                  <c:v>16162.973588793413</c:v>
                </c:pt>
                <c:pt idx="206">
                  <c:v>16153.271975733256</c:v>
                </c:pt>
                <c:pt idx="207">
                  <c:v>16145.692657462256</c:v>
                </c:pt>
                <c:pt idx="208">
                  <c:v>16138.157168949725</c:v>
                </c:pt>
                <c:pt idx="209">
                  <c:v>16133.280812812143</c:v>
                </c:pt>
                <c:pt idx="210">
                  <c:v>16126.915429680796</c:v>
                </c:pt>
                <c:pt idx="211">
                  <c:v>16118.902191505122</c:v>
                </c:pt>
                <c:pt idx="212">
                  <c:v>16115.145412726704</c:v>
                </c:pt>
                <c:pt idx="213">
                  <c:v>16112.173134210097</c:v>
                </c:pt>
                <c:pt idx="214">
                  <c:v>16107.701900076449</c:v>
                </c:pt>
                <c:pt idx="215">
                  <c:v>16104.637100240307</c:v>
                </c:pt>
                <c:pt idx="216">
                  <c:v>16098.238200038542</c:v>
                </c:pt>
                <c:pt idx="217">
                  <c:v>16096.397177031589</c:v>
                </c:pt>
                <c:pt idx="218">
                  <c:v>16094.33019373929</c:v>
                </c:pt>
                <c:pt idx="219">
                  <c:v>16091.31268234764</c:v>
                </c:pt>
                <c:pt idx="220">
                  <c:v>16089.816141882691</c:v>
                </c:pt>
                <c:pt idx="221">
                  <c:v>16085.724440359641</c:v>
                </c:pt>
                <c:pt idx="222">
                  <c:v>16085.165789111041</c:v>
                </c:pt>
                <c:pt idx="223">
                  <c:v>16081.93601801468</c:v>
                </c:pt>
                <c:pt idx="224">
                  <c:v>16081.267028886517</c:v>
                </c:pt>
                <c:pt idx="225">
                  <c:v>16082.445512559116</c:v>
                </c:pt>
                <c:pt idx="226">
                  <c:v>16080.862995264828</c:v>
                </c:pt>
                <c:pt idx="227">
                  <c:v>16082.689740911543</c:v>
                </c:pt>
                <c:pt idx="228">
                  <c:v>16084.40288243893</c:v>
                </c:pt>
                <c:pt idx="229">
                  <c:v>16087.135802631939</c:v>
                </c:pt>
                <c:pt idx="230">
                  <c:v>16087.76637498494</c:v>
                </c:pt>
                <c:pt idx="231">
                  <c:v>16091.085193045694</c:v>
                </c:pt>
                <c:pt idx="232">
                  <c:v>16093.125138126092</c:v>
                </c:pt>
                <c:pt idx="233">
                  <c:v>16095.459830179932</c:v>
                </c:pt>
                <c:pt idx="234">
                  <c:v>16096.84593445949</c:v>
                </c:pt>
                <c:pt idx="235">
                  <c:v>16102.914420845136</c:v>
                </c:pt>
                <c:pt idx="236">
                  <c:v>16103.596271830193</c:v>
                </c:pt>
                <c:pt idx="237">
                  <c:v>16107.412196224737</c:v>
                </c:pt>
                <c:pt idx="238">
                  <c:v>16109.562196914057</c:v>
                </c:pt>
                <c:pt idx="239">
                  <c:v>16115.862307364549</c:v>
                </c:pt>
                <c:pt idx="240">
                  <c:v>16117.138727886957</c:v>
                </c:pt>
              </c:numCache>
            </c:numRef>
          </c:yVal>
          <c:smooth val="0"/>
          <c:extLst>
            <c:ext xmlns:c16="http://schemas.microsoft.com/office/drawing/2014/chart" uri="{C3380CC4-5D6E-409C-BE32-E72D297353CC}">
              <c16:uniqueId val="{00000002-7665-4C24-BF42-805E146800B9}"/>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title>
          <c:tx>
            <c:rich>
              <a:bodyPr/>
              <a:lstStyle/>
              <a:p>
                <a:pPr>
                  <a:defRPr/>
                </a:pPr>
                <a:r>
                  <a:t>Along-track position x (km)</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Depth to possible boundary (m)</a:t>
                </a:r>
              </a:p>
            </c:rich>
          </c:tx>
          <c:overlay val="1"/>
        </c:title>
        <c:numFmt formatCode="General" sourceLinked="1"/>
        <c:majorTickMark val="none"/>
        <c:minorTickMark val="none"/>
        <c:tickLblPos val="nextTo"/>
        <c:crossAx val="10"/>
        <c:crosses val="min"/>
        <c:crossBetween val="midCat"/>
      </c:valAx>
    </c:plotArea>
    <c:legend>
      <c:legendPos val="b"/>
      <c:overlay val="1"/>
      <c:txPr>
        <a:bodyPr/>
        <a:lstStyle/>
        <a:p>
          <a:pPr>
            <a:defRPr sz="800"/>
          </a:pPr>
          <a:endParaRPr lang="en-US"/>
        </a:p>
      </c:txPr>
    </c:legend>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Ocean Model vs No-Ocean Control</a:t>
            </a:r>
          </a:p>
        </c:rich>
      </c:tx>
      <c:overlay val="1"/>
    </c:title>
    <c:autoTitleDeleted val="0"/>
    <c:plotArea>
      <c:layout/>
      <c:scatterChart>
        <c:scatterStyle val="lineMarker"/>
        <c:varyColors val="1"/>
        <c:ser>
          <c:idx val="0"/>
          <c:order val="0"/>
          <c:tx>
            <c:v>Ocean model margin</c:v>
          </c:tx>
          <c:spPr>
            <a:ln w="22000">
              <a:solidFill>
                <a:srgbClr val="7048B8"/>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Subsurface_Scenario_Data!$H$2:$H$242</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0-5E66-42E1-BFDB-E86A66908AE2}"/>
            </c:ext>
          </c:extLst>
        </c:ser>
        <c:ser>
          <c:idx val="1"/>
          <c:order val="1"/>
          <c:tx>
            <c:v>No-ocean control margin</c:v>
          </c:tx>
          <c:spPr>
            <a:ln w="22000">
              <a:solidFill>
                <a:srgbClr val="808080"/>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Subsurface_Scenario_Data!$I$2:$I$242</c:f>
              <c:numCache>
                <c:formatCode>General</c:formatCode>
                <c:ptCount val="241"/>
                <c:pt idx="0">
                  <c:v>-15.867767478235116</c:v>
                </c:pt>
                <c:pt idx="1">
                  <c:v>-16.000000000000004</c:v>
                </c:pt>
                <c:pt idx="2">
                  <c:v>-16.126640116127245</c:v>
                </c:pt>
                <c:pt idx="3">
                  <c:v>-16.246979603717467</c:v>
                </c:pt>
                <c:pt idx="4">
                  <c:v>-16.360345475541838</c:v>
                </c:pt>
                <c:pt idx="5">
                  <c:v>-16.466103743659652</c:v>
                </c:pt>
                <c:pt idx="6">
                  <c:v>-16.563662964936061</c:v>
                </c:pt>
                <c:pt idx="7">
                  <c:v>-16.652477548631989</c:v>
                </c:pt>
                <c:pt idx="8">
                  <c:v>-16.732050807568879</c:v>
                </c:pt>
                <c:pt idx="9">
                  <c:v>-16.801937735804838</c:v>
                </c:pt>
                <c:pt idx="10">
                  <c:v>-16.861747497288409</c:v>
                </c:pt>
                <c:pt idx="11">
                  <c:v>-16.91114561157228</c:v>
                </c:pt>
                <c:pt idx="12">
                  <c:v>-16.949855824363649</c:v>
                </c:pt>
                <c:pt idx="13">
                  <c:v>-16.977661652450259</c:v>
                </c:pt>
                <c:pt idx="14">
                  <c:v>-16.994407594362361</c:v>
                </c:pt>
                <c:pt idx="15">
                  <c:v>-17</c:v>
                </c:pt>
                <c:pt idx="16">
                  <c:v>-16.994407594362361</c:v>
                </c:pt>
                <c:pt idx="17">
                  <c:v>-16.977661652450259</c:v>
                </c:pt>
                <c:pt idx="18">
                  <c:v>-16.949855824363645</c:v>
                </c:pt>
                <c:pt idx="19">
                  <c:v>-16.91114561157228</c:v>
                </c:pt>
                <c:pt idx="20">
                  <c:v>-16.861747497288409</c:v>
                </c:pt>
                <c:pt idx="21">
                  <c:v>-16.801937735804838</c:v>
                </c:pt>
                <c:pt idx="22">
                  <c:v>-16.732050807568875</c:v>
                </c:pt>
                <c:pt idx="23">
                  <c:v>-16.652477548631989</c:v>
                </c:pt>
                <c:pt idx="24">
                  <c:v>-16.563662964936061</c:v>
                </c:pt>
                <c:pt idx="25">
                  <c:v>-16.466103743659652</c:v>
                </c:pt>
                <c:pt idx="26">
                  <c:v>-16.360345475541838</c:v>
                </c:pt>
                <c:pt idx="27">
                  <c:v>-16.246979603717467</c:v>
                </c:pt>
                <c:pt idx="28">
                  <c:v>-16.126640116127241</c:v>
                </c:pt>
                <c:pt idx="29">
                  <c:v>-16</c:v>
                </c:pt>
                <c:pt idx="30">
                  <c:v>-15.867767478235116</c:v>
                </c:pt>
                <c:pt idx="31">
                  <c:v>-15.73068204873279</c:v>
                </c:pt>
                <c:pt idx="32">
                  <c:v>-15.589510348821808</c:v>
                </c:pt>
                <c:pt idx="33">
                  <c:v>-15.445041867912629</c:v>
                </c:pt>
                <c:pt idx="34">
                  <c:v>-15.298084532352348</c:v>
                </c:pt>
                <c:pt idx="35">
                  <c:v>-15.149460187172849</c:v>
                </c:pt>
                <c:pt idx="36">
                  <c:v>-15</c:v>
                </c:pt>
                <c:pt idx="37">
                  <c:v>-14.850539812827153</c:v>
                </c:pt>
                <c:pt idx="38">
                  <c:v>-14.70191546764765</c:v>
                </c:pt>
                <c:pt idx="39">
                  <c:v>-14.554958132087371</c:v>
                </c:pt>
                <c:pt idx="40">
                  <c:v>-14.410489651178191</c:v>
                </c:pt>
                <c:pt idx="41">
                  <c:v>-14.26931795126721</c:v>
                </c:pt>
                <c:pt idx="42">
                  <c:v>-14.132232521764884</c:v>
                </c:pt>
                <c:pt idx="43">
                  <c:v>-14</c:v>
                </c:pt>
                <c:pt idx="44">
                  <c:v>-13.873359883872755</c:v>
                </c:pt>
                <c:pt idx="45">
                  <c:v>-13.753020396282533</c:v>
                </c:pt>
                <c:pt idx="46">
                  <c:v>-13.639654524458162</c:v>
                </c:pt>
                <c:pt idx="47">
                  <c:v>-13.533896256340347</c:v>
                </c:pt>
                <c:pt idx="48">
                  <c:v>-13.436337035063939</c:v>
                </c:pt>
                <c:pt idx="49">
                  <c:v>-13.347522451368011</c:v>
                </c:pt>
                <c:pt idx="50">
                  <c:v>-13.267949192431121</c:v>
                </c:pt>
                <c:pt idx="51">
                  <c:v>-13.198062264195162</c:v>
                </c:pt>
                <c:pt idx="52">
                  <c:v>-13.138252502711591</c:v>
                </c:pt>
                <c:pt idx="53">
                  <c:v>-13.088854388427718</c:v>
                </c:pt>
                <c:pt idx="54">
                  <c:v>-13.050144175636353</c:v>
                </c:pt>
                <c:pt idx="55">
                  <c:v>-13.022338347549743</c:v>
                </c:pt>
                <c:pt idx="56">
                  <c:v>-13.005592405637639</c:v>
                </c:pt>
                <c:pt idx="57">
                  <c:v>-13</c:v>
                </c:pt>
                <c:pt idx="58">
                  <c:v>-13.005592405637639</c:v>
                </c:pt>
                <c:pt idx="59">
                  <c:v>-13.022338347549743</c:v>
                </c:pt>
                <c:pt idx="60">
                  <c:v>-13.050144175636353</c:v>
                </c:pt>
                <c:pt idx="61">
                  <c:v>-13.08885438842772</c:v>
                </c:pt>
                <c:pt idx="62">
                  <c:v>-13.138252502711591</c:v>
                </c:pt>
                <c:pt idx="63">
                  <c:v>-13.198062264195162</c:v>
                </c:pt>
                <c:pt idx="64">
                  <c:v>-13.267949192431123</c:v>
                </c:pt>
                <c:pt idx="65">
                  <c:v>-13.347522451368011</c:v>
                </c:pt>
                <c:pt idx="66">
                  <c:v>-13.436337035063941</c:v>
                </c:pt>
                <c:pt idx="67">
                  <c:v>-13.533896256340347</c:v>
                </c:pt>
                <c:pt idx="68">
                  <c:v>-13.639654524458161</c:v>
                </c:pt>
                <c:pt idx="69">
                  <c:v>-13.753020396282533</c:v>
                </c:pt>
                <c:pt idx="70">
                  <c:v>-13.873359883872755</c:v>
                </c:pt>
                <c:pt idx="71">
                  <c:v>-14</c:v>
                </c:pt>
                <c:pt idx="72">
                  <c:v>-14.132232521764884</c:v>
                </c:pt>
                <c:pt idx="73">
                  <c:v>-14.26931795126721</c:v>
                </c:pt>
                <c:pt idx="74">
                  <c:v>-14.410489651178192</c:v>
                </c:pt>
                <c:pt idx="75">
                  <c:v>-14.554958132087371</c:v>
                </c:pt>
                <c:pt idx="76">
                  <c:v>-14.701915467647652</c:v>
                </c:pt>
                <c:pt idx="77">
                  <c:v>-14.850539812827153</c:v>
                </c:pt>
                <c:pt idx="78">
                  <c:v>-15</c:v>
                </c:pt>
                <c:pt idx="79">
                  <c:v>-15.149460187172849</c:v>
                </c:pt>
                <c:pt idx="80">
                  <c:v>-15.29808453235235</c:v>
                </c:pt>
                <c:pt idx="81">
                  <c:v>-15.445041867912629</c:v>
                </c:pt>
                <c:pt idx="82">
                  <c:v>-15.589510348821809</c:v>
                </c:pt>
                <c:pt idx="83">
                  <c:v>-15.73068204873279</c:v>
                </c:pt>
                <c:pt idx="84">
                  <c:v>-15.867767478235116</c:v>
                </c:pt>
                <c:pt idx="85">
                  <c:v>-16</c:v>
                </c:pt>
                <c:pt idx="86">
                  <c:v>-16.126640116127245</c:v>
                </c:pt>
                <c:pt idx="87">
                  <c:v>-16.246979603717467</c:v>
                </c:pt>
                <c:pt idx="88">
                  <c:v>-16.360345475541838</c:v>
                </c:pt>
                <c:pt idx="89">
                  <c:v>-16.466103743659652</c:v>
                </c:pt>
                <c:pt idx="90">
                  <c:v>-16.563662964936061</c:v>
                </c:pt>
                <c:pt idx="91">
                  <c:v>-16.652477548631989</c:v>
                </c:pt>
                <c:pt idx="92">
                  <c:v>-16.732050807568879</c:v>
                </c:pt>
                <c:pt idx="93">
                  <c:v>-16.801937735804838</c:v>
                </c:pt>
                <c:pt idx="94">
                  <c:v>-16.861747497288409</c:v>
                </c:pt>
                <c:pt idx="95">
                  <c:v>-16.91114561157228</c:v>
                </c:pt>
                <c:pt idx="96">
                  <c:v>-16.949855824363649</c:v>
                </c:pt>
                <c:pt idx="97">
                  <c:v>-16.977661652450259</c:v>
                </c:pt>
                <c:pt idx="98">
                  <c:v>-16.994407594362361</c:v>
                </c:pt>
                <c:pt idx="99">
                  <c:v>-17</c:v>
                </c:pt>
                <c:pt idx="100">
                  <c:v>-16.994407594362361</c:v>
                </c:pt>
                <c:pt idx="101">
                  <c:v>-16.977661652450259</c:v>
                </c:pt>
                <c:pt idx="102">
                  <c:v>-16.949855824363649</c:v>
                </c:pt>
                <c:pt idx="103">
                  <c:v>-16.91114561157228</c:v>
                </c:pt>
                <c:pt idx="104">
                  <c:v>-16.861747497288409</c:v>
                </c:pt>
                <c:pt idx="105">
                  <c:v>-16.801937735804838</c:v>
                </c:pt>
                <c:pt idx="106">
                  <c:v>-16.732050807568879</c:v>
                </c:pt>
                <c:pt idx="107">
                  <c:v>-16.652477548631989</c:v>
                </c:pt>
                <c:pt idx="108">
                  <c:v>-16.563662964936061</c:v>
                </c:pt>
                <c:pt idx="109">
                  <c:v>-16.466103743659652</c:v>
                </c:pt>
                <c:pt idx="110">
                  <c:v>-16.360345475541838</c:v>
                </c:pt>
                <c:pt idx="111">
                  <c:v>-16.246979603717467</c:v>
                </c:pt>
                <c:pt idx="112">
                  <c:v>-16.126640116127245</c:v>
                </c:pt>
                <c:pt idx="113">
                  <c:v>-16</c:v>
                </c:pt>
                <c:pt idx="114">
                  <c:v>-15.867767478235116</c:v>
                </c:pt>
                <c:pt idx="115">
                  <c:v>-15.73068204873279</c:v>
                </c:pt>
                <c:pt idx="116">
                  <c:v>-15.589510348821808</c:v>
                </c:pt>
                <c:pt idx="117">
                  <c:v>-15.445041867912629</c:v>
                </c:pt>
                <c:pt idx="118">
                  <c:v>-15.298084532352348</c:v>
                </c:pt>
                <c:pt idx="119">
                  <c:v>-15.149460187172849</c:v>
                </c:pt>
                <c:pt idx="120">
                  <c:v>-15</c:v>
                </c:pt>
                <c:pt idx="121">
                  <c:v>-14.850539812827151</c:v>
                </c:pt>
                <c:pt idx="122">
                  <c:v>-14.701915467647652</c:v>
                </c:pt>
                <c:pt idx="123">
                  <c:v>-14.554958132087371</c:v>
                </c:pt>
                <c:pt idx="124">
                  <c:v>-14.410489651178192</c:v>
                </c:pt>
                <c:pt idx="125">
                  <c:v>-14.26931795126721</c:v>
                </c:pt>
                <c:pt idx="126">
                  <c:v>-14.132232521764884</c:v>
                </c:pt>
                <c:pt idx="127">
                  <c:v>-14</c:v>
                </c:pt>
                <c:pt idx="128">
                  <c:v>-13.873359883872755</c:v>
                </c:pt>
                <c:pt idx="129">
                  <c:v>-13.753020396282533</c:v>
                </c:pt>
                <c:pt idx="130">
                  <c:v>-13.639654524458161</c:v>
                </c:pt>
                <c:pt idx="131">
                  <c:v>-13.533896256340348</c:v>
                </c:pt>
                <c:pt idx="132">
                  <c:v>-13.436337035063941</c:v>
                </c:pt>
                <c:pt idx="133">
                  <c:v>-13.347522451368011</c:v>
                </c:pt>
                <c:pt idx="134">
                  <c:v>-13.267949192431123</c:v>
                </c:pt>
                <c:pt idx="135">
                  <c:v>-13.198062264195162</c:v>
                </c:pt>
                <c:pt idx="136">
                  <c:v>-13.138252502711591</c:v>
                </c:pt>
                <c:pt idx="137">
                  <c:v>-13.088854388427718</c:v>
                </c:pt>
                <c:pt idx="138">
                  <c:v>-13.050144175636353</c:v>
                </c:pt>
                <c:pt idx="139">
                  <c:v>-13.022338347549743</c:v>
                </c:pt>
                <c:pt idx="140">
                  <c:v>-13.005592405637639</c:v>
                </c:pt>
                <c:pt idx="141">
                  <c:v>-13</c:v>
                </c:pt>
                <c:pt idx="142">
                  <c:v>-13.005592405637639</c:v>
                </c:pt>
                <c:pt idx="143">
                  <c:v>-13.022338347549743</c:v>
                </c:pt>
                <c:pt idx="144">
                  <c:v>-13.050144175636353</c:v>
                </c:pt>
                <c:pt idx="145">
                  <c:v>-13.088854388427718</c:v>
                </c:pt>
                <c:pt idx="146">
                  <c:v>-13.138252502711591</c:v>
                </c:pt>
                <c:pt idx="147">
                  <c:v>-13.198062264195162</c:v>
                </c:pt>
                <c:pt idx="148">
                  <c:v>-13.267949192431123</c:v>
                </c:pt>
                <c:pt idx="149">
                  <c:v>-13.347522451368011</c:v>
                </c:pt>
                <c:pt idx="150">
                  <c:v>-13.436337035063939</c:v>
                </c:pt>
                <c:pt idx="151">
                  <c:v>-13.533896256340347</c:v>
                </c:pt>
                <c:pt idx="152">
                  <c:v>-13.639654524458161</c:v>
                </c:pt>
                <c:pt idx="153">
                  <c:v>-13.753020396282533</c:v>
                </c:pt>
                <c:pt idx="154">
                  <c:v>-13.873359883872757</c:v>
                </c:pt>
                <c:pt idx="155">
                  <c:v>-14</c:v>
                </c:pt>
                <c:pt idx="156">
                  <c:v>-14.132232521764884</c:v>
                </c:pt>
                <c:pt idx="157">
                  <c:v>-14.26931795126721</c:v>
                </c:pt>
                <c:pt idx="158">
                  <c:v>-14.410489651178191</c:v>
                </c:pt>
                <c:pt idx="159">
                  <c:v>-14.554958132087371</c:v>
                </c:pt>
                <c:pt idx="160">
                  <c:v>-14.70191546764765</c:v>
                </c:pt>
                <c:pt idx="161">
                  <c:v>-14.850539812827151</c:v>
                </c:pt>
                <c:pt idx="162">
                  <c:v>-15</c:v>
                </c:pt>
                <c:pt idx="163">
                  <c:v>-15.149460187172847</c:v>
                </c:pt>
                <c:pt idx="164">
                  <c:v>-15.298084532352348</c:v>
                </c:pt>
                <c:pt idx="165">
                  <c:v>-15.445041867912629</c:v>
                </c:pt>
                <c:pt idx="166">
                  <c:v>-15.589510348821808</c:v>
                </c:pt>
                <c:pt idx="167">
                  <c:v>-15.73068204873279</c:v>
                </c:pt>
                <c:pt idx="168">
                  <c:v>-15.867767478235116</c:v>
                </c:pt>
                <c:pt idx="169">
                  <c:v>-16</c:v>
                </c:pt>
                <c:pt idx="170">
                  <c:v>-16.126640116127245</c:v>
                </c:pt>
                <c:pt idx="171">
                  <c:v>-16.246979603717467</c:v>
                </c:pt>
                <c:pt idx="172">
                  <c:v>-16.360345475541838</c:v>
                </c:pt>
                <c:pt idx="173">
                  <c:v>-16.466103743659652</c:v>
                </c:pt>
                <c:pt idx="174">
                  <c:v>-16.563662964936061</c:v>
                </c:pt>
                <c:pt idx="175">
                  <c:v>-16.652477548631989</c:v>
                </c:pt>
                <c:pt idx="176">
                  <c:v>-16.732050807568875</c:v>
                </c:pt>
                <c:pt idx="177">
                  <c:v>-16.801937735804838</c:v>
                </c:pt>
                <c:pt idx="178">
                  <c:v>-16.861747497288409</c:v>
                </c:pt>
                <c:pt idx="179">
                  <c:v>-16.91114561157228</c:v>
                </c:pt>
                <c:pt idx="180">
                  <c:v>-16.949855824363649</c:v>
                </c:pt>
                <c:pt idx="181">
                  <c:v>-16.977661652450259</c:v>
                </c:pt>
                <c:pt idx="182">
                  <c:v>-16.994407594362361</c:v>
                </c:pt>
                <c:pt idx="183">
                  <c:v>-17</c:v>
                </c:pt>
                <c:pt idx="184">
                  <c:v>-16.994407594362361</c:v>
                </c:pt>
                <c:pt idx="185">
                  <c:v>-16.977661652450259</c:v>
                </c:pt>
                <c:pt idx="186">
                  <c:v>-16.949855824363649</c:v>
                </c:pt>
                <c:pt idx="187">
                  <c:v>-16.91114561157228</c:v>
                </c:pt>
                <c:pt idx="188">
                  <c:v>-16.861747497288409</c:v>
                </c:pt>
                <c:pt idx="189">
                  <c:v>-16.801937735804838</c:v>
                </c:pt>
                <c:pt idx="190">
                  <c:v>-16.732050807568879</c:v>
                </c:pt>
                <c:pt idx="191">
                  <c:v>-16.652477548631989</c:v>
                </c:pt>
                <c:pt idx="192">
                  <c:v>-16.563662964936061</c:v>
                </c:pt>
                <c:pt idx="193">
                  <c:v>-16.466103743659655</c:v>
                </c:pt>
                <c:pt idx="194">
                  <c:v>-16.360345475541838</c:v>
                </c:pt>
                <c:pt idx="195">
                  <c:v>-16.246979603717467</c:v>
                </c:pt>
                <c:pt idx="196">
                  <c:v>-16.126640116127245</c:v>
                </c:pt>
                <c:pt idx="197">
                  <c:v>-16</c:v>
                </c:pt>
                <c:pt idx="198">
                  <c:v>-15.867767478235116</c:v>
                </c:pt>
                <c:pt idx="199">
                  <c:v>-15.73068204873279</c:v>
                </c:pt>
                <c:pt idx="200">
                  <c:v>-15.589510348821809</c:v>
                </c:pt>
                <c:pt idx="201">
                  <c:v>-15.445041867912629</c:v>
                </c:pt>
                <c:pt idx="202">
                  <c:v>-15.29808453235235</c:v>
                </c:pt>
                <c:pt idx="203">
                  <c:v>-15.149460187172847</c:v>
                </c:pt>
                <c:pt idx="204">
                  <c:v>-15</c:v>
                </c:pt>
                <c:pt idx="205">
                  <c:v>-14.850539812827151</c:v>
                </c:pt>
                <c:pt idx="206">
                  <c:v>-14.701915467647652</c:v>
                </c:pt>
                <c:pt idx="207">
                  <c:v>-14.554958132087371</c:v>
                </c:pt>
                <c:pt idx="208">
                  <c:v>-14.410489651178192</c:v>
                </c:pt>
                <c:pt idx="209">
                  <c:v>-14.26931795126721</c:v>
                </c:pt>
                <c:pt idx="210">
                  <c:v>-14.132232521764884</c:v>
                </c:pt>
                <c:pt idx="211">
                  <c:v>-14</c:v>
                </c:pt>
                <c:pt idx="212">
                  <c:v>-13.873359883872757</c:v>
                </c:pt>
                <c:pt idx="213">
                  <c:v>-13.753020396282535</c:v>
                </c:pt>
                <c:pt idx="214">
                  <c:v>-13.639654524458161</c:v>
                </c:pt>
                <c:pt idx="215">
                  <c:v>-13.533896256340347</c:v>
                </c:pt>
                <c:pt idx="216">
                  <c:v>-13.436337035063941</c:v>
                </c:pt>
                <c:pt idx="217">
                  <c:v>-13.347522451368011</c:v>
                </c:pt>
                <c:pt idx="218">
                  <c:v>-13.267949192431123</c:v>
                </c:pt>
                <c:pt idx="219">
                  <c:v>-13.198062264195162</c:v>
                </c:pt>
                <c:pt idx="220">
                  <c:v>-13.138252502711591</c:v>
                </c:pt>
                <c:pt idx="221">
                  <c:v>-13.08885438842772</c:v>
                </c:pt>
                <c:pt idx="222">
                  <c:v>-13.050144175636353</c:v>
                </c:pt>
                <c:pt idx="223">
                  <c:v>-13.022338347549743</c:v>
                </c:pt>
                <c:pt idx="224">
                  <c:v>-13.005592405637639</c:v>
                </c:pt>
                <c:pt idx="225">
                  <c:v>-13</c:v>
                </c:pt>
                <c:pt idx="226">
                  <c:v>-13.005592405637639</c:v>
                </c:pt>
                <c:pt idx="227">
                  <c:v>-13.022338347549743</c:v>
                </c:pt>
                <c:pt idx="228">
                  <c:v>-13.050144175636353</c:v>
                </c:pt>
                <c:pt idx="229">
                  <c:v>-13.088854388427718</c:v>
                </c:pt>
                <c:pt idx="230">
                  <c:v>-13.138252502711591</c:v>
                </c:pt>
                <c:pt idx="231">
                  <c:v>-13.198062264195162</c:v>
                </c:pt>
                <c:pt idx="232">
                  <c:v>-13.267949192431121</c:v>
                </c:pt>
                <c:pt idx="233">
                  <c:v>-13.347522451368011</c:v>
                </c:pt>
                <c:pt idx="234">
                  <c:v>-13.436337035063939</c:v>
                </c:pt>
                <c:pt idx="235">
                  <c:v>-13.533896256340348</c:v>
                </c:pt>
                <c:pt idx="236">
                  <c:v>-13.639654524458162</c:v>
                </c:pt>
                <c:pt idx="237">
                  <c:v>-13.753020396282533</c:v>
                </c:pt>
                <c:pt idx="238">
                  <c:v>-13.873359883872755</c:v>
                </c:pt>
                <c:pt idx="239">
                  <c:v>-13.999999999999996</c:v>
                </c:pt>
                <c:pt idx="240">
                  <c:v>-14.132232521764884</c:v>
                </c:pt>
              </c:numCache>
            </c:numRef>
          </c:yVal>
          <c:smooth val="0"/>
          <c:extLst>
            <c:ext xmlns:c16="http://schemas.microsoft.com/office/drawing/2014/chart" uri="{C3380CC4-5D6E-409C-BE32-E72D297353CC}">
              <c16:uniqueId val="{00000001-5E66-42E1-BFDB-E86A66908AE2}"/>
            </c:ext>
          </c:extLst>
        </c:ser>
        <c:ser>
          <c:idx val="2"/>
          <c:order val="2"/>
          <c:tx>
            <c:v>Zero threshold</c:v>
          </c:tx>
          <c:spPr>
            <a:ln w="22000">
              <a:solidFill>
                <a:srgbClr val="C43A3A"/>
              </a:solidFill>
              <a:prstDash val="solid"/>
            </a:ln>
          </c:spPr>
          <c:marker>
            <c:symbol val="none"/>
          </c:marker>
          <c:xVal>
            <c:numRef>
              <c:f>Subsurface_Scenario_Data!$A$2:$A$242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Subsurface_Scenario_Data!$J$2:$J$242</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5E66-42E1-BFDB-E86A66908AE2}"/>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title>
          <c:tx>
            <c:rich>
              <a:bodyPr/>
              <a:lstStyle/>
              <a:p>
                <a:pPr>
                  <a:defRPr/>
                </a:pPr>
                <a:r>
                  <a:t>Along-track position x (km)</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Margin above threshold (dB)</a:t>
                </a:r>
              </a:p>
            </c:rich>
          </c:tx>
          <c:overlay val="1"/>
        </c:title>
        <c:numFmt formatCode="General" sourceLinked="1"/>
        <c:majorTickMark val="none"/>
        <c:minorTickMark val="none"/>
        <c:tickLblPos val="nextTo"/>
        <c:crossAx val="10"/>
        <c:crosses val="min"/>
        <c:crossBetween val="midCat"/>
      </c:valAx>
    </c:plotArea>
    <c:legend>
      <c:legendPos val="b"/>
      <c:overlay val="1"/>
      <c:txPr>
        <a:bodyPr/>
        <a:lstStyle/>
        <a:p>
          <a:pPr>
            <a:defRPr sz="800"/>
          </a:pPr>
          <a:endParaRPr lang="en-US"/>
        </a:p>
      </c:txPr>
    </c:legend>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Radargram-Style Return Timing With Clutter</a:t>
            </a:r>
          </a:p>
        </c:rich>
      </c:tx>
      <c:overlay val="1"/>
    </c:title>
    <c:autoTitleDeleted val="0"/>
    <c:plotArea>
      <c:layout/>
      <c:scatterChart>
        <c:scatterStyle val="lineMarker"/>
        <c:varyColors val="1"/>
        <c:ser>
          <c:idx val="0"/>
          <c:order val="0"/>
          <c:tx>
            <c:v>Surface clutter upper</c:v>
          </c:tx>
          <c:spPr>
            <a:ln w="22000">
              <a:solidFill>
                <a:srgbClr val="808080"/>
              </a:solidFill>
              <a:prstDash val="solid"/>
            </a:ln>
          </c:spPr>
          <c:marker>
            <c:symbol val="none"/>
          </c:marker>
          <c:xVal>
            <c:numRef>
              <c:f>Subsurface_Radargram_Data!$A$2:$A$242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Subsurface_Radargram_Data!$C$2:$C$242</c:f>
              <c:numCache>
                <c:formatCode>General</c:formatCode>
                <c:ptCount val="241"/>
                <c:pt idx="0">
                  <c:v>13.462391868272736</c:v>
                </c:pt>
                <c:pt idx="1">
                  <c:v>13.42658477444273</c:v>
                </c:pt>
                <c:pt idx="2">
                  <c:v>13.379291658827176</c:v>
                </c:pt>
                <c:pt idx="3">
                  <c:v>13.320893297785107</c:v>
                </c:pt>
                <c:pt idx="4">
                  <c:v>13.251859880581954</c:v>
                </c:pt>
                <c:pt idx="5">
                  <c:v>13.172747223702045</c:v>
                </c:pt>
                <c:pt idx="6">
                  <c:v>13.084192295741087</c:v>
                </c:pt>
                <c:pt idx="7">
                  <c:v>12.986908088909569</c:v>
                </c:pt>
                <c:pt idx="8">
                  <c:v>12.881677878438708</c:v>
                </c:pt>
                <c:pt idx="9">
                  <c:v>12.769348916108859</c:v>
                </c:pt>
                <c:pt idx="10">
                  <c:v>12.650825608676337</c:v>
                </c:pt>
                <c:pt idx="11">
                  <c:v>12.527062236122013</c:v>
                </c:pt>
                <c:pt idx="12">
                  <c:v>12.399055268350011</c:v>
                </c:pt>
                <c:pt idx="13">
                  <c:v>12.267835342197955</c:v>
                </c:pt>
                <c:pt idx="14">
                  <c:v>12.134458963355149</c:v>
                </c:pt>
                <c:pt idx="15">
                  <c:v>12</c:v>
                </c:pt>
                <c:pt idx="16">
                  <c:v>11.865541036644849</c:v>
                </c:pt>
                <c:pt idx="17">
                  <c:v>11.732164657802045</c:v>
                </c:pt>
                <c:pt idx="18">
                  <c:v>11.600944731649987</c:v>
                </c:pt>
                <c:pt idx="19">
                  <c:v>11.472937763877985</c:v>
                </c:pt>
                <c:pt idx="20">
                  <c:v>11.349174391323663</c:v>
                </c:pt>
                <c:pt idx="21">
                  <c:v>11.230651083891141</c:v>
                </c:pt>
                <c:pt idx="22">
                  <c:v>11.11832212156129</c:v>
                </c:pt>
                <c:pt idx="23">
                  <c:v>11.013091911090431</c:v>
                </c:pt>
                <c:pt idx="24">
                  <c:v>10.915807704258912</c:v>
                </c:pt>
                <c:pt idx="25">
                  <c:v>10.827252776297955</c:v>
                </c:pt>
                <c:pt idx="26">
                  <c:v>10.748140119418046</c:v>
                </c:pt>
                <c:pt idx="27">
                  <c:v>10.679106702214893</c:v>
                </c:pt>
                <c:pt idx="28">
                  <c:v>10.620708341172824</c:v>
                </c:pt>
                <c:pt idx="29">
                  <c:v>10.57341522555727</c:v>
                </c:pt>
                <c:pt idx="30">
                  <c:v>10.537608131727264</c:v>
                </c:pt>
                <c:pt idx="31">
                  <c:v>10.513575357348097</c:v>
                </c:pt>
                <c:pt idx="32">
                  <c:v>10.501510400188028</c:v>
                </c:pt>
                <c:pt idx="33">
                  <c:v>10.501510400188028</c:v>
                </c:pt>
                <c:pt idx="34">
                  <c:v>10.513575357348097</c:v>
                </c:pt>
                <c:pt idx="35">
                  <c:v>10.537608131727264</c:v>
                </c:pt>
                <c:pt idx="36">
                  <c:v>10.57341522555727</c:v>
                </c:pt>
                <c:pt idx="37">
                  <c:v>10.620708341172824</c:v>
                </c:pt>
                <c:pt idx="38">
                  <c:v>10.679106702214893</c:v>
                </c:pt>
                <c:pt idx="39">
                  <c:v>10.748140119418046</c:v>
                </c:pt>
                <c:pt idx="40">
                  <c:v>10.827252776297955</c:v>
                </c:pt>
                <c:pt idx="41">
                  <c:v>10.915807704258913</c:v>
                </c:pt>
                <c:pt idx="42">
                  <c:v>11.013091911090431</c:v>
                </c:pt>
                <c:pt idx="43">
                  <c:v>11.11832212156129</c:v>
                </c:pt>
                <c:pt idx="44">
                  <c:v>11.230651083891141</c:v>
                </c:pt>
                <c:pt idx="45">
                  <c:v>11.349174391323663</c:v>
                </c:pt>
                <c:pt idx="46">
                  <c:v>11.472937763877987</c:v>
                </c:pt>
                <c:pt idx="47">
                  <c:v>11.600944731649987</c:v>
                </c:pt>
                <c:pt idx="48">
                  <c:v>11.732164657802045</c:v>
                </c:pt>
                <c:pt idx="49">
                  <c:v>11.865541036644849</c:v>
                </c:pt>
                <c:pt idx="50">
                  <c:v>12</c:v>
                </c:pt>
                <c:pt idx="51">
                  <c:v>12.134458963355151</c:v>
                </c:pt>
                <c:pt idx="52">
                  <c:v>12.267835342197955</c:v>
                </c:pt>
                <c:pt idx="53">
                  <c:v>12.399055268350013</c:v>
                </c:pt>
                <c:pt idx="54">
                  <c:v>12.527062236122013</c:v>
                </c:pt>
                <c:pt idx="55">
                  <c:v>12.650825608676337</c:v>
                </c:pt>
                <c:pt idx="56">
                  <c:v>12.769348916108859</c:v>
                </c:pt>
                <c:pt idx="57">
                  <c:v>12.88167787843871</c:v>
                </c:pt>
                <c:pt idx="58">
                  <c:v>12.986908088909569</c:v>
                </c:pt>
                <c:pt idx="59">
                  <c:v>13.084192295741087</c:v>
                </c:pt>
                <c:pt idx="60">
                  <c:v>13.172747223702045</c:v>
                </c:pt>
                <c:pt idx="61">
                  <c:v>13.251859880581954</c:v>
                </c:pt>
                <c:pt idx="62">
                  <c:v>13.320893297785107</c:v>
                </c:pt>
                <c:pt idx="63">
                  <c:v>13.379291658827176</c:v>
                </c:pt>
                <c:pt idx="64">
                  <c:v>13.42658477444273</c:v>
                </c:pt>
                <c:pt idx="65">
                  <c:v>13.462391868272736</c:v>
                </c:pt>
                <c:pt idx="66">
                  <c:v>13.486424642651903</c:v>
                </c:pt>
                <c:pt idx="67">
                  <c:v>13.498489599811972</c:v>
                </c:pt>
                <c:pt idx="68">
                  <c:v>13.498489599811972</c:v>
                </c:pt>
                <c:pt idx="69">
                  <c:v>13.486424642651903</c:v>
                </c:pt>
                <c:pt idx="70">
                  <c:v>13.462391868272736</c:v>
                </c:pt>
                <c:pt idx="71">
                  <c:v>13.42658477444273</c:v>
                </c:pt>
                <c:pt idx="72">
                  <c:v>13.379291658827176</c:v>
                </c:pt>
                <c:pt idx="73">
                  <c:v>13.320893297785107</c:v>
                </c:pt>
                <c:pt idx="74">
                  <c:v>13.251859880581954</c:v>
                </c:pt>
                <c:pt idx="75">
                  <c:v>13.172747223702045</c:v>
                </c:pt>
                <c:pt idx="76">
                  <c:v>13.084192295741087</c:v>
                </c:pt>
                <c:pt idx="77">
                  <c:v>12.986908088909569</c:v>
                </c:pt>
                <c:pt idx="78">
                  <c:v>12.88167787843871</c:v>
                </c:pt>
                <c:pt idx="79">
                  <c:v>12.769348916108859</c:v>
                </c:pt>
                <c:pt idx="80">
                  <c:v>12.650825608676337</c:v>
                </c:pt>
                <c:pt idx="81">
                  <c:v>12.527062236122013</c:v>
                </c:pt>
                <c:pt idx="82">
                  <c:v>12.399055268350013</c:v>
                </c:pt>
                <c:pt idx="83">
                  <c:v>12.267835342197955</c:v>
                </c:pt>
                <c:pt idx="84">
                  <c:v>12.134458963355151</c:v>
                </c:pt>
                <c:pt idx="85">
                  <c:v>12</c:v>
                </c:pt>
                <c:pt idx="86">
                  <c:v>11.865541036644849</c:v>
                </c:pt>
                <c:pt idx="87">
                  <c:v>11.732164657802045</c:v>
                </c:pt>
                <c:pt idx="88">
                  <c:v>11.600944731649987</c:v>
                </c:pt>
                <c:pt idx="89">
                  <c:v>11.472937763877987</c:v>
                </c:pt>
                <c:pt idx="90">
                  <c:v>11.349174391323663</c:v>
                </c:pt>
                <c:pt idx="91">
                  <c:v>11.230651083891141</c:v>
                </c:pt>
                <c:pt idx="92">
                  <c:v>11.11832212156129</c:v>
                </c:pt>
                <c:pt idx="93">
                  <c:v>11.013091911090431</c:v>
                </c:pt>
                <c:pt idx="94">
                  <c:v>10.915807704258913</c:v>
                </c:pt>
                <c:pt idx="95">
                  <c:v>10.827252776297955</c:v>
                </c:pt>
                <c:pt idx="96">
                  <c:v>10.748140119418046</c:v>
                </c:pt>
                <c:pt idx="97">
                  <c:v>10.679106702214893</c:v>
                </c:pt>
                <c:pt idx="98">
                  <c:v>10.620708341172824</c:v>
                </c:pt>
                <c:pt idx="99">
                  <c:v>10.57341522555727</c:v>
                </c:pt>
                <c:pt idx="100">
                  <c:v>10.537608131727264</c:v>
                </c:pt>
                <c:pt idx="101">
                  <c:v>10.513575357348097</c:v>
                </c:pt>
                <c:pt idx="102">
                  <c:v>10.501510400188028</c:v>
                </c:pt>
                <c:pt idx="103">
                  <c:v>10.501510400188028</c:v>
                </c:pt>
                <c:pt idx="104">
                  <c:v>10.513575357348097</c:v>
                </c:pt>
                <c:pt idx="105">
                  <c:v>10.537608131727264</c:v>
                </c:pt>
                <c:pt idx="106">
                  <c:v>10.57341522555727</c:v>
                </c:pt>
                <c:pt idx="107">
                  <c:v>10.620708341172824</c:v>
                </c:pt>
                <c:pt idx="108">
                  <c:v>10.679106702214893</c:v>
                </c:pt>
                <c:pt idx="109">
                  <c:v>10.748140119418046</c:v>
                </c:pt>
                <c:pt idx="110">
                  <c:v>10.827252776297955</c:v>
                </c:pt>
                <c:pt idx="111">
                  <c:v>10.915807704258913</c:v>
                </c:pt>
                <c:pt idx="112">
                  <c:v>11.013091911090431</c:v>
                </c:pt>
                <c:pt idx="113">
                  <c:v>11.11832212156129</c:v>
                </c:pt>
                <c:pt idx="114">
                  <c:v>11.230651083891141</c:v>
                </c:pt>
                <c:pt idx="115">
                  <c:v>11.349174391323663</c:v>
                </c:pt>
                <c:pt idx="116">
                  <c:v>11.472937763877987</c:v>
                </c:pt>
                <c:pt idx="117">
                  <c:v>11.600944731649987</c:v>
                </c:pt>
                <c:pt idx="118">
                  <c:v>11.732164657802045</c:v>
                </c:pt>
                <c:pt idx="119">
                  <c:v>11.865541036644849</c:v>
                </c:pt>
                <c:pt idx="120">
                  <c:v>12</c:v>
                </c:pt>
                <c:pt idx="121">
                  <c:v>12.134458963355151</c:v>
                </c:pt>
                <c:pt idx="122">
                  <c:v>12.267835342197955</c:v>
                </c:pt>
                <c:pt idx="123">
                  <c:v>12.399055268350013</c:v>
                </c:pt>
                <c:pt idx="124">
                  <c:v>12.527062236122013</c:v>
                </c:pt>
                <c:pt idx="125">
                  <c:v>12.650825608676337</c:v>
                </c:pt>
                <c:pt idx="126">
                  <c:v>12.769348916108859</c:v>
                </c:pt>
                <c:pt idx="127">
                  <c:v>12.88167787843871</c:v>
                </c:pt>
                <c:pt idx="128">
                  <c:v>12.986908088909569</c:v>
                </c:pt>
                <c:pt idx="129">
                  <c:v>13.084192295741087</c:v>
                </c:pt>
                <c:pt idx="130">
                  <c:v>13.172747223702045</c:v>
                </c:pt>
                <c:pt idx="131">
                  <c:v>13.251859880581954</c:v>
                </c:pt>
                <c:pt idx="132">
                  <c:v>13.320893297785107</c:v>
                </c:pt>
                <c:pt idx="133">
                  <c:v>13.379291658827176</c:v>
                </c:pt>
                <c:pt idx="134">
                  <c:v>13.42658477444273</c:v>
                </c:pt>
                <c:pt idx="135">
                  <c:v>13.462391868272736</c:v>
                </c:pt>
                <c:pt idx="136">
                  <c:v>13.486424642651903</c:v>
                </c:pt>
                <c:pt idx="137">
                  <c:v>13.498489599811972</c:v>
                </c:pt>
                <c:pt idx="138">
                  <c:v>13.498489599811972</c:v>
                </c:pt>
                <c:pt idx="139">
                  <c:v>13.486424642651903</c:v>
                </c:pt>
                <c:pt idx="140">
                  <c:v>13.462391868272736</c:v>
                </c:pt>
                <c:pt idx="141">
                  <c:v>13.42658477444273</c:v>
                </c:pt>
                <c:pt idx="142">
                  <c:v>13.379291658827176</c:v>
                </c:pt>
                <c:pt idx="143">
                  <c:v>13.320893297785107</c:v>
                </c:pt>
                <c:pt idx="144">
                  <c:v>13.251859880581954</c:v>
                </c:pt>
                <c:pt idx="145">
                  <c:v>13.172747223702045</c:v>
                </c:pt>
                <c:pt idx="146">
                  <c:v>13.084192295741087</c:v>
                </c:pt>
                <c:pt idx="147">
                  <c:v>12.986908088909569</c:v>
                </c:pt>
                <c:pt idx="148">
                  <c:v>12.88167787843871</c:v>
                </c:pt>
                <c:pt idx="149">
                  <c:v>12.769348916108859</c:v>
                </c:pt>
                <c:pt idx="150">
                  <c:v>12.650825608676337</c:v>
                </c:pt>
                <c:pt idx="151">
                  <c:v>12.527062236122013</c:v>
                </c:pt>
                <c:pt idx="152">
                  <c:v>12.399055268350013</c:v>
                </c:pt>
                <c:pt idx="153">
                  <c:v>12.267835342197955</c:v>
                </c:pt>
                <c:pt idx="154">
                  <c:v>12.134458963355151</c:v>
                </c:pt>
                <c:pt idx="155">
                  <c:v>12</c:v>
                </c:pt>
                <c:pt idx="156">
                  <c:v>11.865541036644849</c:v>
                </c:pt>
                <c:pt idx="157">
                  <c:v>11.732164657802045</c:v>
                </c:pt>
                <c:pt idx="158">
                  <c:v>11.600944731649987</c:v>
                </c:pt>
                <c:pt idx="159">
                  <c:v>11.472937763877987</c:v>
                </c:pt>
                <c:pt idx="160">
                  <c:v>11.349174391323663</c:v>
                </c:pt>
                <c:pt idx="161">
                  <c:v>11.230651083891141</c:v>
                </c:pt>
                <c:pt idx="162">
                  <c:v>11.11832212156129</c:v>
                </c:pt>
                <c:pt idx="163">
                  <c:v>11.013091911090431</c:v>
                </c:pt>
                <c:pt idx="164">
                  <c:v>10.915807704258913</c:v>
                </c:pt>
                <c:pt idx="165">
                  <c:v>10.827252776297955</c:v>
                </c:pt>
                <c:pt idx="166">
                  <c:v>10.748140119418046</c:v>
                </c:pt>
                <c:pt idx="167">
                  <c:v>10.679106702214893</c:v>
                </c:pt>
                <c:pt idx="168">
                  <c:v>10.620708341172824</c:v>
                </c:pt>
                <c:pt idx="169">
                  <c:v>10.57341522555727</c:v>
                </c:pt>
                <c:pt idx="170">
                  <c:v>10.537608131727264</c:v>
                </c:pt>
                <c:pt idx="171">
                  <c:v>10.513575357348097</c:v>
                </c:pt>
                <c:pt idx="172">
                  <c:v>10.501510400188028</c:v>
                </c:pt>
                <c:pt idx="173">
                  <c:v>10.501510400188028</c:v>
                </c:pt>
                <c:pt idx="174">
                  <c:v>10.513575357348097</c:v>
                </c:pt>
                <c:pt idx="175">
                  <c:v>10.537608131727264</c:v>
                </c:pt>
                <c:pt idx="176">
                  <c:v>10.57341522555727</c:v>
                </c:pt>
                <c:pt idx="177">
                  <c:v>10.620708341172824</c:v>
                </c:pt>
                <c:pt idx="178">
                  <c:v>10.679106702214893</c:v>
                </c:pt>
                <c:pt idx="179">
                  <c:v>10.748140119418046</c:v>
                </c:pt>
                <c:pt idx="180">
                  <c:v>10.827252776297955</c:v>
                </c:pt>
                <c:pt idx="181">
                  <c:v>10.915807704258913</c:v>
                </c:pt>
                <c:pt idx="182">
                  <c:v>11.013091911090431</c:v>
                </c:pt>
                <c:pt idx="183">
                  <c:v>11.11832212156129</c:v>
                </c:pt>
                <c:pt idx="184">
                  <c:v>11.230651083891141</c:v>
                </c:pt>
                <c:pt idx="185">
                  <c:v>11.349174391323663</c:v>
                </c:pt>
                <c:pt idx="186">
                  <c:v>11.472937763877987</c:v>
                </c:pt>
                <c:pt idx="187">
                  <c:v>11.600944731649987</c:v>
                </c:pt>
                <c:pt idx="188">
                  <c:v>11.732164657802045</c:v>
                </c:pt>
                <c:pt idx="189">
                  <c:v>11.865541036644849</c:v>
                </c:pt>
                <c:pt idx="190">
                  <c:v>12</c:v>
                </c:pt>
                <c:pt idx="191">
                  <c:v>12.134458963355151</c:v>
                </c:pt>
                <c:pt idx="192">
                  <c:v>12.267835342197955</c:v>
                </c:pt>
                <c:pt idx="193">
                  <c:v>12.399055268350013</c:v>
                </c:pt>
                <c:pt idx="194">
                  <c:v>12.527062236122013</c:v>
                </c:pt>
                <c:pt idx="195">
                  <c:v>12.650825608676337</c:v>
                </c:pt>
                <c:pt idx="196">
                  <c:v>12.769348916108859</c:v>
                </c:pt>
                <c:pt idx="197">
                  <c:v>12.88167787843871</c:v>
                </c:pt>
                <c:pt idx="198">
                  <c:v>12.986908088909569</c:v>
                </c:pt>
                <c:pt idx="199">
                  <c:v>13.084192295741087</c:v>
                </c:pt>
                <c:pt idx="200">
                  <c:v>13.172747223702045</c:v>
                </c:pt>
                <c:pt idx="201">
                  <c:v>13.251859880581954</c:v>
                </c:pt>
                <c:pt idx="202">
                  <c:v>13.320893297785107</c:v>
                </c:pt>
                <c:pt idx="203">
                  <c:v>13.379291658827176</c:v>
                </c:pt>
                <c:pt idx="204">
                  <c:v>13.42658477444273</c:v>
                </c:pt>
                <c:pt idx="205">
                  <c:v>13.462391868272736</c:v>
                </c:pt>
                <c:pt idx="206">
                  <c:v>13.486424642651903</c:v>
                </c:pt>
                <c:pt idx="207">
                  <c:v>13.498489599811972</c:v>
                </c:pt>
                <c:pt idx="208">
                  <c:v>13.498489599811972</c:v>
                </c:pt>
                <c:pt idx="209">
                  <c:v>13.486424642651903</c:v>
                </c:pt>
                <c:pt idx="210">
                  <c:v>13.462391868272736</c:v>
                </c:pt>
                <c:pt idx="211">
                  <c:v>13.42658477444273</c:v>
                </c:pt>
                <c:pt idx="212">
                  <c:v>13.379291658827176</c:v>
                </c:pt>
                <c:pt idx="213">
                  <c:v>13.320893297785107</c:v>
                </c:pt>
                <c:pt idx="214">
                  <c:v>13.251859880581954</c:v>
                </c:pt>
                <c:pt idx="215">
                  <c:v>13.172747223702045</c:v>
                </c:pt>
                <c:pt idx="216">
                  <c:v>13.084192295741088</c:v>
                </c:pt>
                <c:pt idx="217">
                  <c:v>12.986908088909569</c:v>
                </c:pt>
                <c:pt idx="218">
                  <c:v>12.88167787843871</c:v>
                </c:pt>
                <c:pt idx="219">
                  <c:v>12.769348916108859</c:v>
                </c:pt>
                <c:pt idx="220">
                  <c:v>12.650825608676337</c:v>
                </c:pt>
                <c:pt idx="221">
                  <c:v>12.527062236122015</c:v>
                </c:pt>
                <c:pt idx="222">
                  <c:v>12.399055268350013</c:v>
                </c:pt>
                <c:pt idx="223">
                  <c:v>12.267835342197955</c:v>
                </c:pt>
                <c:pt idx="224">
                  <c:v>12.134458963355151</c:v>
                </c:pt>
                <c:pt idx="225">
                  <c:v>12</c:v>
                </c:pt>
                <c:pt idx="226">
                  <c:v>11.865541036644851</c:v>
                </c:pt>
                <c:pt idx="227">
                  <c:v>11.732164657802045</c:v>
                </c:pt>
                <c:pt idx="228">
                  <c:v>11.600944731649989</c:v>
                </c:pt>
                <c:pt idx="229">
                  <c:v>11.472937763877987</c:v>
                </c:pt>
                <c:pt idx="230">
                  <c:v>11.349174391323663</c:v>
                </c:pt>
                <c:pt idx="231">
                  <c:v>11.230651083891141</c:v>
                </c:pt>
                <c:pt idx="232">
                  <c:v>11.118322121561292</c:v>
                </c:pt>
                <c:pt idx="233">
                  <c:v>11.013091911090431</c:v>
                </c:pt>
                <c:pt idx="234">
                  <c:v>10.915807704258913</c:v>
                </c:pt>
                <c:pt idx="235">
                  <c:v>10.827252776297955</c:v>
                </c:pt>
                <c:pt idx="236">
                  <c:v>10.748140119418046</c:v>
                </c:pt>
                <c:pt idx="237">
                  <c:v>10.679106702214893</c:v>
                </c:pt>
                <c:pt idx="238">
                  <c:v>10.620708341172824</c:v>
                </c:pt>
                <c:pt idx="239">
                  <c:v>10.57341522555727</c:v>
                </c:pt>
                <c:pt idx="240">
                  <c:v>10.537608131727264</c:v>
                </c:pt>
              </c:numCache>
            </c:numRef>
          </c:yVal>
          <c:smooth val="0"/>
          <c:extLst>
            <c:ext xmlns:c16="http://schemas.microsoft.com/office/drawing/2014/chart" uri="{C3380CC4-5D6E-409C-BE32-E72D297353CC}">
              <c16:uniqueId val="{00000000-36A8-4521-81E2-090CCB1C3FF8}"/>
            </c:ext>
          </c:extLst>
        </c:ser>
        <c:ser>
          <c:idx val="1"/>
          <c:order val="1"/>
          <c:tx>
            <c:v>Shallow ice return</c:v>
          </c:tx>
          <c:spPr>
            <a:ln w="22000">
              <a:solidFill>
                <a:srgbClr val="219653"/>
              </a:solidFill>
              <a:prstDash val="solid"/>
            </a:ln>
          </c:spPr>
          <c:marker>
            <c:symbol val="none"/>
          </c:marker>
          <c:xVal>
            <c:numRef>
              <c:f>Subsurface_Radargram_Data!$A$2:$A$242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Subsurface_Radargram_Data!$D$2:$D$242</c:f>
              <c:numCache>
                <c:formatCode>General</c:formatCode>
                <c:ptCount val="241"/>
                <c:pt idx="0">
                  <c:v>11.833217134323281</c:v>
                </c:pt>
                <c:pt idx="1">
                  <c:v>11.966229169299067</c:v>
                </c:pt>
                <c:pt idx="2">
                  <c:v>12.11792233840066</c:v>
                </c:pt>
                <c:pt idx="3">
                  <c:v>12.291269268907243</c:v>
                </c:pt>
                <c:pt idx="4">
                  <c:v>12.459187592157058</c:v>
                </c:pt>
                <c:pt idx="5">
                  <c:v>12.653151260857147</c:v>
                </c:pt>
                <c:pt idx="6">
                  <c:v>12.846377753612281</c:v>
                </c:pt>
                <c:pt idx="7">
                  <c:v>13.049494780557712</c:v>
                </c:pt>
                <c:pt idx="8">
                  <c:v>13.26849083586356</c:v>
                </c:pt>
                <c:pt idx="9">
                  <c:v>13.475919532016679</c:v>
                </c:pt>
                <c:pt idx="10">
                  <c:v>13.695581792774236</c:v>
                </c:pt>
                <c:pt idx="11">
                  <c:v>13.916250753283116</c:v>
                </c:pt>
                <c:pt idx="12">
                  <c:v>14.126739869660424</c:v>
                </c:pt>
                <c:pt idx="13">
                  <c:v>14.340556915942718</c:v>
                </c:pt>
                <c:pt idx="14">
                  <c:v>14.541257845901676</c:v>
                </c:pt>
                <c:pt idx="15">
                  <c:v>14.734498792358925</c:v>
                </c:pt>
                <c:pt idx="16">
                  <c:v>14.918961988730628</c:v>
                </c:pt>
                <c:pt idx="17">
                  <c:v>15.094024012147955</c:v>
                </c:pt>
                <c:pt idx="18">
                  <c:v>15.240273039994134</c:v>
                </c:pt>
                <c:pt idx="19">
                  <c:v>15.373481343704492</c:v>
                </c:pt>
                <c:pt idx="20">
                  <c:v>15.501182099089991</c:v>
                </c:pt>
                <c:pt idx="21">
                  <c:v>15.591196271052898</c:v>
                </c:pt>
                <c:pt idx="22">
                  <c:v>15.672601114629899</c:v>
                </c:pt>
                <c:pt idx="23">
                  <c:v>15.726603724107139</c:v>
                </c:pt>
                <c:pt idx="24">
                  <c:v>15.754873984447931</c:v>
                </c:pt>
                <c:pt idx="25">
                  <c:v>15.771168158252815</c:v>
                </c:pt>
                <c:pt idx="26">
                  <c:v>15.757035583970847</c:v>
                </c:pt>
                <c:pt idx="27">
                  <c:v>15.725458307066775</c:v>
                </c:pt>
                <c:pt idx="28">
                  <c:v>15.665259253335098</c:v>
                </c:pt>
                <c:pt idx="29">
                  <c:v>15.589300365519971</c:v>
                </c:pt>
                <c:pt idx="30">
                  <c:v>15.487936108104268</c:v>
                </c:pt>
                <c:pt idx="31">
                  <c:v>15.375873820031194</c:v>
                </c:pt>
                <c:pt idx="32">
                  <c:v>15.250799526961734</c:v>
                </c:pt>
                <c:pt idx="33">
                  <c:v>15.117796410487783</c:v>
                </c:pt>
                <c:pt idx="34">
                  <c:v>14.953652118705836</c:v>
                </c:pt>
                <c:pt idx="35">
                  <c:v>14.795059516896803</c:v>
                </c:pt>
                <c:pt idx="36">
                  <c:v>14.623633092067998</c:v>
                </c:pt>
                <c:pt idx="37">
                  <c:v>14.453309080222452</c:v>
                </c:pt>
                <c:pt idx="38">
                  <c:v>14.283125832266194</c:v>
                </c:pt>
                <c:pt idx="39">
                  <c:v>14.117882788334356</c:v>
                </c:pt>
                <c:pt idx="40">
                  <c:v>13.951784584339601</c:v>
                </c:pt>
                <c:pt idx="41">
                  <c:v>13.78965989546767</c:v>
                </c:pt>
                <c:pt idx="42">
                  <c:v>13.625913725676963</c:v>
                </c:pt>
                <c:pt idx="43">
                  <c:v>13.492768959798084</c:v>
                </c:pt>
                <c:pt idx="44">
                  <c:v>13.354530369621418</c:v>
                </c:pt>
                <c:pt idx="45">
                  <c:v>13.25130854879388</c:v>
                </c:pt>
                <c:pt idx="46">
                  <c:v>13.144624255720579</c:v>
                </c:pt>
                <c:pt idx="47">
                  <c:v>13.069401997832664</c:v>
                </c:pt>
                <c:pt idx="48">
                  <c:v>13.001920703650947</c:v>
                </c:pt>
                <c:pt idx="49">
                  <c:v>12.954022272277458</c:v>
                </c:pt>
                <c:pt idx="50">
                  <c:v>12.916876813734845</c:v>
                </c:pt>
                <c:pt idx="51">
                  <c:v>12.916974675122034</c:v>
                </c:pt>
                <c:pt idx="52">
                  <c:v>12.919620293137497</c:v>
                </c:pt>
                <c:pt idx="53">
                  <c:v>12.942413776663583</c:v>
                </c:pt>
                <c:pt idx="54">
                  <c:v>12.983752133779676</c:v>
                </c:pt>
                <c:pt idx="55">
                  <c:v>13.037945360527734</c:v>
                </c:pt>
                <c:pt idx="56">
                  <c:v>13.096762480583589</c:v>
                </c:pt>
                <c:pt idx="57">
                  <c:v>13.17890231562772</c:v>
                </c:pt>
                <c:pt idx="58">
                  <c:v>13.26320436177126</c:v>
                </c:pt>
                <c:pt idx="59">
                  <c:v>13.349121881344407</c:v>
                </c:pt>
                <c:pt idx="60">
                  <c:v>13.446520856495681</c:v>
                </c:pt>
                <c:pt idx="61">
                  <c:v>13.542551781168696</c:v>
                </c:pt>
                <c:pt idx="62">
                  <c:v>13.646810159536212</c:v>
                </c:pt>
                <c:pt idx="63">
                  <c:v>13.736085542531139</c:v>
                </c:pt>
                <c:pt idx="64">
                  <c:v>13.832588111382917</c:v>
                </c:pt>
                <c:pt idx="65">
                  <c:v>13.912954604461534</c:v>
                </c:pt>
                <c:pt idx="66">
                  <c:v>13.988408702764412</c:v>
                </c:pt>
                <c:pt idx="67">
                  <c:v>14.056727626625134</c:v>
                </c:pt>
                <c:pt idx="68">
                  <c:v>14.102329906298417</c:v>
                </c:pt>
                <c:pt idx="69">
                  <c:v>14.141965633770766</c:v>
                </c:pt>
                <c:pt idx="70">
                  <c:v>14.159846303345025</c:v>
                </c:pt>
                <c:pt idx="71">
                  <c:v>14.173405042636993</c:v>
                </c:pt>
                <c:pt idx="72">
                  <c:v>14.1572038673417</c:v>
                </c:pt>
                <c:pt idx="73">
                  <c:v>14.128512993594303</c:v>
                </c:pt>
                <c:pt idx="74">
                  <c:v>14.08100056914749</c:v>
                </c:pt>
                <c:pt idx="75">
                  <c:v>14.015457473244256</c:v>
                </c:pt>
                <c:pt idx="76">
                  <c:v>13.942517916139623</c:v>
                </c:pt>
                <c:pt idx="77">
                  <c:v>13.845574499669167</c:v>
                </c:pt>
                <c:pt idx="78">
                  <c:v>13.718103521163068</c:v>
                </c:pt>
                <c:pt idx="79">
                  <c:v>13.595065597432113</c:v>
                </c:pt>
                <c:pt idx="80">
                  <c:v>13.444720813992983</c:v>
                </c:pt>
                <c:pt idx="81">
                  <c:v>13.298407832188209</c:v>
                </c:pt>
                <c:pt idx="82">
                  <c:v>13.135106693120745</c:v>
                </c:pt>
                <c:pt idx="83">
                  <c:v>12.959919383975775</c:v>
                </c:pt>
                <c:pt idx="84">
                  <c:v>12.796767708040639</c:v>
                </c:pt>
                <c:pt idx="85">
                  <c:v>12.623226735380925</c:v>
                </c:pt>
                <c:pt idx="86">
                  <c:v>12.44242867395597</c:v>
                </c:pt>
                <c:pt idx="87">
                  <c:v>12.277327606681929</c:v>
                </c:pt>
                <c:pt idx="88">
                  <c:v>12.130289260016369</c:v>
                </c:pt>
                <c:pt idx="89">
                  <c:v>11.978168198667127</c:v>
                </c:pt>
                <c:pt idx="90">
                  <c:v>11.84923662660562</c:v>
                </c:pt>
                <c:pt idx="91">
                  <c:v>11.73542882172482</c:v>
                </c:pt>
                <c:pt idx="92">
                  <c:v>11.634209625118213</c:v>
                </c:pt>
                <c:pt idx="93">
                  <c:v>11.554909378968979</c:v>
                </c:pt>
                <c:pt idx="94">
                  <c:v>11.5060753683172</c:v>
                </c:pt>
                <c:pt idx="95">
                  <c:v>11.482382923177182</c:v>
                </c:pt>
                <c:pt idx="96">
                  <c:v>11.471387082687297</c:v>
                </c:pt>
                <c:pt idx="97">
                  <c:v>11.501800541545633</c:v>
                </c:pt>
                <c:pt idx="98">
                  <c:v>11.550794796189141</c:v>
                </c:pt>
                <c:pt idx="99">
                  <c:v>11.628559856131703</c:v>
                </c:pt>
                <c:pt idx="100">
                  <c:v>11.730041486604748</c:v>
                </c:pt>
                <c:pt idx="101">
                  <c:v>11.856401515004762</c:v>
                </c:pt>
                <c:pt idx="102">
                  <c:v>12.012952120862145</c:v>
                </c:pt>
                <c:pt idx="103">
                  <c:v>12.178849110026638</c:v>
                </c:pt>
                <c:pt idx="104">
                  <c:v>12.383300612394327</c:v>
                </c:pt>
                <c:pt idx="105">
                  <c:v>12.597934112875077</c:v>
                </c:pt>
                <c:pt idx="106">
                  <c:v>12.81975927419813</c:v>
                </c:pt>
                <c:pt idx="107">
                  <c:v>13.075709208052771</c:v>
                </c:pt>
                <c:pt idx="108">
                  <c:v>13.334015482247093</c:v>
                </c:pt>
                <c:pt idx="109">
                  <c:v>13.600505097028599</c:v>
                </c:pt>
                <c:pt idx="110">
                  <c:v>13.87318076473001</c:v>
                </c:pt>
                <c:pt idx="111">
                  <c:v>14.152576323434078</c:v>
                </c:pt>
                <c:pt idx="112">
                  <c:v>14.434711607130424</c:v>
                </c:pt>
                <c:pt idx="113">
                  <c:v>14.702304134518208</c:v>
                </c:pt>
                <c:pt idx="114">
                  <c:v>14.980699567576403</c:v>
                </c:pt>
                <c:pt idx="115">
                  <c:v>15.242809073752332</c:v>
                </c:pt>
                <c:pt idx="116">
                  <c:v>15.499254058509585</c:v>
                </c:pt>
                <c:pt idx="117">
                  <c:v>15.731093031687315</c:v>
                </c:pt>
                <c:pt idx="118">
                  <c:v>15.952226502738212</c:v>
                </c:pt>
                <c:pt idx="119">
                  <c:v>16.164410117616658</c:v>
                </c:pt>
                <c:pt idx="120">
                  <c:v>16.341659494960119</c:v>
                </c:pt>
                <c:pt idx="121">
                  <c:v>16.493179649616593</c:v>
                </c:pt>
                <c:pt idx="122">
                  <c:v>16.62532449599302</c:v>
                </c:pt>
                <c:pt idx="123">
                  <c:v>16.733106801480393</c:v>
                </c:pt>
                <c:pt idx="124">
                  <c:v>16.812821886486894</c:v>
                </c:pt>
                <c:pt idx="125">
                  <c:v>16.863619223817771</c:v>
                </c:pt>
                <c:pt idx="126">
                  <c:v>16.873144740225253</c:v>
                </c:pt>
                <c:pt idx="127">
                  <c:v>16.873434736351939</c:v>
                </c:pt>
                <c:pt idx="128">
                  <c:v>16.833492321052752</c:v>
                </c:pt>
                <c:pt idx="129">
                  <c:v>16.770991729204628</c:v>
                </c:pt>
                <c:pt idx="130">
                  <c:v>16.670364457554257</c:v>
                </c:pt>
                <c:pt idx="131">
                  <c:v>16.550671488032744</c:v>
                </c:pt>
                <c:pt idx="132">
                  <c:v>16.410110197857577</c:v>
                </c:pt>
                <c:pt idx="133">
                  <c:v>16.247161288138262</c:v>
                </c:pt>
                <c:pt idx="134">
                  <c:v>16.074529479086266</c:v>
                </c:pt>
                <c:pt idx="135">
                  <c:v>15.865712344983017</c:v>
                </c:pt>
                <c:pt idx="136">
                  <c:v>15.654032925709604</c:v>
                </c:pt>
                <c:pt idx="137">
                  <c:v>15.424625610414004</c:v>
                </c:pt>
                <c:pt idx="138">
                  <c:v>15.194323851358178</c:v>
                </c:pt>
                <c:pt idx="139">
                  <c:v>14.954114131424316</c:v>
                </c:pt>
                <c:pt idx="140">
                  <c:v>14.698409339009219</c:v>
                </c:pt>
                <c:pt idx="141">
                  <c:v>14.443186632903958</c:v>
                </c:pt>
                <c:pt idx="142">
                  <c:v>14.197938322271632</c:v>
                </c:pt>
                <c:pt idx="143">
                  <c:v>13.945357369397955</c:v>
                </c:pt>
                <c:pt idx="144">
                  <c:v>13.69515861135228</c:v>
                </c:pt>
                <c:pt idx="145">
                  <c:v>13.460539670139086</c:v>
                </c:pt>
                <c:pt idx="146">
                  <c:v>13.224399524395647</c:v>
                </c:pt>
                <c:pt idx="147">
                  <c:v>12.989112680923649</c:v>
                </c:pt>
                <c:pt idx="148">
                  <c:v>12.774232460360315</c:v>
                </c:pt>
                <c:pt idx="149">
                  <c:v>12.569323266312345</c:v>
                </c:pt>
                <c:pt idx="150">
                  <c:v>12.366549509147946</c:v>
                </c:pt>
                <c:pt idx="151">
                  <c:v>12.181791685570879</c:v>
                </c:pt>
                <c:pt idx="152">
                  <c:v>12.013765366416624</c:v>
                </c:pt>
                <c:pt idx="153">
                  <c:v>11.859538180366837</c:v>
                </c:pt>
                <c:pt idx="154">
                  <c:v>11.714530082976879</c:v>
                </c:pt>
                <c:pt idx="155">
                  <c:v>11.58951960079883</c:v>
                </c:pt>
                <c:pt idx="156">
                  <c:v>11.47611123789633</c:v>
                </c:pt>
                <c:pt idx="157">
                  <c:v>11.372823574048232</c:v>
                </c:pt>
                <c:pt idx="158">
                  <c:v>11.292313648140089</c:v>
                </c:pt>
                <c:pt idx="159">
                  <c:v>11.221822348168622</c:v>
                </c:pt>
                <c:pt idx="160">
                  <c:v>11.162622059100606</c:v>
                </c:pt>
                <c:pt idx="161">
                  <c:v>11.117085910939821</c:v>
                </c:pt>
                <c:pt idx="162">
                  <c:v>11.083273722392958</c:v>
                </c:pt>
                <c:pt idx="163">
                  <c:v>11.064149082000068</c:v>
                </c:pt>
                <c:pt idx="164">
                  <c:v>11.058268520542955</c:v>
                </c:pt>
                <c:pt idx="165">
                  <c:v>11.060871859763136</c:v>
                </c:pt>
                <c:pt idx="166">
                  <c:v>11.076470424173415</c:v>
                </c:pt>
                <c:pt idx="167">
                  <c:v>11.103323567615265</c:v>
                </c:pt>
                <c:pt idx="168">
                  <c:v>11.150612031479731</c:v>
                </c:pt>
                <c:pt idx="169">
                  <c:v>11.193185352141516</c:v>
                </c:pt>
                <c:pt idx="170">
                  <c:v>11.261938627171196</c:v>
                </c:pt>
                <c:pt idx="171">
                  <c:v>11.327754319379224</c:v>
                </c:pt>
                <c:pt idx="172">
                  <c:v>11.418171815194224</c:v>
                </c:pt>
                <c:pt idx="173">
                  <c:v>11.520374612053962</c:v>
                </c:pt>
                <c:pt idx="174">
                  <c:v>11.61903326132532</c:v>
                </c:pt>
                <c:pt idx="175">
                  <c:v>11.743299583366408</c:v>
                </c:pt>
                <c:pt idx="176">
                  <c:v>11.872334660313339</c:v>
                </c:pt>
                <c:pt idx="177">
                  <c:v>12.024436316247574</c:v>
                </c:pt>
                <c:pt idx="178">
                  <c:v>12.176650745448329</c:v>
                </c:pt>
                <c:pt idx="179">
                  <c:v>12.343313972018912</c:v>
                </c:pt>
                <c:pt idx="180">
                  <c:v>12.52844107703034</c:v>
                </c:pt>
                <c:pt idx="181">
                  <c:v>12.717948848418546</c:v>
                </c:pt>
                <c:pt idx="182">
                  <c:v>12.926029181540345</c:v>
                </c:pt>
                <c:pt idx="183">
                  <c:v>13.132605861191839</c:v>
                </c:pt>
                <c:pt idx="184">
                  <c:v>13.361203536728567</c:v>
                </c:pt>
                <c:pt idx="185">
                  <c:v>13.596835903226532</c:v>
                </c:pt>
                <c:pt idx="186">
                  <c:v>13.834881332153246</c:v>
                </c:pt>
                <c:pt idx="187">
                  <c:v>14.078417121114933</c:v>
                </c:pt>
                <c:pt idx="188">
                  <c:v>14.332914863935182</c:v>
                </c:pt>
                <c:pt idx="189">
                  <c:v>14.58319305055136</c:v>
                </c:pt>
                <c:pt idx="190">
                  <c:v>14.826944147901509</c:v>
                </c:pt>
                <c:pt idx="191">
                  <c:v>15.071621949948153</c:v>
                </c:pt>
                <c:pt idx="192">
                  <c:v>15.315671612082737</c:v>
                </c:pt>
                <c:pt idx="193">
                  <c:v>15.559143008800289</c:v>
                </c:pt>
                <c:pt idx="194">
                  <c:v>15.784244332471001</c:v>
                </c:pt>
                <c:pt idx="195">
                  <c:v>15.998197497440234</c:v>
                </c:pt>
                <c:pt idx="196">
                  <c:v>16.197699823090598</c:v>
                </c:pt>
                <c:pt idx="197">
                  <c:v>16.394217360689062</c:v>
                </c:pt>
                <c:pt idx="198">
                  <c:v>16.555044245818259</c:v>
                </c:pt>
                <c:pt idx="199">
                  <c:v>16.697843074437415</c:v>
                </c:pt>
                <c:pt idx="200">
                  <c:v>16.823212266690259</c:v>
                </c:pt>
                <c:pt idx="201">
                  <c:v>16.919938276803911</c:v>
                </c:pt>
                <c:pt idx="202">
                  <c:v>16.981663379732428</c:v>
                </c:pt>
                <c:pt idx="203">
                  <c:v>17.024489403095259</c:v>
                </c:pt>
                <c:pt idx="204">
                  <c:v>17.043696391512452</c:v>
                </c:pt>
                <c:pt idx="205">
                  <c:v>17.027731376280872</c:v>
                </c:pt>
                <c:pt idx="206">
                  <c:v>16.981777784824562</c:v>
                </c:pt>
                <c:pt idx="207">
                  <c:v>16.90168136842663</c:v>
                </c:pt>
                <c:pt idx="208">
                  <c:v>16.794551083500071</c:v>
                </c:pt>
                <c:pt idx="209">
                  <c:v>16.65190484048178</c:v>
                </c:pt>
                <c:pt idx="210">
                  <c:v>16.48854707168433</c:v>
                </c:pt>
                <c:pt idx="211">
                  <c:v>16.306086585295144</c:v>
                </c:pt>
                <c:pt idx="212">
                  <c:v>16.085895507888239</c:v>
                </c:pt>
                <c:pt idx="213">
                  <c:v>15.841482299853174</c:v>
                </c:pt>
                <c:pt idx="214">
                  <c:v>15.582631964163717</c:v>
                </c:pt>
                <c:pt idx="215">
                  <c:v>15.301813178322558</c:v>
                </c:pt>
                <c:pt idx="216">
                  <c:v>15.017699167331253</c:v>
                </c:pt>
                <c:pt idx="217">
                  <c:v>14.706336796053341</c:v>
                </c:pt>
                <c:pt idx="218">
                  <c:v>14.386979370763845</c:v>
                </c:pt>
                <c:pt idx="219">
                  <c:v>14.065269905827302</c:v>
                </c:pt>
                <c:pt idx="220">
                  <c:v>13.736129141832397</c:v>
                </c:pt>
                <c:pt idx="221">
                  <c:v>13.416906693626288</c:v>
                </c:pt>
                <c:pt idx="222">
                  <c:v>13.090228036898202</c:v>
                </c:pt>
                <c:pt idx="223">
                  <c:v>12.780547051105831</c:v>
                </c:pt>
                <c:pt idx="224">
                  <c:v>12.473457077498423</c:v>
                </c:pt>
                <c:pt idx="225">
                  <c:v>12.174616017488649</c:v>
                </c:pt>
                <c:pt idx="226">
                  <c:v>11.902745355897315</c:v>
                </c:pt>
                <c:pt idx="227">
                  <c:v>11.639800395716538</c:v>
                </c:pt>
                <c:pt idx="228">
                  <c:v>11.400386321786659</c:v>
                </c:pt>
                <c:pt idx="229">
                  <c:v>11.183035029973237</c:v>
                </c:pt>
                <c:pt idx="230">
                  <c:v>11.000406643402359</c:v>
                </c:pt>
                <c:pt idx="231">
                  <c:v>10.837974676482386</c:v>
                </c:pt>
                <c:pt idx="232">
                  <c:v>10.710560520404862</c:v>
                </c:pt>
                <c:pt idx="233">
                  <c:v>10.613801250018454</c:v>
                </c:pt>
                <c:pt idx="234">
                  <c:v>10.552491350082583</c:v>
                </c:pt>
                <c:pt idx="235">
                  <c:v>10.507693418828675</c:v>
                </c:pt>
                <c:pt idx="236">
                  <c:v>10.513326240619643</c:v>
                </c:pt>
                <c:pt idx="237">
                  <c:v>10.539829452026897</c:v>
                </c:pt>
                <c:pt idx="238">
                  <c:v>10.602439699080321</c:v>
                </c:pt>
                <c:pt idx="239">
                  <c:v>10.679993172462208</c:v>
                </c:pt>
                <c:pt idx="240">
                  <c:v>10.801823161458323</c:v>
                </c:pt>
              </c:numCache>
            </c:numRef>
          </c:yVal>
          <c:smooth val="0"/>
          <c:extLst>
            <c:ext xmlns:c16="http://schemas.microsoft.com/office/drawing/2014/chart" uri="{C3380CC4-5D6E-409C-BE32-E72D297353CC}">
              <c16:uniqueId val="{00000001-36A8-4521-81E2-090CCB1C3FF8}"/>
            </c:ext>
          </c:extLst>
        </c:ser>
        <c:ser>
          <c:idx val="2"/>
          <c:order val="2"/>
          <c:tx>
            <c:v>Warm/briny lens return</c:v>
          </c:tx>
          <c:spPr>
            <a:ln w="22000">
              <a:solidFill>
                <a:srgbClr val="D49A22"/>
              </a:solidFill>
              <a:prstDash val="solid"/>
            </a:ln>
          </c:spPr>
          <c:marker>
            <c:symbol val="none"/>
          </c:marker>
          <c:xVal>
            <c:numRef>
              <c:f>Subsurface_Radargram_Data!$A$2:$A$242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Subsurface_Radargram_Data!$E$2:$E$242</c:f>
              <c:numCache>
                <c:formatCode>General</c:formatCode>
                <c:ptCount val="2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63.694630878605942</c:v>
                </c:pt>
                <c:pt idx="37">
                  <c:v>63.272179333920896</c:v>
                </c:pt>
                <c:pt idx="38">
                  <c:v>62.837703070446928</c:v>
                </c:pt>
                <c:pt idx="39">
                  <c:v>62.393836762334416</c:v>
                </c:pt>
                <c:pt idx="40">
                  <c:v>61.943276695896081</c:v>
                </c:pt>
                <c:pt idx="41">
                  <c:v>61.488750260693941</c:v>
                </c:pt>
                <c:pt idx="42">
                  <c:v>61.032985253532715</c:v>
                </c:pt>
                <c:pt idx="43">
                  <c:v>60.578679386341655</c:v>
                </c:pt>
                <c:pt idx="44">
                  <c:v>60.128470383742638</c:v>
                </c:pt>
                <c:pt idx="45">
                  <c:v>59.684907046045694</c:v>
                </c:pt>
                <c:pt idx="46">
                  <c:v>59.250421638679441</c:v>
                </c:pt>
                <c:pt idx="47">
                  <c:v>58.827303949896141</c:v>
                </c:pt>
                <c:pt idx="48">
                  <c:v>58.417677335287948</c:v>
                </c:pt>
                <c:pt idx="49">
                  <c:v>58.023477040552073</c:v>
                </c:pt>
                <c:pt idx="50">
                  <c:v>57.646431063426405</c:v>
                </c:pt>
                <c:pt idx="51">
                  <c:v>57.28804378219413</c:v>
                </c:pt>
                <c:pt idx="52">
                  <c:v>56.949582542063581</c:v>
                </c:pt>
                <c:pt idx="53">
                  <c:v>56.632067352524317</c:v>
                </c:pt>
                <c:pt idx="54">
                  <c:v>56.33626380893449</c:v>
                </c:pt>
                <c:pt idx="55">
                  <c:v>56.062679310587555</c:v>
                </c:pt>
                <c:pt idx="56">
                  <c:v>55.811562605825266</c:v>
                </c:pt>
                <c:pt idx="57">
                  <c:v>55.58290665289033</c:v>
                </c:pt>
                <c:pt idx="58">
                  <c:v>55.376454743628059</c:v>
                </c:pt>
                <c:pt idx="59">
                  <c:v>55.191709796321177</c:v>
                </c:pt>
                <c:pt idx="60">
                  <c:v>55.027946684335518</c:v>
                </c:pt>
                <c:pt idx="61">
                  <c:v>54.884227429308957</c:v>
                </c:pt>
                <c:pt idx="62">
                  <c:v>54.759419051759039</c:v>
                </c:pt>
                <c:pt idx="63">
                  <c:v>54.652213838617811</c:v>
                </c:pt>
                <c:pt idx="64">
                  <c:v>54.561151756708199</c:v>
                </c:pt>
                <c:pt idx="65">
                  <c:v>54.484644713909276</c:v>
                </c:pt>
                <c:pt idx="66">
                  <c:v>54.421002346040794</c:v>
                </c:pt>
                <c:pt idx="67">
                  <c:v>54.368458987627214</c:v>
                </c:pt>
                <c:pt idx="68">
                  <c:v>54.325201468935155</c:v>
                </c:pt>
                <c:pt idx="69">
                  <c:v>54.289397370236586</c:v>
                </c:pt>
                <c:pt idx="70">
                  <c:v>54.259223357315797</c:v>
                </c:pt>
                <c:pt idx="71">
                  <c:v>54.232893219944636</c:v>
                </c:pt>
                <c:pt idx="72">
                  <c:v>54.208685237489725</c:v>
                </c:pt>
                <c:pt idx="73">
                  <c:v>54.1849685030232</c:v>
                </c:pt>
                <c:pt idx="74">
                  <c:v>54.160227849272871</c:v>
                </c:pt>
                <c:pt idx="75">
                  <c:v>54.133087036395693</c:v>
                </c:pt>
                <c:pt idx="76">
                  <c:v>54.102329882761559</c:v>
                </c:pt>
                <c:pt idx="77">
                  <c:v>54.066919045504612</c:v>
                </c:pt>
                <c:pt idx="78">
                  <c:v>54.026012187284529</c:v>
                </c:pt>
                <c:pt idx="79">
                  <c:v>53.978975299192534</c:v>
                </c:pt>
                <c:pt idx="80">
                  <c:v>53.925392986664107</c:v>
                </c:pt>
                <c:pt idx="81">
                  <c:v>53.8650755651949</c:v>
                </c:pt>
                <c:pt idx="82">
                  <c:v>53.798062855117287</c:v>
                </c:pt>
                <c:pt idx="83">
                  <c:v>53.724624609149153</c:v>
                </c:pt>
                <c:pt idx="84">
                  <c:v>53.64525755229829</c:v>
                </c:pt>
                <c:pt idx="85">
                  <c:v>53.560679060384096</c:v>
                </c:pt>
                <c:pt idx="86">
                  <c:v>53.471817550279738</c:v>
                </c:pt>
                <c:pt idx="87">
                  <c:v>53.379799701322554</c:v>
                </c:pt>
                <c:pt idx="88">
                  <c:v>53.285934672518344</c:v>
                </c:pt>
                <c:pt idx="89">
                  <c:v>53.191695523504883</c:v>
                </c:pt>
                <c:pt idx="90">
                  <c:v>53.098698088086074</c:v>
                </c:pt>
                <c:pt idx="91">
                  <c:v>53.008677586865588</c:v>
                </c:pt>
                <c:pt idx="92">
                  <c:v>52.923463299499616</c:v>
                </c:pt>
                <c:pt idx="93">
                  <c:v>52.84495164679894</c:v>
                </c:pt>
                <c:pt idx="94">
                  <c:v>52.77507805784559</c:v>
                </c:pt>
                <c:pt idx="95">
                  <c:v>52.71578801701763</c:v>
                </c:pt>
                <c:pt idx="96">
                  <c:v>52.66900769998341</c:v>
                </c:pt>
                <c:pt idx="97">
                  <c:v>52.636614616059525</c:v>
                </c:pt>
                <c:pt idx="98">
                  <c:v>52.620408676641993</c:v>
                </c:pt>
                <c:pt idx="99">
                  <c:v>52.622084105624189</c:v>
                </c:pt>
                <c:pt idx="100">
                  <c:v>52.643202597813215</c:v>
                </c:pt>
                <c:pt idx="101">
                  <c:v>52.68516811544707</c:v>
                </c:pt>
                <c:pt idx="102">
                  <c:v>52.749203691195362</c:v>
                </c:pt>
                <c:pt idx="103">
                  <c:v>52.836330578783517</c:v>
                </c:pt>
                <c:pt idx="104">
                  <c:v>52.947350059991933</c:v>
                </c:pt>
                <c:pt idx="105">
                  <c:v>53.082828179708457</c:v>
                </c:pt>
                <c:pt idx="106">
                  <c:v>53.243083639488049</c:v>
                </c:pt>
                <c:pt idx="107">
                  <c:v>53.428179035301774</c:v>
                </c:pt>
                <c:pt idx="108">
                  <c:v>53.637915577495612</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63.547388021391306</c:v>
                </c:pt>
                <c:pt idx="155">
                  <c:v>63.53355337195066</c:v>
                </c:pt>
                <c:pt idx="156">
                  <c:v>63.525668362538269</c:v>
                </c:pt>
                <c:pt idx="157">
                  <c:v>63.524968529327012</c:v>
                </c:pt>
                <c:pt idx="158">
                  <c:v>63.53251549462896</c:v>
                </c:pt>
                <c:pt idx="159">
                  <c:v>63.549184822205056</c:v>
                </c:pt>
                <c:pt idx="160">
                  <c:v>63.575656294560268</c:v>
                </c:pt>
                <c:pt idx="161">
                  <c:v>63.612406651843152</c:v>
                </c:pt>
                <c:pt idx="162">
                  <c:v>63.6597048045248</c:v>
                </c:pt>
                <c:pt idx="163">
                  <c:v>63.717609507878983</c:v>
                </c:pt>
                <c:pt idx="164">
                  <c:v>63.785969465577452</c:v>
                </c:pt>
                <c:pt idx="165">
                  <c:v>63.864425812391119</c:v>
                </c:pt>
                <c:pt idx="166">
                  <c:v>63.952416911800739</c:v>
                </c:pt>
                <c:pt idx="167">
                  <c:v>64.049185392843867</c:v>
                </c:pt>
                <c:pt idx="168">
                  <c:v>64.153787341176994</c:v>
                </c:pt>
                <c:pt idx="169">
                  <c:v>64.265103551423479</c:v>
                </c:pt>
                <c:pt idx="170">
                  <c:v>64.38185274064449</c:v>
                </c:pt>
                <c:pt idx="171">
                  <c:v>64.502606615428007</c:v>
                </c:pt>
                <c:pt idx="172">
                  <c:v>64.625806676891429</c:v>
                </c:pt>
                <c:pt idx="173">
                  <c:v>64.749782638161008</c:v>
                </c:pt>
                <c:pt idx="174">
                  <c:v>64.872772317097855</c:v>
                </c:pt>
                <c:pt idx="175">
                  <c:v>64.992942852816739</c:v>
                </c:pt>
                <c:pt idx="176">
                  <c:v>65.108413077748196</c:v>
                </c:pt>
                <c:pt idx="177">
                  <c:v>65.217276857702174</c:v>
                </c:pt>
                <c:pt idx="178">
                  <c:v>65.317627190935312</c:v>
                </c:pt>
                <c:pt idx="179">
                  <c:v>65.407580834172848</c:v>
                </c:pt>
                <c:pt idx="180">
                  <c:v>65.485303199680658</c:v>
                </c:pt>
                <c:pt idx="181">
                  <c:v>65.549033243817291</c:v>
                </c:pt>
                <c:pt idx="182">
                  <c:v>65.597108045152865</c:v>
                </c:pt>
                <c:pt idx="183">
                  <c:v>65.627986750464757</c:v>
                </c:pt>
                <c:pt idx="184">
                  <c:v>65.640273550979913</c:v>
                </c:pt>
                <c:pt idx="185">
                  <c:v>65.63273934038186</c:v>
                </c:pt>
                <c:pt idx="186">
                  <c:v>65.604341701488707</c:v>
                </c:pt>
                <c:pt idx="187">
                  <c:v>65.554242871137077</c:v>
                </c:pt>
                <c:pt idx="188">
                  <c:v>65.481825343457814</c:v>
                </c:pt>
                <c:pt idx="189">
                  <c:v>65.38670479092697</c:v>
                </c:pt>
                <c:pt idx="190">
                  <c:v>65.268740010539048</c:v>
                </c:pt>
                <c:pt idx="191">
                  <c:v>65.128039639085799</c:v>
                </c:pt>
                <c:pt idx="192">
                  <c:v>64.964965426398678</c:v>
                </c:pt>
                <c:pt idx="193">
                  <c:v>64.780131907781083</c:v>
                </c:pt>
                <c:pt idx="194">
                  <c:v>64.574402375664732</c:v>
                </c:pt>
                <c:pt idx="195">
                  <c:v>64.34888111445791</c:v>
                </c:pt>
                <c:pt idx="196">
                  <c:v>64.104901930080487</c:v>
                </c:pt>
                <c:pt idx="197">
                  <c:v>63.844013075108649</c:v>
                </c:pt>
                <c:pt idx="198">
                  <c:v>63.567958739990964</c:v>
                </c:pt>
                <c:pt idx="199">
                  <c:v>63.278657348625295</c:v>
                </c:pt>
                <c:pt idx="200">
                  <c:v>62.978176960915675</c:v>
                </c:pt>
                <c:pt idx="201">
                  <c:v>62.668708144072752</c:v>
                </c:pt>
                <c:pt idx="202">
                  <c:v>62.352534726842933</c:v>
                </c:pt>
                <c:pt idx="203">
                  <c:v>62.032002895226057</c:v>
                </c:pt>
                <c:pt idx="204">
                  <c:v>61.709489123479372</c:v>
                </c:pt>
                <c:pt idx="205">
                  <c:v>61.387367459495643</c:v>
                </c:pt>
                <c:pt idx="206">
                  <c:v>61.067976698462459</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numCache>
            </c:numRef>
          </c:yVal>
          <c:smooth val="0"/>
          <c:extLst>
            <c:ext xmlns:c16="http://schemas.microsoft.com/office/drawing/2014/chart" uri="{C3380CC4-5D6E-409C-BE32-E72D297353CC}">
              <c16:uniqueId val="{00000002-36A8-4521-81E2-090CCB1C3FF8}"/>
            </c:ext>
          </c:extLst>
        </c:ser>
        <c:ser>
          <c:idx val="3"/>
          <c:order val="3"/>
          <c:tx>
            <c:v>Ocean boundary return</c:v>
          </c:tx>
          <c:spPr>
            <a:ln w="22000">
              <a:solidFill>
                <a:srgbClr val="7048B8"/>
              </a:solidFill>
              <a:prstDash val="solid"/>
            </a:ln>
          </c:spPr>
          <c:marker>
            <c:symbol val="none"/>
          </c:marker>
          <c:xVal>
            <c:numRef>
              <c:f>Subsurface_Radargram_Data!$A$2:$A$242</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Subsurface_Radargram_Data!$F$2:$F$242</c:f>
              <c:numCache>
                <c:formatCode>General</c:formatCode>
                <c:ptCount val="241"/>
                <c:pt idx="0">
                  <c:v>171.16200481596744</c:v>
                </c:pt>
                <c:pt idx="1">
                  <c:v>171.27241434932014</c:v>
                </c:pt>
                <c:pt idx="2">
                  <c:v>171.36750838193723</c:v>
                </c:pt>
                <c:pt idx="3">
                  <c:v>171.43363762532118</c:v>
                </c:pt>
                <c:pt idx="4">
                  <c:v>171.56167729103731</c:v>
                </c:pt>
                <c:pt idx="5">
                  <c:v>171.63690109395728</c:v>
                </c:pt>
                <c:pt idx="6">
                  <c:v>171.74785251366751</c:v>
                </c:pt>
                <c:pt idx="7">
                  <c:v>171.85155064294074</c:v>
                </c:pt>
                <c:pt idx="8">
                  <c:v>171.92071512976034</c:v>
                </c:pt>
                <c:pt idx="9">
                  <c:v>172.04461489795784</c:v>
                </c:pt>
                <c:pt idx="10">
                  <c:v>172.13275558163735</c:v>
                </c:pt>
                <c:pt idx="11">
                  <c:v>172.21692766661533</c:v>
                </c:pt>
                <c:pt idx="12">
                  <c:v>172.32856231891094</c:v>
                </c:pt>
                <c:pt idx="13">
                  <c:v>172.41254406183737</c:v>
                </c:pt>
                <c:pt idx="14">
                  <c:v>172.51857973611146</c:v>
                </c:pt>
                <c:pt idx="15">
                  <c:v>172.61912799489085</c:v>
                </c:pt>
                <c:pt idx="16">
                  <c:v>172.71127217604629</c:v>
                </c:pt>
                <c:pt idx="17">
                  <c:v>172.78999516047736</c:v>
                </c:pt>
                <c:pt idx="18">
                  <c:v>172.91648075611019</c:v>
                </c:pt>
                <c:pt idx="19">
                  <c:v>173.02931777796832</c:v>
                </c:pt>
                <c:pt idx="20">
                  <c:v>173.09658303232197</c:v>
                </c:pt>
                <c:pt idx="21">
                  <c:v>173.22609110799192</c:v>
                </c:pt>
                <c:pt idx="22">
                  <c:v>173.31208874160279</c:v>
                </c:pt>
                <c:pt idx="23">
                  <c:v>173.41727005332922</c:v>
                </c:pt>
                <c:pt idx="24">
                  <c:v>173.53367089884264</c:v>
                </c:pt>
                <c:pt idx="25">
                  <c:v>173.61203171549167</c:v>
                </c:pt>
                <c:pt idx="26">
                  <c:v>173.71685412801619</c:v>
                </c:pt>
                <c:pt idx="27">
                  <c:v>173.80367612730618</c:v>
                </c:pt>
                <c:pt idx="28">
                  <c:v>173.91364065722678</c:v>
                </c:pt>
                <c:pt idx="29">
                  <c:v>174.00478239392751</c:v>
                </c:pt>
                <c:pt idx="30">
                  <c:v>174.11490385867228</c:v>
                </c:pt>
                <c:pt idx="31">
                  <c:v>174.19751104549064</c:v>
                </c:pt>
                <c:pt idx="32">
                  <c:v>174.26655408317814</c:v>
                </c:pt>
                <c:pt idx="33">
                  <c:v>174.31087869218689</c:v>
                </c:pt>
                <c:pt idx="34">
                  <c:v>174.41905302011025</c:v>
                </c:pt>
                <c:pt idx="35">
                  <c:v>174.47055524788931</c:v>
                </c:pt>
                <c:pt idx="36">
                  <c:v>174.53809594102572</c:v>
                </c:pt>
                <c:pt idx="37">
                  <c:v>174.58158883344754</c:v>
                </c:pt>
                <c:pt idx="38">
                  <c:v>174.61328434077456</c:v>
                </c:pt>
                <c:pt idx="39">
                  <c:v>174.62532374899931</c:v>
                </c:pt>
                <c:pt idx="40">
                  <c:v>174.64684358455003</c:v>
                </c:pt>
                <c:pt idx="41">
                  <c:v>174.66956894659648</c:v>
                </c:pt>
                <c:pt idx="42">
                  <c:v>174.72134273308524</c:v>
                </c:pt>
                <c:pt idx="43">
                  <c:v>174.69714778843633</c:v>
                </c:pt>
                <c:pt idx="44">
                  <c:v>174.72905811906509</c:v>
                </c:pt>
                <c:pt idx="45">
                  <c:v>174.6830902189844</c:v>
                </c:pt>
                <c:pt idx="46">
                  <c:v>174.69948488032745</c:v>
                </c:pt>
                <c:pt idx="47">
                  <c:v>174.66064043417279</c:v>
                </c:pt>
                <c:pt idx="48">
                  <c:v>174.65321159679641</c:v>
                </c:pt>
                <c:pt idx="49">
                  <c:v>174.63832253988519</c:v>
                </c:pt>
                <c:pt idx="50">
                  <c:v>174.6483494381196</c:v>
                </c:pt>
                <c:pt idx="51">
                  <c:v>174.59092795860994</c:v>
                </c:pt>
                <c:pt idx="52">
                  <c:v>174.58672352729181</c:v>
                </c:pt>
                <c:pt idx="53">
                  <c:v>174.5722638558172</c:v>
                </c:pt>
                <c:pt idx="54">
                  <c:v>174.55022183964826</c:v>
                </c:pt>
                <c:pt idx="55">
                  <c:v>174.53656504330402</c:v>
                </c:pt>
                <c:pt idx="56">
                  <c:v>174.55521810990456</c:v>
                </c:pt>
                <c:pt idx="57">
                  <c:v>174.53500520040316</c:v>
                </c:pt>
                <c:pt idx="58">
                  <c:v>174.54351718745002</c:v>
                </c:pt>
                <c:pt idx="59">
                  <c:v>174.57557448792252</c:v>
                </c:pt>
                <c:pt idx="60">
                  <c:v>174.58906079492181</c:v>
                </c:pt>
                <c:pt idx="61">
                  <c:v>174.62101110467466</c:v>
                </c:pt>
                <c:pt idx="62">
                  <c:v>174.62969614070772</c:v>
                </c:pt>
                <c:pt idx="63">
                  <c:v>174.68815127280999</c:v>
                </c:pt>
                <c:pt idx="64">
                  <c:v>174.71053581838029</c:v>
                </c:pt>
                <c:pt idx="65">
                  <c:v>174.77076381305241</c:v>
                </c:pt>
                <c:pt idx="66">
                  <c:v>174.82209072168456</c:v>
                </c:pt>
                <c:pt idx="67">
                  <c:v>174.86537237703436</c:v>
                </c:pt>
                <c:pt idx="68">
                  <c:v>174.94889128988828</c:v>
                </c:pt>
                <c:pt idx="69">
                  <c:v>175.00856340335335</c:v>
                </c:pt>
                <c:pt idx="70">
                  <c:v>175.09509324010713</c:v>
                </c:pt>
                <c:pt idx="71">
                  <c:v>175.1439076772993</c:v>
                </c:pt>
                <c:pt idx="72">
                  <c:v>175.2415584227405</c:v>
                </c:pt>
                <c:pt idx="73">
                  <c:v>175.32625414479432</c:v>
                </c:pt>
                <c:pt idx="74">
                  <c:v>175.41998686850999</c:v>
                </c:pt>
                <c:pt idx="75">
                  <c:v>175.52101556654085</c:v>
                </c:pt>
                <c:pt idx="76">
                  <c:v>175.59434393054809</c:v>
                </c:pt>
                <c:pt idx="77">
                  <c:v>175.70149690181847</c:v>
                </c:pt>
                <c:pt idx="78">
                  <c:v>175.86984096881648</c:v>
                </c:pt>
                <c:pt idx="79">
                  <c:v>175.98262105744848</c:v>
                </c:pt>
                <c:pt idx="80">
                  <c:v>176.1575277291347</c:v>
                </c:pt>
                <c:pt idx="81">
                  <c:v>176.29237292882263</c:v>
                </c:pt>
                <c:pt idx="82">
                  <c:v>176.46900675512202</c:v>
                </c:pt>
                <c:pt idx="83">
                  <c:v>176.67850785688245</c:v>
                </c:pt>
                <c:pt idx="84">
                  <c:v>176.84660113951827</c:v>
                </c:pt>
                <c:pt idx="85">
                  <c:v>177.06159109807575</c:v>
                </c:pt>
                <c:pt idx="86">
                  <c:v>177.32254129337883</c:v>
                </c:pt>
                <c:pt idx="87">
                  <c:v>177.55918599462146</c:v>
                </c:pt>
                <c:pt idx="88">
                  <c:v>177.77320207428289</c:v>
                </c:pt>
                <c:pt idx="89">
                  <c:v>178.05527547665494</c:v>
                </c:pt>
                <c:pt idx="90">
                  <c:v>178.31569032245292</c:v>
                </c:pt>
                <c:pt idx="91">
                  <c:v>178.59131919155789</c:v>
                </c:pt>
                <c:pt idx="92">
                  <c:v>178.89893764782522</c:v>
                </c:pt>
                <c:pt idx="93">
                  <c:v>179.21291702078796</c:v>
                </c:pt>
                <c:pt idx="94">
                  <c:v>179.50937246047235</c:v>
                </c:pt>
                <c:pt idx="95">
                  <c:v>179.81186720593229</c:v>
                </c:pt>
                <c:pt idx="96">
                  <c:v>180.16769164518217</c:v>
                </c:pt>
                <c:pt idx="97">
                  <c:v>180.47881859576071</c:v>
                </c:pt>
                <c:pt idx="98">
                  <c:v>180.82629673777689</c:v>
                </c:pt>
                <c:pt idx="99">
                  <c:v>181.17425923799036</c:v>
                </c:pt>
                <c:pt idx="100">
                  <c:v>181.53883166294443</c:v>
                </c:pt>
                <c:pt idx="101">
                  <c:v>181.91302995233184</c:v>
                </c:pt>
                <c:pt idx="102">
                  <c:v>182.27402002340526</c:v>
                </c:pt>
                <c:pt idx="103">
                  <c:v>182.6892409541461</c:v>
                </c:pt>
                <c:pt idx="104">
                  <c:v>183.04974332940324</c:v>
                </c:pt>
                <c:pt idx="105">
                  <c:v>183.44699137663568</c:v>
                </c:pt>
                <c:pt idx="106">
                  <c:v>183.88259630786069</c:v>
                </c:pt>
                <c:pt idx="107">
                  <c:v>184.25253983015571</c:v>
                </c:pt>
                <c:pt idx="108">
                  <c:v>184.6574923480014</c:v>
                </c:pt>
                <c:pt idx="109">
                  <c:v>185.06591487723395</c:v>
                </c:pt>
                <c:pt idx="110">
                  <c:v>185.47317768106456</c:v>
                </c:pt>
                <c:pt idx="111">
                  <c:v>185.86547178613759</c:v>
                </c:pt>
                <c:pt idx="112">
                  <c:v>186.2446257435596</c:v>
                </c:pt>
                <c:pt idx="113">
                  <c:v>186.65902433286868</c:v>
                </c:pt>
                <c:pt idx="114">
                  <c:v>187.00800986132319</c:v>
                </c:pt>
                <c:pt idx="115">
                  <c:v>187.37475513034281</c:v>
                </c:pt>
                <c:pt idx="116">
                  <c:v>187.71090407662348</c:v>
                </c:pt>
                <c:pt idx="117">
                  <c:v>188.07216619737875</c:v>
                </c:pt>
                <c:pt idx="118">
                  <c:v>188.40002708568704</c:v>
                </c:pt>
                <c:pt idx="119">
                  <c:v>188.67931750038861</c:v>
                </c:pt>
                <c:pt idx="120">
                  <c:v>188.99289727752256</c:v>
                </c:pt>
                <c:pt idx="121">
                  <c:v>189.30148764804642</c:v>
                </c:pt>
                <c:pt idx="122">
                  <c:v>189.57688169489833</c:v>
                </c:pt>
                <c:pt idx="123">
                  <c:v>189.83171090832272</c:v>
                </c:pt>
                <c:pt idx="124">
                  <c:v>190.07529586329969</c:v>
                </c:pt>
                <c:pt idx="125">
                  <c:v>190.30816135623022</c:v>
                </c:pt>
                <c:pt idx="126">
                  <c:v>190.57228637028877</c:v>
                </c:pt>
                <c:pt idx="127">
                  <c:v>190.75545614148365</c:v>
                </c:pt>
                <c:pt idx="128">
                  <c:v>190.96720895445895</c:v>
                </c:pt>
                <c:pt idx="129">
                  <c:v>191.1478199088678</c:v>
                </c:pt>
                <c:pt idx="130">
                  <c:v>191.35493416275077</c:v>
                </c:pt>
                <c:pt idx="131">
                  <c:v>191.52593620463924</c:v>
                </c:pt>
                <c:pt idx="132">
                  <c:v>191.67208673791311</c:v>
                </c:pt>
                <c:pt idx="133">
                  <c:v>191.80441035001559</c:v>
                </c:pt>
                <c:pt idx="134">
                  <c:v>191.88479779788977</c:v>
                </c:pt>
                <c:pt idx="135">
                  <c:v>192.01290463140373</c:v>
                </c:pt>
                <c:pt idx="136">
                  <c:v>192.07942349286569</c:v>
                </c:pt>
                <c:pt idx="137">
                  <c:v>192.1440189249669</c:v>
                </c:pt>
                <c:pt idx="138">
                  <c:v>192.15560676214918</c:v>
                </c:pt>
                <c:pt idx="139">
                  <c:v>192.15365457527682</c:v>
                </c:pt>
                <c:pt idx="140">
                  <c:v>192.16561897210309</c:v>
                </c:pt>
                <c:pt idx="141">
                  <c:v>192.14336366065237</c:v>
                </c:pt>
                <c:pt idx="142">
                  <c:v>192.06123995989702</c:v>
                </c:pt>
                <c:pt idx="143">
                  <c:v>191.98710545335027</c:v>
                </c:pt>
                <c:pt idx="144">
                  <c:v>191.89387805013342</c:v>
                </c:pt>
                <c:pt idx="145">
                  <c:v>191.74186242252117</c:v>
                </c:pt>
                <c:pt idx="146">
                  <c:v>191.59693652610935</c:v>
                </c:pt>
                <c:pt idx="147">
                  <c:v>191.4563057726188</c:v>
                </c:pt>
                <c:pt idx="148">
                  <c:v>191.25651764950226</c:v>
                </c:pt>
                <c:pt idx="149">
                  <c:v>191.03853708137035</c:v>
                </c:pt>
                <c:pt idx="150">
                  <c:v>190.83368527335122</c:v>
                </c:pt>
                <c:pt idx="151">
                  <c:v>190.58974463648593</c:v>
                </c:pt>
                <c:pt idx="152">
                  <c:v>190.31406379804369</c:v>
                </c:pt>
                <c:pt idx="153">
                  <c:v>190.0192788304422</c:v>
                </c:pt>
                <c:pt idx="154">
                  <c:v>189.72335095624649</c:v>
                </c:pt>
                <c:pt idx="155">
                  <c:v>189.39008994380825</c:v>
                </c:pt>
                <c:pt idx="156">
                  <c:v>189.05006855655759</c:v>
                </c:pt>
                <c:pt idx="157">
                  <c:v>188.70936814497301</c:v>
                </c:pt>
                <c:pt idx="158">
                  <c:v>188.32434920310524</c:v>
                </c:pt>
                <c:pt idx="159">
                  <c:v>187.94014875647892</c:v>
                </c:pt>
                <c:pt idx="160">
                  <c:v>187.55266862154301</c:v>
                </c:pt>
                <c:pt idx="161">
                  <c:v>187.15388531984638</c:v>
                </c:pt>
                <c:pt idx="162">
                  <c:v>186.75084738907421</c:v>
                </c:pt>
                <c:pt idx="163">
                  <c:v>186.33345824555371</c:v>
                </c:pt>
                <c:pt idx="164">
                  <c:v>185.90710011393347</c:v>
                </c:pt>
                <c:pt idx="165">
                  <c:v>185.4888462578628</c:v>
                </c:pt>
                <c:pt idx="166">
                  <c:v>185.06342233741938</c:v>
                </c:pt>
                <c:pt idx="167">
                  <c:v>184.63754975651938</c:v>
                </c:pt>
                <c:pt idx="168">
                  <c:v>184.17984086156616</c:v>
                </c:pt>
                <c:pt idx="169">
                  <c:v>183.77917563399308</c:v>
                </c:pt>
                <c:pt idx="170">
                  <c:v>183.32836643315588</c:v>
                </c:pt>
                <c:pt idx="171">
                  <c:v>182.93033628595248</c:v>
                </c:pt>
                <c:pt idx="172">
                  <c:v>182.48974181398142</c:v>
                </c:pt>
                <c:pt idx="173">
                  <c:v>182.05247704854796</c:v>
                </c:pt>
                <c:pt idx="174">
                  <c:v>181.67317569859486</c:v>
                </c:pt>
                <c:pt idx="175">
                  <c:v>181.25067874640155</c:v>
                </c:pt>
                <c:pt idx="176">
                  <c:v>180.85862993473819</c:v>
                </c:pt>
                <c:pt idx="177">
                  <c:v>180.43347061698597</c:v>
                </c:pt>
                <c:pt idx="178">
                  <c:v>180.05573920427497</c:v>
                </c:pt>
                <c:pt idx="179">
                  <c:v>179.67511692285976</c:v>
                </c:pt>
                <c:pt idx="180">
                  <c:v>179.27700873372723</c:v>
                </c:pt>
                <c:pt idx="181">
                  <c:v>178.90971123814651</c:v>
                </c:pt>
                <c:pt idx="182">
                  <c:v>178.52205849177051</c:v>
                </c:pt>
                <c:pt idx="183">
                  <c:v>178.18228300833235</c:v>
                </c:pt>
                <c:pt idx="184">
                  <c:v>177.80544248630721</c:v>
                </c:pt>
                <c:pt idx="185">
                  <c:v>177.44078894128279</c:v>
                </c:pt>
                <c:pt idx="186">
                  <c:v>177.10069244517524</c:v>
                </c:pt>
                <c:pt idx="187">
                  <c:v>176.76997123188775</c:v>
                </c:pt>
                <c:pt idx="188">
                  <c:v>176.42447004621403</c:v>
                </c:pt>
                <c:pt idx="189">
                  <c:v>176.11175074463824</c:v>
                </c:pt>
                <c:pt idx="190">
                  <c:v>175.83378490857589</c:v>
                </c:pt>
                <c:pt idx="191">
                  <c:v>175.55789809101935</c:v>
                </c:pt>
                <c:pt idx="192">
                  <c:v>175.28252685966419</c:v>
                </c:pt>
                <c:pt idx="193">
                  <c:v>175.00014575609637</c:v>
                </c:pt>
                <c:pt idx="194">
                  <c:v>174.76541406111818</c:v>
                </c:pt>
                <c:pt idx="195">
                  <c:v>174.54527575325662</c:v>
                </c:pt>
                <c:pt idx="196">
                  <c:v>174.34344564147648</c:v>
                </c:pt>
                <c:pt idx="197">
                  <c:v>174.11199133295671</c:v>
                </c:pt>
                <c:pt idx="198">
                  <c:v>173.95773896270308</c:v>
                </c:pt>
                <c:pt idx="199">
                  <c:v>173.81149831033247</c:v>
                </c:pt>
                <c:pt idx="200">
                  <c:v>173.66419443684282</c:v>
                </c:pt>
                <c:pt idx="201">
                  <c:v>173.54860126903824</c:v>
                </c:pt>
                <c:pt idx="202">
                  <c:v>173.48111746870961</c:v>
                </c:pt>
                <c:pt idx="203">
                  <c:v>173.40026119266332</c:v>
                </c:pt>
                <c:pt idx="204">
                  <c:v>173.31825522602335</c:v>
                </c:pt>
                <c:pt idx="205">
                  <c:v>173.2721574014499</c:v>
                </c:pt>
                <c:pt idx="206">
                  <c:v>173.24144757080543</c:v>
                </c:pt>
                <c:pt idx="207">
                  <c:v>173.23935384735938</c:v>
                </c:pt>
                <c:pt idx="208">
                  <c:v>173.24080207812921</c:v>
                </c:pt>
                <c:pt idx="209">
                  <c:v>173.27644255142002</c:v>
                </c:pt>
                <c:pt idx="210">
                  <c:v>173.29659856314561</c:v>
                </c:pt>
                <c:pt idx="211">
                  <c:v>173.29895643221315</c:v>
                </c:pt>
                <c:pt idx="212">
                  <c:v>173.35319367290688</c:v>
                </c:pt>
                <c:pt idx="213">
                  <c:v>173.41763969932103</c:v>
                </c:pt>
                <c:pt idx="214">
                  <c:v>173.46473327315044</c:v>
                </c:pt>
                <c:pt idx="215">
                  <c:v>173.52852808800682</c:v>
                </c:pt>
                <c:pt idx="216">
                  <c:v>173.5522833869739</c:v>
                </c:pt>
                <c:pt idx="217">
                  <c:v>173.62927000099049</c:v>
                </c:pt>
                <c:pt idx="218">
                  <c:v>173.7022389438857</c:v>
                </c:pt>
                <c:pt idx="219">
                  <c:v>173.76215053676512</c:v>
                </c:pt>
                <c:pt idx="220">
                  <c:v>173.83792592163721</c:v>
                </c:pt>
                <c:pt idx="221">
                  <c:v>173.8802687158138</c:v>
                </c:pt>
                <c:pt idx="222">
                  <c:v>173.96154458333908</c:v>
                </c:pt>
                <c:pt idx="223">
                  <c:v>174.00768711097211</c:v>
                </c:pt>
                <c:pt idx="224">
                  <c:v>174.0804471361015</c:v>
                </c:pt>
                <c:pt idx="225">
                  <c:v>174.17099375217242</c:v>
                </c:pt>
                <c:pt idx="226">
                  <c:v>174.22425997698167</c:v>
                </c:pt>
                <c:pt idx="227">
                  <c:v>174.3131951345992</c:v>
                </c:pt>
                <c:pt idx="228">
                  <c:v>174.39566527259515</c:v>
                </c:pt>
                <c:pt idx="229">
                  <c:v>174.48485170425991</c:v>
                </c:pt>
                <c:pt idx="230">
                  <c:v>174.54342616159605</c:v>
                </c:pt>
                <c:pt idx="231">
                  <c:v>174.62804821203838</c:v>
                </c:pt>
                <c:pt idx="232">
                  <c:v>174.69140686468515</c:v>
                </c:pt>
                <c:pt idx="233">
                  <c:v>174.75201388608633</c:v>
                </c:pt>
                <c:pt idx="234">
                  <c:v>174.7949579603906</c:v>
                </c:pt>
                <c:pt idx="235">
                  <c:v>174.8869879041961</c:v>
                </c:pt>
                <c:pt idx="236">
                  <c:v>174.90844614568911</c:v>
                </c:pt>
                <c:pt idx="237">
                  <c:v>174.96045541975292</c:v>
                </c:pt>
                <c:pt idx="238">
                  <c:v>174.98598642378496</c:v>
                </c:pt>
                <c:pt idx="239">
                  <c:v>175.05410386767994</c:v>
                </c:pt>
                <c:pt idx="240">
                  <c:v>175.05589986884891</c:v>
                </c:pt>
              </c:numCache>
            </c:numRef>
          </c:yVal>
          <c:smooth val="0"/>
          <c:extLst>
            <c:ext xmlns:c16="http://schemas.microsoft.com/office/drawing/2014/chart" uri="{C3380CC4-5D6E-409C-BE32-E72D297353CC}">
              <c16:uniqueId val="{00000003-36A8-4521-81E2-090CCB1C3FF8}"/>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title>
          <c:tx>
            <c:rich>
              <a:bodyPr/>
              <a:lstStyle/>
              <a:p>
                <a:pPr>
                  <a:defRPr/>
                </a:pPr>
                <a:r>
                  <a:t>Along-track position x (km)</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Two-way delay after surface return (us)</a:t>
                </a:r>
              </a:p>
            </c:rich>
          </c:tx>
          <c:overlay val="1"/>
        </c:title>
        <c:numFmt formatCode="General" sourceLinked="1"/>
        <c:majorTickMark val="none"/>
        <c:minorTickMark val="none"/>
        <c:tickLblPos val="nextTo"/>
        <c:crossAx val="10"/>
        <c:crosses val="min"/>
        <c:crossBetween val="midCat"/>
      </c:valAx>
    </c:plotArea>
    <c:legend>
      <c:legendPos val="b"/>
      <c:overlay val="1"/>
      <c:txPr>
        <a:bodyPr/>
        <a:lstStyle/>
        <a:p>
          <a:pPr>
            <a:defRPr sz="800"/>
          </a:pPr>
          <a:endParaRPr lang="en-US"/>
        </a:p>
      </c:txPr>
    </c:legend>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Detectability Margin vs Threshold</a:t>
            </a:r>
          </a:p>
        </c:rich>
      </c:tx>
      <c:overlay val="1"/>
    </c:title>
    <c:autoTitleDeleted val="0"/>
    <c:plotArea>
      <c:layout/>
      <c:scatterChart>
        <c:scatterStyle val="lineMarker"/>
        <c:varyColors val="1"/>
        <c:ser>
          <c:idx val="0"/>
          <c:order val="0"/>
          <c:tx>
            <c:v>Lens echo margin</c:v>
          </c:tx>
          <c:spPr>
            <a:ln w="22000">
              <a:solidFill>
                <a:srgbClr val="D49A22"/>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Subsurface_Live_Data!$X$2:$X$242</c:f>
              <c:numCache>
                <c:formatCode>0.000</c:formatCode>
                <c:ptCount val="241"/>
                <c:pt idx="0">
                  <c:v>10.952836472302153</c:v>
                </c:pt>
                <c:pt idx="1">
                  <c:v>10.944054447678369</c:v>
                </c:pt>
                <c:pt idx="2">
                  <c:v>10.937059523671223</c:v>
                </c:pt>
                <c:pt idx="3">
                  <c:v>10.93194128814892</c:v>
                </c:pt>
                <c:pt idx="4">
                  <c:v>10.928797138026908</c:v>
                </c:pt>
                <c:pt idx="5">
                  <c:v>10.927733189025219</c:v>
                </c:pt>
                <c:pt idx="6">
                  <c:v>10.92886521758934</c:v>
                </c:pt>
                <c:pt idx="7">
                  <c:v>10.932319624829589</c:v>
                </c:pt>
                <c:pt idx="8">
                  <c:v>10.938234410084853</c:v>
                </c:pt>
                <c:pt idx="9">
                  <c:v>10.94676013932515</c:v>
                </c:pt>
                <c:pt idx="10">
                  <c:v>10.958060891105639</c:v>
                </c:pt>
                <c:pt idx="11">
                  <c:v>10.972315160214364</c:v>
                </c:pt>
                <c:pt idx="12">
                  <c:v>10.989716696566205</c:v>
                </c:pt>
                <c:pt idx="13">
                  <c:v>11.010475254347504</c:v>
                </c:pt>
                <c:pt idx="14">
                  <c:v>11.034817223976219</c:v>
                </c:pt>
                <c:pt idx="15">
                  <c:v>11.062986117191173</c:v>
                </c:pt>
                <c:pt idx="16">
                  <c:v>11.095242873603311</c:v>
                </c:pt>
                <c:pt idx="17">
                  <c:v>11.131865955426107</c:v>
                </c:pt>
                <c:pt idx="18">
                  <c:v>11.173151195946176</c:v>
                </c:pt>
                <c:pt idx="19">
                  <c:v>11.219411366699489</c:v>
                </c:pt>
                <c:pt idx="20">
                  <c:v>11.270975428381853</c:v>
                </c:pt>
                <c:pt idx="21">
                  <c:v>11.328187431343508</c:v>
                </c:pt>
                <c:pt idx="22">
                  <c:v>11.391405033186537</c:v>
                </c:pt>
                <c:pt idx="23">
                  <c:v>11.460997603583998</c:v>
                </c:pt>
                <c:pt idx="24">
                  <c:v>11.537343890039466</c:v>
                </c:pt>
                <c:pt idx="25">
                  <c:v>11.620829222958172</c:v>
                </c:pt>
                <c:pt idx="26">
                  <c:v>11.711842244136719</c:v>
                </c:pt>
                <c:pt idx="27">
                  <c:v>11.810771149605472</c:v>
                </c:pt>
                <c:pt idx="28">
                  <c:v>11.917999445654289</c:v>
                </c:pt>
                <c:pt idx="29">
                  <c:v>12.033901225786963</c:v>
                </c:pt>
                <c:pt idx="30">
                  <c:v>12.15883598619677</c:v>
                </c:pt>
                <c:pt idx="31">
                  <c:v>12.293143008014596</c:v>
                </c:pt>
                <c:pt idx="32">
                  <c:v>12.437135345895683</c:v>
                </c:pt>
                <c:pt idx="33">
                  <c:v>12.591093474289067</c:v>
                </c:pt>
                <c:pt idx="34">
                  <c:v>12.755258654749312</c:v>
                </c:pt>
                <c:pt idx="35">
                  <c:v>12.929826099644799</c:v>
                </c:pt>
                <c:pt idx="36">
                  <c:v>13.114938019306326</c:v>
                </c:pt>
                <c:pt idx="37">
                  <c:v>13.310676650735044</c:v>
                </c:pt>
                <c:pt idx="38">
                  <c:v>13.517057376127681</c:v>
                </c:pt>
                <c:pt idx="39">
                  <c:v>13.734022048347249</c:v>
                </c:pt>
                <c:pt idx="40">
                  <c:v>13.961432647737841</c:v>
                </c:pt>
                <c:pt idx="41">
                  <c:v>14.199065400032573</c:v>
                </c:pt>
                <c:pt idx="42">
                  <c:v>14.446605488232656</c:v>
                </c:pt>
                <c:pt idx="43">
                  <c:v>14.703642491973824</c:v>
                </c:pt>
                <c:pt idx="44">
                  <c:v>14.969666685814744</c:v>
                </c:pt>
                <c:pt idx="45">
                  <c:v>15.244066322903215</c:v>
                </c:pt>
                <c:pt idx="46">
                  <c:v>15.526126022482643</c:v>
                </c:pt>
                <c:pt idx="47">
                  <c:v>15.815026368645476</c:v>
                </c:pt>
                <c:pt idx="48">
                  <c:v>16.109844813648781</c:v>
                </c:pt>
                <c:pt idx="49">
                  <c:v>16.409557962087369</c:v>
                </c:pt>
                <c:pt idx="50">
                  <c:v>16.713045292462482</c:v>
                </c:pt>
                <c:pt idx="51">
                  <c:v>17.019094350462716</c:v>
                </c:pt>
                <c:pt idx="52">
                  <c:v>17.326407423944126</c:v>
                </c:pt>
                <c:pt idx="53">
                  <c:v>17.633609683589604</c:v>
                </c:pt>
                <c:pt idx="54">
                  <c:v>17.939258746045365</c:v>
                </c:pt>
                <c:pt idx="55">
                  <c:v>18.241855588533166</c:v>
                </c:pt>
                <c:pt idx="56">
                  <c:v>18.53985671612903</c:v>
                </c:pt>
                <c:pt idx="57">
                  <c:v>18.831687455719347</c:v>
                </c:pt>
                <c:pt idx="58">
                  <c:v>19.115756224749099</c:v>
                </c:pt>
                <c:pt idx="59">
                  <c:v>19.39046959891661</c:v>
                </c:pt>
                <c:pt idx="60">
                  <c:v>19.654247981576553</c:v>
                </c:pt>
                <c:pt idx="61">
                  <c:v>19.905541659383019</c:v>
                </c:pt>
                <c:pt idx="62">
                  <c:v>20.142847014172691</c:v>
                </c:pt>
                <c:pt idx="63">
                  <c:v>20.364722650718612</c:v>
                </c:pt>
                <c:pt idx="64">
                  <c:v>20.569805194150767</c:v>
                </c:pt>
                <c:pt idx="65">
                  <c:v>20.756824509810972</c:v>
                </c:pt>
                <c:pt idx="66">
                  <c:v>20.924618102244466</c:v>
                </c:pt>
                <c:pt idx="67">
                  <c:v>21.072144458964026</c:v>
                </c:pt>
                <c:pt idx="68">
                  <c:v>21.198495118466688</c:v>
                </c:pt>
                <c:pt idx="69">
                  <c:v>21.302905260523154</c:v>
                </c:pt>
                <c:pt idx="70">
                  <c:v>21.384762639659481</c:v>
                </c:pt>
                <c:pt idx="71">
                  <c:v>21.443614709558858</c:v>
                </c:pt>
                <c:pt idx="72">
                  <c:v>21.479173816271999</c:v>
                </c:pt>
                <c:pt idx="73">
                  <c:v>21.491320370993172</c:v>
                </c:pt>
                <c:pt idx="74">
                  <c:v>21.48010394801528</c:v>
                </c:pt>
                <c:pt idx="75">
                  <c:v>21.445742289549454</c:v>
                </c:pt>
                <c:pt idx="76">
                  <c:v>21.388618235575407</c:v>
                </c:pt>
                <c:pt idx="77">
                  <c:v>21.309274632961195</c:v>
                </c:pt>
                <c:pt idx="78">
                  <c:v>21.208407312948705</c:v>
                </c:pt>
                <c:pt idx="79">
                  <c:v>21.08685625897105</c:v>
                </c:pt>
                <c:pt idx="80">
                  <c:v>20.94559511693128</c:v>
                </c:pt>
                <c:pt idx="81">
                  <c:v>20.785719226882957</c:v>
                </c:pt>
                <c:pt idx="82">
                  <c:v>20.608432377956785</c:v>
                </c:pt>
                <c:pt idx="83">
                  <c:v>20.41503250692276</c:v>
                </c:pt>
                <c:pt idx="84">
                  <c:v>20.206896574628121</c:v>
                </c:pt>
                <c:pt idx="85">
                  <c:v>19.985464863493675</c:v>
                </c:pt>
                <c:pt idx="86">
                  <c:v>19.752224943196602</c:v>
                </c:pt>
                <c:pt idx="87">
                  <c:v>19.508695550653229</c:v>
                </c:pt>
                <c:pt idx="88">
                  <c:v>19.25641062459864</c:v>
                </c:pt>
                <c:pt idx="89">
                  <c:v>18.996903724712443</c:v>
                </c:pt>
                <c:pt idx="90">
                  <c:v>18.731693050737071</c:v>
                </c:pt>
                <c:pt idx="91">
                  <c:v>18.462267258839827</c:v>
                </c:pt>
                <c:pt idx="92">
                  <c:v>18.190072251122348</c:v>
                </c:pt>
                <c:pt idx="93">
                  <c:v>17.916499090276467</c:v>
                </c:pt>
                <c:pt idx="94">
                  <c:v>17.642873165558129</c:v>
                </c:pt>
                <c:pt idx="95">
                  <c:v>17.370444709157717</c:v>
                </c:pt>
                <c:pt idx="96">
                  <c:v>17.100380734342231</c:v>
                </c:pt>
                <c:pt idx="97">
                  <c:v>16.833758439075279</c:v>
                </c:pt>
                <c:pt idx="98">
                  <c:v>16.571560091795448</c:v>
                </c:pt>
                <c:pt idx="99">
                  <c:v>16.314669390216686</c:v>
                </c:pt>
                <c:pt idx="100">
                  <c:v>16.063869259911854</c:v>
                </c:pt>
                <c:pt idx="101">
                  <c:v>15.819841037489528</c:v>
                </c:pt>
                <c:pt idx="102">
                  <c:v>15.583164963735317</c:v>
                </c:pt>
                <c:pt idx="103">
                  <c:v>15.354321895441132</c:v>
                </c:pt>
                <c:pt idx="104">
                  <c:v>15.13369613098466</c:v>
                </c:pt>
                <c:pt idx="105">
                  <c:v>14.921579234157591</c:v>
                </c:pt>
                <c:pt idx="106">
                  <c:v>14.718174733304274</c:v>
                </c:pt>
                <c:pt idx="107">
                  <c:v>14.523603568475075</c:v>
                </c:pt>
                <c:pt idx="108">
                  <c:v>14.337910157900254</c:v>
                </c:pt>
                <c:pt idx="109">
                  <c:v>14.161068956467403</c:v>
                </c:pt>
                <c:pt idx="110">
                  <c:v>13.992991382799218</c:v>
                </c:pt>
                <c:pt idx="111">
                  <c:v>13.833532997691151</c:v>
                </c:pt>
                <c:pt idx="112">
                  <c:v>13.68250082475744</c:v>
                </c:pt>
                <c:pt idx="113">
                  <c:v>13.539660713796572</c:v>
                </c:pt>
                <c:pt idx="114">
                  <c:v>13.404744658252852</c:v>
                </c:pt>
                <c:pt idx="115">
                  <c:v>13.27745798983797</c:v>
                </c:pt>
                <c:pt idx="116">
                  <c:v>13.157486385502175</c:v>
                </c:pt>
                <c:pt idx="117">
                  <c:v>13.044502634131028</c:v>
                </c:pt>
                <c:pt idx="118">
                  <c:v>12.938173122224349</c:v>
                </c:pt>
                <c:pt idx="119">
                  <c:v>12.838164009041982</c:v>
                </c:pt>
                <c:pt idx="120">
                  <c:v>12.744147071951353</c:v>
                </c:pt>
                <c:pt idx="121">
                  <c:v>12.655805211690961</c:v>
                </c:pt>
                <c:pt idx="122">
                  <c:v>12.572837614709385</c:v>
                </c:pt>
                <c:pt idx="123">
                  <c:v>12.494964575430025</c:v>
                </c:pt>
                <c:pt idx="124">
                  <c:v>12.421931985047692</c:v>
                </c:pt>
                <c:pt idx="125">
                  <c:v>12.35351549515601</c:v>
                </c:pt>
                <c:pt idx="126">
                  <c:v>12.289524364056305</c:v>
                </c:pt>
                <c:pt idx="127">
                  <c:v>12.229804990995248</c:v>
                </c:pt>
                <c:pt idx="128">
                  <c:v>12.174244138867159</c:v>
                </c:pt>
                <c:pt idx="129">
                  <c:v>12.122771839219041</c:v>
                </c:pt>
                <c:pt idx="130">
                  <c:v>12.075363964906217</c:v>
                </c:pt>
                <c:pt idx="131">
                  <c:v>12.032044445742287</c:v>
                </c:pt>
                <c:pt idx="132">
                  <c:v>11.992887091325358</c:v>
                </c:pt>
                <c:pt idx="133">
                  <c:v>11.958016973347988</c:v>
                </c:pt>
                <c:pt idx="134">
                  <c:v>11.927611307633811</c:v>
                </c:pt>
                <c:pt idx="135">
                  <c:v>11.901899764489706</c:v>
                </c:pt>
                <c:pt idx="136">
                  <c:v>11.881164125385503</c:v>
                </c:pt>
                <c:pt idx="137">
                  <c:v>11.865737195191137</c:v>
                </c:pt>
                <c:pt idx="138">
                  <c:v>11.856000872965367</c:v>
                </c:pt>
                <c:pt idx="139">
                  <c:v>11.852383281359785</c:v>
                </c:pt>
                <c:pt idx="140">
                  <c:v>11.855354855814049</c:v>
                </c:pt>
                <c:pt idx="141">
                  <c:v>11.865423300555392</c:v>
                </c:pt>
                <c:pt idx="142">
                  <c:v>11.883127329566541</c:v>
                </c:pt>
                <c:pt idx="143">
                  <c:v>11.909029127605393</c:v>
                </c:pt>
                <c:pt idx="144">
                  <c:v>11.943705489328771</c:v>
                </c:pt>
                <c:pt idx="145">
                  <c:v>11.987737623657246</c:v>
                </c:pt>
                <c:pt idx="146">
                  <c:v>12.041699645535047</c:v>
                </c:pt>
                <c:pt idx="147">
                  <c:v>12.106145817725157</c:v>
                </c:pt>
                <c:pt idx="148">
                  <c:v>12.181596650470922</c:v>
                </c:pt>
                <c:pt idx="149">
                  <c:v>12.268524015677329</c:v>
                </c:pt>
                <c:pt idx="150">
                  <c:v>12.367335483337293</c:v>
                </c:pt>
                <c:pt idx="151">
                  <c:v>12.478358139583491</c:v>
                </c:pt>
                <c:pt idx="152">
                  <c:v>12.601822196067168</c:v>
                </c:pt>
                <c:pt idx="153">
                  <c:v>12.737844747237688</c:v>
                </c:pt>
                <c:pt idx="154">
                  <c:v>12.886414073279667</c:v>
                </c:pt>
                <c:pt idx="155">
                  <c:v>13.047374919676177</c:v>
                </c:pt>
                <c:pt idx="156">
                  <c:v>13.220415207381862</c:v>
                </c:pt>
                <c:pt idx="157">
                  <c:v>13.405054638347647</c:v>
                </c:pt>
                <c:pt idx="158">
                  <c:v>13.600635657852443</c:v>
                </c:pt>
                <c:pt idx="159">
                  <c:v>13.806317216367262</c:v>
                </c:pt>
                <c:pt idx="160">
                  <c:v>14.021071738590685</c:v>
                </c:pt>
                <c:pt idx="161">
                  <c:v>14.243685655520402</c:v>
                </c:pt>
                <c:pt idx="162">
                  <c:v>14.472763787280471</c:v>
                </c:pt>
                <c:pt idx="163">
                  <c:v>14.706737780922747</c:v>
                </c:pt>
                <c:pt idx="164">
                  <c:v>14.943878710290349</c:v>
                </c:pt>
                <c:pt idx="165">
                  <c:v>15.18231383669486</c:v>
                </c:pt>
                <c:pt idx="166">
                  <c:v>15.420047412685456</c:v>
                </c:pt>
                <c:pt idx="167">
                  <c:v>15.654985290203484</c:v>
                </c:pt>
                <c:pt idx="168">
                  <c:v>15.884962972985548</c:v>
                </c:pt>
                <c:pt idx="169">
                  <c:v>16.107776635553435</c:v>
                </c:pt>
                <c:pt idx="170">
                  <c:v>16.321216521980297</c:v>
                </c:pt>
                <c:pt idx="171">
                  <c:v>16.523102041240879</c:v>
                </c:pt>
                <c:pt idx="172">
                  <c:v>16.711317796464055</c:v>
                </c:pt>
                <c:pt idx="173">
                  <c:v>16.883849726462984</c:v>
                </c:pt>
                <c:pt idx="174">
                  <c:v>17.038820502532076</c:v>
                </c:pt>
                <c:pt idx="175">
                  <c:v>17.174523313870626</c:v>
                </c:pt>
                <c:pt idx="176">
                  <c:v>17.289453192387093</c:v>
                </c:pt>
                <c:pt idx="177">
                  <c:v>17.382335072296907</c:v>
                </c:pt>
                <c:pt idx="178">
                  <c:v>17.452147851027028</c:v>
                </c:pt>
                <c:pt idx="179">
                  <c:v>17.498143813596212</c:v>
                </c:pt>
                <c:pt idx="180">
                  <c:v>17.519862899963371</c:v>
                </c:pt>
                <c:pt idx="181">
                  <c:v>17.517141430038293</c:v>
                </c:pt>
                <c:pt idx="182">
                  <c:v>17.490115049590884</c:v>
                </c:pt>
                <c:pt idx="183">
                  <c:v>17.439215817072864</c:v>
                </c:pt>
                <c:pt idx="184">
                  <c:v>17.36516351092536</c:v>
                </c:pt>
                <c:pt idx="185">
                  <c:v>17.268951393713433</c:v>
                </c:pt>
                <c:pt idx="186">
                  <c:v>17.151826817949988</c:v>
                </c:pt>
                <c:pt idx="187">
                  <c:v>17.015267193642678</c:v>
                </c:pt>
                <c:pt idx="188">
                  <c:v>16.860951954878772</c:v>
                </c:pt>
                <c:pt idx="189">
                  <c:v>16.690731258366558</c:v>
                </c:pt>
                <c:pt idx="190">
                  <c:v>16.506592217887381</c:v>
                </c:pt>
                <c:pt idx="191">
                  <c:v>16.310623523195719</c:v>
                </c:pt>
                <c:pt idx="192">
                  <c:v>16.10497930921013</c:v>
                </c:pt>
                <c:pt idx="193">
                  <c:v>15.891843131608262</c:v>
                </c:pt>
                <c:pt idx="194">
                  <c:v>15.673392869438597</c:v>
                </c:pt>
                <c:pt idx="195">
                  <c:v>15.451767316293434</c:v>
                </c:pt>
                <c:pt idx="196">
                  <c:v>15.229035141958121</c:v>
                </c:pt>
                <c:pt idx="197">
                  <c:v>15.007166809920378</c:v>
                </c:pt>
                <c:pt idx="198">
                  <c:v>14.788009926812329</c:v>
                </c:pt>
                <c:pt idx="199">
                  <c:v>14.573268382162524</c:v>
                </c:pt>
                <c:pt idx="200">
                  <c:v>14.364485515226573</c:v>
                </c:pt>
                <c:pt idx="201">
                  <c:v>14.163031424497486</c:v>
                </c:pt>
                <c:pt idx="202">
                  <c:v>13.970094418840084</c:v>
                </c:pt>
                <c:pt idx="203">
                  <c:v>13.786676500677693</c:v>
                </c:pt>
                <c:pt idx="204">
                  <c:v>13.613592674358344</c:v>
                </c:pt>
                <c:pt idx="205">
                  <c:v>13.451473789172098</c:v>
                </c:pt>
                <c:pt idx="206">
                  <c:v>13.300772558215034</c:v>
                </c:pt>
                <c:pt idx="207">
                  <c:v>13.161772342423362</c:v>
                </c:pt>
                <c:pt idx="208">
                  <c:v>13.034598253959842</c:v>
                </c:pt>
                <c:pt idx="209">
                  <c:v>12.91923011440398</c:v>
                </c:pt>
                <c:pt idx="210">
                  <c:v>12.815516799978347</c:v>
                </c:pt>
                <c:pt idx="211">
                  <c:v>12.723191516948411</c:v>
                </c:pt>
                <c:pt idx="212">
                  <c:v>12.641887573591617</c:v>
                </c:pt>
                <c:pt idx="213">
                  <c:v>12.571154248696168</c:v>
                </c:pt>
                <c:pt idx="214">
                  <c:v>12.510472398211881</c:v>
                </c:pt>
                <c:pt idx="215">
                  <c:v>12.459269489167632</c:v>
                </c:pt>
                <c:pt idx="216">
                  <c:v>12.416933801065781</c:v>
                </c:pt>
                <c:pt idx="217">
                  <c:v>12.38282758756344</c:v>
                </c:pt>
                <c:pt idx="218">
                  <c:v>12.356299043447024</c:v>
                </c:pt>
                <c:pt idx="219">
                  <c:v>12.336692972042016</c:v>
                </c:pt>
                <c:pt idx="220">
                  <c:v>12.323360094900039</c:v>
                </c:pt>
                <c:pt idx="221">
                  <c:v>12.315664987796254</c:v>
                </c:pt>
                <c:pt idx="222">
                  <c:v>12.312992663984872</c:v>
                </c:pt>
                <c:pt idx="223">
                  <c:v>12.314753856825817</c:v>
                </c:pt>
                <c:pt idx="224">
                  <c:v>12.320389079111493</c:v>
                </c:pt>
                <c:pt idx="225">
                  <c:v>12.329371555731591</c:v>
                </c:pt>
                <c:pt idx="226">
                  <c:v>12.341209139964242</c:v>
                </c:pt>
                <c:pt idx="227">
                  <c:v>12.355445332087811</c:v>
                </c:pt>
                <c:pt idx="228">
                  <c:v>12.371659522707134</c:v>
                </c:pt>
                <c:pt idx="229">
                  <c:v>12.389466582804019</c:v>
                </c:pt>
                <c:pt idx="230">
                  <c:v>12.408515918722863</c:v>
                </c:pt>
                <c:pt idx="231">
                  <c:v>12.428490103770301</c:v>
                </c:pt>
                <c:pt idx="232">
                  <c:v>12.449103189508605</c:v>
                </c:pt>
                <c:pt idx="233">
                  <c:v>12.470098789782639</c:v>
                </c:pt>
                <c:pt idx="234">
                  <c:v>12.491248019609515</c:v>
                </c:pt>
                <c:pt idx="235">
                  <c:v>12.512347359779255</c:v>
                </c:pt>
                <c:pt idx="236">
                  <c:v>12.533216506787511</c:v>
                </c:pt>
                <c:pt idx="237">
                  <c:v>12.553696256893964</c:v>
                </c:pt>
                <c:pt idx="238">
                  <c:v>12.573646462939188</c:v>
                </c:pt>
                <c:pt idx="239">
                  <c:v>12.592944093252214</c:v>
                </c:pt>
                <c:pt idx="240">
                  <c:v>12.611481413668415</c:v>
                </c:pt>
              </c:numCache>
            </c:numRef>
          </c:yVal>
          <c:smooth val="0"/>
          <c:extLst>
            <c:ext xmlns:c16="http://schemas.microsoft.com/office/drawing/2014/chart" uri="{C3380CC4-5D6E-409C-BE32-E72D297353CC}">
              <c16:uniqueId val="{00000000-834B-41E9-8BF3-E7AAE5666AF1}"/>
            </c:ext>
          </c:extLst>
        </c:ser>
        <c:ser>
          <c:idx val="1"/>
          <c:order val="1"/>
          <c:tx>
            <c:v>Ocean echo margin</c:v>
          </c:tx>
          <c:spPr>
            <a:ln w="22000">
              <a:solidFill>
                <a:srgbClr val="7048B8"/>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Subsurface_Live_Data!$Y$2:$Y$242</c:f>
              <c:numCache>
                <c:formatCode>0.000</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1-834B-41E9-8BF3-E7AAE5666AF1}"/>
            </c:ext>
          </c:extLst>
        </c:ser>
        <c:ser>
          <c:idx val="2"/>
          <c:order val="2"/>
          <c:tx>
            <c:v>Zero margin threshold</c:v>
          </c:tx>
          <c:spPr>
            <a:ln w="22000">
              <a:solidFill>
                <a:srgbClr val="C43A3A"/>
              </a:solidFill>
              <a:prstDash val="solid"/>
            </a:ln>
          </c:spPr>
          <c:marker>
            <c:symbol val="none"/>
          </c:marker>
          <c:xVal>
            <c:numRef>
              <c:f>Subsurface_Live_Data!$A$2:$A$242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Subsurface_Live_Data!$AA$2:$AA$242</c:f>
              <c:numCache>
                <c:formatCode>0.000</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834B-41E9-8BF3-E7AAE5666AF1}"/>
            </c:ext>
          </c:extLst>
        </c:ser>
        <c:dLbls>
          <c:showLegendKey val="0"/>
          <c:showVal val="0"/>
          <c:showCatName val="0"/>
          <c:showSerName val="0"/>
          <c:showPercent val="0"/>
          <c:showBubbleSize val="0"/>
        </c:dLbls>
        <c:axId val="10"/>
        <c:axId val="20"/>
      </c:scatterChart>
      <c:valAx>
        <c:axId val="10"/>
        <c:scaling>
          <c:orientation val="minMax"/>
          <c:max val="100"/>
          <c:min val="-100"/>
        </c:scaling>
        <c:delete val="1"/>
        <c:axPos val="b"/>
        <c:majorGridlines/>
        <c:title>
          <c:tx>
            <c:rich>
              <a:bodyPr/>
              <a:lstStyle/>
              <a:p>
                <a:pPr>
                  <a:defRPr/>
                </a:pPr>
                <a:r>
                  <a:t>Along-track position x (km)</a:t>
                </a:r>
              </a:p>
            </c:rich>
          </c:tx>
          <c:overlay val="1"/>
        </c:title>
        <c:numFmt formatCode="0.000"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Margin above threshold (dB)</a:t>
                </a:r>
              </a:p>
            </c:rich>
          </c:tx>
          <c:overlay val="1"/>
        </c:title>
        <c:numFmt formatCode="0.000" sourceLinked="1"/>
        <c:majorTickMark val="none"/>
        <c:minorTickMark val="none"/>
        <c:tickLblPos val="nextTo"/>
        <c:crossAx val="10"/>
        <c:crosses val="min"/>
        <c:crossBetween val="midCat"/>
      </c:valAx>
    </c:plotArea>
    <c:legend>
      <c:legendPos val="b"/>
      <c:overlay val="1"/>
      <c:txPr>
        <a:bodyPr/>
        <a:lstStyle/>
        <a:p>
          <a:pPr>
            <a:defRPr sz="800"/>
          </a:pPr>
          <a:endParaRPr lang="en-US"/>
        </a:p>
      </c:txPr>
    </c:legend>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Reflection Strength by Material / Interface</a:t>
            </a:r>
          </a:p>
        </c:rich>
      </c:tx>
      <c:overlay val="1"/>
    </c:title>
    <c:autoTitleDeleted val="0"/>
    <c:plotArea>
      <c:layout/>
      <c:scatterChart>
        <c:scatterStyle val="lineMarker"/>
        <c:varyColors val="1"/>
        <c:ser>
          <c:idx val="0"/>
          <c:order val="0"/>
          <c:tx>
            <c:v>Material/interface strength</c:v>
          </c:tx>
          <c:spPr>
            <a:ln w="22000">
              <a:solidFill>
                <a:srgbClr val="2F6DB3"/>
              </a:solidFill>
              <a:prstDash val="solid"/>
            </a:ln>
          </c:spPr>
          <c:marker>
            <c:symbol val="none"/>
          </c:marker>
          <c:xVal>
            <c:numRef>
              <c:f>Subsurface_Materials_Evidence!$G$2:$G$6</c:f>
              <c:numCache>
                <c:formatCode>General</c:formatCode>
                <c:ptCount val="5"/>
                <c:pt idx="0">
                  <c:v>1</c:v>
                </c:pt>
                <c:pt idx="1">
                  <c:v>2</c:v>
                </c:pt>
                <c:pt idx="2">
                  <c:v>3</c:v>
                </c:pt>
                <c:pt idx="3">
                  <c:v>4</c:v>
                </c:pt>
                <c:pt idx="4">
                  <c:v>5</c:v>
                </c:pt>
              </c:numCache>
            </c:numRef>
          </c:xVal>
          <c:yVal>
            <c:numRef>
              <c:f>Subsurface_Materials_Evidence!$H$2:$H$6</c:f>
              <c:numCache>
                <c:formatCode>General</c:formatCode>
                <c:ptCount val="5"/>
                <c:pt idx="0">
                  <c:v>-18</c:v>
                </c:pt>
                <c:pt idx="1">
                  <c:v>-14</c:v>
                </c:pt>
                <c:pt idx="2">
                  <c:v>-10</c:v>
                </c:pt>
                <c:pt idx="3">
                  <c:v>-6</c:v>
                </c:pt>
                <c:pt idx="4">
                  <c:v>-2</c:v>
                </c:pt>
              </c:numCache>
            </c:numRef>
          </c:yVal>
          <c:smooth val="0"/>
          <c:extLst>
            <c:ext xmlns:c16="http://schemas.microsoft.com/office/drawing/2014/chart" uri="{C3380CC4-5D6E-409C-BE32-E72D297353CC}">
              <c16:uniqueId val="{00000000-47F9-4993-BDAB-230E7E70E773}"/>
            </c:ext>
          </c:extLst>
        </c:ser>
        <c:dLbls>
          <c:showLegendKey val="0"/>
          <c:showVal val="0"/>
          <c:showCatName val="0"/>
          <c:showSerName val="0"/>
          <c:showPercent val="0"/>
          <c:showBubbleSize val="0"/>
        </c:dLbls>
        <c:axId val="10"/>
        <c:axId val="20"/>
      </c:scatterChart>
      <c:valAx>
        <c:axId val="10"/>
        <c:scaling>
          <c:orientation val="minMax"/>
          <c:max val="5"/>
          <c:min val="1"/>
        </c:scaling>
        <c:delete val="1"/>
        <c:axPos val="b"/>
        <c:majorGridlines/>
        <c:title>
          <c:tx>
            <c:rich>
              <a:bodyPr/>
              <a:lstStyle/>
              <a:p>
                <a:pPr>
                  <a:defRPr/>
                </a:pPr>
                <a:r>
                  <a:t>Material/interface index</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Reflection strength before depth loss (dB)</a:t>
                </a:r>
              </a:p>
            </c:rich>
          </c:tx>
          <c:overlay val="1"/>
        </c:title>
        <c:numFmt formatCode="General" sourceLinked="1"/>
        <c:majorTickMark val="none"/>
        <c:minorTickMark val="none"/>
        <c:tickLblPos val="nextTo"/>
        <c:crossAx val="10"/>
        <c:crosses val="min"/>
        <c:crossBetween val="midCat"/>
      </c:valAx>
    </c:plotArea>
    <c:plotVisOnly val="1"/>
    <c:dispBlanksAs val="gap"/>
    <c:showDLblsOverMax val="1"/>
  </c:chart>
  <c:spPr>
    <a:ln w="9525">
      <a:solidFill>
        <a:srgbClr val="D9D9D9"/>
      </a:solid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t>Cross-Instrument Evidence Score</a:t>
            </a:r>
          </a:p>
        </c:rich>
      </c:tx>
      <c:overlay val="1"/>
    </c:title>
    <c:autoTitleDeleted val="0"/>
    <c:plotArea>
      <c:layout/>
      <c:scatterChart>
        <c:scatterStyle val="lineMarker"/>
        <c:varyColors val="1"/>
        <c:ser>
          <c:idx val="0"/>
          <c:order val="0"/>
          <c:tx>
            <c:v>Evidence support score</c:v>
          </c:tx>
          <c:spPr>
            <a:ln w="22000">
              <a:solidFill>
                <a:srgbClr val="219653"/>
              </a:solidFill>
              <a:prstDash val="solid"/>
            </a:ln>
          </c:spPr>
          <c:marker>
            <c:symbol val="none"/>
          </c:marker>
          <c:xVal>
            <c:numRef>
              <c:f>Subsurface_Materials_Evidence!$I$10:$I$13</c:f>
              <c:numCache>
                <c:formatCode>General</c:formatCode>
                <c:ptCount val="4"/>
                <c:pt idx="0">
                  <c:v>1</c:v>
                </c:pt>
                <c:pt idx="1">
                  <c:v>2</c:v>
                </c:pt>
                <c:pt idx="2">
                  <c:v>3</c:v>
                </c:pt>
                <c:pt idx="3">
                  <c:v>4</c:v>
                </c:pt>
              </c:numCache>
            </c:numRef>
          </c:xVal>
          <c:yVal>
            <c:numRef>
              <c:f>Subsurface_Materials_Evidence!$J$10:$J$13</c:f>
              <c:numCache>
                <c:formatCode>General</c:formatCode>
                <c:ptCount val="4"/>
                <c:pt idx="0">
                  <c:v>55</c:v>
                </c:pt>
                <c:pt idx="1">
                  <c:v>35</c:v>
                </c:pt>
                <c:pt idx="2">
                  <c:v>40</c:v>
                </c:pt>
                <c:pt idx="3">
                  <c:v>50</c:v>
                </c:pt>
              </c:numCache>
            </c:numRef>
          </c:yVal>
          <c:smooth val="0"/>
          <c:extLst>
            <c:ext xmlns:c16="http://schemas.microsoft.com/office/drawing/2014/chart" uri="{C3380CC4-5D6E-409C-BE32-E72D297353CC}">
              <c16:uniqueId val="{00000000-3497-4D1E-847B-72E42D0F26D9}"/>
            </c:ext>
          </c:extLst>
        </c:ser>
        <c:dLbls>
          <c:showLegendKey val="0"/>
          <c:showVal val="0"/>
          <c:showCatName val="0"/>
          <c:showSerName val="0"/>
          <c:showPercent val="0"/>
          <c:showBubbleSize val="0"/>
        </c:dLbls>
        <c:axId val="10"/>
        <c:axId val="20"/>
      </c:scatterChart>
      <c:valAx>
        <c:axId val="10"/>
        <c:scaling>
          <c:orientation val="minMax"/>
          <c:max val="4"/>
          <c:min val="1"/>
        </c:scaling>
        <c:delete val="1"/>
        <c:axPos val="b"/>
        <c:majorGridlines/>
        <c:title>
          <c:tx>
            <c:rich>
              <a:bodyPr/>
              <a:lstStyle/>
              <a:p>
                <a:pPr>
                  <a:defRPr/>
                </a:pPr>
                <a:r>
                  <a:t>Evidence source index</a:t>
                </a:r>
              </a:p>
            </c:rich>
          </c:tx>
          <c:overlay val="1"/>
        </c:title>
        <c:numFmt formatCode="General" sourceLinked="1"/>
        <c:majorTickMark val="none"/>
        <c:minorTickMark val="none"/>
        <c:tickLblPos val="nextTo"/>
        <c:crossAx val="20"/>
        <c:crosses val="min"/>
        <c:crossBetween val="midCat"/>
      </c:valAx>
      <c:valAx>
        <c:axId val="20"/>
        <c:scaling>
          <c:orientation val="minMax"/>
        </c:scaling>
        <c:delete val="1"/>
        <c:axPos val="l"/>
        <c:majorGridlines/>
        <c:title>
          <c:tx>
            <c:rich>
              <a:bodyPr/>
              <a:lstStyle/>
              <a:p>
                <a:pPr>
                  <a:defRPr/>
                </a:pPr>
                <a:r>
                  <a:t>Support score (%)</a:t>
                </a:r>
              </a:p>
            </c:rich>
          </c:tx>
          <c:overlay val="1"/>
        </c:title>
        <c:numFmt formatCode="General" sourceLinked="1"/>
        <c:majorTickMark val="none"/>
        <c:minorTickMark val="none"/>
        <c:tickLblPos val="nextTo"/>
        <c:crossAx val="10"/>
        <c:crosses val="min"/>
        <c:crossBetween val="midCat"/>
      </c:valAx>
    </c:plotArea>
    <c:plotVisOnly val="1"/>
    <c:dispBlanksAs val="gap"/>
    <c:showDLblsOverMax val="1"/>
  </c:chart>
  <c:spPr>
    <a:ln w="9525">
      <a:solidFill>
        <a:srgbClr val="D9D9D9"/>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0</xdr:colOff>
      <xdr:row>47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28</xdr:row>
      <xdr:rowOff>0</xdr:rowOff>
    </xdr:from>
    <xdr:ext cx="13335000" cy="332994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76200</xdr:colOff>
      <xdr:row>28</xdr:row>
      <xdr:rowOff>0</xdr:rowOff>
    </xdr:from>
    <xdr:ext cx="10972800" cy="332994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49</xdr:row>
      <xdr:rowOff>0</xdr:rowOff>
    </xdr:from>
    <xdr:ext cx="13335000" cy="332994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76200</xdr:colOff>
      <xdr:row>49</xdr:row>
      <xdr:rowOff>0</xdr:rowOff>
    </xdr:from>
    <xdr:ext cx="10972800" cy="332994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70</xdr:row>
      <xdr:rowOff>1</xdr:rowOff>
    </xdr:from>
    <xdr:ext cx="13335000" cy="332994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9</xdr:col>
      <xdr:colOff>76200</xdr:colOff>
      <xdr:row>70</xdr:row>
      <xdr:rowOff>0</xdr:rowOff>
    </xdr:from>
    <xdr:ext cx="10972800" cy="332994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91</xdr:row>
      <xdr:rowOff>0</xdr:rowOff>
    </xdr:from>
    <xdr:ext cx="13335000" cy="332994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9</xdr:col>
      <xdr:colOff>76200</xdr:colOff>
      <xdr:row>91</xdr:row>
      <xdr:rowOff>0</xdr:rowOff>
    </xdr:from>
    <xdr:ext cx="10972800" cy="332994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elDataTable" displayName="ModelDataTable" ref="A1:AS242">
  <tableColumns count="45">
    <tableColumn id="1" xr3:uid="{00000000-0010-0000-0000-000001000000}" name="x_km"/>
    <tableColumn id="2" xr3:uid="{00000000-0010-0000-0000-000002000000}" name="z_km"/>
    <tableColumn id="3" xr3:uid="{00000000-0010-0000-0000-000003000000}" name="R_nadir_km"/>
    <tableColumn id="4" xr3:uid="{00000000-0010-0000-0000-000004000000}" name="R_off_km"/>
    <tableColumn id="5" xr3:uid="{00000000-0010-0000-0000-000005000000}" name="Delta_R_m"/>
    <tableColumn id="6" xr3:uid="{00000000-0010-0000-0000-000006000000}" name="apparent_depth_m"/>
    <tableColumn id="7" xr3:uid="{00000000-0010-0000-0000-000007000000}" name="extra_delay_us"/>
    <tableColumn id="8" xr3:uid="{00000000-0010-0000-0000-000008000000}" name="horizontal_offset_km"/>
    <tableColumn id="9" xr3:uid="{00000000-0010-0000-0000-000009000000}" name="look_angle_deg"/>
    <tableColumn id="10" xr3:uid="{00000000-0010-0000-0000-00000A000000}" name="vhf_phase_deg"/>
    <tableColumn id="11" xr3:uid="{00000000-0010-0000-0000-00000B000000}" name="relative_power"/>
    <tableColumn id="12" xr3:uid="{00000000-0010-0000-0000-00000C000000}" name="power_dB"/>
    <tableColumn id="13" xr3:uid="{00000000-0010-0000-0000-00000D000000}" name="dz_dx"/>
    <tableColumn id="14" xr3:uid="{00000000-0010-0000-0000-00000E000000}" name="dz_dt_km_s"/>
    <tableColumn id="15" xr3:uid="{00000000-0010-0000-0000-00000F000000}" name="range_rate_m_s"/>
    <tableColumn id="16" xr3:uid="{00000000-0010-0000-0000-000010000000}" name="vhf_doppler_hz"/>
    <tableColumn id="17" xr3:uid="{00000000-0010-0000-0000-000011000000}" name="hf_doppler_hz"/>
    <tableColumn id="18" xr3:uid="{00000000-0010-0000-0000-000012000000}" name="vhf_band_low_m"/>
    <tableColumn id="19" xr3:uid="{00000000-0010-0000-0000-000013000000}" name="vhf_band_high_m"/>
    <tableColumn id="20" xr3:uid="{00000000-0010-0000-0000-000014000000}" name="hf_band_low_m"/>
    <tableColumn id="21" xr3:uid="{00000000-0010-0000-0000-000015000000}" name="hf_band_high_m"/>
    <tableColumn id="22" xr3:uid="{00000000-0010-0000-0000-000016000000}" name="abs_vhf_doppler_hz"/>
    <tableColumn id="23" xr3:uid="{00000000-0010-0000-0000-000017000000}" name="abs_hf_doppler_hz"/>
    <tableColumn id="24" xr3:uid="{00000000-0010-0000-0000-000018000000}" name="h_nadir_m"/>
    <tableColumn id="25" xr3:uid="{00000000-0010-0000-0000-000019000000}" name="h_target_m"/>
    <tableColumn id="26" xr3:uid="{00000000-0010-0000-0000-00001A000000}" name="R_nadir_topo_km"/>
    <tableColumn id="27" xr3:uid="{00000000-0010-0000-0000-00001B000000}" name="R_off_topo_km"/>
    <tableColumn id="28" xr3:uid="{00000000-0010-0000-0000-00001C000000}" name="Delta_R_topo_m"/>
    <tableColumn id="29" xr3:uid="{00000000-0010-0000-0000-00001D000000}" name="apparent_depth_topo_m"/>
    <tableColumn id="30" xr3:uid="{00000000-0010-0000-0000-00001E000000}" name="extra_delay_topo_us"/>
    <tableColumn id="31" xr3:uid="{00000000-0010-0000-0000-00001F000000}" name="look_angle_topo_deg"/>
    <tableColumn id="32" xr3:uid="{00000000-0010-0000-0000-000020000000}" name="vhf_phase_topo_deg"/>
    <tableColumn id="33" xr3:uid="{00000000-0010-0000-0000-000021000000}" name="relative_power_topo"/>
    <tableColumn id="34" xr3:uid="{00000000-0010-0000-0000-000022000000}" name="power_dB_topo"/>
    <tableColumn id="35" xr3:uid="{00000000-0010-0000-0000-000023000000}" name="depth_change_topo_minus_flat_m"/>
    <tableColumn id="36" xr3:uid="{00000000-0010-0000-0000-000024000000}" name="delay_change_topo_minus_flat_us"/>
    <tableColumn id="37" xr3:uid="{00000000-0010-0000-0000-000025000000}" name="target_minus_nadir_height_m"/>
    <tableColumn id="38" xr3:uid="{00000000-0010-0000-0000-000026000000}" name="range_rate_topo_m_s"/>
    <tableColumn id="39" xr3:uid="{00000000-0010-0000-0000-000027000000}" name="vhf_doppler_topo_hz"/>
    <tableColumn id="40" xr3:uid="{00000000-0010-0000-0000-000028000000}" name="hf_doppler_topo_hz"/>
    <tableColumn id="41" xr3:uid="{00000000-0010-0000-0000-000029000000}" name="abs_vhf_doppler_topo_hz"/>
    <tableColumn id="42" xr3:uid="{00000000-0010-0000-0000-00002A000000}" name="abs_hf_doppler_topo_hz"/>
    <tableColumn id="43" xr3:uid="{00000000-0010-0000-0000-00002B000000}" name="topo_depth_uncertainty_m"/>
    <tableColumn id="44" xr3:uid="{00000000-0010-0000-0000-00002C000000}" name="topo_depth_low_m"/>
    <tableColumn id="45" xr3:uid="{00000000-0010-0000-0000-00002D000000}"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8"/>
  <sheetViews>
    <sheetView showGridLines="0" tabSelected="1" workbookViewId="0">
      <selection sqref="A1:H1"/>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8" width="14" customWidth="1"/>
    <col min="9" max="9" width="28" customWidth="1"/>
    <col min="10" max="18" width="16" customWidth="1"/>
  </cols>
  <sheetData>
    <row r="1" spans="1:8" ht="21" customHeight="1">
      <c r="A1" s="39" t="s">
        <v>0</v>
      </c>
      <c r="B1" s="40"/>
      <c r="C1" s="40"/>
      <c r="D1" s="40"/>
      <c r="E1" s="40"/>
      <c r="F1" s="40"/>
      <c r="G1" s="40"/>
      <c r="H1" s="40"/>
    </row>
    <row r="2" spans="1:8" ht="13.95" customHeight="1">
      <c r="A2" s="44" t="s">
        <v>1</v>
      </c>
      <c r="B2" s="40"/>
      <c r="C2" s="40"/>
      <c r="D2" s="40"/>
      <c r="E2" s="40"/>
      <c r="F2" s="40"/>
      <c r="G2" s="40"/>
      <c r="H2" s="40"/>
    </row>
    <row r="4" spans="1:8" ht="15.75" customHeight="1">
      <c r="A4" s="38" t="s">
        <v>2</v>
      </c>
      <c r="B4" s="36"/>
      <c r="C4" s="36"/>
      <c r="D4" s="37"/>
    </row>
    <row r="5" spans="1:8">
      <c r="A5" s="2" t="s">
        <v>3</v>
      </c>
      <c r="B5" s="2" t="s">
        <v>4</v>
      </c>
      <c r="C5" s="2" t="s">
        <v>5</v>
      </c>
      <c r="D5" s="2" t="s">
        <v>6</v>
      </c>
    </row>
    <row r="6" spans="1:8" ht="39.450000000000003" customHeight="1">
      <c r="A6" s="1" t="s">
        <v>7</v>
      </c>
      <c r="B6" s="6" t="str">
        <f>IF(OR(Inputs!$C$27=TRUE,Inputs!$C$27="TRUE",Inputs!$C$27=1),"Topography ON","Topography OFF")</f>
        <v>Topography ON</v>
      </c>
      <c r="C6" s="1"/>
      <c r="D6" s="1" t="s">
        <v>8</v>
      </c>
    </row>
    <row r="7" spans="1:8">
      <c r="A7" s="1" t="s">
        <v>9</v>
      </c>
      <c r="B7" s="11">
        <f>Model_Data!F122</f>
        <v>550.69986033905366</v>
      </c>
      <c r="C7" s="1" t="s">
        <v>10</v>
      </c>
      <c r="D7" s="1" t="s">
        <v>11</v>
      </c>
    </row>
    <row r="8" spans="1:8" ht="26.25" customHeight="1">
      <c r="A8" s="1" t="s">
        <v>12</v>
      </c>
      <c r="B8" s="11">
        <f>Model_Data!AC122</f>
        <v>278.8355336025972</v>
      </c>
      <c r="C8" s="1" t="s">
        <v>10</v>
      </c>
      <c r="D8" s="1" t="s">
        <v>13</v>
      </c>
    </row>
    <row r="9" spans="1:8" ht="27.6">
      <c r="A9" s="1" t="s">
        <v>14</v>
      </c>
      <c r="B9" s="11">
        <f>Model_Data!AI122</f>
        <v>-271.86432673645646</v>
      </c>
      <c r="C9" s="1" t="s">
        <v>10</v>
      </c>
      <c r="D9" s="1" t="s">
        <v>15</v>
      </c>
    </row>
    <row r="10" spans="1:8">
      <c r="A10" s="1" t="s">
        <v>16</v>
      </c>
      <c r="B10" s="11">
        <f>Model_Data!AD122</f>
        <v>3.3111390001186956</v>
      </c>
      <c r="C10" s="1" t="s">
        <v>17</v>
      </c>
      <c r="D10" s="1" t="s">
        <v>18</v>
      </c>
    </row>
    <row r="11" spans="1:8" ht="26.25" customHeight="1">
      <c r="A11" s="1" t="s">
        <v>19</v>
      </c>
      <c r="B11" s="11">
        <f>Model_Data!AF122</f>
        <v>22.483082757536899</v>
      </c>
      <c r="C11" s="1" t="s">
        <v>20</v>
      </c>
      <c r="D11" s="1" t="s">
        <v>21</v>
      </c>
    </row>
    <row r="12" spans="1:8" ht="26.25" customHeight="1">
      <c r="A12" s="1" t="s">
        <v>22</v>
      </c>
      <c r="B12" s="11">
        <f>MAX(Model_Data!Y2:Y242)</f>
        <v>568.64363822483097</v>
      </c>
      <c r="C12" s="1" t="s">
        <v>10</v>
      </c>
      <c r="D12" s="1" t="s">
        <v>23</v>
      </c>
    </row>
    <row r="13" spans="1:8" ht="26.25" customHeight="1">
      <c r="A13" s="1" t="s">
        <v>24</v>
      </c>
      <c r="B13" s="11">
        <f>MIN(Model_Data!Y2:Y242)</f>
        <v>107.7527102272833</v>
      </c>
      <c r="C13" s="1" t="s">
        <v>10</v>
      </c>
      <c r="D13" s="1" t="s">
        <v>25</v>
      </c>
    </row>
    <row r="14" spans="1:8" ht="26.25" customHeight="1">
      <c r="A14" s="1" t="s">
        <v>26</v>
      </c>
      <c r="B14" s="11">
        <f>MAX(MAX(Model_Data!AI2:AI242),-MIN(Model_Data!AI2:AI242))</f>
        <v>302.98886990822893</v>
      </c>
      <c r="C14" s="1" t="s">
        <v>10</v>
      </c>
      <c r="D14" s="1" t="s">
        <v>27</v>
      </c>
    </row>
    <row r="15" spans="1:8" ht="26.25" customHeight="1">
      <c r="A15" s="1" t="s">
        <v>28</v>
      </c>
      <c r="B15" s="11">
        <f>MAX(Model_Data!AO2:AO242)</f>
        <v>534.06021494492961</v>
      </c>
      <c r="C15" s="1" t="s">
        <v>29</v>
      </c>
      <c r="D15" s="1" t="s">
        <v>30</v>
      </c>
    </row>
    <row r="16" spans="1:8" ht="26.25" customHeight="1">
      <c r="A16" s="1" t="s">
        <v>31</v>
      </c>
      <c r="B16" s="11">
        <f>2*B15</f>
        <v>1068.1204298898592</v>
      </c>
      <c r="C16" s="1" t="s">
        <v>29</v>
      </c>
      <c r="D16" s="1" t="s">
        <v>32</v>
      </c>
    </row>
    <row r="17" spans="1:8" ht="26.25" customHeight="1">
      <c r="A17" s="1" t="s">
        <v>33</v>
      </c>
      <c r="B17" s="11">
        <f>Model_Data!AQ122</f>
        <v>42.134831460674157</v>
      </c>
      <c r="C17" s="1" t="s">
        <v>10</v>
      </c>
      <c r="D17" s="1" t="s">
        <v>34</v>
      </c>
    </row>
    <row r="19" spans="1:8" ht="15.75" customHeight="1">
      <c r="A19" s="38" t="s">
        <v>35</v>
      </c>
      <c r="B19" s="36"/>
      <c r="C19" s="36"/>
      <c r="D19" s="36"/>
      <c r="E19" s="36"/>
      <c r="F19" s="37"/>
    </row>
    <row r="20" spans="1:8" ht="26.25" customHeight="1">
      <c r="A20" s="2" t="s">
        <v>36</v>
      </c>
      <c r="B20" s="2" t="s">
        <v>37</v>
      </c>
      <c r="C20" s="2" t="s">
        <v>38</v>
      </c>
      <c r="D20" s="2" t="s">
        <v>39</v>
      </c>
      <c r="E20" s="2" t="s">
        <v>40</v>
      </c>
      <c r="F20" s="2" t="s">
        <v>41</v>
      </c>
    </row>
    <row r="21" spans="1:8" ht="26.25" customHeight="1">
      <c r="A21" s="9">
        <f>PRF_Results!A4</f>
        <v>50</v>
      </c>
      <c r="B21" s="9">
        <f>PRF_Results!B4</f>
        <v>20</v>
      </c>
      <c r="C21" s="9">
        <f>PRF_Results!C4</f>
        <v>80</v>
      </c>
      <c r="D21" s="9">
        <f>PRF_Results!D4</f>
        <v>2997.9245799999999</v>
      </c>
      <c r="E21" s="9">
        <f>PRF_Results!E4</f>
        <v>0.13342563807926083</v>
      </c>
      <c r="F21" s="1" t="str">
        <f>PRF_Results!F4</f>
        <v>Below simple Doppler floor</v>
      </c>
    </row>
    <row r="22" spans="1:8" ht="26.25" customHeight="1">
      <c r="A22" s="9">
        <f>PRF_Results!A5</f>
        <v>500</v>
      </c>
      <c r="B22" s="9">
        <f>PRF_Results!B5</f>
        <v>2</v>
      </c>
      <c r="C22" s="9">
        <f>PRF_Results!C5</f>
        <v>8</v>
      </c>
      <c r="D22" s="9">
        <f>PRF_Results!D5</f>
        <v>299.79245800000001</v>
      </c>
      <c r="E22" s="9">
        <f>PRF_Results!E5</f>
        <v>1.3342563807926082</v>
      </c>
      <c r="F22" s="1" t="str">
        <f>PRF_Results!F5</f>
        <v>Below simple Doppler floor</v>
      </c>
    </row>
    <row r="23" spans="1:8" ht="26.25" customHeight="1">
      <c r="A23" s="9">
        <f>PRF_Results!A6</f>
        <v>3000</v>
      </c>
      <c r="B23" s="9">
        <f>PRF_Results!B6</f>
        <v>0.33333333333333331</v>
      </c>
      <c r="C23" s="9">
        <f>PRF_Results!C6</f>
        <v>1.3333333333333333</v>
      </c>
      <c r="D23" s="9">
        <f>PRF_Results!D6</f>
        <v>49.965409666666666</v>
      </c>
      <c r="E23" s="9">
        <f>PRF_Results!E6</f>
        <v>8.0055382847556498</v>
      </c>
      <c r="F23" s="1" t="str">
        <f>PRF_Results!F6</f>
        <v>OK for modeled topo VHF Doppler</v>
      </c>
    </row>
    <row r="25" spans="1:8" ht="15.75" customHeight="1">
      <c r="A25" s="38" t="s">
        <v>42</v>
      </c>
      <c r="B25" s="36"/>
      <c r="C25" s="36"/>
      <c r="D25" s="36"/>
      <c r="E25" s="36"/>
      <c r="F25" s="36"/>
      <c r="G25" s="36"/>
      <c r="H25" s="37"/>
    </row>
    <row r="26" spans="1:8" ht="13.95" customHeight="1">
      <c r="A26" s="35" t="s">
        <v>43</v>
      </c>
      <c r="B26" s="36"/>
      <c r="C26" s="36"/>
      <c r="D26" s="36"/>
      <c r="E26" s="36"/>
      <c r="F26" s="36"/>
      <c r="G26" s="36"/>
      <c r="H26" s="37"/>
    </row>
    <row r="114" spans="1:9" ht="15.75" customHeight="1">
      <c r="A114" s="38" t="s">
        <v>44</v>
      </c>
      <c r="B114" s="36"/>
      <c r="C114" s="36"/>
      <c r="D114" s="36"/>
      <c r="E114" s="36"/>
      <c r="F114" s="36"/>
      <c r="G114" s="36"/>
      <c r="H114" s="36"/>
      <c r="I114" s="37"/>
    </row>
    <row r="115" spans="1:9">
      <c r="A115" s="2" t="s">
        <v>45</v>
      </c>
      <c r="B115" s="2" t="s">
        <v>46</v>
      </c>
      <c r="C115" s="2" t="s">
        <v>47</v>
      </c>
      <c r="D115" s="2" t="s">
        <v>48</v>
      </c>
      <c r="E115" s="2" t="s">
        <v>49</v>
      </c>
      <c r="F115" s="2" t="s">
        <v>50</v>
      </c>
      <c r="G115" s="2" t="s">
        <v>51</v>
      </c>
      <c r="H115" s="2" t="s">
        <v>52</v>
      </c>
      <c r="I115" s="2" t="s">
        <v>53</v>
      </c>
    </row>
    <row r="116" spans="1:9">
      <c r="A116" s="1" t="str">
        <f>Inputs!G6</f>
        <v>Current custom inputs</v>
      </c>
      <c r="B116" s="8" t="b">
        <f>Inputs!F6</f>
        <v>1</v>
      </c>
      <c r="C116" s="9">
        <f>Inputs!H6</f>
        <v>400</v>
      </c>
      <c r="D116" s="9">
        <f>Inputs!J6-Inputs!I6</f>
        <v>120</v>
      </c>
      <c r="E116" s="9">
        <f>Inputs!M6</f>
        <v>404</v>
      </c>
      <c r="F116" s="9">
        <f>Scenario_Data!AF122</f>
        <v>550.69986033905366</v>
      </c>
      <c r="G116" s="9">
        <f>MAX(MAX(Scenario_Data!AL2:AL242),-MIN(Scenario_Data!AL2:AL242))</f>
        <v>504.93234145565276</v>
      </c>
      <c r="H116" s="9">
        <f>2*G116</f>
        <v>1009.8646829113055</v>
      </c>
      <c r="I116" s="1" t="s">
        <v>54</v>
      </c>
    </row>
    <row r="117" spans="1:9">
      <c r="A117" s="1" t="str">
        <f>Inputs!G7</f>
        <v>Paper low-altitude 800-km pass</v>
      </c>
      <c r="B117" s="8" t="b">
        <f>Inputs!F7</f>
        <v>1</v>
      </c>
      <c r="C117" s="9">
        <f>Inputs!H7</f>
        <v>35</v>
      </c>
      <c r="D117" s="9">
        <f>Inputs!J7-Inputs!I7</f>
        <v>800</v>
      </c>
      <c r="E117" s="9">
        <f>Inputs!M7</f>
        <v>400</v>
      </c>
      <c r="F117" s="9">
        <f>Scenario_Data!AG122</f>
        <v>4592.1823961290147</v>
      </c>
      <c r="G117" s="9">
        <f>MAX(MAX(Scenario_Data!AM2:AM242),-MIN(Scenario_Data!AM2:AM242))</f>
        <v>3517.7285290410668</v>
      </c>
      <c r="H117" s="9">
        <f>2*G117</f>
        <v>7035.4570580821337</v>
      </c>
      <c r="I117" s="1" t="s">
        <v>55</v>
      </c>
    </row>
    <row r="118" spans="1:9">
      <c r="A118" s="1" t="str">
        <f>Inputs!G8</f>
        <v>Paper ice-ocean 1600-km pass</v>
      </c>
      <c r="B118" s="8" t="b">
        <f>Inputs!F8</f>
        <v>1</v>
      </c>
      <c r="C118" s="9">
        <f>Inputs!H8</f>
        <v>35</v>
      </c>
      <c r="D118" s="9">
        <f>Inputs!J8-Inputs!I8</f>
        <v>1600</v>
      </c>
      <c r="E118" s="9">
        <f>Inputs!M8</f>
        <v>1000</v>
      </c>
      <c r="F118" s="9">
        <f>Scenario_Data!AH122</f>
        <v>4592.1823961290147</v>
      </c>
      <c r="G118" s="9">
        <f>MAX(MAX(Scenario_Data!AN2:AN242),-MIN(Scenario_Data!AN2:AN242))</f>
        <v>4665.3412786934377</v>
      </c>
      <c r="H118" s="9">
        <f>2*G118</f>
        <v>9330.6825573868755</v>
      </c>
      <c r="I118" s="1" t="s">
        <v>56</v>
      </c>
    </row>
    <row r="119" spans="1:9">
      <c r="A119" s="1" t="str">
        <f>Inputs!G9</f>
        <v>Paper operating 25-to-1000-km pass</v>
      </c>
      <c r="B119" s="8" t="b">
        <f>Inputs!F9</f>
        <v>1</v>
      </c>
      <c r="C119" s="9">
        <f>Inputs!H9</f>
        <v>25</v>
      </c>
      <c r="D119" s="9">
        <f>Inputs!J9-Inputs!I9</f>
        <v>1600</v>
      </c>
      <c r="E119" s="9">
        <f>Inputs!M9</f>
        <v>1000</v>
      </c>
      <c r="F119" s="9">
        <f>Scenario_Data!AI122</f>
        <v>5896.8769019983019</v>
      </c>
      <c r="G119" s="9">
        <f>MAX(MAX(Scenario_Data!AO2:AO242),-MIN(Scenario_Data!AO2:AO242))</f>
        <v>4699.0667879408138</v>
      </c>
      <c r="H119" s="9">
        <f>2*G119</f>
        <v>9398.1335758816276</v>
      </c>
      <c r="I119" s="1" t="s">
        <v>57</v>
      </c>
    </row>
    <row r="120" spans="1:9" ht="13.95" customHeight="1">
      <c r="A120" s="5" t="s">
        <v>58</v>
      </c>
      <c r="B120" s="42" t="s">
        <v>59</v>
      </c>
      <c r="C120" s="36"/>
      <c r="D120" s="36"/>
      <c r="E120" s="36"/>
      <c r="F120" s="36"/>
      <c r="G120" s="36"/>
      <c r="H120" s="36"/>
      <c r="I120" s="37"/>
    </row>
    <row r="122" spans="1:9" ht="27" customHeight="1">
      <c r="A122" s="43" t="s">
        <v>60</v>
      </c>
      <c r="B122" s="40"/>
      <c r="C122" s="40"/>
      <c r="D122" s="40"/>
      <c r="E122" s="40"/>
      <c r="F122" s="40"/>
      <c r="G122" s="40"/>
      <c r="H122" s="40"/>
      <c r="I122" s="40"/>
    </row>
    <row r="123" spans="1:9" ht="27" customHeight="1">
      <c r="A123" s="14" t="s">
        <v>61</v>
      </c>
      <c r="B123" s="41" t="s">
        <v>62</v>
      </c>
      <c r="C123" s="33"/>
      <c r="D123" s="33"/>
      <c r="E123" s="34"/>
      <c r="F123" s="41" t="s">
        <v>63</v>
      </c>
      <c r="G123" s="33"/>
      <c r="H123" s="33"/>
      <c r="I123" s="34"/>
    </row>
    <row r="124" spans="1:9" ht="27" customHeight="1">
      <c r="A124" s="16" t="s">
        <v>64</v>
      </c>
      <c r="B124" s="32" t="s">
        <v>65</v>
      </c>
      <c r="C124" s="33"/>
      <c r="D124" s="33"/>
      <c r="E124" s="34"/>
      <c r="F124" s="32" t="s">
        <v>66</v>
      </c>
      <c r="G124" s="33"/>
      <c r="H124" s="33"/>
      <c r="I124" s="34"/>
    </row>
    <row r="125" spans="1:9" ht="27" customHeight="1">
      <c r="A125" s="16" t="s">
        <v>67</v>
      </c>
      <c r="B125" s="32" t="s">
        <v>68</v>
      </c>
      <c r="C125" s="33"/>
      <c r="D125" s="33"/>
      <c r="E125" s="34"/>
      <c r="F125" s="32" t="s">
        <v>69</v>
      </c>
      <c r="G125" s="33"/>
      <c r="H125" s="33"/>
      <c r="I125" s="34"/>
    </row>
    <row r="126" spans="1:9" ht="27" customHeight="1">
      <c r="A126" s="16" t="s">
        <v>70</v>
      </c>
      <c r="B126" s="32" t="s">
        <v>71</v>
      </c>
      <c r="C126" s="33"/>
      <c r="D126" s="33"/>
      <c r="E126" s="34"/>
      <c r="F126" s="32" t="s">
        <v>72</v>
      </c>
      <c r="G126" s="33"/>
      <c r="H126" s="33"/>
      <c r="I126" s="34"/>
    </row>
    <row r="127" spans="1:9" ht="27" customHeight="1">
      <c r="A127" s="16" t="s">
        <v>73</v>
      </c>
      <c r="B127" s="32" t="s">
        <v>74</v>
      </c>
      <c r="C127" s="33"/>
      <c r="D127" s="33"/>
      <c r="E127" s="34"/>
      <c r="F127" s="32" t="s">
        <v>75</v>
      </c>
      <c r="G127" s="33"/>
      <c r="H127" s="33"/>
      <c r="I127" s="34"/>
    </row>
    <row r="128" spans="1:9" ht="27" customHeight="1">
      <c r="A128" s="16" t="s">
        <v>76</v>
      </c>
      <c r="B128" s="32" t="s">
        <v>77</v>
      </c>
      <c r="C128" s="33"/>
      <c r="D128" s="33"/>
      <c r="E128" s="34"/>
      <c r="F128" s="32" t="s">
        <v>78</v>
      </c>
      <c r="G128" s="33"/>
      <c r="H128" s="33"/>
      <c r="I128" s="34"/>
    </row>
  </sheetData>
  <mergeCells count="21">
    <mergeCell ref="A4:D4"/>
    <mergeCell ref="B124:E124"/>
    <mergeCell ref="A1:H1"/>
    <mergeCell ref="B123:E123"/>
    <mergeCell ref="F123:I123"/>
    <mergeCell ref="A25:H25"/>
    <mergeCell ref="B120:I120"/>
    <mergeCell ref="A122:I122"/>
    <mergeCell ref="A2:H2"/>
    <mergeCell ref="F128:I128"/>
    <mergeCell ref="F127:I127"/>
    <mergeCell ref="F124:I124"/>
    <mergeCell ref="A26:H26"/>
    <mergeCell ref="A19:F19"/>
    <mergeCell ref="A114:I114"/>
    <mergeCell ref="F126:I126"/>
    <mergeCell ref="B128:E128"/>
    <mergeCell ref="F125:I125"/>
    <mergeCell ref="B127:E127"/>
    <mergeCell ref="B126:E126"/>
    <mergeCell ref="B125:E125"/>
  </mergeCells>
  <dataValidations count="1">
    <dataValidation type="list" sqref="B59:B62" xr:uid="{00000000-0002-0000-0000-000000000000}">
      <formula1>"TRUE,FALSE"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pane ySplit="4" topLeftCell="A5" activePane="bottomLeft" state="frozen"/>
      <selection pane="bottomLeft"/>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7" width="14" customWidth="1"/>
    <col min="8" max="8" width="13" customWidth="1"/>
    <col min="9" max="9" width="28" customWidth="1"/>
    <col min="10" max="10" width="16" customWidth="1"/>
    <col min="11" max="18" width="13" customWidth="1"/>
  </cols>
  <sheetData>
    <row r="1" spans="1:9" ht="21" customHeight="1">
      <c r="A1" s="47" t="s">
        <v>79</v>
      </c>
      <c r="B1" s="40"/>
      <c r="C1" s="40"/>
      <c r="D1" s="40"/>
      <c r="E1" s="40"/>
      <c r="F1" s="40"/>
      <c r="G1" s="40"/>
      <c r="H1" s="40"/>
    </row>
    <row r="2" spans="1:9" ht="28.05" customHeight="1">
      <c r="A2" s="46" t="s">
        <v>80</v>
      </c>
      <c r="B2" s="40"/>
      <c r="C2" s="40"/>
      <c r="D2" s="40"/>
      <c r="E2" s="40"/>
      <c r="F2" s="40"/>
      <c r="G2" s="40"/>
      <c r="H2" s="40"/>
    </row>
    <row r="4" spans="1:9" ht="15.75" customHeight="1">
      <c r="A4" s="45" t="s">
        <v>81</v>
      </c>
      <c r="B4" s="40"/>
      <c r="C4" s="40"/>
      <c r="D4" s="40"/>
      <c r="F4" s="45" t="s">
        <v>82</v>
      </c>
      <c r="G4" s="40"/>
      <c r="H4" s="40"/>
      <c r="I4" s="40"/>
    </row>
    <row r="5" spans="1:9">
      <c r="A5" s="23" t="s">
        <v>3</v>
      </c>
      <c r="B5" s="23" t="s">
        <v>4</v>
      </c>
      <c r="C5" s="23" t="s">
        <v>5</v>
      </c>
      <c r="D5" s="23" t="s">
        <v>6</v>
      </c>
      <c r="F5" s="23" t="s">
        <v>83</v>
      </c>
      <c r="G5" s="23" t="s">
        <v>4</v>
      </c>
      <c r="H5" s="23" t="s">
        <v>84</v>
      </c>
      <c r="I5" s="23" t="s">
        <v>85</v>
      </c>
    </row>
    <row r="6" spans="1:9" ht="26.25" customHeight="1">
      <c r="A6" s="25" t="s">
        <v>86</v>
      </c>
      <c r="B6" s="24">
        <f>AVERAGE(Subsurface_Live_Data!K2:K242)</f>
        <v>15077.384695574114</v>
      </c>
      <c r="C6" s="25" t="s">
        <v>10</v>
      </c>
      <c r="D6" s="25" t="s">
        <v>87</v>
      </c>
      <c r="F6" s="25" t="s">
        <v>88</v>
      </c>
      <c r="G6" s="30">
        <v>0.7</v>
      </c>
      <c r="H6" s="25" t="s">
        <v>89</v>
      </c>
      <c r="I6" s="25" t="s">
        <v>90</v>
      </c>
    </row>
    <row r="7" spans="1:9" ht="26.25" customHeight="1">
      <c r="A7" s="25" t="s">
        <v>91</v>
      </c>
      <c r="B7" s="24">
        <f>Subsurface_Inputs!$C$44</f>
        <v>1500</v>
      </c>
      <c r="C7" s="25" t="s">
        <v>10</v>
      </c>
      <c r="D7" s="25" t="s">
        <v>92</v>
      </c>
      <c r="F7" s="25" t="s">
        <v>93</v>
      </c>
      <c r="G7" s="30">
        <f>MIN(0.75,0.25+Subsurface_Materials_Evidence!D14/100*0.45)</f>
        <v>0.46150000000000002</v>
      </c>
      <c r="H7" s="25" t="s">
        <v>94</v>
      </c>
      <c r="I7" s="25" t="s">
        <v>95</v>
      </c>
    </row>
    <row r="8" spans="1:9" ht="26.25" customHeight="1">
      <c r="A8" s="25" t="s">
        <v>96</v>
      </c>
      <c r="B8" s="24">
        <f>MAX(Subsurface_Live_Data!Y2:Y242)</f>
        <v>11.938394057389566</v>
      </c>
      <c r="C8" s="25" t="s">
        <v>97</v>
      </c>
      <c r="D8" s="25" t="s">
        <v>98</v>
      </c>
      <c r="F8" s="25" t="s">
        <v>99</v>
      </c>
      <c r="G8" s="30">
        <f>MIN(0.6,0.15+Subsurface_Materials_Evidence!D14/100*0.35)</f>
        <v>0.3145</v>
      </c>
      <c r="H8" s="25" t="s">
        <v>100</v>
      </c>
      <c r="I8" s="25" t="s">
        <v>101</v>
      </c>
    </row>
    <row r="9" spans="1:9" ht="26.25" customHeight="1">
      <c r="A9" s="25" t="s">
        <v>102</v>
      </c>
      <c r="B9" s="24">
        <f>MAX(Subsurface_Live_Data!X2:X242)</f>
        <v>21.491320370993172</v>
      </c>
      <c r="C9" s="25" t="s">
        <v>97</v>
      </c>
      <c r="D9" s="25" t="s">
        <v>103</v>
      </c>
    </row>
    <row r="10" spans="1:9" ht="26.25" customHeight="1">
      <c r="A10" s="25" t="s">
        <v>104</v>
      </c>
      <c r="B10" s="24">
        <f>COUNTIF(Subsurface_Live_Data!V2:V242,"Likely visible")</f>
        <v>241</v>
      </c>
      <c r="C10" s="25" t="s">
        <v>105</v>
      </c>
      <c r="D10" s="25" t="s">
        <v>106</v>
      </c>
    </row>
    <row r="11" spans="1:9" ht="26.25" customHeight="1">
      <c r="A11" s="25" t="s">
        <v>107</v>
      </c>
      <c r="B11" s="24">
        <f>Subsurface_Materials_Evidence!D14</f>
        <v>47</v>
      </c>
      <c r="C11" s="25" t="s">
        <v>108</v>
      </c>
      <c r="D11" s="25" t="s">
        <v>109</v>
      </c>
    </row>
    <row r="13" spans="1:9" ht="15.75" customHeight="1">
      <c r="A13" s="45" t="s">
        <v>110</v>
      </c>
      <c r="B13" s="40"/>
      <c r="C13" s="40"/>
      <c r="D13" s="40"/>
      <c r="E13" s="40"/>
      <c r="F13" s="40"/>
      <c r="G13" s="40"/>
      <c r="H13" s="40"/>
      <c r="I13" s="40"/>
    </row>
    <row r="14" spans="1:9" ht="26.25" customHeight="1">
      <c r="A14" s="23" t="s">
        <v>61</v>
      </c>
      <c r="B14" s="23" t="s">
        <v>111</v>
      </c>
      <c r="C14" s="23" t="s">
        <v>112</v>
      </c>
      <c r="D14" s="23"/>
      <c r="E14" s="23"/>
      <c r="F14" s="23" t="s">
        <v>61</v>
      </c>
      <c r="G14" s="23" t="s">
        <v>111</v>
      </c>
      <c r="H14" s="23" t="s">
        <v>112</v>
      </c>
      <c r="I14" s="23"/>
    </row>
    <row r="15" spans="1:9" ht="26.25" customHeight="1">
      <c r="A15" s="25" t="s">
        <v>113</v>
      </c>
      <c r="B15" s="25" t="s">
        <v>114</v>
      </c>
      <c r="C15" s="25" t="s">
        <v>115</v>
      </c>
      <c r="D15" s="25"/>
      <c r="E15" s="25"/>
      <c r="F15" s="25" t="s">
        <v>116</v>
      </c>
      <c r="G15" s="25" t="s">
        <v>117</v>
      </c>
      <c r="H15" s="25" t="s">
        <v>118</v>
      </c>
      <c r="I15" s="25"/>
    </row>
    <row r="16" spans="1:9" ht="26.25" customHeight="1">
      <c r="A16" s="25" t="s">
        <v>119</v>
      </c>
      <c r="B16" s="25" t="s">
        <v>120</v>
      </c>
      <c r="C16" s="25" t="s">
        <v>121</v>
      </c>
      <c r="D16" s="25"/>
      <c r="E16" s="25"/>
      <c r="F16" s="25" t="s">
        <v>122</v>
      </c>
      <c r="G16" s="25" t="s">
        <v>123</v>
      </c>
      <c r="H16" s="25" t="s">
        <v>124</v>
      </c>
      <c r="I16" s="25"/>
    </row>
    <row r="17" spans="1:9" ht="69">
      <c r="A17" s="25" t="s">
        <v>125</v>
      </c>
      <c r="B17" s="25" t="s">
        <v>126</v>
      </c>
      <c r="C17" s="25" t="s">
        <v>127</v>
      </c>
      <c r="D17" s="25"/>
      <c r="E17" s="25"/>
      <c r="F17" s="25" t="s">
        <v>128</v>
      </c>
      <c r="G17" s="25" t="s">
        <v>129</v>
      </c>
      <c r="H17" s="25" t="s">
        <v>130</v>
      </c>
      <c r="I17" s="25"/>
    </row>
    <row r="18" spans="1:9" ht="55.2">
      <c r="A18" s="25" t="s">
        <v>131</v>
      </c>
      <c r="B18" s="25" t="s">
        <v>132</v>
      </c>
      <c r="C18" s="25" t="s">
        <v>133</v>
      </c>
      <c r="D18" s="25"/>
      <c r="E18" s="25"/>
      <c r="F18" s="25" t="s">
        <v>134</v>
      </c>
      <c r="G18" s="25" t="s">
        <v>135</v>
      </c>
      <c r="H18" s="25" t="s">
        <v>136</v>
      </c>
      <c r="I18" s="25"/>
    </row>
    <row r="19" spans="1:9" ht="15.75" customHeight="1"/>
    <row r="20" spans="1:9" ht="26.25" customHeight="1"/>
    <row r="21" spans="1:9" ht="26.25" customHeight="1"/>
    <row r="22" spans="1:9" ht="26.25" customHeight="1"/>
    <row r="23" spans="1:9" ht="26.25" customHeight="1"/>
    <row r="25" spans="1:9" ht="15.75" customHeight="1"/>
    <row r="26" spans="1:9" ht="13.95" customHeight="1"/>
  </sheetData>
  <mergeCells count="5">
    <mergeCell ref="A4:D4"/>
    <mergeCell ref="A13:I13"/>
    <mergeCell ref="A2:H2"/>
    <mergeCell ref="F4:I4"/>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4"/>
  <sheetViews>
    <sheetView showGridLines="0" workbookViewId="0"/>
  </sheetViews>
  <sheetFormatPr defaultRowHeight="13.8"/>
  <cols>
    <col min="1" max="1" width="26" customWidth="1"/>
    <col min="2" max="2" width="18" customWidth="1"/>
    <col min="3" max="3" width="12" customWidth="1"/>
    <col min="4" max="4" width="10" customWidth="1"/>
    <col min="5" max="5" width="58" customWidth="1"/>
    <col min="6" max="6" width="12" customWidth="1"/>
    <col min="7" max="7" width="30" customWidth="1"/>
    <col min="8" max="10" width="10" customWidth="1"/>
    <col min="11" max="11" width="11" customWidth="1"/>
    <col min="12" max="12" width="15" customWidth="1"/>
    <col min="13" max="13" width="14" customWidth="1"/>
    <col min="14" max="14" width="72" customWidth="1"/>
  </cols>
  <sheetData>
    <row r="1" spans="1:14" ht="21" customHeight="1">
      <c r="A1" s="39" t="s">
        <v>137</v>
      </c>
      <c r="B1" s="40"/>
      <c r="C1" s="40"/>
      <c r="D1" s="40"/>
      <c r="E1" s="40"/>
      <c r="F1" s="40"/>
      <c r="G1" s="40"/>
      <c r="H1" s="40"/>
      <c r="I1" s="40"/>
      <c r="J1" s="40"/>
      <c r="K1" s="40"/>
      <c r="L1" s="40"/>
      <c r="M1" s="40"/>
      <c r="N1" s="40"/>
    </row>
    <row r="2" spans="1:14" ht="13.95" customHeight="1">
      <c r="A2" s="48" t="s">
        <v>138</v>
      </c>
      <c r="B2" s="40"/>
      <c r="C2" s="40"/>
      <c r="D2" s="40"/>
      <c r="E2" s="40"/>
      <c r="F2" s="40"/>
      <c r="G2" s="40"/>
      <c r="H2" s="40"/>
      <c r="I2" s="40"/>
      <c r="J2" s="40"/>
      <c r="K2" s="40"/>
      <c r="L2" s="40"/>
      <c r="M2" s="40"/>
      <c r="N2" s="40"/>
    </row>
    <row r="4" spans="1:14" ht="15.75" customHeight="1">
      <c r="A4" s="2" t="s">
        <v>139</v>
      </c>
      <c r="B4" s="2" t="s">
        <v>140</v>
      </c>
      <c r="C4" s="2" t="s">
        <v>4</v>
      </c>
      <c r="D4" s="2" t="s">
        <v>5</v>
      </c>
      <c r="E4" s="2" t="s">
        <v>141</v>
      </c>
      <c r="F4" s="38" t="s">
        <v>142</v>
      </c>
      <c r="G4" s="36"/>
      <c r="H4" s="36"/>
      <c r="I4" s="36"/>
      <c r="J4" s="36"/>
      <c r="K4" s="36"/>
      <c r="L4" s="36"/>
      <c r="M4" s="36"/>
      <c r="N4" s="37"/>
    </row>
    <row r="5" spans="1:14">
      <c r="A5" s="1" t="s">
        <v>143</v>
      </c>
      <c r="B5" s="1" t="s">
        <v>144</v>
      </c>
      <c r="C5" s="3">
        <v>400</v>
      </c>
      <c r="D5" s="1" t="s">
        <v>145</v>
      </c>
      <c r="E5" s="1" t="s">
        <v>146</v>
      </c>
      <c r="F5" s="2" t="s">
        <v>46</v>
      </c>
      <c r="G5" s="2" t="s">
        <v>45</v>
      </c>
      <c r="H5" s="2" t="s">
        <v>144</v>
      </c>
      <c r="I5" s="2" t="s">
        <v>147</v>
      </c>
      <c r="J5" s="2" t="s">
        <v>148</v>
      </c>
      <c r="K5" s="2" t="s">
        <v>149</v>
      </c>
      <c r="L5" s="2" t="s">
        <v>150</v>
      </c>
      <c r="M5" s="2" t="s">
        <v>151</v>
      </c>
      <c r="N5" s="2" t="s">
        <v>152</v>
      </c>
    </row>
    <row r="6" spans="1:14" ht="26.25" customHeight="1">
      <c r="A6" s="1" t="s">
        <v>153</v>
      </c>
      <c r="B6" s="1" t="s">
        <v>154</v>
      </c>
      <c r="C6" s="3">
        <v>25</v>
      </c>
      <c r="D6" s="1" t="s">
        <v>145</v>
      </c>
      <c r="E6" s="1" t="s">
        <v>155</v>
      </c>
      <c r="F6" s="6" t="b">
        <v>1</v>
      </c>
      <c r="G6" s="1" t="s">
        <v>156</v>
      </c>
      <c r="H6" s="7">
        <f>C5</f>
        <v>400</v>
      </c>
      <c r="I6" s="7">
        <f>C7</f>
        <v>-60</v>
      </c>
      <c r="J6" s="7">
        <f>C8</f>
        <v>60</v>
      </c>
      <c r="K6" s="7">
        <f>C10</f>
        <v>60</v>
      </c>
      <c r="L6" s="7">
        <f>C9</f>
        <v>4</v>
      </c>
      <c r="M6" s="7">
        <f>C5+C9</f>
        <v>404</v>
      </c>
      <c r="N6" s="1" t="s">
        <v>157</v>
      </c>
    </row>
    <row r="7" spans="1:14" ht="26.25" customHeight="1">
      <c r="A7" s="1" t="s">
        <v>158</v>
      </c>
      <c r="B7" s="1" t="s">
        <v>147</v>
      </c>
      <c r="C7" s="3">
        <v>-60</v>
      </c>
      <c r="D7" s="1" t="s">
        <v>145</v>
      </c>
      <c r="E7" s="1" t="s">
        <v>159</v>
      </c>
      <c r="F7" s="6" t="b">
        <v>1</v>
      </c>
      <c r="G7" s="1" t="s">
        <v>160</v>
      </c>
      <c r="H7" s="7">
        <v>35</v>
      </c>
      <c r="I7" s="7">
        <v>-400</v>
      </c>
      <c r="J7" s="7">
        <v>400</v>
      </c>
      <c r="K7" s="7">
        <v>400</v>
      </c>
      <c r="L7" s="7">
        <v>365</v>
      </c>
      <c r="M7" s="7">
        <v>400</v>
      </c>
      <c r="N7" s="1" t="s">
        <v>161</v>
      </c>
    </row>
    <row r="8" spans="1:14" ht="26.25" customHeight="1">
      <c r="A8" s="1" t="s">
        <v>162</v>
      </c>
      <c r="B8" s="1" t="s">
        <v>148</v>
      </c>
      <c r="C8" s="3">
        <v>60</v>
      </c>
      <c r="D8" s="1" t="s">
        <v>145</v>
      </c>
      <c r="E8" s="1" t="s">
        <v>163</v>
      </c>
      <c r="F8" s="6" t="b">
        <v>1</v>
      </c>
      <c r="G8" s="1" t="s">
        <v>164</v>
      </c>
      <c r="H8" s="7">
        <v>35</v>
      </c>
      <c r="I8" s="7">
        <v>-800</v>
      </c>
      <c r="J8" s="7">
        <v>800</v>
      </c>
      <c r="K8" s="7">
        <v>800</v>
      </c>
      <c r="L8" s="7">
        <v>965</v>
      </c>
      <c r="M8" s="7">
        <v>1000</v>
      </c>
      <c r="N8" s="1" t="s">
        <v>165</v>
      </c>
    </row>
    <row r="9" spans="1:14" ht="26.25" customHeight="1">
      <c r="A9" s="1" t="s">
        <v>166</v>
      </c>
      <c r="B9" s="1" t="s">
        <v>150</v>
      </c>
      <c r="C9" s="3">
        <v>4</v>
      </c>
      <c r="D9" s="1" t="s">
        <v>145</v>
      </c>
      <c r="E9" s="1" t="s">
        <v>167</v>
      </c>
      <c r="F9" s="6" t="b">
        <v>1</v>
      </c>
      <c r="G9" s="1" t="s">
        <v>168</v>
      </c>
      <c r="H9" s="7">
        <v>25</v>
      </c>
      <c r="I9" s="7">
        <v>-800</v>
      </c>
      <c r="J9" s="7">
        <v>800</v>
      </c>
      <c r="K9" s="7">
        <v>800</v>
      </c>
      <c r="L9" s="7">
        <v>975</v>
      </c>
      <c r="M9" s="7">
        <v>1000</v>
      </c>
      <c r="N9" s="1" t="s">
        <v>169</v>
      </c>
    </row>
    <row r="10" spans="1:14">
      <c r="A10" s="1" t="s">
        <v>170</v>
      </c>
      <c r="B10" s="1" t="s">
        <v>149</v>
      </c>
      <c r="C10" s="3">
        <v>60</v>
      </c>
      <c r="D10" s="1" t="s">
        <v>145</v>
      </c>
      <c r="E10" s="1" t="s">
        <v>171</v>
      </c>
    </row>
    <row r="11" spans="1:14" ht="13.95" customHeight="1">
      <c r="A11" s="1" t="s">
        <v>172</v>
      </c>
      <c r="B11" s="1" t="s">
        <v>173</v>
      </c>
      <c r="C11" s="3">
        <v>4</v>
      </c>
      <c r="D11" s="1" t="s">
        <v>174</v>
      </c>
      <c r="E11" s="1" t="s">
        <v>175</v>
      </c>
      <c r="F11" s="5" t="s">
        <v>58</v>
      </c>
      <c r="G11" s="42" t="s">
        <v>176</v>
      </c>
      <c r="H11" s="36"/>
      <c r="I11" s="36"/>
      <c r="J11" s="36"/>
      <c r="K11" s="36"/>
      <c r="L11" s="36"/>
      <c r="M11" s="36"/>
      <c r="N11" s="37"/>
    </row>
    <row r="12" spans="1:14">
      <c r="A12" s="1" t="s">
        <v>177</v>
      </c>
      <c r="B12" s="1" t="s">
        <v>178</v>
      </c>
      <c r="C12" s="3">
        <v>1.78</v>
      </c>
      <c r="D12" s="1"/>
      <c r="E12" s="1" t="s">
        <v>179</v>
      </c>
    </row>
    <row r="13" spans="1:14">
      <c r="A13" s="1" t="s">
        <v>180</v>
      </c>
      <c r="B13" s="1" t="s">
        <v>181</v>
      </c>
      <c r="C13" s="3">
        <v>5</v>
      </c>
      <c r="D13" s="1" t="s">
        <v>10</v>
      </c>
      <c r="E13" s="1" t="s">
        <v>182</v>
      </c>
    </row>
    <row r="14" spans="1:14">
      <c r="A14" s="1" t="s">
        <v>183</v>
      </c>
      <c r="B14" s="1" t="s">
        <v>184</v>
      </c>
      <c r="C14" s="3">
        <v>33.299999999999997</v>
      </c>
      <c r="D14" s="1" t="s">
        <v>10</v>
      </c>
      <c r="E14" s="1" t="s">
        <v>185</v>
      </c>
    </row>
    <row r="15" spans="1:14">
      <c r="A15" s="1" t="s">
        <v>186</v>
      </c>
      <c r="B15" s="1" t="s">
        <v>187</v>
      </c>
      <c r="C15" s="3">
        <v>5</v>
      </c>
      <c r="D15" s="1" t="s">
        <v>10</v>
      </c>
      <c r="E15" s="1" t="s">
        <v>188</v>
      </c>
    </row>
    <row r="16" spans="1:14">
      <c r="A16" s="1" t="s">
        <v>189</v>
      </c>
      <c r="B16" s="1" t="s">
        <v>190</v>
      </c>
      <c r="C16" s="3">
        <v>30</v>
      </c>
      <c r="D16" s="1" t="s">
        <v>10</v>
      </c>
      <c r="E16" s="1" t="s">
        <v>191</v>
      </c>
    </row>
    <row r="17" spans="1:5">
      <c r="A17" s="1" t="s">
        <v>192</v>
      </c>
      <c r="B17" s="1" t="s">
        <v>193</v>
      </c>
      <c r="C17" s="3">
        <v>300</v>
      </c>
      <c r="D17" s="1" t="s">
        <v>10</v>
      </c>
      <c r="E17" s="1" t="s">
        <v>194</v>
      </c>
    </row>
    <row r="18" spans="1:5">
      <c r="A18" s="1" t="s">
        <v>195</v>
      </c>
      <c r="B18" s="1" t="s">
        <v>196</v>
      </c>
      <c r="C18" s="3">
        <v>50</v>
      </c>
      <c r="D18" s="1" t="s">
        <v>29</v>
      </c>
      <c r="E18" s="1" t="s">
        <v>197</v>
      </c>
    </row>
    <row r="19" spans="1:5">
      <c r="A19" s="1" t="s">
        <v>198</v>
      </c>
      <c r="B19" s="1" t="s">
        <v>199</v>
      </c>
      <c r="C19" s="3">
        <v>500</v>
      </c>
      <c r="D19" s="1" t="s">
        <v>29</v>
      </c>
      <c r="E19" s="1" t="s">
        <v>200</v>
      </c>
    </row>
    <row r="20" spans="1:5">
      <c r="A20" s="1" t="s">
        <v>201</v>
      </c>
      <c r="B20" s="1" t="s">
        <v>202</v>
      </c>
      <c r="C20" s="3">
        <v>3000</v>
      </c>
      <c r="D20" s="1" t="s">
        <v>29</v>
      </c>
      <c r="E20" s="1" t="s">
        <v>203</v>
      </c>
    </row>
    <row r="21" spans="1:5">
      <c r="A21" s="1" t="s">
        <v>204</v>
      </c>
      <c r="B21" s="1" t="s">
        <v>205</v>
      </c>
      <c r="C21" s="4">
        <v>299792458</v>
      </c>
      <c r="D21" s="1" t="s">
        <v>206</v>
      </c>
      <c r="E21" s="1" t="s">
        <v>207</v>
      </c>
    </row>
    <row r="23" spans="1:5" ht="13.95" customHeight="1">
      <c r="A23" s="5" t="s">
        <v>208</v>
      </c>
      <c r="B23" s="42" t="s">
        <v>209</v>
      </c>
      <c r="C23" s="36"/>
      <c r="D23" s="36"/>
      <c r="E23" s="37"/>
    </row>
    <row r="25" spans="1:5" ht="15.75" customHeight="1">
      <c r="A25" s="38" t="s">
        <v>210</v>
      </c>
      <c r="B25" s="36"/>
      <c r="C25" s="36"/>
      <c r="D25" s="36"/>
      <c r="E25" s="37"/>
    </row>
    <row r="26" spans="1:5">
      <c r="A26" s="2" t="s">
        <v>139</v>
      </c>
      <c r="B26" s="2" t="s">
        <v>140</v>
      </c>
      <c r="C26" s="2" t="s">
        <v>4</v>
      </c>
      <c r="D26" s="2" t="s">
        <v>5</v>
      </c>
      <c r="E26" s="2" t="s">
        <v>141</v>
      </c>
    </row>
    <row r="27" spans="1:5" ht="26.25" customHeight="1">
      <c r="A27" s="1" t="s">
        <v>211</v>
      </c>
      <c r="B27" s="1" t="s">
        <v>212</v>
      </c>
      <c r="C27" s="8" t="s">
        <v>213</v>
      </c>
      <c r="D27" s="1"/>
      <c r="E27" s="1" t="s">
        <v>214</v>
      </c>
    </row>
    <row r="28" spans="1:5">
      <c r="A28" s="1" t="s">
        <v>215</v>
      </c>
      <c r="B28" s="1" t="s">
        <v>216</v>
      </c>
      <c r="C28" s="3">
        <v>350</v>
      </c>
      <c r="D28" s="1" t="s">
        <v>10</v>
      </c>
      <c r="E28" s="1" t="s">
        <v>217</v>
      </c>
    </row>
    <row r="29" spans="1:5">
      <c r="A29" s="1" t="s">
        <v>218</v>
      </c>
      <c r="B29" s="1" t="s">
        <v>219</v>
      </c>
      <c r="C29" s="3">
        <v>0</v>
      </c>
      <c r="D29" s="1" t="s">
        <v>145</v>
      </c>
      <c r="E29" s="1" t="s">
        <v>220</v>
      </c>
    </row>
    <row r="30" spans="1:5">
      <c r="A30" s="1" t="s">
        <v>221</v>
      </c>
      <c r="B30" s="1" t="s">
        <v>222</v>
      </c>
      <c r="C30" s="3">
        <v>25</v>
      </c>
      <c r="D30" s="1" t="s">
        <v>145</v>
      </c>
      <c r="E30" s="1" t="s">
        <v>223</v>
      </c>
    </row>
    <row r="31" spans="1:5">
      <c r="A31" s="1" t="s">
        <v>224</v>
      </c>
      <c r="B31" s="1" t="s">
        <v>225</v>
      </c>
      <c r="C31" s="3">
        <v>24</v>
      </c>
      <c r="D31" s="1" t="s">
        <v>145</v>
      </c>
      <c r="E31" s="1" t="s">
        <v>226</v>
      </c>
    </row>
    <row r="32" spans="1:5">
      <c r="A32" s="1" t="s">
        <v>227</v>
      </c>
      <c r="B32" s="1" t="s">
        <v>228</v>
      </c>
      <c r="C32" s="3">
        <v>3.5</v>
      </c>
      <c r="D32" s="1" t="s">
        <v>145</v>
      </c>
      <c r="E32" s="1" t="s">
        <v>229</v>
      </c>
    </row>
    <row r="33" spans="1:5">
      <c r="A33" s="1" t="s">
        <v>230</v>
      </c>
      <c r="B33" s="1" t="s">
        <v>231</v>
      </c>
      <c r="C33" s="3">
        <v>180</v>
      </c>
      <c r="D33" s="1" t="s">
        <v>10</v>
      </c>
      <c r="E33" s="1" t="s">
        <v>232</v>
      </c>
    </row>
    <row r="34" spans="1:5">
      <c r="A34" s="1" t="s">
        <v>233</v>
      </c>
      <c r="B34" s="1" t="s">
        <v>234</v>
      </c>
      <c r="C34" s="3">
        <v>-18</v>
      </c>
      <c r="D34" s="1" t="s">
        <v>145</v>
      </c>
      <c r="E34" s="1" t="s">
        <v>235</v>
      </c>
    </row>
    <row r="35" spans="1:5">
      <c r="A35" s="1" t="s">
        <v>236</v>
      </c>
      <c r="B35" s="1" t="s">
        <v>237</v>
      </c>
      <c r="C35" s="3">
        <v>8</v>
      </c>
      <c r="D35" s="1" t="s">
        <v>145</v>
      </c>
      <c r="E35" s="1" t="s">
        <v>238</v>
      </c>
    </row>
    <row r="36" spans="1:5">
      <c r="A36" s="1" t="s">
        <v>239</v>
      </c>
      <c r="B36" s="1" t="s">
        <v>240</v>
      </c>
      <c r="C36" s="3">
        <v>8</v>
      </c>
      <c r="D36" s="1" t="s">
        <v>145</v>
      </c>
      <c r="E36" s="1" t="s">
        <v>241</v>
      </c>
    </row>
    <row r="37" spans="1:5">
      <c r="A37" s="1" t="s">
        <v>242</v>
      </c>
      <c r="B37" s="1" t="s">
        <v>243</v>
      </c>
      <c r="C37" s="3">
        <v>65</v>
      </c>
      <c r="D37" s="1" t="s">
        <v>10</v>
      </c>
      <c r="E37" s="1" t="s">
        <v>244</v>
      </c>
    </row>
    <row r="38" spans="1:5">
      <c r="A38" s="1" t="s">
        <v>245</v>
      </c>
      <c r="B38" s="1" t="s">
        <v>246</v>
      </c>
      <c r="C38" s="3">
        <v>35</v>
      </c>
      <c r="D38" s="1" t="s">
        <v>10</v>
      </c>
      <c r="E38" s="1" t="s">
        <v>247</v>
      </c>
    </row>
    <row r="39" spans="1:5">
      <c r="A39" s="1" t="s">
        <v>248</v>
      </c>
      <c r="B39" s="1" t="s">
        <v>249</v>
      </c>
      <c r="C39" s="3">
        <v>18</v>
      </c>
      <c r="D39" s="1" t="s">
        <v>145</v>
      </c>
      <c r="E39" s="1" t="s">
        <v>250</v>
      </c>
    </row>
    <row r="40" spans="1:5">
      <c r="A40" s="1" t="s">
        <v>251</v>
      </c>
      <c r="B40" s="1" t="s">
        <v>252</v>
      </c>
      <c r="C40" s="3">
        <v>12</v>
      </c>
      <c r="D40" s="1" t="s">
        <v>145</v>
      </c>
      <c r="E40" s="1" t="s">
        <v>253</v>
      </c>
    </row>
    <row r="41" spans="1:5">
      <c r="A41" s="1" t="s">
        <v>254</v>
      </c>
      <c r="B41" s="1" t="s">
        <v>255</v>
      </c>
      <c r="C41" s="3">
        <v>120</v>
      </c>
      <c r="D41" s="1" t="s">
        <v>10</v>
      </c>
      <c r="E41" s="1" t="s">
        <v>256</v>
      </c>
    </row>
    <row r="42" spans="1:5">
      <c r="A42" s="1" t="s">
        <v>257</v>
      </c>
      <c r="B42" s="1" t="s">
        <v>258</v>
      </c>
      <c r="C42" s="3">
        <v>12</v>
      </c>
      <c r="D42" s="1" t="s">
        <v>145</v>
      </c>
      <c r="E42" s="1" t="s">
        <v>259</v>
      </c>
    </row>
    <row r="43" spans="1:5">
      <c r="A43" s="1" t="s">
        <v>260</v>
      </c>
      <c r="B43" s="1" t="s">
        <v>261</v>
      </c>
      <c r="C43" s="3">
        <v>-6</v>
      </c>
      <c r="D43" s="1" t="s">
        <v>145</v>
      </c>
      <c r="E43" s="1" t="s">
        <v>262</v>
      </c>
    </row>
    <row r="44" spans="1:5">
      <c r="A44" s="1" t="s">
        <v>263</v>
      </c>
      <c r="B44" s="1" t="s">
        <v>264</v>
      </c>
      <c r="C44" s="3">
        <v>2.5</v>
      </c>
      <c r="D44" s="1" t="s">
        <v>145</v>
      </c>
      <c r="E44" s="1" t="s">
        <v>265</v>
      </c>
    </row>
    <row r="45" spans="1:5">
      <c r="A45" s="1" t="s">
        <v>266</v>
      </c>
      <c r="B45" s="1" t="s">
        <v>267</v>
      </c>
      <c r="C45" s="3">
        <v>38</v>
      </c>
      <c r="D45" s="1" t="s">
        <v>145</v>
      </c>
      <c r="E45" s="1" t="s">
        <v>268</v>
      </c>
    </row>
    <row r="46" spans="1:5">
      <c r="A46" s="1" t="s">
        <v>269</v>
      </c>
      <c r="B46" s="1" t="s">
        <v>270</v>
      </c>
      <c r="C46" s="3">
        <v>75</v>
      </c>
      <c r="D46" s="1" t="s">
        <v>10</v>
      </c>
      <c r="E46" s="1" t="s">
        <v>271</v>
      </c>
    </row>
    <row r="47" spans="1:5" ht="26.25" customHeight="1">
      <c r="A47" s="1" t="s">
        <v>272</v>
      </c>
      <c r="B47" s="1" t="s">
        <v>273</v>
      </c>
      <c r="C47" s="4">
        <v>7</v>
      </c>
      <c r="D47" s="1"/>
      <c r="E47" s="1" t="s">
        <v>274</v>
      </c>
    </row>
    <row r="48" spans="1:5">
      <c r="A48" s="1" t="s">
        <v>275</v>
      </c>
      <c r="B48" s="1" t="s">
        <v>276</v>
      </c>
      <c r="C48" s="3">
        <v>45</v>
      </c>
      <c r="D48" s="1" t="s">
        <v>10</v>
      </c>
      <c r="E48" s="1" t="s">
        <v>277</v>
      </c>
    </row>
    <row r="49" spans="1:5">
      <c r="A49" s="1" t="s">
        <v>278</v>
      </c>
      <c r="B49" s="1" t="s">
        <v>279</v>
      </c>
      <c r="C49" s="3">
        <v>12</v>
      </c>
      <c r="D49" s="1" t="s">
        <v>145</v>
      </c>
      <c r="E49" s="1" t="s">
        <v>280</v>
      </c>
    </row>
    <row r="50" spans="1:5">
      <c r="A50" s="1" t="s">
        <v>281</v>
      </c>
      <c r="B50" s="1" t="s">
        <v>282</v>
      </c>
      <c r="C50" s="3">
        <v>9</v>
      </c>
      <c r="D50" s="1" t="s">
        <v>145</v>
      </c>
      <c r="E50" s="1" t="s">
        <v>283</v>
      </c>
    </row>
    <row r="51" spans="1:5">
      <c r="A51" s="1" t="s">
        <v>284</v>
      </c>
      <c r="B51" s="1" t="s">
        <v>285</v>
      </c>
      <c r="C51" s="3">
        <v>1</v>
      </c>
      <c r="D51" s="1"/>
      <c r="E51" s="1" t="s">
        <v>286</v>
      </c>
    </row>
    <row r="52" spans="1:5">
      <c r="A52" s="1" t="s">
        <v>287</v>
      </c>
      <c r="B52" s="1" t="s">
        <v>288</v>
      </c>
      <c r="C52" s="3">
        <v>1560.8</v>
      </c>
      <c r="D52" s="1" t="s">
        <v>145</v>
      </c>
      <c r="E52" s="1" t="s">
        <v>289</v>
      </c>
    </row>
    <row r="54" spans="1:5" ht="13.95" customHeight="1">
      <c r="A54" s="5" t="s">
        <v>290</v>
      </c>
      <c r="B54" s="42" t="s">
        <v>291</v>
      </c>
      <c r="C54" s="36"/>
      <c r="D54" s="36"/>
      <c r="E54" s="37"/>
    </row>
  </sheetData>
  <mergeCells count="7">
    <mergeCell ref="B54:E54"/>
    <mergeCell ref="F4:N4"/>
    <mergeCell ref="A1:N1"/>
    <mergeCell ref="B23:E23"/>
    <mergeCell ref="A25:E25"/>
    <mergeCell ref="A2:N2"/>
    <mergeCell ref="G11:N11"/>
  </mergeCells>
  <dataValidations count="1">
    <dataValidation type="list" sqref="C27 F6:F9" xr:uid="{00000000-0002-0000-0200-000000000000}">
      <formula1>"TRUE,FALSE"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7"/>
  <sheetViews>
    <sheetView workbookViewId="0">
      <pane ySplit="4" topLeftCell="A5" activePane="bottomLeft" state="frozen"/>
      <selection pane="bottomLeft"/>
    </sheetView>
  </sheetViews>
  <sheetFormatPr defaultRowHeight="13.8"/>
  <cols>
    <col min="1" max="1" width="22" customWidth="1"/>
    <col min="2" max="2" width="34" customWidth="1"/>
    <col min="3" max="3" width="18" customWidth="1"/>
    <col min="4" max="4" width="12" customWidth="1"/>
    <col min="5" max="5" width="72" customWidth="1"/>
  </cols>
  <sheetData>
    <row r="1" spans="1:5" ht="21">
      <c r="A1" s="26" t="s">
        <v>292</v>
      </c>
    </row>
    <row r="2" spans="1:5" ht="96.6">
      <c r="A2" s="27" t="s">
        <v>293</v>
      </c>
      <c r="E2" s="27" t="s">
        <v>294</v>
      </c>
    </row>
    <row r="3" spans="1:5">
      <c r="A3" s="23" t="s">
        <v>295</v>
      </c>
      <c r="B3" s="23" t="s">
        <v>139</v>
      </c>
      <c r="C3" s="23" t="s">
        <v>4</v>
      </c>
      <c r="D3" s="23" t="s">
        <v>5</v>
      </c>
      <c r="E3" s="23" t="s">
        <v>141</v>
      </c>
    </row>
    <row r="4" spans="1:5">
      <c r="A4" s="25" t="s">
        <v>296</v>
      </c>
      <c r="B4" s="25" t="s">
        <v>297</v>
      </c>
      <c r="C4" s="29" t="s">
        <v>213</v>
      </c>
      <c r="D4" s="25"/>
      <c r="E4" s="25" t="s">
        <v>298</v>
      </c>
    </row>
    <row r="5" spans="1:5">
      <c r="A5" s="25" t="s">
        <v>299</v>
      </c>
      <c r="B5" s="25" t="s">
        <v>300</v>
      </c>
      <c r="C5" s="29">
        <v>1150</v>
      </c>
      <c r="D5" s="25" t="s">
        <v>10</v>
      </c>
      <c r="E5" s="25" t="s">
        <v>301</v>
      </c>
    </row>
    <row r="6" spans="1:5">
      <c r="A6" s="25" t="s">
        <v>299</v>
      </c>
      <c r="B6" s="25" t="s">
        <v>302</v>
      </c>
      <c r="C6" s="29">
        <v>160</v>
      </c>
      <c r="D6" s="25" t="s">
        <v>10</v>
      </c>
      <c r="E6" s="25" t="s">
        <v>303</v>
      </c>
    </row>
    <row r="7" spans="1:5">
      <c r="A7" s="25" t="s">
        <v>299</v>
      </c>
      <c r="B7" s="25" t="s">
        <v>304</v>
      </c>
      <c r="C7" s="29">
        <v>10</v>
      </c>
      <c r="D7" s="25" t="s">
        <v>145</v>
      </c>
      <c r="E7" s="25" t="s">
        <v>305</v>
      </c>
    </row>
    <row r="8" spans="1:5">
      <c r="A8" s="25" t="s">
        <v>299</v>
      </c>
      <c r="B8" s="25" t="s">
        <v>306</v>
      </c>
      <c r="C8" s="29">
        <v>42</v>
      </c>
      <c r="D8" s="25" t="s">
        <v>145</v>
      </c>
      <c r="E8" s="25" t="s">
        <v>307</v>
      </c>
    </row>
    <row r="9" spans="1:5">
      <c r="A9" s="25" t="s">
        <v>299</v>
      </c>
      <c r="B9" s="25" t="s">
        <v>308</v>
      </c>
      <c r="C9" s="29">
        <v>60</v>
      </c>
      <c r="D9" s="25" t="s">
        <v>10</v>
      </c>
      <c r="E9" s="25" t="s">
        <v>309</v>
      </c>
    </row>
    <row r="10" spans="1:5">
      <c r="A10" s="25" t="s">
        <v>299</v>
      </c>
      <c r="B10" s="25" t="s">
        <v>310</v>
      </c>
      <c r="C10" s="29">
        <v>23</v>
      </c>
      <c r="D10" s="25" t="s">
        <v>145</v>
      </c>
      <c r="E10" s="25" t="s">
        <v>311</v>
      </c>
    </row>
    <row r="11" spans="1:5">
      <c r="A11" s="25" t="s">
        <v>299</v>
      </c>
      <c r="B11" s="25" t="s">
        <v>312</v>
      </c>
      <c r="C11" s="29">
        <v>0.04</v>
      </c>
      <c r="D11" s="25"/>
      <c r="E11" s="25" t="s">
        <v>313</v>
      </c>
    </row>
    <row r="12" spans="1:5">
      <c r="A12" s="25"/>
      <c r="B12" s="25"/>
      <c r="C12" s="25"/>
      <c r="D12" s="25"/>
      <c r="E12" s="25"/>
    </row>
    <row r="13" spans="1:5">
      <c r="A13" s="25" t="s">
        <v>314</v>
      </c>
      <c r="B13" s="25" t="s">
        <v>315</v>
      </c>
      <c r="C13" s="29">
        <v>0.95</v>
      </c>
      <c r="D13" s="25" t="s">
        <v>316</v>
      </c>
      <c r="E13" s="25" t="s">
        <v>317</v>
      </c>
    </row>
    <row r="14" spans="1:5">
      <c r="A14" s="25" t="s">
        <v>314</v>
      </c>
      <c r="B14" s="25" t="s">
        <v>318</v>
      </c>
      <c r="C14" s="29">
        <v>-24</v>
      </c>
      <c r="D14" s="25" t="s">
        <v>145</v>
      </c>
      <c r="E14" s="25" t="s">
        <v>319</v>
      </c>
    </row>
    <row r="15" spans="1:5">
      <c r="A15" s="25" t="s">
        <v>314</v>
      </c>
      <c r="B15" s="25" t="s">
        <v>320</v>
      </c>
      <c r="C15" s="29">
        <v>10</v>
      </c>
      <c r="D15" s="25" t="s">
        <v>145</v>
      </c>
      <c r="E15" s="25" t="s">
        <v>321</v>
      </c>
    </row>
    <row r="16" spans="1:5">
      <c r="A16" s="25" t="s">
        <v>314</v>
      </c>
      <c r="B16" s="25" t="s">
        <v>322</v>
      </c>
      <c r="C16" s="29">
        <v>0.7</v>
      </c>
      <c r="D16" s="25" t="s">
        <v>316</v>
      </c>
      <c r="E16" s="25" t="s">
        <v>323</v>
      </c>
    </row>
    <row r="17" spans="1:5">
      <c r="A17" s="25" t="s">
        <v>314</v>
      </c>
      <c r="B17" s="25" t="s">
        <v>324</v>
      </c>
      <c r="C17" s="29">
        <v>30</v>
      </c>
      <c r="D17" s="25" t="s">
        <v>145</v>
      </c>
      <c r="E17" s="25" t="s">
        <v>325</v>
      </c>
    </row>
    <row r="18" spans="1:5">
      <c r="A18" s="25" t="s">
        <v>314</v>
      </c>
      <c r="B18" s="25" t="s">
        <v>326</v>
      </c>
      <c r="C18" s="29">
        <v>8</v>
      </c>
      <c r="D18" s="25" t="s">
        <v>145</v>
      </c>
      <c r="E18" s="25" t="s">
        <v>327</v>
      </c>
    </row>
    <row r="19" spans="1:5">
      <c r="A19" s="25" t="s">
        <v>314</v>
      </c>
      <c r="B19" s="25" t="s">
        <v>328</v>
      </c>
      <c r="C19" s="29">
        <v>5100</v>
      </c>
      <c r="D19" s="25" t="s">
        <v>10</v>
      </c>
      <c r="E19" s="25" t="s">
        <v>329</v>
      </c>
    </row>
    <row r="20" spans="1:5">
      <c r="A20" s="25" t="s">
        <v>314</v>
      </c>
      <c r="B20" s="25" t="s">
        <v>330</v>
      </c>
      <c r="C20" s="29">
        <v>520</v>
      </c>
      <c r="D20" s="25" t="s">
        <v>10</v>
      </c>
      <c r="E20" s="25" t="s">
        <v>331</v>
      </c>
    </row>
    <row r="21" spans="1:5">
      <c r="A21" s="25" t="s">
        <v>314</v>
      </c>
      <c r="B21" s="25" t="s">
        <v>332</v>
      </c>
      <c r="C21" s="29">
        <v>6</v>
      </c>
      <c r="D21" s="25" t="s">
        <v>145</v>
      </c>
      <c r="E21" s="25" t="s">
        <v>333</v>
      </c>
    </row>
    <row r="22" spans="1:5">
      <c r="A22" s="25" t="s">
        <v>314</v>
      </c>
      <c r="B22" s="25" t="s">
        <v>334</v>
      </c>
      <c r="C22" s="29">
        <v>82</v>
      </c>
      <c r="D22" s="25" t="s">
        <v>145</v>
      </c>
      <c r="E22" s="25" t="s">
        <v>335</v>
      </c>
    </row>
    <row r="23" spans="1:5">
      <c r="A23" s="25" t="s">
        <v>314</v>
      </c>
      <c r="B23" s="25" t="s">
        <v>336</v>
      </c>
      <c r="C23" s="29">
        <v>240</v>
      </c>
      <c r="D23" s="25" t="s">
        <v>10</v>
      </c>
      <c r="E23" s="25" t="s">
        <v>337</v>
      </c>
    </row>
    <row r="24" spans="1:5">
      <c r="A24" s="25"/>
      <c r="B24" s="25"/>
      <c r="C24" s="25"/>
      <c r="D24" s="25"/>
      <c r="E24" s="25"/>
    </row>
    <row r="25" spans="1:5">
      <c r="A25" s="25" t="s">
        <v>338</v>
      </c>
      <c r="B25" s="25" t="s">
        <v>339</v>
      </c>
      <c r="C25" s="29">
        <v>15000</v>
      </c>
      <c r="D25" s="25" t="s">
        <v>10</v>
      </c>
      <c r="E25" s="25" t="s">
        <v>340</v>
      </c>
    </row>
    <row r="26" spans="1:5">
      <c r="A26" s="25" t="s">
        <v>338</v>
      </c>
      <c r="B26" s="25" t="s">
        <v>341</v>
      </c>
      <c r="C26" s="29">
        <v>760</v>
      </c>
      <c r="D26" s="25" t="s">
        <v>10</v>
      </c>
      <c r="E26" s="25" t="s">
        <v>342</v>
      </c>
    </row>
    <row r="27" spans="1:5">
      <c r="A27" s="25" t="s">
        <v>338</v>
      </c>
      <c r="B27" s="25" t="s">
        <v>343</v>
      </c>
      <c r="C27" s="29">
        <v>26</v>
      </c>
      <c r="D27" s="25" t="s">
        <v>145</v>
      </c>
      <c r="E27" s="25" t="s">
        <v>344</v>
      </c>
    </row>
    <row r="28" spans="1:5">
      <c r="A28" s="25" t="s">
        <v>338</v>
      </c>
      <c r="B28" s="25" t="s">
        <v>345</v>
      </c>
      <c r="C28" s="29">
        <v>135</v>
      </c>
      <c r="D28" s="25" t="s">
        <v>145</v>
      </c>
      <c r="E28" s="25" t="s">
        <v>346</v>
      </c>
    </row>
    <row r="29" spans="1:5">
      <c r="A29" s="25" t="s">
        <v>338</v>
      </c>
      <c r="B29" s="25" t="s">
        <v>347</v>
      </c>
      <c r="C29" s="29">
        <v>330</v>
      </c>
      <c r="D29" s="25" t="s">
        <v>10</v>
      </c>
      <c r="E29" s="25" t="s">
        <v>348</v>
      </c>
    </row>
    <row r="30" spans="1:5">
      <c r="A30" s="25" t="s">
        <v>338</v>
      </c>
      <c r="B30" s="25" t="s">
        <v>349</v>
      </c>
      <c r="C30" s="29">
        <v>8</v>
      </c>
      <c r="D30" s="25" t="s">
        <v>145</v>
      </c>
      <c r="E30" s="25" t="s">
        <v>350</v>
      </c>
    </row>
    <row r="31" spans="1:5">
      <c r="A31" s="25" t="s">
        <v>338</v>
      </c>
      <c r="B31" s="25" t="s">
        <v>351</v>
      </c>
      <c r="C31" s="29">
        <v>62</v>
      </c>
      <c r="D31" s="25" t="s">
        <v>145</v>
      </c>
      <c r="E31" s="25" t="s">
        <v>352</v>
      </c>
    </row>
    <row r="32" spans="1:5">
      <c r="A32" s="25" t="s">
        <v>338</v>
      </c>
      <c r="B32" s="25" t="s">
        <v>353</v>
      </c>
      <c r="C32" s="29">
        <v>0.14000000000000001</v>
      </c>
      <c r="D32" s="25"/>
      <c r="E32" s="25" t="s">
        <v>354</v>
      </c>
    </row>
    <row r="33" spans="1:5">
      <c r="A33" s="25"/>
      <c r="B33" s="25"/>
      <c r="C33" s="25"/>
      <c r="D33" s="25"/>
      <c r="E33" s="25"/>
    </row>
    <row r="34" spans="1:5">
      <c r="A34" s="25" t="s">
        <v>355</v>
      </c>
      <c r="B34" s="25" t="s">
        <v>177</v>
      </c>
      <c r="C34" s="29">
        <f>Inputs!$C$12</f>
        <v>1.78</v>
      </c>
      <c r="D34" s="25"/>
      <c r="E34" s="25" t="s">
        <v>356</v>
      </c>
    </row>
    <row r="35" spans="1:5">
      <c r="A35" s="25" t="s">
        <v>355</v>
      </c>
      <c r="B35" s="25" t="s">
        <v>204</v>
      </c>
      <c r="C35" s="29">
        <v>299792458</v>
      </c>
      <c r="D35" s="25" t="s">
        <v>206</v>
      </c>
      <c r="E35" s="25" t="s">
        <v>357</v>
      </c>
    </row>
    <row r="36" spans="1:5">
      <c r="A36" s="25" t="s">
        <v>355</v>
      </c>
      <c r="B36" s="25" t="s">
        <v>358</v>
      </c>
      <c r="C36" s="29">
        <v>0.9</v>
      </c>
      <c r="D36" s="25" t="s">
        <v>359</v>
      </c>
      <c r="E36" s="25" t="s">
        <v>360</v>
      </c>
    </row>
    <row r="37" spans="1:5">
      <c r="A37" s="25" t="s">
        <v>355</v>
      </c>
      <c r="B37" s="25" t="s">
        <v>361</v>
      </c>
      <c r="C37" s="29">
        <v>-10</v>
      </c>
      <c r="D37" s="25" t="s">
        <v>97</v>
      </c>
      <c r="E37" s="25" t="s">
        <v>362</v>
      </c>
    </row>
    <row r="38" spans="1:5">
      <c r="A38" s="25" t="s">
        <v>355</v>
      </c>
      <c r="B38" s="25" t="s">
        <v>363</v>
      </c>
      <c r="C38" s="29">
        <v>-24</v>
      </c>
      <c r="D38" s="25" t="s">
        <v>97</v>
      </c>
      <c r="E38" s="25" t="s">
        <v>364</v>
      </c>
    </row>
    <row r="39" spans="1:5">
      <c r="A39" s="25" t="s">
        <v>355</v>
      </c>
      <c r="B39" s="25" t="s">
        <v>365</v>
      </c>
      <c r="C39" s="29">
        <v>9</v>
      </c>
      <c r="D39" s="25" t="s">
        <v>97</v>
      </c>
      <c r="E39" s="25" t="s">
        <v>366</v>
      </c>
    </row>
    <row r="40" spans="1:5">
      <c r="A40" s="25" t="s">
        <v>355</v>
      </c>
      <c r="B40" s="25" t="s">
        <v>367</v>
      </c>
      <c r="C40" s="29">
        <v>-6</v>
      </c>
      <c r="D40" s="25" t="s">
        <v>97</v>
      </c>
      <c r="E40" s="25" t="s">
        <v>368</v>
      </c>
    </row>
    <row r="41" spans="1:5">
      <c r="A41" s="25" t="s">
        <v>355</v>
      </c>
      <c r="B41" s="25" t="s">
        <v>369</v>
      </c>
      <c r="C41" s="29">
        <v>4.0000000000000001E-3</v>
      </c>
      <c r="D41" s="25" t="s">
        <v>370</v>
      </c>
      <c r="E41" s="25" t="s">
        <v>371</v>
      </c>
    </row>
    <row r="42" spans="1:5">
      <c r="A42" s="25" t="s">
        <v>355</v>
      </c>
      <c r="B42" s="25" t="s">
        <v>372</v>
      </c>
      <c r="C42" s="29">
        <v>0.18</v>
      </c>
      <c r="D42" s="25" t="s">
        <v>316</v>
      </c>
      <c r="E42" s="25" t="s">
        <v>373</v>
      </c>
    </row>
    <row r="43" spans="1:5">
      <c r="A43" s="25" t="s">
        <v>355</v>
      </c>
      <c r="B43" s="25" t="s">
        <v>374</v>
      </c>
      <c r="C43" s="29">
        <v>-45</v>
      </c>
      <c r="D43" s="25" t="s">
        <v>97</v>
      </c>
      <c r="E43" s="25" t="s">
        <v>375</v>
      </c>
    </row>
    <row r="44" spans="1:5">
      <c r="A44" s="25" t="s">
        <v>119</v>
      </c>
      <c r="B44" s="25" t="s">
        <v>91</v>
      </c>
      <c r="C44" s="29">
        <v>1500</v>
      </c>
      <c r="D44" s="25" t="s">
        <v>10</v>
      </c>
      <c r="E44" s="25" t="s">
        <v>376</v>
      </c>
    </row>
    <row r="45" spans="1:5">
      <c r="A45" s="25" t="s">
        <v>45</v>
      </c>
      <c r="B45" s="25" t="s">
        <v>377</v>
      </c>
      <c r="C45" s="29">
        <v>0.55000000000000004</v>
      </c>
      <c r="D45" s="25"/>
      <c r="E45" s="25" t="s">
        <v>378</v>
      </c>
    </row>
    <row r="46" spans="1:5">
      <c r="A46" s="25" t="s">
        <v>45</v>
      </c>
      <c r="B46" s="25" t="s">
        <v>379</v>
      </c>
      <c r="C46" s="29">
        <v>1.75</v>
      </c>
      <c r="D46" s="25"/>
      <c r="E46" s="25" t="s">
        <v>380</v>
      </c>
    </row>
    <row r="47" spans="1:5">
      <c r="A47" s="25" t="s">
        <v>45</v>
      </c>
      <c r="B47" s="25" t="s">
        <v>381</v>
      </c>
      <c r="C47" s="29">
        <v>-60</v>
      </c>
      <c r="D47" s="25" t="s">
        <v>97</v>
      </c>
      <c r="E47" s="25" t="s">
        <v>382</v>
      </c>
    </row>
    <row r="48" spans="1:5">
      <c r="A48" s="25" t="s">
        <v>134</v>
      </c>
      <c r="B48" s="25" t="s">
        <v>383</v>
      </c>
      <c r="C48" s="29">
        <v>55</v>
      </c>
      <c r="D48" s="25" t="s">
        <v>108</v>
      </c>
      <c r="E48" s="25" t="s">
        <v>384</v>
      </c>
    </row>
    <row r="49" spans="1:5">
      <c r="A49" s="25" t="s">
        <v>134</v>
      </c>
      <c r="B49" s="25" t="s">
        <v>385</v>
      </c>
      <c r="C49" s="29">
        <v>35</v>
      </c>
      <c r="D49" s="25" t="s">
        <v>108</v>
      </c>
      <c r="E49" s="25" t="s">
        <v>386</v>
      </c>
    </row>
    <row r="50" spans="1:5">
      <c r="A50" s="25" t="s">
        <v>134</v>
      </c>
      <c r="B50" s="25" t="s">
        <v>387</v>
      </c>
      <c r="C50" s="29">
        <v>40</v>
      </c>
      <c r="D50" s="25" t="s">
        <v>108</v>
      </c>
      <c r="E50" s="25" t="s">
        <v>388</v>
      </c>
    </row>
    <row r="51" spans="1:5">
      <c r="A51" s="25" t="s">
        <v>134</v>
      </c>
      <c r="B51" s="25" t="s">
        <v>389</v>
      </c>
      <c r="C51" s="29">
        <v>50</v>
      </c>
      <c r="D51" s="25" t="s">
        <v>108</v>
      </c>
      <c r="E51" s="25" t="s">
        <v>390</v>
      </c>
    </row>
    <row r="52" spans="1:5">
      <c r="A52" s="25" t="s">
        <v>134</v>
      </c>
      <c r="B52" s="25" t="s">
        <v>391</v>
      </c>
      <c r="C52" s="29">
        <v>40</v>
      </c>
      <c r="D52" s="25" t="s">
        <v>108</v>
      </c>
      <c r="E52" s="25" t="s">
        <v>392</v>
      </c>
    </row>
    <row r="53" spans="1:5">
      <c r="A53" s="25" t="s">
        <v>134</v>
      </c>
      <c r="B53" s="25" t="s">
        <v>393</v>
      </c>
      <c r="C53" s="29">
        <v>20</v>
      </c>
      <c r="D53" s="25" t="s">
        <v>108</v>
      </c>
      <c r="E53" s="25" t="s">
        <v>394</v>
      </c>
    </row>
    <row r="54" spans="1:5">
      <c r="A54" s="25" t="s">
        <v>134</v>
      </c>
      <c r="B54" s="25" t="s">
        <v>395</v>
      </c>
      <c r="C54" s="29">
        <v>20</v>
      </c>
      <c r="D54" s="25" t="s">
        <v>108</v>
      </c>
      <c r="E54" s="25" t="s">
        <v>396</v>
      </c>
    </row>
    <row r="55" spans="1:5">
      <c r="A55" s="25" t="s">
        <v>134</v>
      </c>
      <c r="B55" s="25" t="s">
        <v>397</v>
      </c>
      <c r="C55" s="29">
        <v>20</v>
      </c>
      <c r="D55" s="25" t="s">
        <v>108</v>
      </c>
      <c r="E55" s="25" t="s">
        <v>398</v>
      </c>
    </row>
    <row r="56" spans="1:5">
      <c r="A56" s="25" t="s">
        <v>399</v>
      </c>
      <c r="B56" s="25" t="s">
        <v>400</v>
      </c>
      <c r="C56" s="29">
        <v>1.5</v>
      </c>
      <c r="D56" s="25" t="s">
        <v>17</v>
      </c>
      <c r="E56" s="25" t="s">
        <v>401</v>
      </c>
    </row>
    <row r="57" spans="1:5">
      <c r="A57" s="25" t="s">
        <v>399</v>
      </c>
      <c r="B57" s="25" t="s">
        <v>402</v>
      </c>
      <c r="C57" s="29">
        <v>12</v>
      </c>
      <c r="D57" s="25" t="s">
        <v>17</v>
      </c>
      <c r="E57" s="25" t="s">
        <v>403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242"/>
  <sheetViews>
    <sheetView showGridLines="0" workbookViewId="0"/>
  </sheetViews>
  <sheetFormatPr defaultRowHeight="13.8"/>
  <cols>
    <col min="1" max="2" width="10" customWidth="1"/>
    <col min="3" max="5" width="12" customWidth="1"/>
    <col min="6" max="6" width="16" customWidth="1"/>
    <col min="7" max="7" width="14" customWidth="1"/>
    <col min="8" max="8" width="16" customWidth="1"/>
    <col min="9" max="11" width="14" customWidth="1"/>
    <col min="12" max="12" width="11" customWidth="1"/>
    <col min="13" max="13" width="10" customWidth="1"/>
    <col min="14" max="14" width="12" customWidth="1"/>
    <col min="15" max="17" width="14" customWidth="1"/>
    <col min="18" max="21" width="13" customWidth="1"/>
    <col min="22" max="23" width="16" customWidth="1"/>
    <col min="24" max="25" width="13" customWidth="1"/>
    <col min="26" max="28" width="15" customWidth="1"/>
    <col min="29" max="30" width="18" customWidth="1"/>
    <col min="31" max="33" width="16" customWidth="1"/>
    <col min="34" max="34" width="14" customWidth="1"/>
    <col min="35" max="36" width="20" customWidth="1"/>
    <col min="37" max="43" width="18" customWidth="1"/>
    <col min="44" max="45" width="16" customWidth="1"/>
  </cols>
  <sheetData>
    <row r="1" spans="1:45" ht="26.25" customHeight="1">
      <c r="A1" s="2" t="s">
        <v>404</v>
      </c>
      <c r="B1" s="2" t="s">
        <v>405</v>
      </c>
      <c r="C1" s="2" t="s">
        <v>406</v>
      </c>
      <c r="D1" s="2" t="s">
        <v>407</v>
      </c>
      <c r="E1" s="2" t="s">
        <v>408</v>
      </c>
      <c r="F1" s="2" t="s">
        <v>409</v>
      </c>
      <c r="G1" s="2" t="s">
        <v>410</v>
      </c>
      <c r="H1" s="2" t="s">
        <v>411</v>
      </c>
      <c r="I1" s="2" t="s">
        <v>412</v>
      </c>
      <c r="J1" s="2" t="s">
        <v>413</v>
      </c>
      <c r="K1" s="2" t="s">
        <v>414</v>
      </c>
      <c r="L1" s="2" t="s">
        <v>415</v>
      </c>
      <c r="M1" s="2" t="s">
        <v>416</v>
      </c>
      <c r="N1" s="2" t="s">
        <v>417</v>
      </c>
      <c r="O1" s="2" t="s">
        <v>418</v>
      </c>
      <c r="P1" s="2" t="s">
        <v>419</v>
      </c>
      <c r="Q1" s="2" t="s">
        <v>420</v>
      </c>
      <c r="R1" s="2" t="s">
        <v>421</v>
      </c>
      <c r="S1" s="2" t="s">
        <v>422</v>
      </c>
      <c r="T1" s="2" t="s">
        <v>423</v>
      </c>
      <c r="U1" s="2" t="s">
        <v>424</v>
      </c>
      <c r="V1" s="2" t="s">
        <v>425</v>
      </c>
      <c r="W1" s="2" t="s">
        <v>426</v>
      </c>
      <c r="X1" s="2" t="s">
        <v>427</v>
      </c>
      <c r="Y1" s="2" t="s">
        <v>428</v>
      </c>
      <c r="Z1" s="2" t="s">
        <v>429</v>
      </c>
      <c r="AA1" s="2" t="s">
        <v>430</v>
      </c>
      <c r="AB1" s="2" t="s">
        <v>431</v>
      </c>
      <c r="AC1" s="2" t="s">
        <v>432</v>
      </c>
      <c r="AD1" s="2" t="s">
        <v>433</v>
      </c>
      <c r="AE1" s="2" t="s">
        <v>434</v>
      </c>
      <c r="AF1" s="2" t="s">
        <v>435</v>
      </c>
      <c r="AG1" s="2" t="s">
        <v>436</v>
      </c>
      <c r="AH1" s="2" t="s">
        <v>437</v>
      </c>
      <c r="AI1" s="2" t="s">
        <v>438</v>
      </c>
      <c r="AJ1" s="2" t="s">
        <v>439</v>
      </c>
      <c r="AK1" s="2" t="s">
        <v>440</v>
      </c>
      <c r="AL1" s="2" t="s">
        <v>441</v>
      </c>
      <c r="AM1" s="2" t="s">
        <v>442</v>
      </c>
      <c r="AN1" s="2" t="s">
        <v>443</v>
      </c>
      <c r="AO1" s="2" t="s">
        <v>444</v>
      </c>
      <c r="AP1" s="2" t="s">
        <v>445</v>
      </c>
      <c r="AQ1" s="2" t="s">
        <v>446</v>
      </c>
      <c r="AR1" s="2" t="s">
        <v>447</v>
      </c>
      <c r="AS1" s="2" t="s">
        <v>448</v>
      </c>
    </row>
    <row r="2" spans="1:45">
      <c r="A2" s="9">
        <f>Inputs!$C$7+0*(Inputs!$C$8-Inputs!$C$7)/240</f>
        <v>-60</v>
      </c>
      <c r="B2" s="9">
        <f>Inputs!$C$5+Inputs!$C$9*(A2/Inputs!$C$10)^2</f>
        <v>404</v>
      </c>
      <c r="C2" s="9">
        <f t="shared" ref="C2:C65" si="0">B2</f>
        <v>404</v>
      </c>
      <c r="D2" s="9">
        <f>SQRT((Inputs!$C$52+B2)^2+Inputs!$C$52^2-2*(Inputs!$C$52+B2)*Inputs!$C$52*COS(SQRT(A2^2+Inputs!$C$6^2)/Inputs!$C$52))</f>
        <v>410.52872883875852</v>
      </c>
      <c r="E2" s="9">
        <f t="shared" ref="E2:E65" si="1">(D2-C2)*1000</f>
        <v>6528.7288387585249</v>
      </c>
      <c r="F2" s="9">
        <f>E2/Inputs!$C$12</f>
        <v>3667.825190313778</v>
      </c>
      <c r="G2" s="9">
        <f>2*E2/Inputs!$C$21*1000000</f>
        <v>43.554990557891387</v>
      </c>
      <c r="H2" s="9">
        <f>SQRT(A2^2+Inputs!$C$6^2)</f>
        <v>65</v>
      </c>
      <c r="I2" s="9">
        <f t="shared" ref="I2:I65" si="2">DEGREES(ATAN(H2/B2))</f>
        <v>9.1400512341328497</v>
      </c>
      <c r="J2" s="9">
        <f>DEGREES((2*PI()/Inputs!$C$13)*Inputs!$C$15*SIN(RADIANS(I2)))</f>
        <v>57.18537229942514</v>
      </c>
      <c r="K2" s="9">
        <f t="shared" ref="K2:K65" si="3">(C2/D2)^4</f>
        <v>0.93788856854464964</v>
      </c>
      <c r="L2" s="9">
        <f t="shared" ref="L2:L65" si="4">10*LOG10(K2)</f>
        <v>-0.27848757506786664</v>
      </c>
      <c r="M2" s="9">
        <f>2*(Inputs!$C$9/(Inputs!$C$10^2))*A2</f>
        <v>-0.13333333333333333</v>
      </c>
      <c r="N2" s="9">
        <f>M2*Inputs!$C$11</f>
        <v>-0.53333333333333333</v>
      </c>
      <c r="O2" s="9">
        <f>1000*(D3-D2)/(A3-A2)*Inputs!$C$11</f>
        <v>-1257.2455840172552</v>
      </c>
      <c r="P2" s="9">
        <f>-2*O2/Inputs!$C$13</f>
        <v>502.89823360690207</v>
      </c>
      <c r="Q2" s="9">
        <f>-2*O2/Inputs!$C$14</f>
        <v>75.510245286321634</v>
      </c>
      <c r="R2" s="9">
        <f>F2-Inputs!$C$16/2</f>
        <v>3652.825190313778</v>
      </c>
      <c r="S2" s="9">
        <f>F2+Inputs!$C$16/2</f>
        <v>3682.825190313778</v>
      </c>
      <c r="T2" s="9">
        <f>F2-Inputs!$C$17/2</f>
        <v>3517.825190313778</v>
      </c>
      <c r="U2" s="9">
        <f>F2+Inputs!$C$17/2</f>
        <v>3817.825190313778</v>
      </c>
      <c r="V2" s="9">
        <f t="shared" ref="V2:V65" si="5">ABS(P2)</f>
        <v>502.89823360690207</v>
      </c>
      <c r="W2" s="9">
        <f t="shared" ref="W2:W65" si="6">ABS(Q2)</f>
        <v>75.510245286321634</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2.7642790376893132</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119.42638570504096</v>
      </c>
      <c r="Z2" s="9">
        <f t="shared" ref="Z2:Z65" si="7">B2-X2/1000</f>
        <v>403.99723572096229</v>
      </c>
      <c r="AA2" s="9">
        <f>SQRT((Inputs!$C$52+B2)^2+(Inputs!$C$52+Y2/1000)^2-2*(Inputs!$C$52+B2)*(Inputs!$C$52+Y2/1000)*COS(SQRT(A2^2+Inputs!$C$6^2)/Inputs!$C$52))</f>
        <v>410.41169798793055</v>
      </c>
      <c r="AB2" s="9">
        <f t="shared" ref="AB2:AB65" si="8">(AA2-Z2)*1000</f>
        <v>6414.4622669682576</v>
      </c>
      <c r="AC2" s="9">
        <f>AB2/Inputs!$C$12</f>
        <v>3603.6304870608187</v>
      </c>
      <c r="AD2" s="9">
        <f>2*AB2/Inputs!$C$21*1000000</f>
        <v>42.792686045279083</v>
      </c>
      <c r="AE2" s="9">
        <f t="shared" ref="AE2:AE65" si="9">DEGREES(ATAN(H2/(B2-Y2/1000)))</f>
        <v>9.1427082835342031</v>
      </c>
      <c r="AF2" s="9">
        <f>DEGREES((2*PI()/Inputs!$C$13)*Inputs!$C$15*SIN(RADIANS(AE2)))</f>
        <v>57.201854998802169</v>
      </c>
      <c r="AG2" s="9">
        <f t="shared" ref="AG2:AG65" si="10">(Z2/AA2)^4</f>
        <v>0.93893310158842103</v>
      </c>
      <c r="AH2" s="9">
        <f t="shared" ref="AH2:AH65" si="11">10*LOG10(AG2)</f>
        <v>-0.27365349848903248</v>
      </c>
      <c r="AI2" s="9">
        <f t="shared" ref="AI2:AI65" si="12">AC2-F2</f>
        <v>-64.194703252959243</v>
      </c>
      <c r="AJ2" s="9">
        <f t="shared" ref="AJ2:AJ65" si="13">AD2-G2</f>
        <v>-0.76230451261230314</v>
      </c>
      <c r="AK2" s="9">
        <f t="shared" ref="AK2:AK65" si="14">Y2-X2</f>
        <v>116.66210666735165</v>
      </c>
      <c r="AL2" s="9">
        <f>1000*(AA3-AA2)/(A3-A2)*Inputs!$C$11</f>
        <v>-1189.0455786242455</v>
      </c>
      <c r="AM2" s="9">
        <f>-2*AL2/Inputs!$C$13</f>
        <v>475.61823144969821</v>
      </c>
      <c r="AN2" s="9">
        <f>-2*AL2/Inputs!$C$14</f>
        <v>71.414148866321057</v>
      </c>
      <c r="AO2" s="9">
        <f t="shared" ref="AO2:AO65" si="15">ABS(AM2)</f>
        <v>475.61823144969821</v>
      </c>
      <c r="AP2" s="9">
        <f t="shared" ref="AP2:AP65" si="16">ABS(AN2)</f>
        <v>71.414148866321057</v>
      </c>
      <c r="AQ2" s="9">
        <f>IF(OR(Inputs!$C$27=TRUE,Inputs!$C$27="TRUE",Inputs!$C$27=1),Inputs!$C$46/Inputs!$C$12,0)</f>
        <v>42.134831460674157</v>
      </c>
      <c r="AR2" s="9">
        <f t="shared" ref="AR2:AR65" si="17">AC2-AQ2</f>
        <v>3561.4956556001443</v>
      </c>
      <c r="AS2" s="9">
        <f t="shared" ref="AS2:AS65" si="18">AC2+AQ2</f>
        <v>3645.7653185214931</v>
      </c>
    </row>
    <row r="3" spans="1:45">
      <c r="A3" s="9">
        <f>Inputs!$C$7+1*(Inputs!$C$8-Inputs!$C$7)/240</f>
        <v>-59.5</v>
      </c>
      <c r="B3" s="9">
        <f>Inputs!$C$5+Inputs!$C$9*(A3/Inputs!$C$10)^2</f>
        <v>403.93361111111113</v>
      </c>
      <c r="C3" s="9">
        <f t="shared" si="0"/>
        <v>403.93361111111113</v>
      </c>
      <c r="D3" s="9">
        <f>SQRT((Inputs!$C$52+B3)^2+Inputs!$C$52^2-2*(Inputs!$C$52+B3)*Inputs!$C$52*COS(SQRT(A3^2+Inputs!$C$6^2)/Inputs!$C$52))</f>
        <v>410.37157314075637</v>
      </c>
      <c r="E3" s="9">
        <f t="shared" si="1"/>
        <v>6437.962029645234</v>
      </c>
      <c r="F3" s="9">
        <f>E3/Inputs!$C$12</f>
        <v>3616.8326009242887</v>
      </c>
      <c r="G3" s="9">
        <f>2*E3/Inputs!$C$21*1000000</f>
        <v>42.949459586773422</v>
      </c>
      <c r="H3" s="9">
        <f>SQRT(A3^2+Inputs!$C$6^2)</f>
        <v>64.538748051073938</v>
      </c>
      <c r="I3" s="9">
        <f t="shared" si="2"/>
        <v>9.0777420317977509</v>
      </c>
      <c r="J3" s="9">
        <f>DEGREES((2*PI()/Inputs!$C$13)*Inputs!$C$15*SIN(RADIANS(I3)))</f>
        <v>56.79880917100207</v>
      </c>
      <c r="K3" s="9">
        <f t="shared" si="3"/>
        <v>0.9387088058105012</v>
      </c>
      <c r="L3" s="9">
        <f t="shared" si="4"/>
        <v>-0.27469108098806244</v>
      </c>
      <c r="M3" s="9">
        <f>2*(Inputs!$C$9/(Inputs!$C$10^2))*A3</f>
        <v>-0.13222222222222221</v>
      </c>
      <c r="N3" s="9">
        <f>M3*Inputs!$C$11</f>
        <v>-0.52888888888888885</v>
      </c>
      <c r="O3" s="9">
        <f>1000*(D4-D2)/(A4-A2)*Inputs!$C$11</f>
        <v>-1252.1575322996341</v>
      </c>
      <c r="P3" s="9">
        <f>-2*O3/Inputs!$C$13</f>
        <v>500.86301291985365</v>
      </c>
      <c r="Q3" s="9">
        <f>-2*O3/Inputs!$C$14</f>
        <v>75.204656594572626</v>
      </c>
      <c r="R3" s="9">
        <f>F3-Inputs!$C$16/2</f>
        <v>3601.8326009242887</v>
      </c>
      <c r="S3" s="9">
        <f>F3+Inputs!$C$16/2</f>
        <v>3631.8326009242887</v>
      </c>
      <c r="T3" s="9">
        <f>F3-Inputs!$C$17/2</f>
        <v>3466.8326009242887</v>
      </c>
      <c r="U3" s="9">
        <f>F3+Inputs!$C$17/2</f>
        <v>3766.8326009242887</v>
      </c>
      <c r="V3" s="9">
        <f t="shared" si="5"/>
        <v>500.86301291985365</v>
      </c>
      <c r="W3" s="9">
        <f t="shared" si="6"/>
        <v>75.204656594572626</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19.645117006409471</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110.69606493723512</v>
      </c>
      <c r="Z3" s="9">
        <f t="shared" si="7"/>
        <v>403.91396599410473</v>
      </c>
      <c r="AA3" s="9">
        <f>SQRT((Inputs!$C$52+B3)^2+(Inputs!$C$52+Y3/1000)^2-2*(Inputs!$C$52+B3)*(Inputs!$C$52+Y3/1000)*COS(SQRT(A3^2+Inputs!$C$6^2)/Inputs!$C$52))</f>
        <v>410.26306729060252</v>
      </c>
      <c r="AB3" s="9">
        <f t="shared" si="8"/>
        <v>6349.1012964977926</v>
      </c>
      <c r="AC3" s="9">
        <f>AB3/Inputs!$C$12</f>
        <v>3566.9108407290969</v>
      </c>
      <c r="AD3" s="9">
        <f>2*AB3/Inputs!$C$21*1000000</f>
        <v>42.356644585754005</v>
      </c>
      <c r="AE3" s="9">
        <f t="shared" si="9"/>
        <v>9.0801889745391939</v>
      </c>
      <c r="AF3" s="9">
        <f>DEGREES((2*PI()/Inputs!$C$13)*Inputs!$C$15*SIN(RADIANS(AE3)))</f>
        <v>56.813991149736545</v>
      </c>
      <c r="AG3" s="9">
        <f t="shared" si="10"/>
        <v>0.93951947931942503</v>
      </c>
      <c r="AH3" s="9">
        <f t="shared" si="11"/>
        <v>-0.2709421112147834</v>
      </c>
      <c r="AI3" s="9">
        <f t="shared" si="12"/>
        <v>-49.921760195191837</v>
      </c>
      <c r="AJ3" s="9">
        <f t="shared" si="13"/>
        <v>-0.59281500101941731</v>
      </c>
      <c r="AK3" s="9">
        <f t="shared" si="14"/>
        <v>91.050947930825657</v>
      </c>
      <c r="AL3" s="9">
        <f>1000*(AA4-AA2)/(A4-A2)*Inputs!$C$11</f>
        <v>-1227.1825030172749</v>
      </c>
      <c r="AM3" s="9">
        <f>-2*AL3/Inputs!$C$13</f>
        <v>490.87300120690998</v>
      </c>
      <c r="AN3" s="9">
        <f>-2*AL3/Inputs!$C$14</f>
        <v>73.704654835872375</v>
      </c>
      <c r="AO3" s="9">
        <f t="shared" si="15"/>
        <v>490.87300120690998</v>
      </c>
      <c r="AP3" s="9">
        <f t="shared" si="16"/>
        <v>73.704654835872375</v>
      </c>
      <c r="AQ3" s="9">
        <f>IF(OR(Inputs!$C$27=TRUE,Inputs!$C$27="TRUE",Inputs!$C$27=1),Inputs!$C$46/Inputs!$C$12,0)</f>
        <v>42.134831460674157</v>
      </c>
      <c r="AR3" s="9">
        <f t="shared" si="17"/>
        <v>3524.7760092684225</v>
      </c>
      <c r="AS3" s="9">
        <f t="shared" si="18"/>
        <v>3609.0456721897713</v>
      </c>
    </row>
    <row r="4" spans="1:45">
      <c r="A4" s="9">
        <f>Inputs!$C$7+2*(Inputs!$C$8-Inputs!$C$7)/240</f>
        <v>-59</v>
      </c>
      <c r="B4" s="9">
        <f>Inputs!$C$5+Inputs!$C$9*(A4/Inputs!$C$10)^2</f>
        <v>403.8677777777778</v>
      </c>
      <c r="C4" s="9">
        <f t="shared" si="0"/>
        <v>403.8677777777778</v>
      </c>
      <c r="D4" s="9">
        <f>SQRT((Inputs!$C$52+B4)^2+Inputs!$C$52^2-2*(Inputs!$C$52+B4)*Inputs!$C$52*COS(SQRT(A4^2+Inputs!$C$6^2)/Inputs!$C$52))</f>
        <v>410.21568945568362</v>
      </c>
      <c r="E4" s="9">
        <f t="shared" si="1"/>
        <v>6347.9116779058131</v>
      </c>
      <c r="F4" s="9">
        <f>E4/Inputs!$C$12</f>
        <v>3566.2425156774229</v>
      </c>
      <c r="G4" s="9">
        <f>2*E4/Inputs!$C$21*1000000</f>
        <v>42.348708304768714</v>
      </c>
      <c r="H4" s="9">
        <f>SQRT(A4^2+Inputs!$C$6^2)</f>
        <v>64.078077374403179</v>
      </c>
      <c r="I4" s="9">
        <f t="shared" si="2"/>
        <v>9.0154589139895744</v>
      </c>
      <c r="J4" s="9">
        <f>DEGREES((2*PI()/Inputs!$C$13)*Inputs!$C$15*SIN(RADIANS(I4)))</f>
        <v>56.41234073822082</v>
      </c>
      <c r="K4" s="9">
        <f t="shared" si="3"/>
        <v>0.93952372636550141</v>
      </c>
      <c r="L4" s="9">
        <f t="shared" si="4"/>
        <v>-0.27092247921622387</v>
      </c>
      <c r="M4" s="9">
        <f>2*(Inputs!$C$9/(Inputs!$C$10^2))*A4</f>
        <v>-0.13111111111111112</v>
      </c>
      <c r="N4" s="9">
        <f>M4*Inputs!$C$11</f>
        <v>-0.52444444444444449</v>
      </c>
      <c r="O4" s="9">
        <f>1000*(D5-D3)/(A5-A3)*Inputs!$C$11</f>
        <v>-1241.9772760697469</v>
      </c>
      <c r="P4" s="9">
        <f>-2*O4/Inputs!$C$13</f>
        <v>496.79091042789878</v>
      </c>
      <c r="Q4" s="9">
        <f>-2*O4/Inputs!$C$14</f>
        <v>74.593229793978807</v>
      </c>
      <c r="R4" s="9">
        <f>F4-Inputs!$C$16/2</f>
        <v>3551.2425156774229</v>
      </c>
      <c r="S4" s="9">
        <f>F4+Inputs!$C$16/2</f>
        <v>3581.2425156774229</v>
      </c>
      <c r="T4" s="9">
        <f>F4-Inputs!$C$17/2</f>
        <v>3416.2425156774229</v>
      </c>
      <c r="U4" s="9">
        <f>F4+Inputs!$C$17/2</f>
        <v>3716.2425156774229</v>
      </c>
      <c r="V4" s="9">
        <f t="shared" si="5"/>
        <v>496.79091042789878</v>
      </c>
      <c r="W4" s="9">
        <f t="shared" si="6"/>
        <v>74.593229793978807</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7.9704483537677238</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112.99219424849355</v>
      </c>
      <c r="Z4" s="9">
        <f t="shared" si="7"/>
        <v>403.85980732942403</v>
      </c>
      <c r="AA4" s="9">
        <f>SQRT((Inputs!$C$52+B4)^2+(Inputs!$C$52+Y4/1000)^2-2*(Inputs!$C$52+B4)*(Inputs!$C$52+Y4/1000)*COS(SQRT(A4^2+Inputs!$C$6^2)/Inputs!$C$52))</f>
        <v>410.10490236217623</v>
      </c>
      <c r="AB4" s="9">
        <f t="shared" si="8"/>
        <v>6245.0950327522041</v>
      </c>
      <c r="AC4" s="9">
        <f>AB4/Inputs!$C$12</f>
        <v>3508.4803554787663</v>
      </c>
      <c r="AD4" s="9">
        <f>2*AB4/Inputs!$C$21*1000000</f>
        <v>41.662789480529248</v>
      </c>
      <c r="AE4" s="9">
        <f t="shared" si="9"/>
        <v>9.0179404659826474</v>
      </c>
      <c r="AF4" s="9">
        <f>DEGREES((2*PI()/Inputs!$C$13)*Inputs!$C$15*SIN(RADIANS(AE4)))</f>
        <v>56.42774011364456</v>
      </c>
      <c r="AG4" s="9">
        <f t="shared" si="10"/>
        <v>0.94046511692363144</v>
      </c>
      <c r="AH4" s="9">
        <f t="shared" si="11"/>
        <v>-0.26657308362972926</v>
      </c>
      <c r="AI4" s="9">
        <f t="shared" si="12"/>
        <v>-57.762160198656602</v>
      </c>
      <c r="AJ4" s="9">
        <f t="shared" si="13"/>
        <v>-0.68591882423946515</v>
      </c>
      <c r="AK4" s="9">
        <f t="shared" si="14"/>
        <v>105.02174589472583</v>
      </c>
      <c r="AL4" s="9">
        <f>1000*(AA5-AA3)/(A5-A3)*Inputs!$C$11</f>
        <v>-1335.150537362324</v>
      </c>
      <c r="AM4" s="9">
        <f>-2*AL4/Inputs!$C$13</f>
        <v>534.06021494492961</v>
      </c>
      <c r="AN4" s="9">
        <f>-2*AL4/Inputs!$C$14</f>
        <v>80.189221463202657</v>
      </c>
      <c r="AO4" s="9">
        <f t="shared" si="15"/>
        <v>534.06021494492961</v>
      </c>
      <c r="AP4" s="9">
        <f t="shared" si="16"/>
        <v>80.189221463202657</v>
      </c>
      <c r="AQ4" s="9">
        <f>IF(OR(Inputs!$C$27=TRUE,Inputs!$C$27="TRUE",Inputs!$C$27=1),Inputs!$C$46/Inputs!$C$12,0)</f>
        <v>42.134831460674157</v>
      </c>
      <c r="AR4" s="9">
        <f t="shared" si="17"/>
        <v>3466.345524018092</v>
      </c>
      <c r="AS4" s="9">
        <f t="shared" si="18"/>
        <v>3550.6151869394407</v>
      </c>
    </row>
    <row r="5" spans="1:45">
      <c r="A5" s="9">
        <f>Inputs!$C$7+3*(Inputs!$C$8-Inputs!$C$7)/240</f>
        <v>-58.5</v>
      </c>
      <c r="B5" s="9">
        <f>Inputs!$C$5+Inputs!$C$9*(A5/Inputs!$C$10)^2</f>
        <v>403.80250000000001</v>
      </c>
      <c r="C5" s="9">
        <f t="shared" si="0"/>
        <v>403.80250000000001</v>
      </c>
      <c r="D5" s="9">
        <f>SQRT((Inputs!$C$52+B5)^2+Inputs!$C$52^2-2*(Inputs!$C$52+B5)*Inputs!$C$52*COS(SQRT(A5^2+Inputs!$C$6^2)/Inputs!$C$52))</f>
        <v>410.06107882173893</v>
      </c>
      <c r="E5" s="9">
        <f t="shared" si="1"/>
        <v>6258.5788217389218</v>
      </c>
      <c r="F5" s="9">
        <f>E5/Inputs!$C$12</f>
        <v>3516.055517830855</v>
      </c>
      <c r="G5" s="9">
        <f>2*E5/Inputs!$C$21*1000000</f>
        <v>41.752743637993198</v>
      </c>
      <c r="H5" s="9">
        <f>SQRT(A5^2+Inputs!$C$6^2)</f>
        <v>63.618000597315223</v>
      </c>
      <c r="I5" s="9">
        <f t="shared" si="2"/>
        <v>8.9532040951491538</v>
      </c>
      <c r="J5" s="9">
        <f>DEGREES((2*PI()/Inputs!$C$13)*Inputs!$C$15*SIN(RADIANS(I5)))</f>
        <v>56.025981286013241</v>
      </c>
      <c r="K5" s="9">
        <f t="shared" si="3"/>
        <v>0.94033329521757236</v>
      </c>
      <c r="L5" s="9">
        <f t="shared" si="4"/>
        <v>-0.26718186168122815</v>
      </c>
      <c r="M5" s="9">
        <f>2*(Inputs!$C$9/(Inputs!$C$10^2))*A5</f>
        <v>-0.13</v>
      </c>
      <c r="N5" s="9">
        <f>M5*Inputs!$C$11</f>
        <v>-0.52</v>
      </c>
      <c r="O5" s="9">
        <f>1000*(D6-D4)/(A6-A4)*Inputs!$C$11</f>
        <v>-1231.7887414533288</v>
      </c>
      <c r="P5" s="9">
        <f>-2*O5/Inputs!$C$13</f>
        <v>492.71549658133154</v>
      </c>
      <c r="Q5" s="9">
        <f>-2*O5/Inputs!$C$14</f>
        <v>73.981305792992728</v>
      </c>
      <c r="R5" s="9">
        <f>F5-Inputs!$C$16/2</f>
        <v>3501.055517830855</v>
      </c>
      <c r="S5" s="9">
        <f>F5+Inputs!$C$16/2</f>
        <v>3531.055517830855</v>
      </c>
      <c r="T5" s="9">
        <f>F5-Inputs!$C$17/2</f>
        <v>3366.055517830855</v>
      </c>
      <c r="U5" s="9">
        <f>F5+Inputs!$C$17/2</f>
        <v>3666.055517830855</v>
      </c>
      <c r="V5" s="9">
        <f t="shared" si="5"/>
        <v>492.71549658133154</v>
      </c>
      <c r="W5" s="9">
        <f t="shared" si="6"/>
        <v>73.981305792992728</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21.747313566648423</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134.38583105711319</v>
      </c>
      <c r="Z5" s="9">
        <f t="shared" si="7"/>
        <v>403.78075268643335</v>
      </c>
      <c r="AA5" s="9">
        <f>SQRT((Inputs!$C$52+B5)^2+(Inputs!$C$52+Y5/1000)^2-2*(Inputs!$C$52+B5)*(Inputs!$C$52+Y5/1000)*COS(SQRT(A5^2+Inputs!$C$6^2)/Inputs!$C$52))</f>
        <v>409.92927965626194</v>
      </c>
      <c r="AB5" s="9">
        <f t="shared" si="8"/>
        <v>6148.5269698285947</v>
      </c>
      <c r="AC5" s="9">
        <f>AB5/Inputs!$C$12</f>
        <v>3454.2286347351655</v>
      </c>
      <c r="AD5" s="9">
        <f>2*AB5/Inputs!$C$21*1000000</f>
        <v>41.018556709846216</v>
      </c>
      <c r="AE5" s="9">
        <f t="shared" si="9"/>
        <v>8.9561364133473056</v>
      </c>
      <c r="AF5" s="9">
        <f>DEGREES((2*PI()/Inputs!$C$13)*Inputs!$C$15*SIN(RADIANS(AE5)))</f>
        <v>56.044181025503491</v>
      </c>
      <c r="AG5" s="9">
        <f t="shared" si="10"/>
        <v>0.94134039472565945</v>
      </c>
      <c r="AH5" s="9">
        <f t="shared" si="11"/>
        <v>-0.26253304501136343</v>
      </c>
      <c r="AI5" s="9">
        <f t="shared" si="12"/>
        <v>-61.826883095689482</v>
      </c>
      <c r="AJ5" s="9">
        <f t="shared" si="13"/>
        <v>-0.73418692814698261</v>
      </c>
      <c r="AK5" s="9">
        <f t="shared" si="14"/>
        <v>112.63851749046478</v>
      </c>
      <c r="AL5" s="9">
        <f>1000*(AA6-AA4)/(A6-A4)*Inputs!$C$11</f>
        <v>-1259.8023655077668</v>
      </c>
      <c r="AM5" s="9">
        <f>-2*AL5/Inputs!$C$13</f>
        <v>503.92094620310672</v>
      </c>
      <c r="AN5" s="9">
        <f>-2*AL5/Inputs!$C$14</f>
        <v>75.663805736202221</v>
      </c>
      <c r="AO5" s="9">
        <f t="shared" si="15"/>
        <v>503.92094620310672</v>
      </c>
      <c r="AP5" s="9">
        <f t="shared" si="16"/>
        <v>75.663805736202221</v>
      </c>
      <c r="AQ5" s="9">
        <f>IF(OR(Inputs!$C$27=TRUE,Inputs!$C$27="TRUE",Inputs!$C$27=1),Inputs!$C$46/Inputs!$C$12,0)</f>
        <v>42.134831460674157</v>
      </c>
      <c r="AR5" s="9">
        <f t="shared" si="17"/>
        <v>3412.0938032744912</v>
      </c>
      <c r="AS5" s="9">
        <f t="shared" si="18"/>
        <v>3496.3634661958399</v>
      </c>
    </row>
    <row r="6" spans="1:45">
      <c r="A6" s="9">
        <f>Inputs!$C$7+4*(Inputs!$C$8-Inputs!$C$7)/240</f>
        <v>-58</v>
      </c>
      <c r="B6" s="9">
        <f>Inputs!$C$5+Inputs!$C$9*(A6/Inputs!$C$10)^2</f>
        <v>403.73777777777775</v>
      </c>
      <c r="C6" s="9">
        <f t="shared" si="0"/>
        <v>403.73777777777775</v>
      </c>
      <c r="D6" s="9">
        <f>SQRT((Inputs!$C$52+B6)^2+Inputs!$C$52^2-2*(Inputs!$C$52+B6)*Inputs!$C$52*COS(SQRT(A6^2+Inputs!$C$6^2)/Inputs!$C$52))</f>
        <v>409.90774227032028</v>
      </c>
      <c r="E6" s="9">
        <f t="shared" si="1"/>
        <v>6169.9644925425328</v>
      </c>
      <c r="F6" s="9">
        <f>E6/Inputs!$C$12</f>
        <v>3466.2721868216477</v>
      </c>
      <c r="G6" s="9">
        <f>2*E6/Inputs!$C$21*1000000</f>
        <v>41.161572467193501</v>
      </c>
      <c r="H6" s="9">
        <f>SQRT(A6^2+Inputs!$C$6^2)</f>
        <v>63.158530698552511</v>
      </c>
      <c r="I6" s="9">
        <f t="shared" si="2"/>
        <v>8.8909798417046026</v>
      </c>
      <c r="J6" s="9">
        <f>DEGREES((2*PI()/Inputs!$C$13)*Inputs!$C$15*SIN(RADIANS(I6)))</f>
        <v>55.639745430303066</v>
      </c>
      <c r="K6" s="9">
        <f t="shared" si="3"/>
        <v>0.94113747751370336</v>
      </c>
      <c r="L6" s="9">
        <f t="shared" si="4"/>
        <v>-0.26346931977003785</v>
      </c>
      <c r="M6" s="9">
        <f>2*(Inputs!$C$9/(Inputs!$C$10^2))*A6</f>
        <v>-0.12888888888888889</v>
      </c>
      <c r="N6" s="9">
        <f>M6*Inputs!$C$11</f>
        <v>-0.51555555555555554</v>
      </c>
      <c r="O6" s="9">
        <f>1000*(D7-D5)/(A7-A5)*Inputs!$C$11</f>
        <v>-1221.5919830948678</v>
      </c>
      <c r="P6" s="9">
        <f>-2*O6/Inputs!$C$13</f>
        <v>488.63679323794713</v>
      </c>
      <c r="Q6" s="9">
        <f>-2*O6/Inputs!$C$14</f>
        <v>73.36888787356564</v>
      </c>
      <c r="R6" s="9">
        <f>F6-Inputs!$C$16/2</f>
        <v>3451.2721868216477</v>
      </c>
      <c r="S6" s="9">
        <f>F6+Inputs!$C$16/2</f>
        <v>3481.2721868216477</v>
      </c>
      <c r="T6" s="9">
        <f>F6-Inputs!$C$17/2</f>
        <v>3316.2721868216477</v>
      </c>
      <c r="U6" s="9">
        <f>F6+Inputs!$C$17/2</f>
        <v>3616.2721868216477</v>
      </c>
      <c r="V6" s="9">
        <f t="shared" si="5"/>
        <v>488.63679323794713</v>
      </c>
      <c r="W6" s="9">
        <f t="shared" si="6"/>
        <v>73.36888787356564</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31.866913549015347</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120.06952906780961</v>
      </c>
      <c r="Z6" s="9">
        <f t="shared" si="7"/>
        <v>403.70591086422871</v>
      </c>
      <c r="AA6" s="9">
        <f>SQRT((Inputs!$C$52+B6)^2+(Inputs!$C$52+Y6/1000)^2-2*(Inputs!$C$52+B6)*(Inputs!$C$52+Y6/1000)*COS(SQRT(A6^2+Inputs!$C$6^2)/Inputs!$C$52))</f>
        <v>409.78995177079929</v>
      </c>
      <c r="AB6" s="9">
        <f t="shared" si="8"/>
        <v>6084.040906570579</v>
      </c>
      <c r="AC6" s="9">
        <f>AB6/Inputs!$C$12</f>
        <v>3418.0005093093141</v>
      </c>
      <c r="AD6" s="9">
        <f>2*AB6/Inputs!$C$21*1000000</f>
        <v>40.588352002975199</v>
      </c>
      <c r="AE6" s="9">
        <f t="shared" si="9"/>
        <v>8.8935824857684587</v>
      </c>
      <c r="AF6" s="9">
        <f>DEGREES((2*PI()/Inputs!$C$13)*Inputs!$C$15*SIN(RADIANS(AE6)))</f>
        <v>55.655901774881052</v>
      </c>
      <c r="AG6" s="9">
        <f t="shared" si="10"/>
        <v>0.94192258928393213</v>
      </c>
      <c r="AH6" s="9">
        <f t="shared" si="11"/>
        <v>-0.25984787682982524</v>
      </c>
      <c r="AI6" s="9">
        <f t="shared" si="12"/>
        <v>-48.271677512333554</v>
      </c>
      <c r="AJ6" s="9">
        <f t="shared" si="13"/>
        <v>-0.57322046421830208</v>
      </c>
      <c r="AK6" s="9">
        <f t="shared" si="14"/>
        <v>88.202615518794261</v>
      </c>
      <c r="AL6" s="9">
        <f>1000*(AA7-AA5)/(A7-A5)*Inputs!$C$11</f>
        <v>-1239.6019379007157</v>
      </c>
      <c r="AM6" s="9">
        <f>-2*AL6/Inputs!$C$13</f>
        <v>495.84077516028628</v>
      </c>
      <c r="AN6" s="9">
        <f>-2*AL6/Inputs!$C$14</f>
        <v>74.450566840883837</v>
      </c>
      <c r="AO6" s="9">
        <f t="shared" si="15"/>
        <v>495.84077516028628</v>
      </c>
      <c r="AP6" s="9">
        <f t="shared" si="16"/>
        <v>74.450566840883837</v>
      </c>
      <c r="AQ6" s="9">
        <f>IF(OR(Inputs!$C$27=TRUE,Inputs!$C$27="TRUE",Inputs!$C$27=1),Inputs!$C$46/Inputs!$C$12,0)</f>
        <v>42.134831460674157</v>
      </c>
      <c r="AR6" s="9">
        <f t="shared" si="17"/>
        <v>3375.8656778486397</v>
      </c>
      <c r="AS6" s="9">
        <f t="shared" si="18"/>
        <v>3460.1353407699885</v>
      </c>
    </row>
    <row r="7" spans="1:45">
      <c r="A7" s="9">
        <f>Inputs!$C$7+5*(Inputs!$C$8-Inputs!$C$7)/240</f>
        <v>-57.5</v>
      </c>
      <c r="B7" s="9">
        <f>Inputs!$C$5+Inputs!$C$9*(A7/Inputs!$C$10)^2</f>
        <v>403.67361111111109</v>
      </c>
      <c r="C7" s="9">
        <f t="shared" si="0"/>
        <v>403.67361111111109</v>
      </c>
      <c r="D7" s="9">
        <f>SQRT((Inputs!$C$52+B7)^2+Inputs!$C$52^2-2*(Inputs!$C$52+B7)*Inputs!$C$52*COS(SQRT(A7^2+Inputs!$C$6^2)/Inputs!$C$52))</f>
        <v>409.75568082596521</v>
      </c>
      <c r="E7" s="9">
        <f t="shared" si="1"/>
        <v>6082.0697148541285</v>
      </c>
      <c r="F7" s="9">
        <f>E7/Inputs!$C$12</f>
        <v>3416.8930982326565</v>
      </c>
      <c r="G7" s="9">
        <f>2*E7/Inputs!$C$21*1000000</f>
        <v>40.575201627348001</v>
      </c>
      <c r="H7" s="9">
        <f>SQRT(A7^2+Inputs!$C$6^2)</f>
        <v>62.699681019922259</v>
      </c>
      <c r="I7" s="9">
        <f t="shared" si="2"/>
        <v>8.828788473728661</v>
      </c>
      <c r="J7" s="9">
        <f>DEGREES((2*PI()/Inputs!$C$13)*Inputs!$C$15*SIN(RADIANS(I7)))</f>
        <v>55.253648128396158</v>
      </c>
      <c r="K7" s="9">
        <f t="shared" si="3"/>
        <v>0.94193623854333131</v>
      </c>
      <c r="L7" s="9">
        <f t="shared" si="4"/>
        <v>-0.25978494432180854</v>
      </c>
      <c r="M7" s="9">
        <f>2*(Inputs!$C$9/(Inputs!$C$10^2))*A7</f>
        <v>-0.12777777777777777</v>
      </c>
      <c r="N7" s="9">
        <f>M7*Inputs!$C$11</f>
        <v>-0.51111111111111107</v>
      </c>
      <c r="O7" s="9">
        <f>1000*(D8-D6)/(A8-A6)*Inputs!$C$11</f>
        <v>-1211.3870560069699</v>
      </c>
      <c r="P7" s="9">
        <f>-2*O7/Inputs!$C$13</f>
        <v>484.55482240278798</v>
      </c>
      <c r="Q7" s="9">
        <f>-2*O7/Inputs!$C$14</f>
        <v>72.755979339757957</v>
      </c>
      <c r="R7" s="9">
        <f>F7-Inputs!$C$16/2</f>
        <v>3401.8930982326565</v>
      </c>
      <c r="S7" s="9">
        <f>F7+Inputs!$C$16/2</f>
        <v>3431.8930982326565</v>
      </c>
      <c r="T7" s="9">
        <f>F7-Inputs!$C$17/2</f>
        <v>3266.8930982326565</v>
      </c>
      <c r="U7" s="9">
        <f>F7+Inputs!$C$17/2</f>
        <v>3566.8930982326565</v>
      </c>
      <c r="V7" s="9">
        <f t="shared" si="5"/>
        <v>484.55482240278798</v>
      </c>
      <c r="W7" s="9">
        <f t="shared" si="6"/>
        <v>72.755979339757957</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34.586347487973264</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138.90151425445745</v>
      </c>
      <c r="Z7" s="9">
        <f t="shared" si="7"/>
        <v>403.63902476362313</v>
      </c>
      <c r="AA7" s="9">
        <f>SQRT((Inputs!$C$52+B7)^2+(Inputs!$C$52+Y7/1000)^2-2*(Inputs!$C$52+B7)*(Inputs!$C$52+Y7/1000)*COS(SQRT(A7^2+Inputs!$C$6^2)/Inputs!$C$52))</f>
        <v>409.61937917178676</v>
      </c>
      <c r="AB7" s="9">
        <f t="shared" si="8"/>
        <v>5980.3544081636346</v>
      </c>
      <c r="AC7" s="9">
        <f>AB7/Inputs!$C$12</f>
        <v>3359.74966750766</v>
      </c>
      <c r="AD7" s="9">
        <f>2*AB7/Inputs!$C$21*1000000</f>
        <v>39.896630142467657</v>
      </c>
      <c r="AE7" s="9">
        <f t="shared" si="9"/>
        <v>8.8317795475849135</v>
      </c>
      <c r="AF7" s="9">
        <f>DEGREES((2*PI()/Inputs!$C$13)*Inputs!$C$15*SIN(RADIANS(AE7)))</f>
        <v>55.27221884786168</v>
      </c>
      <c r="AG7" s="9">
        <f t="shared" si="10"/>
        <v>0.94286738406687565</v>
      </c>
      <c r="AH7" s="9">
        <f t="shared" si="11"/>
        <v>-0.25549387239503391</v>
      </c>
      <c r="AI7" s="9">
        <f t="shared" si="12"/>
        <v>-57.143430724996506</v>
      </c>
      <c r="AJ7" s="9">
        <f t="shared" si="13"/>
        <v>-0.67857148488034369</v>
      </c>
      <c r="AK7" s="9">
        <f t="shared" si="14"/>
        <v>104.3151667664842</v>
      </c>
      <c r="AL7" s="9">
        <f>1000*(AA8-AA6)/(A8-A6)*Inputs!$C$11</f>
        <v>-1279.9416455063692</v>
      </c>
      <c r="AM7" s="9">
        <f>-2*AL7/Inputs!$C$13</f>
        <v>511.9766582025477</v>
      </c>
      <c r="AN7" s="9">
        <f>-2*AL7/Inputs!$C$14</f>
        <v>76.873372102484652</v>
      </c>
      <c r="AO7" s="9">
        <f t="shared" si="15"/>
        <v>511.9766582025477</v>
      </c>
      <c r="AP7" s="9">
        <f t="shared" si="16"/>
        <v>76.873372102484652</v>
      </c>
      <c r="AQ7" s="9">
        <f>IF(OR(Inputs!$C$27=TRUE,Inputs!$C$27="TRUE",Inputs!$C$27=1),Inputs!$C$46/Inputs!$C$12,0)</f>
        <v>42.134831460674157</v>
      </c>
      <c r="AR7" s="9">
        <f t="shared" si="17"/>
        <v>3317.6148360469856</v>
      </c>
      <c r="AS7" s="9">
        <f t="shared" si="18"/>
        <v>3401.8844989683344</v>
      </c>
    </row>
    <row r="8" spans="1:45">
      <c r="A8" s="9">
        <f>Inputs!$C$7+6*(Inputs!$C$8-Inputs!$C$7)/240</f>
        <v>-57</v>
      </c>
      <c r="B8" s="9">
        <f>Inputs!$C$5+Inputs!$C$9*(A8/Inputs!$C$10)^2</f>
        <v>403.61</v>
      </c>
      <c r="C8" s="9">
        <f t="shared" si="0"/>
        <v>403.61</v>
      </c>
      <c r="D8" s="9">
        <f>SQRT((Inputs!$C$52+B8)^2+Inputs!$C$52^2-2*(Inputs!$C$52+B8)*Inputs!$C$52*COS(SQRT(A8^2+Inputs!$C$6^2)/Inputs!$C$52))</f>
        <v>409.60489550631854</v>
      </c>
      <c r="E8" s="9">
        <f t="shared" si="1"/>
        <v>5994.8955063185276</v>
      </c>
      <c r="F8" s="9">
        <f>E8/Inputs!$C$12</f>
        <v>3367.9188237744538</v>
      </c>
      <c r="G8" s="9">
        <f>2*E8/Inputs!$C$21*1000000</f>
        <v>39.993637907452147</v>
      </c>
      <c r="H8" s="9">
        <f>SQRT(A8^2+Inputs!$C$6^2)</f>
        <v>62.241465278381739</v>
      </c>
      <c r="I8" s="9">
        <f t="shared" si="2"/>
        <v>8.7666323666582162</v>
      </c>
      <c r="J8" s="9">
        <f>DEGREES((2*PI()/Inputs!$C$13)*Inputs!$C$15*SIN(RADIANS(I8)))</f>
        <v>54.867704689760693</v>
      </c>
      <c r="K8" s="9">
        <f t="shared" si="3"/>
        <v>0.94272954374146556</v>
      </c>
      <c r="L8" s="9">
        <f t="shared" si="4"/>
        <v>-0.2561288256231935</v>
      </c>
      <c r="M8" s="9">
        <f>2*(Inputs!$C$9/(Inputs!$C$10^2))*A8</f>
        <v>-0.12666666666666668</v>
      </c>
      <c r="N8" s="9">
        <f>M8*Inputs!$C$11</f>
        <v>-0.50666666666666671</v>
      </c>
      <c r="O8" s="9">
        <f>1000*(D9-D7)/(A9-A7)*Inputs!$C$11</f>
        <v>-1201.1740155269308</v>
      </c>
      <c r="P8" s="9">
        <f>-2*O8/Inputs!$C$13</f>
        <v>480.46960621077233</v>
      </c>
      <c r="Q8" s="9">
        <f>-2*O8/Inputs!$C$14</f>
        <v>72.14258351513098</v>
      </c>
      <c r="R8" s="9">
        <f>F8-Inputs!$C$16/2</f>
        <v>3352.9188237744538</v>
      </c>
      <c r="S8" s="9">
        <f>F8+Inputs!$C$16/2</f>
        <v>3382.9188237744538</v>
      </c>
      <c r="T8" s="9">
        <f>F8-Inputs!$C$17/2</f>
        <v>3217.9188237744538</v>
      </c>
      <c r="U8" s="9">
        <f>F8+Inputs!$C$17/2</f>
        <v>3517.9188237744538</v>
      </c>
      <c r="V8" s="9">
        <f t="shared" si="5"/>
        <v>480.46960621077233</v>
      </c>
      <c r="W8" s="9">
        <f t="shared" si="6"/>
        <v>72.14258351513098</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55.440883037993757</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137.46604725484156</v>
      </c>
      <c r="Z8" s="9">
        <f t="shared" si="7"/>
        <v>403.55455911696203</v>
      </c>
      <c r="AA8" s="9">
        <f>SQRT((Inputs!$C$52+B8)^2+(Inputs!$C$52+Y8/1000)^2-2*(Inputs!$C$52+B8)*(Inputs!$C$52+Y8/1000)*COS(SQRT(A8^2+Inputs!$C$6^2)/Inputs!$C$52))</f>
        <v>409.4699663594227</v>
      </c>
      <c r="AB8" s="9">
        <f t="shared" si="8"/>
        <v>5915.4072424606738</v>
      </c>
      <c r="AC8" s="9">
        <f>AB8/Inputs!$C$12</f>
        <v>3323.2624957644234</v>
      </c>
      <c r="AD8" s="9">
        <f>2*AB8/Inputs!$C$21*1000000</f>
        <v>39.463349291199805</v>
      </c>
      <c r="AE8" s="9">
        <f t="shared" si="9"/>
        <v>8.7695728001266477</v>
      </c>
      <c r="AF8" s="9">
        <f>DEGREES((2*PI()/Inputs!$C$13)*Inputs!$C$15*SIN(RADIANS(AE8)))</f>
        <v>54.885964064778662</v>
      </c>
      <c r="AG8" s="9">
        <f t="shared" si="10"/>
        <v>0.94345419757199211</v>
      </c>
      <c r="AH8" s="9">
        <f t="shared" si="11"/>
        <v>-0.25279178937928315</v>
      </c>
      <c r="AI8" s="9">
        <f t="shared" si="12"/>
        <v>-44.656328010030393</v>
      </c>
      <c r="AJ8" s="9">
        <f t="shared" si="13"/>
        <v>-0.53028861625234214</v>
      </c>
      <c r="AK8" s="9">
        <f t="shared" si="14"/>
        <v>82.025164216847799</v>
      </c>
      <c r="AL8" s="9">
        <f>1000*(AA9-AA7)/(A9-A7)*Inputs!$C$11</f>
        <v>-1211.4958575868968</v>
      </c>
      <c r="AM8" s="9">
        <f>-2*AL8/Inputs!$C$13</f>
        <v>484.59834303475873</v>
      </c>
      <c r="AN8" s="9">
        <f>-2*AL8/Inputs!$C$14</f>
        <v>72.762513969183004</v>
      </c>
      <c r="AO8" s="9">
        <f t="shared" si="15"/>
        <v>484.59834303475873</v>
      </c>
      <c r="AP8" s="9">
        <f t="shared" si="16"/>
        <v>72.762513969183004</v>
      </c>
      <c r="AQ8" s="9">
        <f>IF(OR(Inputs!$C$27=TRUE,Inputs!$C$27="TRUE",Inputs!$C$27=1),Inputs!$C$46/Inputs!$C$12,0)</f>
        <v>42.134831460674157</v>
      </c>
      <c r="AR8" s="9">
        <f t="shared" si="17"/>
        <v>3281.127664303749</v>
      </c>
      <c r="AS8" s="9">
        <f t="shared" si="18"/>
        <v>3365.3973272250978</v>
      </c>
    </row>
    <row r="9" spans="1:45">
      <c r="A9" s="9">
        <f>Inputs!$C$7+7*(Inputs!$C$8-Inputs!$C$7)/240</f>
        <v>-56.5</v>
      </c>
      <c r="B9" s="9">
        <f>Inputs!$C$5+Inputs!$C$9*(A9/Inputs!$C$10)^2</f>
        <v>403.54694444444442</v>
      </c>
      <c r="C9" s="9">
        <f t="shared" si="0"/>
        <v>403.54694444444442</v>
      </c>
      <c r="D9" s="9">
        <f>SQRT((Inputs!$C$52+B9)^2+Inputs!$C$52^2-2*(Inputs!$C$52+B9)*Inputs!$C$52*COS(SQRT(A9^2+Inputs!$C$6^2)/Inputs!$C$52))</f>
        <v>409.45538732208348</v>
      </c>
      <c r="E9" s="9">
        <f t="shared" si="1"/>
        <v>5908.4428776390614</v>
      </c>
      <c r="F9" s="9">
        <f>E9/Inputs!$C$12</f>
        <v>3319.3499312578997</v>
      </c>
      <c r="G9" s="9">
        <f>2*E9/Inputs!$C$21*1000000</f>
        <v>39.416888050192789</v>
      </c>
      <c r="H9" s="9">
        <f>SQRT(A9^2+Inputs!$C$6^2)</f>
        <v>61.783897578576251</v>
      </c>
      <c r="I9" s="9">
        <f t="shared" si="2"/>
        <v>8.7045139530783917</v>
      </c>
      <c r="J9" s="9">
        <f>DEGREES((2*PI()/Inputs!$C$13)*Inputs!$C$15*SIN(RADIANS(I9)))</f>
        <v>54.481930787212292</v>
      </c>
      <c r="K9" s="9">
        <f t="shared" si="3"/>
        <v>0.94351735869196784</v>
      </c>
      <c r="L9" s="9">
        <f t="shared" si="4"/>
        <v>-0.2525010534029461</v>
      </c>
      <c r="M9" s="9">
        <f>2*(Inputs!$C$9/(Inputs!$C$10^2))*A9</f>
        <v>-0.12555555555555556</v>
      </c>
      <c r="N9" s="9">
        <f>M9*Inputs!$C$11</f>
        <v>-0.50222222222222224</v>
      </c>
      <c r="O9" s="9">
        <f>1000*(D10-D8)/(A10-A8)*Inputs!$C$11</f>
        <v>-1190.9529173883584</v>
      </c>
      <c r="P9" s="9">
        <f>-2*O9/Inputs!$C$13</f>
        <v>476.38116695534336</v>
      </c>
      <c r="Q9" s="9">
        <f>-2*O9/Inputs!$C$14</f>
        <v>71.528703747048553</v>
      </c>
      <c r="R9" s="9">
        <f>F9-Inputs!$C$16/2</f>
        <v>3304.3499312578997</v>
      </c>
      <c r="S9" s="9">
        <f>F9+Inputs!$C$16/2</f>
        <v>3334.3499312578997</v>
      </c>
      <c r="T9" s="9">
        <f>F9-Inputs!$C$17/2</f>
        <v>3169.3499312578997</v>
      </c>
      <c r="U9" s="9">
        <f>F9+Inputs!$C$17/2</f>
        <v>3469.3499312578997</v>
      </c>
      <c r="V9" s="9">
        <f t="shared" si="5"/>
        <v>476.38116695534336</v>
      </c>
      <c r="W9" s="9">
        <f t="shared" si="6"/>
        <v>71.528703747048553</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57.325647278919931</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141.45582449409375</v>
      </c>
      <c r="Z9" s="9">
        <f t="shared" si="7"/>
        <v>403.48961879716552</v>
      </c>
      <c r="AA9" s="9">
        <f>SQRT((Inputs!$C$52+B9)^2+(Inputs!$C$52+Y9/1000)^2-2*(Inputs!$C$52+B9)*(Inputs!$C$52+Y9/1000)*COS(SQRT(A9^2+Inputs!$C$6^2)/Inputs!$C$52))</f>
        <v>409.31650520739004</v>
      </c>
      <c r="AB9" s="9">
        <f t="shared" si="8"/>
        <v>5826.886410224517</v>
      </c>
      <c r="AC9" s="9">
        <f>AB9/Inputs!$C$12</f>
        <v>3273.5316911373689</v>
      </c>
      <c r="AD9" s="9">
        <f>2*AB9/Inputs!$C$21*1000000</f>
        <v>38.872801864978989</v>
      </c>
      <c r="AE9" s="9">
        <f t="shared" si="9"/>
        <v>8.7075194543489491</v>
      </c>
      <c r="AF9" s="9">
        <f>DEGREES((2*PI()/Inputs!$C$13)*Inputs!$C$15*SIN(RADIANS(AE9)))</f>
        <v>54.500597325735335</v>
      </c>
      <c r="AG9" s="9">
        <f t="shared" si="10"/>
        <v>0.94426182473297038</v>
      </c>
      <c r="AH9" s="9">
        <f t="shared" si="11"/>
        <v>-0.24907567915185386</v>
      </c>
      <c r="AI9" s="9">
        <f t="shared" si="12"/>
        <v>-45.818240120530845</v>
      </c>
      <c r="AJ9" s="9">
        <f t="shared" si="13"/>
        <v>-0.54408618521379992</v>
      </c>
      <c r="AK9" s="9">
        <f t="shared" si="14"/>
        <v>84.130177215173816</v>
      </c>
      <c r="AL9" s="9">
        <f>1000*(AA10-AA8)/(A10-A8)*Inputs!$C$11</f>
        <v>-1307.7070373390143</v>
      </c>
      <c r="AM9" s="9">
        <f>-2*AL9/Inputs!$C$13</f>
        <v>523.08281493560571</v>
      </c>
      <c r="AN9" s="9">
        <f>-2*AL9/Inputs!$C$14</f>
        <v>78.540963203544408</v>
      </c>
      <c r="AO9" s="9">
        <f t="shared" si="15"/>
        <v>523.08281493560571</v>
      </c>
      <c r="AP9" s="9">
        <f t="shared" si="16"/>
        <v>78.540963203544408</v>
      </c>
      <c r="AQ9" s="9">
        <f>IF(OR(Inputs!$C$27=TRUE,Inputs!$C$27="TRUE",Inputs!$C$27=1),Inputs!$C$46/Inputs!$C$12,0)</f>
        <v>42.134831460674157</v>
      </c>
      <c r="AR9" s="9">
        <f t="shared" si="17"/>
        <v>3231.3968596766945</v>
      </c>
      <c r="AS9" s="9">
        <f t="shared" si="18"/>
        <v>3315.6665225980432</v>
      </c>
    </row>
    <row r="10" spans="1:45">
      <c r="A10" s="9">
        <f>Inputs!$C$7+8*(Inputs!$C$8-Inputs!$C$7)/240</f>
        <v>-56</v>
      </c>
      <c r="B10" s="9">
        <f>Inputs!$C$5+Inputs!$C$9*(A10/Inputs!$C$10)^2</f>
        <v>403.48444444444442</v>
      </c>
      <c r="C10" s="9">
        <f t="shared" si="0"/>
        <v>403.48444444444442</v>
      </c>
      <c r="D10" s="9">
        <f>SQRT((Inputs!$C$52+B10)^2+Inputs!$C$52^2-2*(Inputs!$C$52+B10)*Inputs!$C$52*COS(SQRT(A10^2+Inputs!$C$6^2)/Inputs!$C$52))</f>
        <v>409.30715727697145</v>
      </c>
      <c r="E10" s="9">
        <f t="shared" si="1"/>
        <v>5822.7128325270314</v>
      </c>
      <c r="F10" s="9">
        <f>E10/Inputs!$C$12</f>
        <v>3271.1869845657479</v>
      </c>
      <c r="G10" s="9">
        <f>2*E10/Inputs!$C$21*1000000</f>
        <v>38.844958751610967</v>
      </c>
      <c r="H10" s="9">
        <f>SQRT(A10^2+Inputs!$C$6^2)</f>
        <v>61.326992425847855</v>
      </c>
      <c r="I10" s="9">
        <f t="shared" si="2"/>
        <v>8.6424357245738488</v>
      </c>
      <c r="J10" s="9">
        <f>DEGREES((2*PI()/Inputs!$C$13)*Inputs!$C$15*SIN(RADIANS(I10)))</f>
        <v>54.096342468520554</v>
      </c>
      <c r="K10" s="9">
        <f t="shared" si="3"/>
        <v>0.94429964913085007</v>
      </c>
      <c r="L10" s="9">
        <f t="shared" si="4"/>
        <v>-0.2489017168264544</v>
      </c>
      <c r="M10" s="9">
        <f>2*(Inputs!$C$9/(Inputs!$C$10^2))*A10</f>
        <v>-0.12444444444444444</v>
      </c>
      <c r="N10" s="9">
        <f>M10*Inputs!$C$11</f>
        <v>-0.49777777777777776</v>
      </c>
      <c r="O10" s="9">
        <f>1000*(D11-D9)/(A11-A9)*Inputs!$C$11</f>
        <v>-1180.7238176422743</v>
      </c>
      <c r="P10" s="9">
        <f>-2*O10/Inputs!$C$13</f>
        <v>472.28952705690972</v>
      </c>
      <c r="Q10" s="9">
        <f>-2*O10/Inputs!$C$14</f>
        <v>70.914343401938396</v>
      </c>
      <c r="R10" s="9">
        <f>F10-Inputs!$C$16/2</f>
        <v>3256.1869845657479</v>
      </c>
      <c r="S10" s="9">
        <f>F10+Inputs!$C$16/2</f>
        <v>3286.1869845657479</v>
      </c>
      <c r="T10" s="9">
        <f>F10-Inputs!$C$17/2</f>
        <v>3121.1869845657479</v>
      </c>
      <c r="U10" s="9">
        <f>F10+Inputs!$C$17/2</f>
        <v>3421.1869845657479</v>
      </c>
      <c r="V10" s="9">
        <f t="shared" si="5"/>
        <v>472.28952705690972</v>
      </c>
      <c r="W10" s="9">
        <f t="shared" si="6"/>
        <v>70.914343401938396</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61.559568351968792</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167.11523893481203</v>
      </c>
      <c r="Z10" s="9">
        <f t="shared" si="7"/>
        <v>403.42288487609244</v>
      </c>
      <c r="AA10" s="9">
        <f>SQRT((Inputs!$C$52+B10)^2+(Inputs!$C$52+Y10/1000)^2-2*(Inputs!$C$52+B10)*(Inputs!$C$52+Y10/1000)*COS(SQRT(A10^2+Inputs!$C$6^2)/Inputs!$C$52))</f>
        <v>409.14303960008795</v>
      </c>
      <c r="AB10" s="9">
        <f t="shared" si="8"/>
        <v>5720.1547239955062</v>
      </c>
      <c r="AC10" s="9">
        <f>AB10/Inputs!$C$12</f>
        <v>3213.5700696603967</v>
      </c>
      <c r="AD10" s="9">
        <f>2*AB10/Inputs!$C$21*1000000</f>
        <v>38.160764698059928</v>
      </c>
      <c r="AE10" s="9">
        <f t="shared" si="9"/>
        <v>8.6459626288576175</v>
      </c>
      <c r="AF10" s="9">
        <f>DEGREES((2*PI()/Inputs!$C$13)*Inputs!$C$15*SIN(RADIANS(AE10)))</f>
        <v>54.118250938122372</v>
      </c>
      <c r="AG10" s="9">
        <f t="shared" si="10"/>
        <v>0.94523861159866429</v>
      </c>
      <c r="AH10" s="9">
        <f t="shared" si="11"/>
        <v>-0.24458546390343294</v>
      </c>
      <c r="AI10" s="9">
        <f t="shared" si="12"/>
        <v>-57.616914905351223</v>
      </c>
      <c r="AJ10" s="9">
        <f t="shared" si="13"/>
        <v>-0.68419405355103891</v>
      </c>
      <c r="AK10" s="9">
        <f t="shared" si="14"/>
        <v>105.55567058284323</v>
      </c>
      <c r="AL10" s="9">
        <f>1000*(AA11-AA9)/(A11-A9)*Inputs!$C$11</f>
        <v>-1256.1566725983084</v>
      </c>
      <c r="AM10" s="9">
        <f>-2*AL10/Inputs!$C$13</f>
        <v>502.46266903932337</v>
      </c>
      <c r="AN10" s="9">
        <f>-2*AL10/Inputs!$C$14</f>
        <v>75.444845201099611</v>
      </c>
      <c r="AO10" s="9">
        <f t="shared" si="15"/>
        <v>502.46266903932337</v>
      </c>
      <c r="AP10" s="9">
        <f t="shared" si="16"/>
        <v>75.444845201099611</v>
      </c>
      <c r="AQ10" s="9">
        <f>IF(OR(Inputs!$C$27=TRUE,Inputs!$C$27="TRUE",Inputs!$C$27=1),Inputs!$C$46/Inputs!$C$12,0)</f>
        <v>42.134831460674157</v>
      </c>
      <c r="AR10" s="9">
        <f t="shared" si="17"/>
        <v>3171.4352381997223</v>
      </c>
      <c r="AS10" s="9">
        <f t="shared" si="18"/>
        <v>3255.7049011210711</v>
      </c>
    </row>
    <row r="11" spans="1:45">
      <c r="A11" s="9">
        <f>Inputs!$C$7+9*(Inputs!$C$8-Inputs!$C$7)/240</f>
        <v>-55.5</v>
      </c>
      <c r="B11" s="9">
        <f>Inputs!$C$5+Inputs!$C$9*(A11/Inputs!$C$10)^2</f>
        <v>403.42250000000001</v>
      </c>
      <c r="C11" s="9">
        <f t="shared" si="0"/>
        <v>403.42250000000001</v>
      </c>
      <c r="D11" s="9">
        <f>SQRT((Inputs!$C$52+B11)^2+Inputs!$C$52^2-2*(Inputs!$C$52+B11)*Inputs!$C$52*COS(SQRT(A11^2+Inputs!$C$6^2)/Inputs!$C$52))</f>
        <v>409.16020636767291</v>
      </c>
      <c r="E11" s="9">
        <f t="shared" si="1"/>
        <v>5737.7063676728994</v>
      </c>
      <c r="F11" s="9">
        <f>E11/Inputs!$C$12</f>
        <v>3223.4305436364602</v>
      </c>
      <c r="G11" s="9">
        <f>2*E11/Inputs!$C$21*1000000</f>
        <v>38.277856660909727</v>
      </c>
      <c r="H11" s="9">
        <f>SQRT(A11^2+Inputs!$C$6^2)</f>
        <v>60.870764739733637</v>
      </c>
      <c r="I11" s="9">
        <f t="shared" si="2"/>
        <v>8.5804002336499341</v>
      </c>
      <c r="J11" s="9">
        <f>DEGREES((2*PI()/Inputs!$C$13)*Inputs!$C$15*SIN(RADIANS(I11)))</f>
        <v>53.71095616845377</v>
      </c>
      <c r="K11" s="9">
        <f t="shared" si="3"/>
        <v>0.94507638094936786</v>
      </c>
      <c r="L11" s="9">
        <f t="shared" si="4"/>
        <v>-0.24533090449122652</v>
      </c>
      <c r="M11" s="9">
        <f>2*(Inputs!$C$9/(Inputs!$C$10^2))*A11</f>
        <v>-0.12333333333333334</v>
      </c>
      <c r="N11" s="9">
        <f>M11*Inputs!$C$11</f>
        <v>-0.49333333333333335</v>
      </c>
      <c r="O11" s="9">
        <f>1000*(D12-D10)/(A12-A10)*Inputs!$C$11</f>
        <v>-1170.4867727003148</v>
      </c>
      <c r="P11" s="9">
        <f>-2*O11/Inputs!$C$13</f>
        <v>468.1947090801259</v>
      </c>
      <c r="Q11" s="9">
        <f>-2*O11/Inputs!$C$14</f>
        <v>70.299505867886779</v>
      </c>
      <c r="R11" s="9">
        <f>F11-Inputs!$C$16/2</f>
        <v>3208.4305436364602</v>
      </c>
      <c r="S11" s="9">
        <f>F11+Inputs!$C$16/2</f>
        <v>3238.4305436364602</v>
      </c>
      <c r="T11" s="9">
        <f>F11-Inputs!$C$17/2</f>
        <v>3073.4305436364602</v>
      </c>
      <c r="U11" s="9">
        <f>F11+Inputs!$C$17/2</f>
        <v>3373.4305436364602</v>
      </c>
      <c r="V11" s="9">
        <f t="shared" si="5"/>
        <v>468.1947090801259</v>
      </c>
      <c r="W11" s="9">
        <f t="shared" si="6"/>
        <v>70.299505867886779</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38.496582165951239</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160.57943103446084</v>
      </c>
      <c r="Z11" s="9">
        <f t="shared" si="7"/>
        <v>403.38400341783404</v>
      </c>
      <c r="AA11" s="9">
        <f>SQRT((Inputs!$C$52+B11)^2+(Inputs!$C$52+Y11/1000)^2-2*(Inputs!$C$52+B11)*(Inputs!$C$52+Y11/1000)*COS(SQRT(A11^2+Inputs!$C$6^2)/Inputs!$C$52))</f>
        <v>409.00246603924046</v>
      </c>
      <c r="AB11" s="9">
        <f t="shared" si="8"/>
        <v>5618.4626214064228</v>
      </c>
      <c r="AC11" s="9">
        <f>AB11/Inputs!$C$12</f>
        <v>3156.4396749474286</v>
      </c>
      <c r="AD11" s="9">
        <f>2*AB11/Inputs!$C$21*1000000</f>
        <v>37.48234801428142</v>
      </c>
      <c r="AE11" s="9">
        <f t="shared" si="9"/>
        <v>8.5837660747363085</v>
      </c>
      <c r="AF11" s="9">
        <f>DEGREES((2*PI()/Inputs!$C$13)*Inputs!$C$15*SIN(RADIANS(AE11)))</f>
        <v>53.731867577258399</v>
      </c>
      <c r="AG11" s="9">
        <f t="shared" si="10"/>
        <v>0.94617393756998391</v>
      </c>
      <c r="AH11" s="9">
        <f t="shared" si="11"/>
        <v>-0.24029018795831972</v>
      </c>
      <c r="AI11" s="9">
        <f t="shared" si="12"/>
        <v>-66.990868689031686</v>
      </c>
      <c r="AJ11" s="9">
        <f t="shared" si="13"/>
        <v>-0.79550864662830634</v>
      </c>
      <c r="AK11" s="9">
        <f t="shared" si="14"/>
        <v>122.0828488685096</v>
      </c>
      <c r="AL11" s="9">
        <f>1000*(AA12-AA10)/(A12-A10)*Inputs!$C$11</f>
        <v>-1206.1791416499545</v>
      </c>
      <c r="AM11" s="9">
        <f>-2*AL11/Inputs!$C$13</f>
        <v>482.47165665998182</v>
      </c>
      <c r="AN11" s="9">
        <f>-2*AL11/Inputs!$C$14</f>
        <v>72.443191690687968</v>
      </c>
      <c r="AO11" s="9">
        <f t="shared" si="15"/>
        <v>482.47165665998182</v>
      </c>
      <c r="AP11" s="9">
        <f t="shared" si="16"/>
        <v>72.443191690687968</v>
      </c>
      <c r="AQ11" s="9">
        <f>IF(OR(Inputs!$C$27=TRUE,Inputs!$C$27="TRUE",Inputs!$C$27=1),Inputs!$C$46/Inputs!$C$12,0)</f>
        <v>42.134831460674157</v>
      </c>
      <c r="AR11" s="9">
        <f t="shared" si="17"/>
        <v>3114.3048434867542</v>
      </c>
      <c r="AS11" s="9">
        <f t="shared" si="18"/>
        <v>3198.5745064081029</v>
      </c>
    </row>
    <row r="12" spans="1:45">
      <c r="A12" s="9">
        <f>Inputs!$C$7+10*(Inputs!$C$8-Inputs!$C$7)/240</f>
        <v>-55</v>
      </c>
      <c r="B12" s="9">
        <f>Inputs!$C$5+Inputs!$C$9*(A12/Inputs!$C$10)^2</f>
        <v>403.36111111111109</v>
      </c>
      <c r="C12" s="9">
        <f t="shared" si="0"/>
        <v>403.36111111111109</v>
      </c>
      <c r="D12" s="9">
        <f>SQRT((Inputs!$C$52+B12)^2+Inputs!$C$52^2-2*(Inputs!$C$52+B12)*Inputs!$C$52*COS(SQRT(A12^2+Inputs!$C$6^2)/Inputs!$C$52))</f>
        <v>409.01453558379637</v>
      </c>
      <c r="E12" s="9">
        <f t="shared" si="1"/>
        <v>5653.4244726852876</v>
      </c>
      <c r="F12" s="9">
        <f>E12/Inputs!$C$12</f>
        <v>3176.081164429937</v>
      </c>
      <c r="G12" s="9">
        <f>2*E12/Inputs!$C$21*1000000</f>
        <v>37.715588380047159</v>
      </c>
      <c r="H12" s="9">
        <f>SQRT(A12^2+Inputs!$C$6^2)</f>
        <v>60.415229867972862</v>
      </c>
      <c r="I12" s="9">
        <f t="shared" si="2"/>
        <v>8.5184100957264786</v>
      </c>
      <c r="J12" s="9">
        <f>DEGREES((2*PI()/Inputs!$C$13)*Inputs!$C$15*SIN(RADIANS(I12)))</f>
        <v>53.325788721279181</v>
      </c>
      <c r="K12" s="9">
        <f t="shared" si="3"/>
        <v>0.9458475201974168</v>
      </c>
      <c r="L12" s="9">
        <f t="shared" si="4"/>
        <v>-0.24178870442099248</v>
      </c>
      <c r="M12" s="9">
        <f>2*(Inputs!$C$9/(Inputs!$C$10^2))*A12</f>
        <v>-0.12222222222222222</v>
      </c>
      <c r="N12" s="9">
        <f>M12*Inputs!$C$11</f>
        <v>-0.48888888888888887</v>
      </c>
      <c r="O12" s="9">
        <f>1000*(D13-D11)/(A13-A11)*Inputs!$C$11</f>
        <v>-1160.241839347691</v>
      </c>
      <c r="P12" s="9">
        <f>-2*O12/Inputs!$C$13</f>
        <v>464.09673573907639</v>
      </c>
      <c r="Q12" s="9">
        <f>-2*O12/Inputs!$C$14</f>
        <v>69.68419455541688</v>
      </c>
      <c r="R12" s="9">
        <f>F12-Inputs!$C$16/2</f>
        <v>3161.081164429937</v>
      </c>
      <c r="S12" s="9">
        <f>F12+Inputs!$C$16/2</f>
        <v>3191.081164429937</v>
      </c>
      <c r="T12" s="9">
        <f>F12-Inputs!$C$17/2</f>
        <v>3026.081164429937</v>
      </c>
      <c r="U12" s="9">
        <f>F12+Inputs!$C$17/2</f>
        <v>3326.081164429937</v>
      </c>
      <c r="V12" s="9">
        <f t="shared" si="5"/>
        <v>464.09673573907639</v>
      </c>
      <c r="W12" s="9">
        <f t="shared" si="6"/>
        <v>69.68419455541688</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46.511955931760568</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176.10976359434375</v>
      </c>
      <c r="Z12" s="9">
        <f t="shared" si="7"/>
        <v>403.31459915517934</v>
      </c>
      <c r="AA12" s="9">
        <f>SQRT((Inputs!$C$52+B12)^2+(Inputs!$C$52+Y12/1000)^2-2*(Inputs!$C$52+B12)*(Inputs!$C$52+Y12/1000)*COS(SQRT(A12^2+Inputs!$C$6^2)/Inputs!$C$52))</f>
        <v>408.84149481467546</v>
      </c>
      <c r="AB12" s="9">
        <f t="shared" si="8"/>
        <v>5526.8956594961201</v>
      </c>
      <c r="AC12" s="9">
        <f>AB12/Inputs!$C$12</f>
        <v>3104.9975615146741</v>
      </c>
      <c r="AD12" s="9">
        <f>2*AB12/Inputs!$C$21*1000000</f>
        <v>36.871478998288339</v>
      </c>
      <c r="AE12" s="9">
        <f t="shared" si="9"/>
        <v>8.5220762834771211</v>
      </c>
      <c r="AF12" s="9">
        <f>DEGREES((2*PI()/Inputs!$C$13)*Inputs!$C$15*SIN(RADIANS(AE12)))</f>
        <v>53.348569830607453</v>
      </c>
      <c r="AG12" s="9">
        <f t="shared" si="10"/>
        <v>0.94701291424839185</v>
      </c>
      <c r="AH12" s="9">
        <f t="shared" si="11"/>
        <v>-0.23644098558951843</v>
      </c>
      <c r="AI12" s="9">
        <f t="shared" si="12"/>
        <v>-71.083602915262873</v>
      </c>
      <c r="AJ12" s="9">
        <f t="shared" si="13"/>
        <v>-0.84410938175881967</v>
      </c>
      <c r="AK12" s="9">
        <f t="shared" si="14"/>
        <v>129.59780766258319</v>
      </c>
      <c r="AL12" s="9">
        <f>1000*(AA13-AA11)/(A13-A11)*Inputs!$C$11</f>
        <v>-1293.5627553272298</v>
      </c>
      <c r="AM12" s="9">
        <f>-2*AL12/Inputs!$C$13</f>
        <v>517.4251021308919</v>
      </c>
      <c r="AN12" s="9">
        <f>-2*AL12/Inputs!$C$14</f>
        <v>77.691456776410206</v>
      </c>
      <c r="AO12" s="9">
        <f t="shared" si="15"/>
        <v>517.4251021308919</v>
      </c>
      <c r="AP12" s="9">
        <f t="shared" si="16"/>
        <v>77.691456776410206</v>
      </c>
      <c r="AQ12" s="9">
        <f>IF(OR(Inputs!$C$27=TRUE,Inputs!$C$27="TRUE",Inputs!$C$27=1),Inputs!$C$46/Inputs!$C$12,0)</f>
        <v>42.134831460674157</v>
      </c>
      <c r="AR12" s="9">
        <f t="shared" si="17"/>
        <v>3062.8627300539997</v>
      </c>
      <c r="AS12" s="9">
        <f t="shared" si="18"/>
        <v>3147.1323929753485</v>
      </c>
    </row>
    <row r="13" spans="1:45">
      <c r="A13" s="9">
        <f>Inputs!$C$7+11*(Inputs!$C$8-Inputs!$C$7)/240</f>
        <v>-54.5</v>
      </c>
      <c r="B13" s="9">
        <f>Inputs!$C$5+Inputs!$C$9*(A13/Inputs!$C$10)^2</f>
        <v>403.30027777777775</v>
      </c>
      <c r="C13" s="9">
        <f t="shared" si="0"/>
        <v>403.30027777777775</v>
      </c>
      <c r="D13" s="9">
        <f>SQRT((Inputs!$C$52+B13)^2+Inputs!$C$52^2-2*(Inputs!$C$52+B13)*Inputs!$C$52*COS(SQRT(A13^2+Inputs!$C$6^2)/Inputs!$C$52))</f>
        <v>408.87014590783599</v>
      </c>
      <c r="E13" s="9">
        <f t="shared" si="1"/>
        <v>5569.8681300582393</v>
      </c>
      <c r="F13" s="9">
        <f>E13/Inputs!$C$12</f>
        <v>3129.139398909123</v>
      </c>
      <c r="G13" s="9">
        <f>2*E13/Inputs!$C$21*1000000</f>
        <v>37.158160463517994</v>
      </c>
      <c r="H13" s="9">
        <f>SQRT(A13^2+Inputs!$C$6^2)</f>
        <v>59.960403601043247</v>
      </c>
      <c r="I13" s="9">
        <f t="shared" si="2"/>
        <v>8.4564679912070897</v>
      </c>
      <c r="J13" s="9">
        <f>DEGREES((2*PI()/Inputs!$C$13)*Inputs!$C$15*SIN(RADIANS(I13)))</f>
        <v>52.940857373736847</v>
      </c>
      <c r="K13" s="9">
        <f t="shared" si="3"/>
        <v>0.94661303308665978</v>
      </c>
      <c r="L13" s="9">
        <f t="shared" si="4"/>
        <v>-0.23827520406105102</v>
      </c>
      <c r="M13" s="9">
        <f>2*(Inputs!$C$9/(Inputs!$C$10^2))*A13</f>
        <v>-0.12111111111111111</v>
      </c>
      <c r="N13" s="9">
        <f>M13*Inputs!$C$11</f>
        <v>-0.48444444444444446</v>
      </c>
      <c r="O13" s="9">
        <f>1000*(D14-D12)/(A14-A12)*Inputs!$C$11</f>
        <v>-1149.9890746863457</v>
      </c>
      <c r="P13" s="9">
        <f>-2*O13/Inputs!$C$13</f>
        <v>459.99562987453828</v>
      </c>
      <c r="Q13" s="9">
        <f>-2*O13/Inputs!$C$14</f>
        <v>69.068412894074825</v>
      </c>
      <c r="R13" s="9">
        <f>F13-Inputs!$C$16/2</f>
        <v>3114.139398909123</v>
      </c>
      <c r="S13" s="9">
        <f>F13+Inputs!$C$16/2</f>
        <v>3144.139398909123</v>
      </c>
      <c r="T13" s="9">
        <f>F13-Inputs!$C$17/2</f>
        <v>2979.139398909123</v>
      </c>
      <c r="U13" s="9">
        <f>F13+Inputs!$C$17/2</f>
        <v>3279.139398909123</v>
      </c>
      <c r="V13" s="9">
        <f t="shared" si="5"/>
        <v>459.99562987453828</v>
      </c>
      <c r="W13" s="9">
        <f t="shared" si="6"/>
        <v>69.068412894074825</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49.774693415091853</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194.40953580826846</v>
      </c>
      <c r="Z13" s="9">
        <f t="shared" si="7"/>
        <v>403.25050308436266</v>
      </c>
      <c r="AA13" s="9">
        <f>SQRT((Inputs!$C$52+B13)^2+(Inputs!$C$52+Y13/1000)^2-2*(Inputs!$C$52+B13)*(Inputs!$C$52+Y13/1000)*COS(SQRT(A13^2+Inputs!$C$6^2)/Inputs!$C$52))</f>
        <v>408.67907535040865</v>
      </c>
      <c r="AB13" s="9">
        <f t="shared" si="8"/>
        <v>5428.5722660459896</v>
      </c>
      <c r="AC13" s="9">
        <f>AB13/Inputs!$C$12</f>
        <v>3049.759700025837</v>
      </c>
      <c r="AD13" s="9">
        <f>2*AB13/Inputs!$C$21*1000000</f>
        <v>36.215535922828252</v>
      </c>
      <c r="AE13" s="9">
        <f t="shared" si="9"/>
        <v>8.4604873563129512</v>
      </c>
      <c r="AF13" s="9">
        <f>DEGREES((2*PI()/Inputs!$C$13)*Inputs!$C$15*SIN(RADIANS(AE13)))</f>
        <v>52.965837090190604</v>
      </c>
      <c r="AG13" s="9">
        <f t="shared" si="10"/>
        <v>0.94791645669604851</v>
      </c>
      <c r="AH13" s="9">
        <f t="shared" si="11"/>
        <v>-0.23229936917955352</v>
      </c>
      <c r="AI13" s="9">
        <f t="shared" si="12"/>
        <v>-79.379698883285982</v>
      </c>
      <c r="AJ13" s="9">
        <f t="shared" si="13"/>
        <v>-0.94262454068974222</v>
      </c>
      <c r="AK13" s="9">
        <f t="shared" si="14"/>
        <v>144.6348423931766</v>
      </c>
      <c r="AL13" s="9">
        <f>1000*(AA14-AA12)/(A14-A12)*Inputs!$C$11</f>
        <v>-1230.1153969865481</v>
      </c>
      <c r="AM13" s="9">
        <f>-2*AL13/Inputs!$C$13</f>
        <v>492.04615879461926</v>
      </c>
      <c r="AN13" s="9">
        <f>-2*AL13/Inputs!$C$14</f>
        <v>73.880804623816715</v>
      </c>
      <c r="AO13" s="9">
        <f t="shared" si="15"/>
        <v>492.04615879461926</v>
      </c>
      <c r="AP13" s="9">
        <f t="shared" si="16"/>
        <v>73.880804623816715</v>
      </c>
      <c r="AQ13" s="9">
        <f>IF(OR(Inputs!$C$27=TRUE,Inputs!$C$27="TRUE",Inputs!$C$27=1),Inputs!$C$46/Inputs!$C$12,0)</f>
        <v>42.134831460674157</v>
      </c>
      <c r="AR13" s="9">
        <f t="shared" si="17"/>
        <v>3007.6248685651626</v>
      </c>
      <c r="AS13" s="9">
        <f t="shared" si="18"/>
        <v>3091.8945314865114</v>
      </c>
    </row>
    <row r="14" spans="1:45">
      <c r="A14" s="9">
        <f>Inputs!$C$7+12*(Inputs!$C$8-Inputs!$C$7)/240</f>
        <v>-54</v>
      </c>
      <c r="B14" s="9">
        <f>Inputs!$C$5+Inputs!$C$9*(A14/Inputs!$C$10)^2</f>
        <v>403.24</v>
      </c>
      <c r="C14" s="9">
        <f t="shared" si="0"/>
        <v>403.24</v>
      </c>
      <c r="D14" s="9">
        <f>SQRT((Inputs!$C$52+B14)^2+Inputs!$C$52^2-2*(Inputs!$C$52+B14)*Inputs!$C$52*COS(SQRT(A14^2+Inputs!$C$6^2)/Inputs!$C$52))</f>
        <v>408.72703831512479</v>
      </c>
      <c r="E14" s="9">
        <f t="shared" si="1"/>
        <v>5487.0383151247779</v>
      </c>
      <c r="F14" s="9">
        <f>E14/Inputs!$C$12</f>
        <v>3082.6057950139202</v>
      </c>
      <c r="G14" s="9">
        <f>2*E14/Inputs!$C$21*1000000</f>
        <v>36.605579418043781</v>
      </c>
      <c r="H14" s="9">
        <f>SQRT(A14^2+Inputs!$C$6^2)</f>
        <v>59.506302187247357</v>
      </c>
      <c r="I14" s="9">
        <f t="shared" si="2"/>
        <v>8.3945766676270033</v>
      </c>
      <c r="J14" s="9">
        <f>DEGREES((2*PI()/Inputs!$C$13)*Inputs!$C$15*SIN(RADIANS(I14)))</f>
        <v>52.556179798506058</v>
      </c>
      <c r="K14" s="9">
        <f t="shared" si="3"/>
        <v>0.947372885993786</v>
      </c>
      <c r="L14" s="9">
        <f t="shared" si="4"/>
        <v>-0.23479049027301646</v>
      </c>
      <c r="M14" s="9">
        <f>2*(Inputs!$C$9/(Inputs!$C$10^2))*A14</f>
        <v>-0.12</v>
      </c>
      <c r="N14" s="9">
        <f>M14*Inputs!$C$11</f>
        <v>-0.48</v>
      </c>
      <c r="O14" s="9">
        <f>1000*(D15-D13)/(A15-A13)*Inputs!$C$11</f>
        <v>-1139.7285361831564</v>
      </c>
      <c r="P14" s="9">
        <f>-2*O14/Inputs!$C$13</f>
        <v>455.89141447326256</v>
      </c>
      <c r="Q14" s="9">
        <f>-2*O14/Inputs!$C$14</f>
        <v>68.45216433532471</v>
      </c>
      <c r="R14" s="9">
        <f>F14-Inputs!$C$16/2</f>
        <v>3067.6057950139202</v>
      </c>
      <c r="S14" s="9">
        <f>F14+Inputs!$C$16/2</f>
        <v>3097.6057950139202</v>
      </c>
      <c r="T14" s="9">
        <f>F14-Inputs!$C$17/2</f>
        <v>2932.6057950139202</v>
      </c>
      <c r="U14" s="9">
        <f>F14+Inputs!$C$17/2</f>
        <v>3232.6057950139202</v>
      </c>
      <c r="V14" s="9">
        <f t="shared" si="5"/>
        <v>455.89141447326256</v>
      </c>
      <c r="W14" s="9">
        <f t="shared" si="6"/>
        <v>68.45216433532471</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37.915684067232107</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196.39629745562698</v>
      </c>
      <c r="Z14" s="9">
        <f t="shared" si="7"/>
        <v>403.20208431593278</v>
      </c>
      <c r="AA14" s="9">
        <f>SQRT((Inputs!$C$52+B14)^2+(Inputs!$C$52+Y14/1000)^2-2*(Inputs!$C$52+B14)*(Inputs!$C$52+Y14/1000)*COS(SQRT(A14^2+Inputs!$C$6^2)/Inputs!$C$52))</f>
        <v>408.53396596542882</v>
      </c>
      <c r="AB14" s="9">
        <f t="shared" si="8"/>
        <v>5331.8816494960402</v>
      </c>
      <c r="AC14" s="9">
        <f>AB14/Inputs!$C$12</f>
        <v>2995.4391289303594</v>
      </c>
      <c r="AD14" s="9">
        <f>2*AB14/Inputs!$C$21*1000000</f>
        <v>35.570485562355543</v>
      </c>
      <c r="AE14" s="9">
        <f t="shared" si="9"/>
        <v>8.3986088726353145</v>
      </c>
      <c r="AF14" s="9">
        <f>DEGREES((2*PI()/Inputs!$C$13)*Inputs!$C$15*SIN(RADIANS(AE14)))</f>
        <v>52.581243323387248</v>
      </c>
      <c r="AG14" s="9">
        <f t="shared" si="10"/>
        <v>0.94880812176725904</v>
      </c>
      <c r="AH14" s="9">
        <f t="shared" si="11"/>
        <v>-0.22821606416988693</v>
      </c>
      <c r="AI14" s="9">
        <f t="shared" si="12"/>
        <v>-87.166666083560813</v>
      </c>
      <c r="AJ14" s="9">
        <f t="shared" si="13"/>
        <v>-1.0350938556882383</v>
      </c>
      <c r="AK14" s="9">
        <f t="shared" si="14"/>
        <v>158.48061338839489</v>
      </c>
      <c r="AL14" s="9">
        <f>1000*(AA15-AA13)/(A15-A13)*Inputs!$C$11</f>
        <v>-1221.2811372673968</v>
      </c>
      <c r="AM14" s="9">
        <f>-2*AL14/Inputs!$C$13</f>
        <v>488.51245490695874</v>
      </c>
      <c r="AN14" s="9">
        <f>-2*AL14/Inputs!$C$14</f>
        <v>73.350218454498318</v>
      </c>
      <c r="AO14" s="9">
        <f t="shared" si="15"/>
        <v>488.51245490695874</v>
      </c>
      <c r="AP14" s="9">
        <f t="shared" si="16"/>
        <v>73.350218454498318</v>
      </c>
      <c r="AQ14" s="9">
        <f>IF(OR(Inputs!$C$27=TRUE,Inputs!$C$27="TRUE",Inputs!$C$27=1),Inputs!$C$46/Inputs!$C$12,0)</f>
        <v>42.134831460674157</v>
      </c>
      <c r="AR14" s="9">
        <f t="shared" si="17"/>
        <v>2953.304297469685</v>
      </c>
      <c r="AS14" s="9">
        <f t="shared" si="18"/>
        <v>3037.5739603910338</v>
      </c>
    </row>
    <row r="15" spans="1:45">
      <c r="A15" s="9">
        <f>Inputs!$C$7+13*(Inputs!$C$8-Inputs!$C$7)/240</f>
        <v>-53.5</v>
      </c>
      <c r="B15" s="9">
        <f>Inputs!$C$5+Inputs!$C$9*(A15/Inputs!$C$10)^2</f>
        <v>403.1802777777778</v>
      </c>
      <c r="C15" s="9">
        <f t="shared" si="0"/>
        <v>403.1802777777778</v>
      </c>
      <c r="D15" s="9">
        <f>SQRT((Inputs!$C$52+B15)^2+Inputs!$C$52^2-2*(Inputs!$C$52+B15)*Inputs!$C$52*COS(SQRT(A15^2+Inputs!$C$6^2)/Inputs!$C$52))</f>
        <v>408.5852137737902</v>
      </c>
      <c r="E15" s="9">
        <f t="shared" si="1"/>
        <v>5404.9359960123984</v>
      </c>
      <c r="F15" s="9">
        <f>E15/Inputs!$C$12</f>
        <v>3036.4808966361788</v>
      </c>
      <c r="G15" s="9">
        <f>2*E15/Inputs!$C$21*1000000</f>
        <v>36.057851702275968</v>
      </c>
      <c r="H15" s="9">
        <f>SQRT(A15^2+Inputs!$C$6^2)</f>
        <v>59.052942348370756</v>
      </c>
      <c r="I15" s="9">
        <f t="shared" si="2"/>
        <v>8.3327389418825106</v>
      </c>
      <c r="J15" s="9">
        <f>DEGREES((2*PI()/Inputs!$C$13)*Inputs!$C$15*SIN(RADIANS(I15)))</f>
        <v>52.171774108183619</v>
      </c>
      <c r="K15" s="9">
        <f t="shared" si="3"/>
        <v>0.94812704546374582</v>
      </c>
      <c r="L15" s="9">
        <f t="shared" si="4"/>
        <v>-0.23133464932968043</v>
      </c>
      <c r="M15" s="9">
        <f>2*(Inputs!$C$9/(Inputs!$C$10^2))*A15</f>
        <v>-0.11888888888888889</v>
      </c>
      <c r="N15" s="9">
        <f>M15*Inputs!$C$11</f>
        <v>-0.47555555555555556</v>
      </c>
      <c r="O15" s="9">
        <f>1000*(D16-D14)/(A16-A14)*Inputs!$C$11</f>
        <v>-1129.4602816408315</v>
      </c>
      <c r="P15" s="9">
        <f>-2*O15/Inputs!$C$13</f>
        <v>451.78411265633258</v>
      </c>
      <c r="Q15" s="9">
        <f>-2*O15/Inputs!$C$14</f>
        <v>67.835452350800693</v>
      </c>
      <c r="R15" s="9">
        <f>F15-Inputs!$C$16/2</f>
        <v>3021.4808966361788</v>
      </c>
      <c r="S15" s="9">
        <f>F15+Inputs!$C$16/2</f>
        <v>3051.4808966361788</v>
      </c>
      <c r="T15" s="9">
        <f>F15-Inputs!$C$17/2</f>
        <v>2886.4808966361788</v>
      </c>
      <c r="U15" s="9">
        <f>F15+Inputs!$C$17/2</f>
        <v>3186.4808966361788</v>
      </c>
      <c r="V15" s="9">
        <f t="shared" si="5"/>
        <v>451.78411265633258</v>
      </c>
      <c r="W15" s="9">
        <f t="shared" si="6"/>
        <v>67.835452350800693</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49.305692333608725</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215.04504497494062</v>
      </c>
      <c r="Z15" s="9">
        <f t="shared" si="7"/>
        <v>403.13097208544417</v>
      </c>
      <c r="AA15" s="9">
        <f>SQRT((Inputs!$C$52+B15)^2+(Inputs!$C$52+Y15/1000)^2-2*(Inputs!$C$52+B15)*(Inputs!$C$52+Y15/1000)*COS(SQRT(A15^2+Inputs!$C$6^2)/Inputs!$C$52))</f>
        <v>408.3737550660918</v>
      </c>
      <c r="AB15" s="9">
        <f t="shared" si="8"/>
        <v>5242.7829806476329</v>
      </c>
      <c r="AC15" s="9">
        <f>AB15/Inputs!$C$12</f>
        <v>2945.3836969930521</v>
      </c>
      <c r="AD15" s="9">
        <f>2*AB15/Inputs!$C$21*1000000</f>
        <v>34.976083225199972</v>
      </c>
      <c r="AE15" s="9">
        <f t="shared" si="9"/>
        <v>8.3371232753007458</v>
      </c>
      <c r="AF15" s="9">
        <f>DEGREES((2*PI()/Inputs!$C$13)*Inputs!$C$15*SIN(RADIANS(AE15)))</f>
        <v>52.199030718845755</v>
      </c>
      <c r="AG15" s="9">
        <f t="shared" si="10"/>
        <v>0.94962768856534185</v>
      </c>
      <c r="AH15" s="9">
        <f t="shared" si="11"/>
        <v>-0.22446631020788241</v>
      </c>
      <c r="AI15" s="9">
        <f t="shared" si="12"/>
        <v>-91.097199643126714</v>
      </c>
      <c r="AJ15" s="9">
        <f t="shared" si="13"/>
        <v>-1.0817684770759968</v>
      </c>
      <c r="AK15" s="9">
        <f t="shared" si="14"/>
        <v>165.73935264133189</v>
      </c>
      <c r="AL15" s="9">
        <f>1000*(AA16-AA14)/(A16-A14)*Inputs!$C$11</f>
        <v>-1223.8077546826389</v>
      </c>
      <c r="AM15" s="9">
        <f>-2*AL15/Inputs!$C$13</f>
        <v>489.52310187305557</v>
      </c>
      <c r="AN15" s="9">
        <f>-2*AL15/Inputs!$C$14</f>
        <v>73.501967248206554</v>
      </c>
      <c r="AO15" s="9">
        <f t="shared" si="15"/>
        <v>489.52310187305557</v>
      </c>
      <c r="AP15" s="9">
        <f t="shared" si="16"/>
        <v>73.501967248206554</v>
      </c>
      <c r="AQ15" s="9">
        <f>IF(OR(Inputs!$C$27=TRUE,Inputs!$C$27="TRUE",Inputs!$C$27=1),Inputs!$C$46/Inputs!$C$12,0)</f>
        <v>42.134831460674157</v>
      </c>
      <c r="AR15" s="9">
        <f t="shared" si="17"/>
        <v>2903.2488655323777</v>
      </c>
      <c r="AS15" s="9">
        <f t="shared" si="18"/>
        <v>2987.5185284537265</v>
      </c>
    </row>
    <row r="16" spans="1:45">
      <c r="A16" s="9">
        <f>Inputs!$C$7+14*(Inputs!$C$8-Inputs!$C$7)/240</f>
        <v>-53</v>
      </c>
      <c r="B16" s="9">
        <f>Inputs!$C$5+Inputs!$C$9*(A16/Inputs!$C$10)^2</f>
        <v>403.12111111111113</v>
      </c>
      <c r="C16" s="9">
        <f t="shared" si="0"/>
        <v>403.12111111111113</v>
      </c>
      <c r="D16" s="9">
        <f>SQRT((Inputs!$C$52+B16)^2+Inputs!$C$52^2-2*(Inputs!$C$52+B16)*Inputs!$C$52*COS(SQRT(A16^2+Inputs!$C$6^2)/Inputs!$C$52))</f>
        <v>408.44467324471458</v>
      </c>
      <c r="E16" s="9">
        <f t="shared" si="1"/>
        <v>5323.5621336034455</v>
      </c>
      <c r="F16" s="9">
        <f>E16/Inputs!$C$12</f>
        <v>2990.7652435974414</v>
      </c>
      <c r="G16" s="9">
        <f>2*E16/Inputs!$C$21*1000000</f>
        <v>35.51498372653154</v>
      </c>
      <c r="H16" s="9">
        <f>SQRT(A16^2+Inputs!$C$6^2)</f>
        <v>58.600341295934449</v>
      </c>
      <c r="I16" s="9">
        <f t="shared" si="2"/>
        <v>8.2709577025452408</v>
      </c>
      <c r="J16" s="9">
        <f>DEGREES((2*PI()/Inputs!$C$13)*Inputs!$C$15*SIN(RADIANS(I16)))</f>
        <v>51.787658869794335</v>
      </c>
      <c r="K16" s="9">
        <f t="shared" si="3"/>
        <v>0.94887547821294138</v>
      </c>
      <c r="L16" s="9">
        <f t="shared" si="4"/>
        <v>-0.2279077669100798</v>
      </c>
      <c r="M16" s="9">
        <f>2*(Inputs!$C$9/(Inputs!$C$10^2))*A16</f>
        <v>-0.11777777777777777</v>
      </c>
      <c r="N16" s="9">
        <f>M16*Inputs!$C$11</f>
        <v>-0.47111111111111109</v>
      </c>
      <c r="O16" s="9">
        <f>1000*(D17-D15)/(A17-A15)*Inputs!$C$11</f>
        <v>-1119.1843692326984</v>
      </c>
      <c r="P16" s="9">
        <f>-2*O16/Inputs!$C$13</f>
        <v>447.67374769307935</v>
      </c>
      <c r="Q16" s="9">
        <f>-2*O16/Inputs!$C$14</f>
        <v>67.218280434396306</v>
      </c>
      <c r="R16" s="9">
        <f>F16-Inputs!$C$16/2</f>
        <v>2975.7652435974414</v>
      </c>
      <c r="S16" s="9">
        <f>F16+Inputs!$C$16/2</f>
        <v>3005.7652435974414</v>
      </c>
      <c r="T16" s="9">
        <f>F16-Inputs!$C$17/2</f>
        <v>2840.7652435974414</v>
      </c>
      <c r="U16" s="9">
        <f>F16+Inputs!$C$17/2</f>
        <v>3140.7652435974414</v>
      </c>
      <c r="V16" s="9">
        <f t="shared" si="5"/>
        <v>447.67374769307935</v>
      </c>
      <c r="W16" s="9">
        <f t="shared" si="6"/>
        <v>67.218280434396306</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54.961826683264675</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220.27863667842527</v>
      </c>
      <c r="Z16" s="9">
        <f t="shared" si="7"/>
        <v>403.06614928442787</v>
      </c>
      <c r="AA16" s="9">
        <f>SQRT((Inputs!$C$52+B16)^2+(Inputs!$C$52+Y16/1000)^2-2*(Inputs!$C$52+B16)*(Inputs!$C$52+Y16/1000)*COS(SQRT(A16^2+Inputs!$C$6^2)/Inputs!$C$52))</f>
        <v>408.22801402675816</v>
      </c>
      <c r="AB16" s="9">
        <f t="shared" si="8"/>
        <v>5161.8647423302946</v>
      </c>
      <c r="AC16" s="9">
        <f>AB16/Inputs!$C$12</f>
        <v>2899.9240125451092</v>
      </c>
      <c r="AD16" s="9">
        <f>2*AB16/Inputs!$C$21*1000000</f>
        <v>34.43625484621294</v>
      </c>
      <c r="AE16" s="9">
        <f t="shared" si="9"/>
        <v>8.2754170866934675</v>
      </c>
      <c r="AF16" s="9">
        <f>DEGREES((2*PI()/Inputs!$C$13)*Inputs!$C$15*SIN(RADIANS(AE16)))</f>
        <v>51.815386418168053</v>
      </c>
      <c r="AG16" s="9">
        <f t="shared" si="10"/>
        <v>0.95037299763893812</v>
      </c>
      <c r="AH16" s="9">
        <f t="shared" si="11"/>
        <v>-0.2210591152849786</v>
      </c>
      <c r="AI16" s="9">
        <f t="shared" si="12"/>
        <v>-90.841231052332205</v>
      </c>
      <c r="AJ16" s="9">
        <f t="shared" si="13"/>
        <v>-1.0787288803186001</v>
      </c>
      <c r="AK16" s="9">
        <f t="shared" si="14"/>
        <v>165.31680999516061</v>
      </c>
      <c r="AL16" s="9">
        <f>1000*(AA17-AA15)/(A17-A15)*Inputs!$C$11</f>
        <v>-1172.4981951017526</v>
      </c>
      <c r="AM16" s="9">
        <f>-2*AL16/Inputs!$C$13</f>
        <v>468.99927804070103</v>
      </c>
      <c r="AN16" s="9">
        <f>-2*AL16/Inputs!$C$14</f>
        <v>70.420312018123283</v>
      </c>
      <c r="AO16" s="9">
        <f t="shared" si="15"/>
        <v>468.99927804070103</v>
      </c>
      <c r="AP16" s="9">
        <f t="shared" si="16"/>
        <v>70.420312018123283</v>
      </c>
      <c r="AQ16" s="9">
        <f>IF(OR(Inputs!$C$27=TRUE,Inputs!$C$27="TRUE",Inputs!$C$27=1),Inputs!$C$46/Inputs!$C$12,0)</f>
        <v>42.134831460674157</v>
      </c>
      <c r="AR16" s="9">
        <f t="shared" si="17"/>
        <v>2857.7891810844349</v>
      </c>
      <c r="AS16" s="9">
        <f t="shared" si="18"/>
        <v>2942.0588440057836</v>
      </c>
    </row>
    <row r="17" spans="1:45">
      <c r="A17" s="9">
        <f>Inputs!$C$7+15*(Inputs!$C$8-Inputs!$C$7)/240</f>
        <v>-52.5</v>
      </c>
      <c r="B17" s="9">
        <f>Inputs!$C$5+Inputs!$C$9*(A17/Inputs!$C$10)^2</f>
        <v>403.0625</v>
      </c>
      <c r="C17" s="9">
        <f t="shared" si="0"/>
        <v>403.0625</v>
      </c>
      <c r="D17" s="9">
        <f>SQRT((Inputs!$C$52+B17)^2+Inputs!$C$52^2-2*(Inputs!$C$52+B17)*Inputs!$C$52*COS(SQRT(A17^2+Inputs!$C$6^2)/Inputs!$C$52))</f>
        <v>408.30541768148203</v>
      </c>
      <c r="E17" s="9">
        <f t="shared" si="1"/>
        <v>5242.9176814820266</v>
      </c>
      <c r="F17" s="9">
        <f>E17/Inputs!$C$12</f>
        <v>2945.4593716191162</v>
      </c>
      <c r="G17" s="9">
        <f>2*E17/Inputs!$C$21*1000000</f>
        <v>34.976981852438911</v>
      </c>
      <c r="H17" s="9">
        <f>SQRT(A17^2+Inputs!$C$6^2)</f>
        <v>58.148516748065035</v>
      </c>
      <c r="I17" s="9">
        <f t="shared" si="2"/>
        <v>8.2092359122645995</v>
      </c>
      <c r="J17" s="9">
        <f>DEGREES((2*PI()/Inputs!$C$13)*Inputs!$C$15*SIN(RADIANS(I17)))</f>
        <v>51.403853119854354</v>
      </c>
      <c r="K17" s="9">
        <f t="shared" si="3"/>
        <v>0.94961815113253667</v>
      </c>
      <c r="L17" s="9">
        <f t="shared" si="4"/>
        <v>-0.22450992809401674</v>
      </c>
      <c r="M17" s="9">
        <f>2*(Inputs!$C$9/(Inputs!$C$10^2))*A17</f>
        <v>-0.11666666666666667</v>
      </c>
      <c r="N17" s="9">
        <f>M17*Inputs!$C$11</f>
        <v>-0.46666666666666667</v>
      </c>
      <c r="O17" s="9">
        <f>1000*(D18-D16)/(A18-A16)*Inputs!$C$11</f>
        <v>-1108.9008574281252</v>
      </c>
      <c r="P17" s="9">
        <f>-2*O17/Inputs!$C$13</f>
        <v>443.56034297125007</v>
      </c>
      <c r="Q17" s="9">
        <f>-2*O17/Inputs!$C$14</f>
        <v>66.6006520977853</v>
      </c>
      <c r="R17" s="9">
        <f>F17-Inputs!$C$16/2</f>
        <v>2930.4593716191162</v>
      </c>
      <c r="S17" s="9">
        <f>F17+Inputs!$C$16/2</f>
        <v>2960.4593716191162</v>
      </c>
      <c r="T17" s="9">
        <f>F17-Inputs!$C$17/2</f>
        <v>2795.4593716191162</v>
      </c>
      <c r="U17" s="9">
        <f>F17+Inputs!$C$17/2</f>
        <v>3095.4593716191162</v>
      </c>
      <c r="V17" s="9">
        <f t="shared" si="5"/>
        <v>443.56034297125007</v>
      </c>
      <c r="W17" s="9">
        <f t="shared" si="6"/>
        <v>66.6006520977853</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41.913539426844665</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228.48571186718385</v>
      </c>
      <c r="Z17" s="9">
        <f t="shared" si="7"/>
        <v>403.02058646057316</v>
      </c>
      <c r="AA17" s="9">
        <f>SQRT((Inputs!$C$52+B17)^2+(Inputs!$C$52+Y17/1000)^2-2*(Inputs!$C$52+B17)*(Inputs!$C$52+Y17/1000)*COS(SQRT(A17^2+Inputs!$C$6^2)/Inputs!$C$52))</f>
        <v>408.08063051731637</v>
      </c>
      <c r="AB17" s="9">
        <f t="shared" si="8"/>
        <v>5060.0440567432088</v>
      </c>
      <c r="AC17" s="9">
        <f>AB17/Inputs!$C$12</f>
        <v>2842.7213801928137</v>
      </c>
      <c r="AD17" s="9">
        <f>2*AB17/Inputs!$C$21*1000000</f>
        <v>33.756980349006703</v>
      </c>
      <c r="AE17" s="9">
        <f t="shared" si="9"/>
        <v>8.2138286391656514</v>
      </c>
      <c r="AF17" s="9">
        <f>DEGREES((2*PI()/Inputs!$C$13)*Inputs!$C$15*SIN(RADIANS(AE17)))</f>
        <v>51.432414218196577</v>
      </c>
      <c r="AG17" s="9">
        <f t="shared" si="10"/>
        <v>0.9513164278258599</v>
      </c>
      <c r="AH17" s="9">
        <f t="shared" si="11"/>
        <v>-0.21675003565958811</v>
      </c>
      <c r="AI17" s="9">
        <f t="shared" si="12"/>
        <v>-102.73799142630241</v>
      </c>
      <c r="AJ17" s="9">
        <f t="shared" si="13"/>
        <v>-1.2200015034322078</v>
      </c>
      <c r="AK17" s="9">
        <f t="shared" si="14"/>
        <v>186.57217244033919</v>
      </c>
      <c r="AL17" s="9">
        <f>1000*(AA18-AA16)/(A18-A16)*Inputs!$C$11</f>
        <v>-1191.8525830433282</v>
      </c>
      <c r="AM17" s="9">
        <f>-2*AL17/Inputs!$C$13</f>
        <v>476.74103321733128</v>
      </c>
      <c r="AN17" s="9">
        <f>-2*AL17/Inputs!$C$14</f>
        <v>71.582737720320011</v>
      </c>
      <c r="AO17" s="9">
        <f t="shared" si="15"/>
        <v>476.74103321733128</v>
      </c>
      <c r="AP17" s="9">
        <f t="shared" si="16"/>
        <v>71.582737720320011</v>
      </c>
      <c r="AQ17" s="9">
        <f>IF(OR(Inputs!$C$27=TRUE,Inputs!$C$27="TRUE",Inputs!$C$27=1),Inputs!$C$46/Inputs!$C$12,0)</f>
        <v>42.134831460674157</v>
      </c>
      <c r="AR17" s="9">
        <f t="shared" si="17"/>
        <v>2800.5865487321394</v>
      </c>
      <c r="AS17" s="9">
        <f t="shared" si="18"/>
        <v>2884.8562116534881</v>
      </c>
    </row>
    <row r="18" spans="1:45">
      <c r="A18" s="9">
        <f>Inputs!$C$7+16*(Inputs!$C$8-Inputs!$C$7)/240</f>
        <v>-52</v>
      </c>
      <c r="B18" s="9">
        <f>Inputs!$C$5+Inputs!$C$9*(A18/Inputs!$C$10)^2</f>
        <v>403.00444444444446</v>
      </c>
      <c r="C18" s="9">
        <f t="shared" si="0"/>
        <v>403.00444444444446</v>
      </c>
      <c r="D18" s="9">
        <f>SQRT((Inputs!$C$52+B18)^2+Inputs!$C$52^2-2*(Inputs!$C$52+B18)*Inputs!$C$52*COS(SQRT(A18^2+Inputs!$C$6^2)/Inputs!$C$52))</f>
        <v>408.16744803035755</v>
      </c>
      <c r="E18" s="9">
        <f t="shared" si="1"/>
        <v>5163.0035859130885</v>
      </c>
      <c r="F18" s="9">
        <f>E18/Inputs!$C$12</f>
        <v>2900.5638123107237</v>
      </c>
      <c r="G18" s="9">
        <f>2*E18/Inputs!$C$21*1000000</f>
        <v>34.443852392798277</v>
      </c>
      <c r="H18" s="9">
        <f>SQRT(A18^2+Inputs!$C$6^2)</f>
        <v>57.697486947006624</v>
      </c>
      <c r="I18" s="9">
        <f t="shared" si="2"/>
        <v>8.1475766102618188</v>
      </c>
      <c r="J18" s="9">
        <f>DEGREES((2*PI()/Inputs!$C$13)*Inputs!$C$15*SIN(RADIANS(I18)))</f>
        <v>51.020376380009324</v>
      </c>
      <c r="K18" s="9">
        <f t="shared" si="3"/>
        <v>0.95035503129146714</v>
      </c>
      <c r="L18" s="9">
        <f t="shared" si="4"/>
        <v>-0.2211412173579535</v>
      </c>
      <c r="M18" s="9">
        <f>2*(Inputs!$C$9/(Inputs!$C$10^2))*A18</f>
        <v>-0.11555555555555555</v>
      </c>
      <c r="N18" s="9">
        <f>M18*Inputs!$C$11</f>
        <v>-0.4622222222222222</v>
      </c>
      <c r="O18" s="9">
        <f>1000*(D19-D17)/(A19-A17)*Inputs!$C$11</f>
        <v>-1098.6098050404962</v>
      </c>
      <c r="P18" s="9">
        <f>-2*O18/Inputs!$C$13</f>
        <v>439.44392201619848</v>
      </c>
      <c r="Q18" s="9">
        <f>-2*O18/Inputs!$C$14</f>
        <v>65.982570873303075</v>
      </c>
      <c r="R18" s="9">
        <f>F18-Inputs!$C$16/2</f>
        <v>2885.5638123107237</v>
      </c>
      <c r="S18" s="9">
        <f>F18+Inputs!$C$16/2</f>
        <v>2915.5638123107237</v>
      </c>
      <c r="T18" s="9">
        <f>F18-Inputs!$C$17/2</f>
        <v>2750.5638123107237</v>
      </c>
      <c r="U18" s="9">
        <f>F18+Inputs!$C$17/2</f>
        <v>3050.5638123107237</v>
      </c>
      <c r="V18" s="9">
        <f t="shared" si="5"/>
        <v>439.44392201619848</v>
      </c>
      <c r="W18" s="9">
        <f t="shared" si="6"/>
        <v>65.982570873303075</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44.009244046504797</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241.24392327938918</v>
      </c>
      <c r="Z18" s="9">
        <f t="shared" si="7"/>
        <v>402.96043520039797</v>
      </c>
      <c r="AA18" s="9">
        <f>SQRT((Inputs!$C$52+B18)^2+(Inputs!$C$52+Y18/1000)^2-2*(Inputs!$C$52+B18)*(Inputs!$C$52+Y18/1000)*COS(SQRT(A18^2+Inputs!$C$6^2)/Inputs!$C$52))</f>
        <v>407.93005088099733</v>
      </c>
      <c r="AB18" s="9">
        <f t="shared" si="8"/>
        <v>4969.6156805993614</v>
      </c>
      <c r="AC18" s="9">
        <f>AB18/Inputs!$C$12</f>
        <v>2791.9189216850345</v>
      </c>
      <c r="AD18" s="9">
        <f>2*AB18/Inputs!$C$21*1000000</f>
        <v>33.153707159633491</v>
      </c>
      <c r="AE18" s="9">
        <f t="shared" si="9"/>
        <v>8.152391199699375</v>
      </c>
      <c r="AF18" s="9">
        <f>DEGREES((2*PI()/Inputs!$C$13)*Inputs!$C$15*SIN(RADIANS(AE18)))</f>
        <v>51.050321813865231</v>
      </c>
      <c r="AG18" s="9">
        <f t="shared" si="10"/>
        <v>0.95215319562345546</v>
      </c>
      <c r="AH18" s="9">
        <f t="shared" si="11"/>
        <v>-0.21293170668745842</v>
      </c>
      <c r="AI18" s="9">
        <f t="shared" si="12"/>
        <v>-108.64489062568919</v>
      </c>
      <c r="AJ18" s="9">
        <f t="shared" si="13"/>
        <v>-1.290145233164786</v>
      </c>
      <c r="AK18" s="9">
        <f t="shared" si="14"/>
        <v>197.23467923288439</v>
      </c>
      <c r="AL18" s="9">
        <f>1000*(AA19-AA17)/(A19-A17)*Inputs!$C$11</f>
        <v>-1228.6234868731754</v>
      </c>
      <c r="AM18" s="9">
        <f>-2*AL18/Inputs!$C$13</f>
        <v>491.44939474927014</v>
      </c>
      <c r="AN18" s="9">
        <f>-2*AL18/Inputs!$C$14</f>
        <v>73.791200412803335</v>
      </c>
      <c r="AO18" s="9">
        <f t="shared" si="15"/>
        <v>491.44939474927014</v>
      </c>
      <c r="AP18" s="9">
        <f t="shared" si="16"/>
        <v>73.791200412803335</v>
      </c>
      <c r="AQ18" s="9">
        <f>IF(OR(Inputs!$C$27=TRUE,Inputs!$C$27="TRUE",Inputs!$C$27=1),Inputs!$C$46/Inputs!$C$12,0)</f>
        <v>42.134831460674157</v>
      </c>
      <c r="AR18" s="9">
        <f t="shared" si="17"/>
        <v>2749.7840902243602</v>
      </c>
      <c r="AS18" s="9">
        <f t="shared" si="18"/>
        <v>2834.0537531457089</v>
      </c>
    </row>
    <row r="19" spans="1:45">
      <c r="A19" s="9">
        <f>Inputs!$C$7+17*(Inputs!$C$8-Inputs!$C$7)/240</f>
        <v>-51.5</v>
      </c>
      <c r="B19" s="9">
        <f>Inputs!$C$5+Inputs!$C$9*(A19/Inputs!$C$10)^2</f>
        <v>402.94694444444445</v>
      </c>
      <c r="C19" s="9">
        <f t="shared" si="0"/>
        <v>402.94694444444445</v>
      </c>
      <c r="D19" s="9">
        <f>SQRT((Inputs!$C$52+B19)^2+Inputs!$C$52^2-2*(Inputs!$C$52+B19)*Inputs!$C$52*COS(SQRT(A19^2+Inputs!$C$6^2)/Inputs!$C$52))</f>
        <v>408.0307652302219</v>
      </c>
      <c r="E19" s="9">
        <f t="shared" si="1"/>
        <v>5083.8207857774478</v>
      </c>
      <c r="F19" s="9">
        <f>E19/Inputs!$C$12</f>
        <v>2856.0790931333977</v>
      </c>
      <c r="G19" s="9">
        <f>2*E19/Inputs!$C$21*1000000</f>
        <v>33.915601611148261</v>
      </c>
      <c r="H19" s="9">
        <f>SQRT(A19^2+Inputs!$C$6^2)</f>
        <v>57.247270677299539</v>
      </c>
      <c r="I19" s="9">
        <f t="shared" si="2"/>
        <v>8.0859829149192013</v>
      </c>
      <c r="J19" s="9">
        <f>DEGREES((2*PI()/Inputs!$C$13)*Inputs!$C$15*SIN(RADIANS(I19)))</f>
        <v>50.63724867326966</v>
      </c>
      <c r="K19" s="9">
        <f t="shared" si="3"/>
        <v>0.95108608593985455</v>
      </c>
      <c r="L19" s="9">
        <f t="shared" si="4"/>
        <v>-0.21780171856904923</v>
      </c>
      <c r="M19" s="9">
        <f>2*(Inputs!$C$9/(Inputs!$C$10^2))*A19</f>
        <v>-0.11444444444444445</v>
      </c>
      <c r="N19" s="9">
        <f>M19*Inputs!$C$11</f>
        <v>-0.45777777777777778</v>
      </c>
      <c r="O19" s="9">
        <f>1000*(D20-D18)/(A20-A18)*Inputs!$C$11</f>
        <v>-1088.3112712756429</v>
      </c>
      <c r="P19" s="9">
        <f>-2*O19/Inputs!$C$13</f>
        <v>435.32450851025715</v>
      </c>
      <c r="Q19" s="9">
        <f>-2*O19/Inputs!$C$14</f>
        <v>65.364040316855437</v>
      </c>
      <c r="R19" s="9">
        <f>F19-Inputs!$C$16/2</f>
        <v>2841.0790931333977</v>
      </c>
      <c r="S19" s="9">
        <f>F19+Inputs!$C$16/2</f>
        <v>2871.0790931333977</v>
      </c>
      <c r="T19" s="9">
        <f>F19-Inputs!$C$17/2</f>
        <v>2706.0790931333977</v>
      </c>
      <c r="U19" s="9">
        <f>F19+Inputs!$C$17/2</f>
        <v>3006.0790931333977</v>
      </c>
      <c r="V19" s="9">
        <f t="shared" si="5"/>
        <v>435.32450851025715</v>
      </c>
      <c r="W19" s="9">
        <f t="shared" si="6"/>
        <v>65.364040316855437</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32.491619283106324</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261.3961473371179</v>
      </c>
      <c r="Z19" s="9">
        <f t="shared" si="7"/>
        <v>402.91445282516133</v>
      </c>
      <c r="AA19" s="9">
        <f>SQRT((Inputs!$C$52+B19)^2+(Inputs!$C$52+Y19/1000)^2-2*(Inputs!$C$52+B19)*(Inputs!$C$52+Y19/1000)*COS(SQRT(A19^2+Inputs!$C$6^2)/Inputs!$C$52))</f>
        <v>407.77347464559807</v>
      </c>
      <c r="AB19" s="9">
        <f t="shared" si="8"/>
        <v>4859.0218204367375</v>
      </c>
      <c r="AC19" s="9">
        <f>AB19/Inputs!$C$12</f>
        <v>2729.7875395712008</v>
      </c>
      <c r="AD19" s="9">
        <f>2*AB19/Inputs!$C$21*1000000</f>
        <v>32.415904341641159</v>
      </c>
      <c r="AE19" s="9">
        <f t="shared" si="9"/>
        <v>8.0911623032348885</v>
      </c>
      <c r="AF19" s="9">
        <f>DEGREES((2*PI()/Inputs!$C$13)*Inputs!$C$15*SIN(RADIANS(AE19)))</f>
        <v>50.669467983041159</v>
      </c>
      <c r="AG19" s="9">
        <f t="shared" si="10"/>
        <v>0.95318126396208747</v>
      </c>
      <c r="AH19" s="9">
        <f t="shared" si="11"/>
        <v>-0.20824502873891348</v>
      </c>
      <c r="AI19" s="9">
        <f t="shared" si="12"/>
        <v>-126.2915535621969</v>
      </c>
      <c r="AJ19" s="9">
        <f t="shared" si="13"/>
        <v>-1.4996972695071022</v>
      </c>
      <c r="AK19" s="9">
        <f t="shared" si="14"/>
        <v>228.90452805401156</v>
      </c>
      <c r="AL19" s="9">
        <f>1000*(AA20-AA18)/(A20-A18)*Inputs!$C$11</f>
        <v>-1131.0023230334991</v>
      </c>
      <c r="AM19" s="9">
        <f>-2*AL19/Inputs!$C$13</f>
        <v>452.40092921339965</v>
      </c>
      <c r="AN19" s="9">
        <f>-2*AL19/Inputs!$C$14</f>
        <v>67.928067449459419</v>
      </c>
      <c r="AO19" s="9">
        <f t="shared" si="15"/>
        <v>452.40092921339965</v>
      </c>
      <c r="AP19" s="9">
        <f t="shared" si="16"/>
        <v>67.928067449459419</v>
      </c>
      <c r="AQ19" s="9">
        <f>IF(OR(Inputs!$C$27=TRUE,Inputs!$C$27="TRUE",Inputs!$C$27=1),Inputs!$C$46/Inputs!$C$12,0)</f>
        <v>42.134831460674157</v>
      </c>
      <c r="AR19" s="9">
        <f t="shared" si="17"/>
        <v>2687.6527081105264</v>
      </c>
      <c r="AS19" s="9">
        <f t="shared" si="18"/>
        <v>2771.9223710318752</v>
      </c>
    </row>
    <row r="20" spans="1:45">
      <c r="A20" s="9">
        <f>Inputs!$C$7+18*(Inputs!$C$8-Inputs!$C$7)/240</f>
        <v>-51</v>
      </c>
      <c r="B20" s="9">
        <f>Inputs!$C$5+Inputs!$C$9*(A20/Inputs!$C$10)^2</f>
        <v>402.89</v>
      </c>
      <c r="C20" s="9">
        <f t="shared" si="0"/>
        <v>402.89</v>
      </c>
      <c r="D20" s="9">
        <f>SQRT((Inputs!$C$52+B20)^2+Inputs!$C$52^2-2*(Inputs!$C$52+B20)*Inputs!$C$52*COS(SQRT(A20^2+Inputs!$C$6^2)/Inputs!$C$52))</f>
        <v>407.89537021253864</v>
      </c>
      <c r="E20" s="9">
        <f t="shared" si="1"/>
        <v>5005.3702125386508</v>
      </c>
      <c r="F20" s="9">
        <f>E20/Inputs!$C$12</f>
        <v>2812.0057373812642</v>
      </c>
      <c r="G20" s="9">
        <f>2*E20/Inputs!$C$21*1000000</f>
        <v>33.392235721544743</v>
      </c>
      <c r="H20" s="9">
        <f>SQRT(A20^2+Inputs!$C$6^2)</f>
        <v>56.797887284651708</v>
      </c>
      <c r="I20" s="9">
        <f t="shared" si="2"/>
        <v>8.0244580264682188</v>
      </c>
      <c r="J20" s="9">
        <f>DEGREES((2*PI()/Inputs!$C$13)*Inputs!$C$15*SIN(RADIANS(I20)))</f>
        <v>50.25449054086581</v>
      </c>
      <c r="K20" s="9">
        <f t="shared" si="3"/>
        <v>0.9518112825121221</v>
      </c>
      <c r="L20" s="9">
        <f t="shared" si="4"/>
        <v>-0.21449151498056357</v>
      </c>
      <c r="M20" s="9">
        <f>2*(Inputs!$C$9/(Inputs!$C$10^2))*A20</f>
        <v>-0.11333333333333333</v>
      </c>
      <c r="N20" s="9">
        <f>M20*Inputs!$C$11</f>
        <v>-0.45333333333333331</v>
      </c>
      <c r="O20" s="9">
        <f>1000*(D21-D19)/(A21-A19)*Inputs!$C$11</f>
        <v>-1078.0053156152007</v>
      </c>
      <c r="P20" s="9">
        <f>-2*O20/Inputs!$C$13</f>
        <v>431.2021262460803</v>
      </c>
      <c r="Q20" s="9">
        <f>-2*O20/Inputs!$C$14</f>
        <v>64.745064000912961</v>
      </c>
      <c r="R20" s="9">
        <f>F20-Inputs!$C$16/2</f>
        <v>2797.0057373812642</v>
      </c>
      <c r="S20" s="9">
        <f>F20+Inputs!$C$16/2</f>
        <v>2827.0057373812642</v>
      </c>
      <c r="T20" s="9">
        <f>F20-Inputs!$C$17/2</f>
        <v>2662.0057373812642</v>
      </c>
      <c r="U20" s="9">
        <f>F20+Inputs!$C$17/2</f>
        <v>2962.0057373812642</v>
      </c>
      <c r="V20" s="9">
        <f t="shared" si="5"/>
        <v>431.2021262460803</v>
      </c>
      <c r="W20" s="9">
        <f t="shared" si="6"/>
        <v>64.745064000912961</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39.108816586772562</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251.96732827517536</v>
      </c>
      <c r="Z20" s="9">
        <f t="shared" si="7"/>
        <v>402.85089118341324</v>
      </c>
      <c r="AA20" s="9">
        <f>SQRT((Inputs!$C$52+B20)^2+(Inputs!$C$52+Y20/1000)^2-2*(Inputs!$C$52+B20)*(Inputs!$C$52+Y20/1000)*COS(SQRT(A20^2+Inputs!$C$6^2)/Inputs!$C$52))</f>
        <v>407.64730030023895</v>
      </c>
      <c r="AB20" s="9">
        <f t="shared" si="8"/>
        <v>4796.4091168257146</v>
      </c>
      <c r="AC20" s="9">
        <f>AB20/Inputs!$C$12</f>
        <v>2694.6118633852329</v>
      </c>
      <c r="AD20" s="9">
        <f>2*AB20/Inputs!$C$21*1000000</f>
        <v>31.99819734508274</v>
      </c>
      <c r="AE20" s="9">
        <f t="shared" si="9"/>
        <v>8.029414192252009</v>
      </c>
      <c r="AF20" s="9">
        <f>DEGREES((2*PI()/Inputs!$C$13)*Inputs!$C$15*SIN(RADIANS(AE20)))</f>
        <v>50.285325950718175</v>
      </c>
      <c r="AG20" s="9">
        <f t="shared" si="10"/>
        <v>0.95375984282171677</v>
      </c>
      <c r="AH20" s="9">
        <f t="shared" si="11"/>
        <v>-0.20560967085712697</v>
      </c>
      <c r="AI20" s="9">
        <f t="shared" si="12"/>
        <v>-117.39387399603129</v>
      </c>
      <c r="AJ20" s="9">
        <f t="shared" si="13"/>
        <v>-1.394038376462003</v>
      </c>
      <c r="AK20" s="9">
        <f t="shared" si="14"/>
        <v>212.85851168840281</v>
      </c>
      <c r="AL20" s="9">
        <f>1000*(AA21-AA19)/(A21-A19)*Inputs!$C$11</f>
        <v>-1032.5390646096366</v>
      </c>
      <c r="AM20" s="9">
        <f>-2*AL20/Inputs!$C$13</f>
        <v>413.01562584385465</v>
      </c>
      <c r="AN20" s="9">
        <f>-2*AL20/Inputs!$C$14</f>
        <v>62.014358234813017</v>
      </c>
      <c r="AO20" s="9">
        <f t="shared" si="15"/>
        <v>413.01562584385465</v>
      </c>
      <c r="AP20" s="9">
        <f t="shared" si="16"/>
        <v>62.014358234813017</v>
      </c>
      <c r="AQ20" s="9">
        <f>IF(OR(Inputs!$C$27=TRUE,Inputs!$C$27="TRUE",Inputs!$C$27=1),Inputs!$C$46/Inputs!$C$12,0)</f>
        <v>42.134831460674157</v>
      </c>
      <c r="AR20" s="9">
        <f t="shared" si="17"/>
        <v>2652.4770319245586</v>
      </c>
      <c r="AS20" s="9">
        <f t="shared" si="18"/>
        <v>2736.7466948459073</v>
      </c>
    </row>
    <row r="21" spans="1:45">
      <c r="A21" s="9">
        <f>Inputs!$C$7+19*(Inputs!$C$8-Inputs!$C$7)/240</f>
        <v>-50.5</v>
      </c>
      <c r="B21" s="9">
        <f>Inputs!$C$5+Inputs!$C$9*(A21/Inputs!$C$10)^2</f>
        <v>402.83361111111111</v>
      </c>
      <c r="C21" s="9">
        <f t="shared" si="0"/>
        <v>402.83361111111111</v>
      </c>
      <c r="D21" s="9">
        <f>SQRT((Inputs!$C$52+B21)^2+Inputs!$C$52^2-2*(Inputs!$C$52+B21)*Inputs!$C$52*COS(SQRT(A21^2+Inputs!$C$6^2)/Inputs!$C$52))</f>
        <v>407.7612639013181</v>
      </c>
      <c r="E21" s="9">
        <f t="shared" si="1"/>
        <v>4927.652790206992</v>
      </c>
      <c r="F21" s="9">
        <f>E21/Inputs!$C$12</f>
        <v>2768.3442641612314</v>
      </c>
      <c r="G21" s="9">
        <f>2*E21/Inputs!$C$21*1000000</f>
        <v>32.873760888320895</v>
      </c>
      <c r="H21" s="9">
        <f>SQRT(A21^2+Inputs!$C$6^2)</f>
        <v>56.349356695529366</v>
      </c>
      <c r="I21" s="9">
        <f t="shared" si="2"/>
        <v>7.9630052297803147</v>
      </c>
      <c r="J21" s="9">
        <f>DEGREES((2*PI()/Inputs!$C$13)*Inputs!$C$15*SIN(RADIANS(I21)))</f>
        <v>49.87212305974802</v>
      </c>
      <c r="K21" s="9">
        <f t="shared" si="3"/>
        <v>0.95253058863013107</v>
      </c>
      <c r="L21" s="9">
        <f t="shared" si="4"/>
        <v>-0.21121068922715408</v>
      </c>
      <c r="M21" s="9">
        <f>2*(Inputs!$C$9/(Inputs!$C$10^2))*A21</f>
        <v>-0.11222222222222222</v>
      </c>
      <c r="N21" s="9">
        <f>M21*Inputs!$C$11</f>
        <v>-0.44888888888888889</v>
      </c>
      <c r="O21" s="9">
        <f>1000*(D22-D20)/(A22-A20)*Inputs!$C$11</f>
        <v>-1067.691997902557</v>
      </c>
      <c r="P21" s="9">
        <f>-2*O21/Inputs!$C$13</f>
        <v>427.07679916102279</v>
      </c>
      <c r="Q21" s="9">
        <f>-2*O21/Inputs!$C$14</f>
        <v>64.1256455196731</v>
      </c>
      <c r="R21" s="9">
        <f>F21-Inputs!$C$16/2</f>
        <v>2753.3442641612314</v>
      </c>
      <c r="S21" s="9">
        <f>F21+Inputs!$C$16/2</f>
        <v>2783.3442641612314</v>
      </c>
      <c r="T21" s="9">
        <f>F21-Inputs!$C$17/2</f>
        <v>2618.3442641612314</v>
      </c>
      <c r="U21" s="9">
        <f>F21+Inputs!$C$17/2</f>
        <v>2918.3442641612314</v>
      </c>
      <c r="V21" s="9">
        <f t="shared" si="5"/>
        <v>427.07679916102279</v>
      </c>
      <c r="W21" s="9">
        <f t="shared" si="6"/>
        <v>64.1256455196731</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47.995831702209429</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249.72786812719846</v>
      </c>
      <c r="Z21" s="9">
        <f t="shared" si="7"/>
        <v>402.78561527940889</v>
      </c>
      <c r="AA21" s="9">
        <f>SQRT((Inputs!$C$52+B21)^2+(Inputs!$C$52+Y21/1000)^2-2*(Inputs!$C$52+B21)*(Inputs!$C$52+Y21/1000)*COS(SQRT(A21^2+Inputs!$C$6^2)/Inputs!$C$52))</f>
        <v>407.51533987944566</v>
      </c>
      <c r="AB21" s="9">
        <f t="shared" si="8"/>
        <v>4729.724600036775</v>
      </c>
      <c r="AC21" s="9">
        <f>AB21/Inputs!$C$12</f>
        <v>2657.1486517060534</v>
      </c>
      <c r="AD21" s="9">
        <f>2*AB21/Inputs!$C$21*1000000</f>
        <v>31.553326134954169</v>
      </c>
      <c r="AE21" s="9">
        <f t="shared" si="9"/>
        <v>7.9678813626925553</v>
      </c>
      <c r="AF21" s="9">
        <f>DEGREES((2*PI()/Inputs!$C$13)*Inputs!$C$15*SIN(RADIANS(AE21)))</f>
        <v>49.902465109119703</v>
      </c>
      <c r="AG21" s="9">
        <f t="shared" si="10"/>
        <v>0.95437699766908612</v>
      </c>
      <c r="AH21" s="9">
        <f t="shared" si="11"/>
        <v>-0.2028003654828916</v>
      </c>
      <c r="AI21" s="9">
        <f t="shared" si="12"/>
        <v>-111.19561245517798</v>
      </c>
      <c r="AJ21" s="9">
        <f t="shared" si="13"/>
        <v>-1.320434753366726</v>
      </c>
      <c r="AK21" s="9">
        <f t="shared" si="14"/>
        <v>201.73203642498902</v>
      </c>
      <c r="AL21" s="9">
        <f>1000*(AA22-AA20)/(A22-A20)*Inputs!$C$11</f>
        <v>-1153.8506534684529</v>
      </c>
      <c r="AM21" s="9">
        <f>-2*AL21/Inputs!$C$13</f>
        <v>461.54026138738118</v>
      </c>
      <c r="AN21" s="9">
        <f>-2*AL21/Inputs!$C$14</f>
        <v>69.300339547654843</v>
      </c>
      <c r="AO21" s="9">
        <f t="shared" si="15"/>
        <v>461.54026138738118</v>
      </c>
      <c r="AP21" s="9">
        <f t="shared" si="16"/>
        <v>69.300339547654843</v>
      </c>
      <c r="AQ21" s="9">
        <f>IF(OR(Inputs!$C$27=TRUE,Inputs!$C$27="TRUE",Inputs!$C$27=1),Inputs!$C$46/Inputs!$C$12,0)</f>
        <v>42.134831460674157</v>
      </c>
      <c r="AR21" s="9">
        <f t="shared" si="17"/>
        <v>2615.0138202453791</v>
      </c>
      <c r="AS21" s="9">
        <f t="shared" si="18"/>
        <v>2699.2834831667278</v>
      </c>
    </row>
    <row r="22" spans="1:45">
      <c r="A22" s="9">
        <f>Inputs!$C$7+20*(Inputs!$C$8-Inputs!$C$7)/240</f>
        <v>-50</v>
      </c>
      <c r="B22" s="9">
        <f>Inputs!$C$5+Inputs!$C$9*(A22/Inputs!$C$10)^2</f>
        <v>402.77777777777777</v>
      </c>
      <c r="C22" s="9">
        <f t="shared" si="0"/>
        <v>402.77777777777777</v>
      </c>
      <c r="D22" s="9">
        <f>SQRT((Inputs!$C$52+B22)^2+Inputs!$C$52^2-2*(Inputs!$C$52+B22)*Inputs!$C$52*COS(SQRT(A22^2+Inputs!$C$6^2)/Inputs!$C$52))</f>
        <v>407.628447213063</v>
      </c>
      <c r="E22" s="9">
        <f t="shared" si="1"/>
        <v>4850.6694352852264</v>
      </c>
      <c r="F22" s="9">
        <f>E22/Inputs!$C$12</f>
        <v>2725.0951883624866</v>
      </c>
      <c r="G22" s="9">
        <f>2*E22/Inputs!$C$21*1000000</f>
        <v>32.360183225724953</v>
      </c>
      <c r="H22" s="9">
        <f>SQRT(A22^2+Inputs!$C$6^2)</f>
        <v>55.901699437494742</v>
      </c>
      <c r="I22" s="9">
        <f t="shared" si="2"/>
        <v>7.9016278972643068</v>
      </c>
      <c r="J22" s="9">
        <f>DEGREES((2*PI()/Inputs!$C$13)*Inputs!$C$15*SIN(RADIANS(I22)))</f>
        <v>49.490167860754674</v>
      </c>
      <c r="K22" s="9">
        <f t="shared" si="3"/>
        <v>0.95324397210648193</v>
      </c>
      <c r="L22" s="9">
        <f t="shared" si="4"/>
        <v>-0.20795932331941441</v>
      </c>
      <c r="M22" s="9">
        <f>2*(Inputs!$C$9/(Inputs!$C$10^2))*A22</f>
        <v>-0.1111111111111111</v>
      </c>
      <c r="N22" s="9">
        <f>M22*Inputs!$C$11</f>
        <v>-0.44444444444444442</v>
      </c>
      <c r="O22" s="9">
        <f>1000*(D23-D21)/(A23-A21)*Inputs!$C$11</f>
        <v>-1057.3713783037419</v>
      </c>
      <c r="P22" s="9">
        <f>-2*O22/Inputs!$C$13</f>
        <v>422.94855132149678</v>
      </c>
      <c r="Q22" s="9">
        <f>-2*O22/Inputs!$C$14</f>
        <v>63.505788486711232</v>
      </c>
      <c r="R22" s="9">
        <f>F22-Inputs!$C$16/2</f>
        <v>2710.0951883624866</v>
      </c>
      <c r="S22" s="9">
        <f>F22+Inputs!$C$16/2</f>
        <v>2740.0951883624866</v>
      </c>
      <c r="T22" s="9">
        <f>F22-Inputs!$C$17/2</f>
        <v>2575.0951883624866</v>
      </c>
      <c r="U22" s="9">
        <f>F22+Inputs!$C$17/2</f>
        <v>2875.0951883624866</v>
      </c>
      <c r="V22" s="9">
        <f t="shared" si="5"/>
        <v>422.94855132149678</v>
      </c>
      <c r="W22" s="9">
        <f t="shared" si="6"/>
        <v>63.505788486711232</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29.034419664389077</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273.71504099052385</v>
      </c>
      <c r="Z22" s="9">
        <f t="shared" si="7"/>
        <v>402.74874335811336</v>
      </c>
      <c r="AA22" s="9">
        <f>SQRT((Inputs!$C$52+B22)^2+(Inputs!$C$52+Y22/1000)^2-2*(Inputs!$C$52+B22)*(Inputs!$C$52+Y22/1000)*COS(SQRT(A22^2+Inputs!$C$6^2)/Inputs!$C$52))</f>
        <v>407.35883763687184</v>
      </c>
      <c r="AB22" s="9">
        <f t="shared" si="8"/>
        <v>4610.0942787584809</v>
      </c>
      <c r="AC22" s="9">
        <f>AB22/Inputs!$C$12</f>
        <v>2589.9406060440901</v>
      </c>
      <c r="AD22" s="9">
        <f>2*AB22/Inputs!$C$21*1000000</f>
        <v>30.755238537444999</v>
      </c>
      <c r="AE22" s="9">
        <f t="shared" si="9"/>
        <v>7.906933305257061</v>
      </c>
      <c r="AF22" s="9">
        <f>DEGREES((2*PI()/Inputs!$C$13)*Inputs!$C$15*SIN(RADIANS(AE22)))</f>
        <v>49.523186014169305</v>
      </c>
      <c r="AG22" s="9">
        <f t="shared" si="10"/>
        <v>0.95549452983244165</v>
      </c>
      <c r="AH22" s="9">
        <f t="shared" si="11"/>
        <v>-0.1977179492020428</v>
      </c>
      <c r="AI22" s="9">
        <f t="shared" si="12"/>
        <v>-135.15458231839648</v>
      </c>
      <c r="AJ22" s="9">
        <f t="shared" si="13"/>
        <v>-1.6049446882799536</v>
      </c>
      <c r="AK22" s="9">
        <f t="shared" si="14"/>
        <v>244.68062132613477</v>
      </c>
      <c r="AL22" s="9">
        <f>1000*(AA23-AA21)/(A23-A21)*Inputs!$C$11</f>
        <v>-1094.0516865548489</v>
      </c>
      <c r="AM22" s="9">
        <f>-2*AL22/Inputs!$C$13</f>
        <v>437.62067462193954</v>
      </c>
      <c r="AN22" s="9">
        <f>-2*AL22/Inputs!$C$14</f>
        <v>65.708810003294232</v>
      </c>
      <c r="AO22" s="9">
        <f t="shared" si="15"/>
        <v>437.62067462193954</v>
      </c>
      <c r="AP22" s="9">
        <f t="shared" si="16"/>
        <v>65.708810003294232</v>
      </c>
      <c r="AQ22" s="9">
        <f>IF(OR(Inputs!$C$27=TRUE,Inputs!$C$27="TRUE",Inputs!$C$27=1),Inputs!$C$46/Inputs!$C$12,0)</f>
        <v>42.134831460674157</v>
      </c>
      <c r="AR22" s="9">
        <f t="shared" si="17"/>
        <v>2547.8057745834158</v>
      </c>
      <c r="AS22" s="9">
        <f t="shared" si="18"/>
        <v>2632.0754375047645</v>
      </c>
    </row>
    <row r="23" spans="1:45">
      <c r="A23" s="9">
        <f>Inputs!$C$7+21*(Inputs!$C$8-Inputs!$C$7)/240</f>
        <v>-49.5</v>
      </c>
      <c r="B23" s="9">
        <f>Inputs!$C$5+Inputs!$C$9*(A23/Inputs!$C$10)^2</f>
        <v>402.72250000000003</v>
      </c>
      <c r="C23" s="9">
        <f t="shared" si="0"/>
        <v>402.72250000000003</v>
      </c>
      <c r="D23" s="9">
        <f>SQRT((Inputs!$C$52+B23)^2+Inputs!$C$52^2-2*(Inputs!$C$52+B23)*Inputs!$C$52*COS(SQRT(A23^2+Inputs!$C$6^2)/Inputs!$C$52))</f>
        <v>407.49692105674217</v>
      </c>
      <c r="E23" s="9">
        <f t="shared" si="1"/>
        <v>4774.4210567421414</v>
      </c>
      <c r="F23" s="9">
        <f>E23/Inputs!$C$12</f>
        <v>2682.2590206416526</v>
      </c>
      <c r="G23" s="9">
        <f>2*E23/Inputs!$C$21*1000000</f>
        <v>31.851508797743943</v>
      </c>
      <c r="H23" s="9">
        <f>SQRT(A23^2+Inputs!$C$6^2)</f>
        <v>55.454936660319071</v>
      </c>
      <c r="I23" s="9">
        <f t="shared" si="2"/>
        <v>7.8403294918744804</v>
      </c>
      <c r="J23" s="9">
        <f>DEGREES((2*PI()/Inputs!$C$13)*Inputs!$C$15*SIN(RADIANS(I23)))</f>
        <v>49.108647147475075</v>
      </c>
      <c r="K23" s="9">
        <f t="shared" si="3"/>
        <v>0.95395140094755182</v>
      </c>
      <c r="L23" s="9">
        <f t="shared" si="4"/>
        <v>-0.204737498639605</v>
      </c>
      <c r="M23" s="9">
        <f>2*(Inputs!$C$9/(Inputs!$C$10^2))*A23</f>
        <v>-0.11</v>
      </c>
      <c r="N23" s="9">
        <f>M23*Inputs!$C$11</f>
        <v>-0.44</v>
      </c>
      <c r="O23" s="9">
        <f>1000*(D24-D22)/(A24-A22)*Inputs!$C$11</f>
        <v>-1047.0435173044734</v>
      </c>
      <c r="P23" s="9">
        <f>-2*O23/Inputs!$C$13</f>
        <v>418.81740692178937</v>
      </c>
      <c r="Q23" s="9">
        <f>-2*O23/Inputs!$C$14</f>
        <v>62.885496534803217</v>
      </c>
      <c r="R23" s="9">
        <f>F23-Inputs!$C$16/2</f>
        <v>2667.2590206416526</v>
      </c>
      <c r="S23" s="9">
        <f>F23+Inputs!$C$16/2</f>
        <v>2697.2590206416526</v>
      </c>
      <c r="T23" s="9">
        <f>F23-Inputs!$C$17/2</f>
        <v>2532.2590206416526</v>
      </c>
      <c r="U23" s="9">
        <f>F23+Inputs!$C$17/2</f>
        <v>2832.2590206416526</v>
      </c>
      <c r="V23" s="9">
        <f t="shared" si="5"/>
        <v>418.81740692178937</v>
      </c>
      <c r="W23" s="9">
        <f t="shared" si="6"/>
        <v>62.885496534803217</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51.904617288379008</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258.91748425640003</v>
      </c>
      <c r="Z23" s="9">
        <f t="shared" si="7"/>
        <v>402.67059538271167</v>
      </c>
      <c r="AA23" s="9">
        <f>SQRT((Inputs!$C$52+B23)^2+(Inputs!$C$52+Y23/1000)^2-2*(Inputs!$C$52+B23)*(Inputs!$C$52+Y23/1000)*COS(SQRT(A23^2+Inputs!$C$6^2)/Inputs!$C$52))</f>
        <v>407.24182695780695</v>
      </c>
      <c r="AB23" s="9">
        <f t="shared" si="8"/>
        <v>4571.2315750952821</v>
      </c>
      <c r="AC23" s="9">
        <f>AB23/Inputs!$C$12</f>
        <v>2568.1076264580238</v>
      </c>
      <c r="AD23" s="9">
        <f>2*AB23/Inputs!$C$21*1000000</f>
        <v>30.495974485757625</v>
      </c>
      <c r="AE23" s="9">
        <f t="shared" si="9"/>
        <v>7.8453106329473909</v>
      </c>
      <c r="AF23" s="9">
        <f>DEGREES((2*PI()/Inputs!$C$13)*Inputs!$C$15*SIN(RADIANS(AE23)))</f>
        <v>49.139651827960748</v>
      </c>
      <c r="AG23" s="9">
        <f t="shared" si="10"/>
        <v>0.95585091227378949</v>
      </c>
      <c r="AH23" s="9">
        <f t="shared" si="11"/>
        <v>-0.19609841014742113</v>
      </c>
      <c r="AI23" s="9">
        <f t="shared" si="12"/>
        <v>-114.15139418362878</v>
      </c>
      <c r="AJ23" s="9">
        <f t="shared" si="13"/>
        <v>-1.3555343119863181</v>
      </c>
      <c r="AK23" s="9">
        <f t="shared" si="14"/>
        <v>207.01286696802103</v>
      </c>
      <c r="AL23" s="9">
        <f>1000*(AA24-AA22)/(A24-A22)*Inputs!$C$11</f>
        <v>-1028.1460184489788</v>
      </c>
      <c r="AM23" s="9">
        <f>-2*AL23/Inputs!$C$13</f>
        <v>411.25840737959152</v>
      </c>
      <c r="AN23" s="9">
        <f>-2*AL23/Inputs!$C$14</f>
        <v>61.75051161855729</v>
      </c>
      <c r="AO23" s="9">
        <f t="shared" si="15"/>
        <v>411.25840737959152</v>
      </c>
      <c r="AP23" s="9">
        <f t="shared" si="16"/>
        <v>61.75051161855729</v>
      </c>
      <c r="AQ23" s="9">
        <f>IF(OR(Inputs!$C$27=TRUE,Inputs!$C$27="TRUE",Inputs!$C$27=1),Inputs!$C$46/Inputs!$C$12,0)</f>
        <v>42.134831460674157</v>
      </c>
      <c r="AR23" s="9">
        <f t="shared" si="17"/>
        <v>2525.9727949973494</v>
      </c>
      <c r="AS23" s="9">
        <f t="shared" si="18"/>
        <v>2610.2424579186982</v>
      </c>
    </row>
    <row r="24" spans="1:45">
      <c r="A24" s="9">
        <f>Inputs!$C$7+22*(Inputs!$C$8-Inputs!$C$7)/240</f>
        <v>-49</v>
      </c>
      <c r="B24" s="9">
        <f>Inputs!$C$5+Inputs!$C$9*(A24/Inputs!$C$10)^2</f>
        <v>402.66777777777776</v>
      </c>
      <c r="C24" s="9">
        <f t="shared" si="0"/>
        <v>402.66777777777776</v>
      </c>
      <c r="D24" s="9">
        <f>SQRT((Inputs!$C$52+B24)^2+Inputs!$C$52^2-2*(Inputs!$C$52+B24)*Inputs!$C$52*COS(SQRT(A24^2+Inputs!$C$6^2)/Inputs!$C$52))</f>
        <v>407.36668633373688</v>
      </c>
      <c r="E24" s="9">
        <f t="shared" si="1"/>
        <v>4698.9085559591222</v>
      </c>
      <c r="F24" s="9">
        <f>E24/Inputs!$C$12</f>
        <v>2639.8362673927654</v>
      </c>
      <c r="G24" s="9">
        <f>2*E24/Inputs!$C$21*1000000</f>
        <v>31.347743617747195</v>
      </c>
      <c r="H24" s="9">
        <f>SQRT(A24^2+Inputs!$C$6^2)</f>
        <v>55.009090157900268</v>
      </c>
      <c r="I24" s="9">
        <f t="shared" si="2"/>
        <v>7.7791135702335419</v>
      </c>
      <c r="J24" s="9">
        <f>DEGREES((2*PI()/Inputs!$C$13)*Inputs!$C$15*SIN(RADIANS(I24)))</f>
        <v>48.727583715832836</v>
      </c>
      <c r="K24" s="9">
        <f t="shared" si="3"/>
        <v>0.95465284335677503</v>
      </c>
      <c r="L24" s="9">
        <f t="shared" si="4"/>
        <v>-0.20154529593626289</v>
      </c>
      <c r="M24" s="9">
        <f>2*(Inputs!$C$9/(Inputs!$C$10^2))*A24</f>
        <v>-0.10888888888888888</v>
      </c>
      <c r="N24" s="9">
        <f>M24*Inputs!$C$11</f>
        <v>-0.43555555555555553</v>
      </c>
      <c r="O24" s="9">
        <f>1000*(D25-D23)/(A25-A23)*Inputs!$C$11</f>
        <v>-1036.7084757508565</v>
      </c>
      <c r="P24" s="9">
        <f>-2*O24/Inputs!$C$13</f>
        <v>414.68339030034258</v>
      </c>
      <c r="Q24" s="9">
        <f>-2*O24/Inputs!$C$14</f>
        <v>62.264773318369762</v>
      </c>
      <c r="R24" s="9">
        <f>F24-Inputs!$C$16/2</f>
        <v>2624.8362673927654</v>
      </c>
      <c r="S24" s="9">
        <f>F24+Inputs!$C$16/2</f>
        <v>2654.8362673927654</v>
      </c>
      <c r="T24" s="9">
        <f>F24-Inputs!$C$17/2</f>
        <v>2489.8362673927654</v>
      </c>
      <c r="U24" s="9">
        <f>F24+Inputs!$C$17/2</f>
        <v>2789.8362673927654</v>
      </c>
      <c r="V24" s="9">
        <f t="shared" si="5"/>
        <v>414.68339030034258</v>
      </c>
      <c r="W24" s="9">
        <f t="shared" si="6"/>
        <v>62.264773318369762</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39.643003044215533</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268.79279662092654</v>
      </c>
      <c r="Z24" s="9">
        <f t="shared" si="7"/>
        <v>402.62813477473355</v>
      </c>
      <c r="AA24" s="9">
        <f>SQRT((Inputs!$C$52+B24)^2+(Inputs!$C$52+Y24/1000)^2-2*(Inputs!$C$52+B24)*(Inputs!$C$52+Y24/1000)*COS(SQRT(A24^2+Inputs!$C$6^2)/Inputs!$C$52))</f>
        <v>407.1018011322596</v>
      </c>
      <c r="AB24" s="9">
        <f t="shared" si="8"/>
        <v>4473.6663575260427</v>
      </c>
      <c r="AC24" s="9">
        <f>AB24/Inputs!$C$12</f>
        <v>2513.295706475305</v>
      </c>
      <c r="AD24" s="9">
        <f>2*AB24/Inputs!$C$21*1000000</f>
        <v>29.845089415331739</v>
      </c>
      <c r="AE24" s="9">
        <f t="shared" si="9"/>
        <v>7.7842461443904618</v>
      </c>
      <c r="AF24" s="9">
        <f>DEGREES((2*PI()/Inputs!$C$13)*Inputs!$C$15*SIN(RADIANS(AE24)))</f>
        <v>48.759535656047184</v>
      </c>
      <c r="AG24" s="9">
        <f t="shared" si="10"/>
        <v>0.95676302082042641</v>
      </c>
      <c r="AH24" s="9">
        <f t="shared" si="11"/>
        <v>-0.19195618644114643</v>
      </c>
      <c r="AI24" s="9">
        <f t="shared" si="12"/>
        <v>-126.54056091746043</v>
      </c>
      <c r="AJ24" s="9">
        <f t="shared" si="13"/>
        <v>-1.5026542024154566</v>
      </c>
      <c r="AK24" s="9">
        <f t="shared" si="14"/>
        <v>229.14979357671101</v>
      </c>
      <c r="AL24" s="9">
        <f>1000*(AA25-AA23)/(A25-A23)*Inputs!$C$11</f>
        <v>-1063.0657247809268</v>
      </c>
      <c r="AM24" s="9">
        <f>-2*AL24/Inputs!$C$13</f>
        <v>425.2262899123707</v>
      </c>
      <c r="AN24" s="9">
        <f>-2*AL24/Inputs!$C$14</f>
        <v>63.847791278133748</v>
      </c>
      <c r="AO24" s="9">
        <f t="shared" si="15"/>
        <v>425.2262899123707</v>
      </c>
      <c r="AP24" s="9">
        <f t="shared" si="16"/>
        <v>63.847791278133748</v>
      </c>
      <c r="AQ24" s="9">
        <f>IF(OR(Inputs!$C$27=TRUE,Inputs!$C$27="TRUE",Inputs!$C$27=1),Inputs!$C$46/Inputs!$C$12,0)</f>
        <v>42.134831460674157</v>
      </c>
      <c r="AR24" s="9">
        <f t="shared" si="17"/>
        <v>2471.1608750146306</v>
      </c>
      <c r="AS24" s="9">
        <f t="shared" si="18"/>
        <v>2555.4305379359794</v>
      </c>
    </row>
    <row r="25" spans="1:45">
      <c r="A25" s="9">
        <f>Inputs!$C$7+23*(Inputs!$C$8-Inputs!$C$7)/240</f>
        <v>-48.5</v>
      </c>
      <c r="B25" s="9">
        <f>Inputs!$C$5+Inputs!$C$9*(A25/Inputs!$C$10)^2</f>
        <v>402.61361111111108</v>
      </c>
      <c r="C25" s="9">
        <f t="shared" si="0"/>
        <v>402.61361111111108</v>
      </c>
      <c r="D25" s="9">
        <f>SQRT((Inputs!$C$52+B25)^2+Inputs!$C$52^2-2*(Inputs!$C$52+B25)*Inputs!$C$52*COS(SQRT(A25^2+Inputs!$C$6^2)/Inputs!$C$52))</f>
        <v>407.23774393780445</v>
      </c>
      <c r="E25" s="9">
        <f t="shared" si="1"/>
        <v>4624.1328266933688</v>
      </c>
      <c r="F25" s="9">
        <f>E25/Inputs!$C$12</f>
        <v>2597.8274307266115</v>
      </c>
      <c r="G25" s="9">
        <f>2*E25/Inputs!$C$21*1000000</f>
        <v>30.848893648240939</v>
      </c>
      <c r="H25" s="9">
        <f>SQRT(A25^2+Inputs!$C$6^2)</f>
        <v>54.564182391015443</v>
      </c>
      <c r="I25" s="9">
        <f t="shared" si="2"/>
        <v>7.7179837858747007</v>
      </c>
      <c r="J25" s="9">
        <f>DEGREES((2*PI()/Inputs!$C$13)*Inputs!$C$15*SIN(RADIANS(I25)))</f>
        <v>48.347000974416595</v>
      </c>
      <c r="K25" s="9">
        <f t="shared" si="3"/>
        <v>0.95534826773776638</v>
      </c>
      <c r="L25" s="9">
        <f t="shared" si="4"/>
        <v>-0.19838279531951419</v>
      </c>
      <c r="M25" s="9">
        <f>2*(Inputs!$C$9/(Inputs!$C$10^2))*A25</f>
        <v>-0.10777777777777778</v>
      </c>
      <c r="N25" s="9">
        <f>M25*Inputs!$C$11</f>
        <v>-0.43111111111111111</v>
      </c>
      <c r="O25" s="9">
        <f>1000*(D26-D24)/(A26-A24)*Inputs!$C$11</f>
        <v>-1026.3663147777606</v>
      </c>
      <c r="P25" s="9">
        <f>-2*O25/Inputs!$C$13</f>
        <v>410.54652591110425</v>
      </c>
      <c r="Q25" s="9">
        <f>-2*O25/Inputs!$C$14</f>
        <v>61.643622509174818</v>
      </c>
      <c r="R25" s="9">
        <f>F25-Inputs!$C$16/2</f>
        <v>2582.8274307266115</v>
      </c>
      <c r="S25" s="9">
        <f>F25+Inputs!$C$16/2</f>
        <v>2612.8274307266115</v>
      </c>
      <c r="T25" s="9">
        <f>F25-Inputs!$C$17/2</f>
        <v>2447.8274307266115</v>
      </c>
      <c r="U25" s="9">
        <f>F25+Inputs!$C$17/2</f>
        <v>2747.8274307266115</v>
      </c>
      <c r="V25" s="9">
        <f t="shared" si="5"/>
        <v>410.54652591110425</v>
      </c>
      <c r="W25" s="9">
        <f t="shared" si="6"/>
        <v>61.643622509174818</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40.329360187280464</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265.4824606971452</v>
      </c>
      <c r="Z25" s="9">
        <f t="shared" si="7"/>
        <v>402.5732817509238</v>
      </c>
      <c r="AA25" s="9">
        <f>SQRT((Inputs!$C$52+B25)^2+(Inputs!$C$52+Y25/1000)^2-2*(Inputs!$C$52+B25)*(Inputs!$C$52+Y25/1000)*COS(SQRT(A25^2+Inputs!$C$6^2)/Inputs!$C$52))</f>
        <v>406.97606052661172</v>
      </c>
      <c r="AB25" s="9">
        <f t="shared" si="8"/>
        <v>4402.7787756879206</v>
      </c>
      <c r="AC25" s="9">
        <f>AB25/Inputs!$C$12</f>
        <v>2473.4712222965845</v>
      </c>
      <c r="AD25" s="9">
        <f>2*AB25/Inputs!$C$21*1000000</f>
        <v>29.372178373399375</v>
      </c>
      <c r="AE25" s="9">
        <f t="shared" si="9"/>
        <v>7.7230149234119212</v>
      </c>
      <c r="AF25" s="9">
        <f>DEGREES((2*PI()/Inputs!$C$13)*Inputs!$C$15*SIN(RADIANS(AE25)))</f>
        <v>48.378325991258073</v>
      </c>
      <c r="AG25" s="9">
        <f t="shared" si="10"/>
        <v>0.9574240612450643</v>
      </c>
      <c r="AH25" s="9">
        <f t="shared" si="11"/>
        <v>-0.18895662362059001</v>
      </c>
      <c r="AI25" s="9">
        <f t="shared" si="12"/>
        <v>-124.35620843002698</v>
      </c>
      <c r="AJ25" s="9">
        <f t="shared" si="13"/>
        <v>-1.4767152748415633</v>
      </c>
      <c r="AK25" s="9">
        <f t="shared" si="14"/>
        <v>225.15310050986474</v>
      </c>
      <c r="AL25" s="9">
        <f>1000*(AA26-AA24)/(A26-A24)*Inputs!$C$11</f>
        <v>-967.08447640207851</v>
      </c>
      <c r="AM25" s="9">
        <f>-2*AL25/Inputs!$C$13</f>
        <v>386.8337905608314</v>
      </c>
      <c r="AN25" s="9">
        <f>-2*AL25/Inputs!$C$14</f>
        <v>58.083151735860575</v>
      </c>
      <c r="AO25" s="9">
        <f t="shared" si="15"/>
        <v>386.8337905608314</v>
      </c>
      <c r="AP25" s="9">
        <f t="shared" si="16"/>
        <v>58.083151735860575</v>
      </c>
      <c r="AQ25" s="9">
        <f>IF(OR(Inputs!$C$27=TRUE,Inputs!$C$27="TRUE",Inputs!$C$27=1),Inputs!$C$46/Inputs!$C$12,0)</f>
        <v>42.134831460674157</v>
      </c>
      <c r="AR25" s="9">
        <f t="shared" si="17"/>
        <v>2431.3363908359102</v>
      </c>
      <c r="AS25" s="9">
        <f t="shared" si="18"/>
        <v>2515.6060537572589</v>
      </c>
    </row>
    <row r="26" spans="1:45">
      <c r="A26" s="9">
        <f>Inputs!$C$7+24*(Inputs!$C$8-Inputs!$C$7)/240</f>
        <v>-48</v>
      </c>
      <c r="B26" s="9">
        <f>Inputs!$C$5+Inputs!$C$9*(A26/Inputs!$C$10)^2</f>
        <v>402.56</v>
      </c>
      <c r="C26" s="9">
        <f t="shared" si="0"/>
        <v>402.56</v>
      </c>
      <c r="D26" s="9">
        <f>SQRT((Inputs!$C$52+B26)^2+Inputs!$C$52^2-2*(Inputs!$C$52+B26)*Inputs!$C$52*COS(SQRT(A26^2+Inputs!$C$6^2)/Inputs!$C$52))</f>
        <v>407.11009475504244</v>
      </c>
      <c r="E26" s="9">
        <f t="shared" si="1"/>
        <v>4550.0947550424371</v>
      </c>
      <c r="F26" s="9">
        <f>E26/Inputs!$C$12</f>
        <v>2556.2330084508071</v>
      </c>
      <c r="G26" s="9">
        <f>2*E26/Inputs!$C$21*1000000</f>
        <v>30.354964800631755</v>
      </c>
      <c r="H26" s="9">
        <f>SQRT(A26^2+Inputs!$C$6^2)</f>
        <v>54.120236510939236</v>
      </c>
      <c r="I26" s="9">
        <f t="shared" si="2"/>
        <v>7.6569438926073863</v>
      </c>
      <c r="J26" s="9">
        <f>DEGREES((2*PI()/Inputs!$C$13)*Inputs!$C$15*SIN(RADIANS(I26)))</f>
        <v>47.966922965586392</v>
      </c>
      <c r="K26" s="9">
        <f t="shared" si="3"/>
        <v>0.9560376426974182</v>
      </c>
      <c r="L26" s="9">
        <f t="shared" si="4"/>
        <v>-0.19525007625649005</v>
      </c>
      <c r="M26" s="9">
        <f>2*(Inputs!$C$9/(Inputs!$C$10^2))*A26</f>
        <v>-0.10666666666666666</v>
      </c>
      <c r="N26" s="9">
        <f>M26*Inputs!$C$11</f>
        <v>-0.42666666666666664</v>
      </c>
      <c r="O26" s="9">
        <f>1000*(D27-D25)/(A27-A25)*Inputs!$C$11</f>
        <v>-1016.0170958615709</v>
      </c>
      <c r="P26" s="9">
        <f>-2*O26/Inputs!$C$13</f>
        <v>406.40683834462834</v>
      </c>
      <c r="Q26" s="9">
        <f>-2*O26/Inputs!$C$14</f>
        <v>61.022047799493748</v>
      </c>
      <c r="R26" s="9">
        <f>F26-Inputs!$C$16/2</f>
        <v>2541.2330084508071</v>
      </c>
      <c r="S26" s="9">
        <f>F26+Inputs!$C$16/2</f>
        <v>2571.2330084508071</v>
      </c>
      <c r="T26" s="9">
        <f>F26-Inputs!$C$17/2</f>
        <v>2406.2330084508071</v>
      </c>
      <c r="U26" s="9">
        <f>F26+Inputs!$C$17/2</f>
        <v>2706.2330084508071</v>
      </c>
      <c r="V26" s="9">
        <f t="shared" si="5"/>
        <v>406.40683834462834</v>
      </c>
      <c r="W26" s="9">
        <f t="shared" si="6"/>
        <v>61.022047799493748</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55.677054005633387</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253.63702275276361</v>
      </c>
      <c r="Z26" s="9">
        <f t="shared" si="7"/>
        <v>402.50432294599437</v>
      </c>
      <c r="AA26" s="9">
        <f>SQRT((Inputs!$C$52+B26)^2+(Inputs!$C$52+Y26/1000)^2-2*(Inputs!$C$52+B26)*(Inputs!$C$52+Y26/1000)*COS(SQRT(A26^2+Inputs!$C$6^2)/Inputs!$C$52))</f>
        <v>406.86003001315908</v>
      </c>
      <c r="AB26" s="9">
        <f t="shared" si="8"/>
        <v>4355.7070671647016</v>
      </c>
      <c r="AC26" s="9">
        <f>AB26/Inputs!$C$12</f>
        <v>2447.0264422273603</v>
      </c>
      <c r="AD26" s="9">
        <f>2*AB26/Inputs!$C$21*1000000</f>
        <v>29.058149736139804</v>
      </c>
      <c r="AE26" s="9">
        <f t="shared" si="9"/>
        <v>7.661713945198251</v>
      </c>
      <c r="AF26" s="9">
        <f>DEGREES((2*PI()/Inputs!$C$13)*Inputs!$C$15*SIN(RADIANS(AE26)))</f>
        <v>47.996626689338996</v>
      </c>
      <c r="AG26" s="9">
        <f t="shared" si="10"/>
        <v>0.95786011385978698</v>
      </c>
      <c r="AH26" s="9">
        <f t="shared" si="11"/>
        <v>-0.18697910769760506</v>
      </c>
      <c r="AI26" s="9">
        <f t="shared" si="12"/>
        <v>-109.20656622344677</v>
      </c>
      <c r="AJ26" s="9">
        <f t="shared" si="13"/>
        <v>-1.2968150644919518</v>
      </c>
      <c r="AK26" s="9">
        <f t="shared" si="14"/>
        <v>197.95996874713023</v>
      </c>
      <c r="AL26" s="9">
        <f>1000*(AA27-AA25)/(A27-A25)*Inputs!$C$11</f>
        <v>-1005.7343116893662</v>
      </c>
      <c r="AM26" s="9">
        <f>-2*AL26/Inputs!$C$13</f>
        <v>402.29372467574649</v>
      </c>
      <c r="AN26" s="9">
        <f>-2*AL26/Inputs!$C$14</f>
        <v>60.404463164526504</v>
      </c>
      <c r="AO26" s="9">
        <f t="shared" si="15"/>
        <v>402.29372467574649</v>
      </c>
      <c r="AP26" s="9">
        <f t="shared" si="16"/>
        <v>60.404463164526504</v>
      </c>
      <c r="AQ26" s="9">
        <f>IF(OR(Inputs!$C$27=TRUE,Inputs!$C$27="TRUE",Inputs!$C$27=1),Inputs!$C$46/Inputs!$C$12,0)</f>
        <v>42.134831460674157</v>
      </c>
      <c r="AR26" s="9">
        <f t="shared" si="17"/>
        <v>2404.891610766686</v>
      </c>
      <c r="AS26" s="9">
        <f t="shared" si="18"/>
        <v>2489.1612736880347</v>
      </c>
    </row>
    <row r="27" spans="1:45">
      <c r="A27" s="9">
        <f>Inputs!$C$7+25*(Inputs!$C$8-Inputs!$C$7)/240</f>
        <v>-47.5</v>
      </c>
      <c r="B27" s="9">
        <f>Inputs!$C$5+Inputs!$C$9*(A27/Inputs!$C$10)^2</f>
        <v>402.50694444444446</v>
      </c>
      <c r="C27" s="9">
        <f t="shared" si="0"/>
        <v>402.50694444444446</v>
      </c>
      <c r="D27" s="9">
        <f>SQRT((Inputs!$C$52+B27)^2+Inputs!$C$52^2-2*(Inputs!$C$52+B27)*Inputs!$C$52*COS(SQRT(A27^2+Inputs!$C$6^2)/Inputs!$C$52))</f>
        <v>406.98373966383906</v>
      </c>
      <c r="E27" s="9">
        <f t="shared" si="1"/>
        <v>4476.795219394603</v>
      </c>
      <c r="F27" s="9">
        <f>E27/Inputs!$C$12</f>
        <v>2515.0534940419116</v>
      </c>
      <c r="G27" s="9">
        <f>2*E27/Inputs!$C$21*1000000</f>
        <v>29.865962934895467</v>
      </c>
      <c r="H27" s="9">
        <f>SQRT(A27^2+Inputs!$C$6^2)</f>
        <v>53.677276383959722</v>
      </c>
      <c r="I27" s="9">
        <f t="shared" si="2"/>
        <v>7.595997748011027</v>
      </c>
      <c r="J27" s="9">
        <f>DEGREES((2*PI()/Inputs!$C$13)*Inputs!$C$15*SIN(RADIANS(I27)))</f>
        <v>47.587374387383477</v>
      </c>
      <c r="K27" s="9">
        <f t="shared" si="3"/>
        <v>0.95672093704912897</v>
      </c>
      <c r="L27" s="9">
        <f t="shared" si="4"/>
        <v>-0.19214721756612593</v>
      </c>
      <c r="M27" s="9">
        <f>2*(Inputs!$C$9/(Inputs!$C$10^2))*A27</f>
        <v>-0.10555555555555556</v>
      </c>
      <c r="N27" s="9">
        <f>M27*Inputs!$C$11</f>
        <v>-0.42222222222222222</v>
      </c>
      <c r="O27" s="9">
        <f>1000*(D28-D26)/(A28-A26)*Inputs!$C$11</f>
        <v>-1005.6608808090459</v>
      </c>
      <c r="P27" s="9">
        <f>-2*O27/Inputs!$C$13</f>
        <v>402.26435232361837</v>
      </c>
      <c r="Q27" s="9">
        <f>-2*O27/Inputs!$C$14</f>
        <v>60.400052901444205</v>
      </c>
      <c r="R27" s="9">
        <f>F27-Inputs!$C$16/2</f>
        <v>2500.0534940419116</v>
      </c>
      <c r="S27" s="9">
        <f>F27+Inputs!$C$16/2</f>
        <v>2530.0534940419116</v>
      </c>
      <c r="T27" s="9">
        <f>F27-Inputs!$C$17/2</f>
        <v>2365.0534940419116</v>
      </c>
      <c r="U27" s="9">
        <f>F27+Inputs!$C$17/2</f>
        <v>2665.0534940419116</v>
      </c>
      <c r="V27" s="9">
        <f t="shared" si="5"/>
        <v>402.26435232361837</v>
      </c>
      <c r="W27" s="9">
        <f t="shared" si="6"/>
        <v>60.400052901444205</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53.974959185609514</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262.75484348528926</v>
      </c>
      <c r="Z27" s="9">
        <f t="shared" si="7"/>
        <v>402.45296948525885</v>
      </c>
      <c r="AA27" s="9">
        <f>SQRT((Inputs!$C$52+B27)^2+(Inputs!$C$52+Y27/1000)^2-2*(Inputs!$C$52+B27)*(Inputs!$C$52+Y27/1000)*COS(SQRT(A27^2+Inputs!$C$6^2)/Inputs!$C$52))</f>
        <v>406.72462694868938</v>
      </c>
      <c r="AB27" s="9">
        <f t="shared" si="8"/>
        <v>4271.6574634305289</v>
      </c>
      <c r="AC27" s="9">
        <f>AB27/Inputs!$C$12</f>
        <v>2399.8075637250163</v>
      </c>
      <c r="AD27" s="9">
        <f>2*AB27/Inputs!$C$21*1000000</f>
        <v>28.497431135712752</v>
      </c>
      <c r="AE27" s="9">
        <f t="shared" si="9"/>
        <v>7.6009016300725607</v>
      </c>
      <c r="AF27" s="9">
        <f>DEGREES((2*PI()/Inputs!$C$13)*Inputs!$C$15*SIN(RADIANS(AE27)))</f>
        <v>47.617915830572606</v>
      </c>
      <c r="AG27" s="9">
        <f t="shared" si="10"/>
        <v>0.95864688784207353</v>
      </c>
      <c r="AH27" s="9">
        <f t="shared" si="11"/>
        <v>-0.18341333290102094</v>
      </c>
      <c r="AI27" s="9">
        <f t="shared" si="12"/>
        <v>-115.24593031689528</v>
      </c>
      <c r="AJ27" s="9">
        <f t="shared" si="13"/>
        <v>-1.3685317991827155</v>
      </c>
      <c r="AK27" s="9">
        <f t="shared" si="14"/>
        <v>208.77988429967974</v>
      </c>
      <c r="AL27" s="9">
        <f>1000*(AA28-AA26)/(A28-A26)*Inputs!$C$11</f>
        <v>-1007.2076257256413</v>
      </c>
      <c r="AM27" s="9">
        <f>-2*AL27/Inputs!$C$13</f>
        <v>402.88305029025651</v>
      </c>
      <c r="AN27" s="9">
        <f>-2*AL27/Inputs!$C$14</f>
        <v>60.492950494032513</v>
      </c>
      <c r="AO27" s="9">
        <f t="shared" si="15"/>
        <v>402.88305029025651</v>
      </c>
      <c r="AP27" s="9">
        <f t="shared" si="16"/>
        <v>60.492950494032513</v>
      </c>
      <c r="AQ27" s="9">
        <f>IF(OR(Inputs!$C$27=TRUE,Inputs!$C$27="TRUE",Inputs!$C$27=1),Inputs!$C$46/Inputs!$C$12,0)</f>
        <v>42.134831460674157</v>
      </c>
      <c r="AR27" s="9">
        <f t="shared" si="17"/>
        <v>2357.6727322643419</v>
      </c>
      <c r="AS27" s="9">
        <f t="shared" si="18"/>
        <v>2441.9423951856907</v>
      </c>
    </row>
    <row r="28" spans="1:45">
      <c r="A28" s="9">
        <f>Inputs!$C$7+26*(Inputs!$C$8-Inputs!$C$7)/240</f>
        <v>-47</v>
      </c>
      <c r="B28" s="9">
        <f>Inputs!$C$5+Inputs!$C$9*(A28/Inputs!$C$10)^2</f>
        <v>402.45444444444445</v>
      </c>
      <c r="C28" s="9">
        <f t="shared" si="0"/>
        <v>402.45444444444445</v>
      </c>
      <c r="D28" s="9">
        <f>SQRT((Inputs!$C$52+B28)^2+Inputs!$C$52^2-2*(Inputs!$C$52+B28)*Inputs!$C$52*COS(SQRT(A28^2+Inputs!$C$6^2)/Inputs!$C$52))</f>
        <v>406.85867953484018</v>
      </c>
      <c r="E28" s="9">
        <f t="shared" si="1"/>
        <v>4404.2350903957304</v>
      </c>
      <c r="F28" s="9">
        <f>E28/Inputs!$C$12</f>
        <v>2474.2893766268148</v>
      </c>
      <c r="G28" s="9">
        <f>2*E28/Inputs!$C$21*1000000</f>
        <v>29.381893859356065</v>
      </c>
      <c r="H28" s="9">
        <f>SQRT(A28^2+Inputs!$C$6^2)</f>
        <v>53.235326616824658</v>
      </c>
      <c r="I28" s="9">
        <f t="shared" si="2"/>
        <v>7.5351493170616237</v>
      </c>
      <c r="J28" s="9">
        <f>DEGREES((2*PI()/Inputs!$C$13)*Inputs!$C$15*SIN(RADIANS(I28)))</f>
        <v>47.208380616273161</v>
      </c>
      <c r="K28" s="9">
        <f t="shared" si="3"/>
        <v>0.95739811981586398</v>
      </c>
      <c r="L28" s="9">
        <f t="shared" si="4"/>
        <v>-0.18907429741470522</v>
      </c>
      <c r="M28" s="9">
        <f>2*(Inputs!$C$9/(Inputs!$C$10^2))*A28</f>
        <v>-0.10444444444444445</v>
      </c>
      <c r="N28" s="9">
        <f>M28*Inputs!$C$11</f>
        <v>-0.4177777777777778</v>
      </c>
      <c r="O28" s="9">
        <f>1000*(D29-D27)/(A29-A27)*Inputs!$C$11</f>
        <v>-995.29773172275782</v>
      </c>
      <c r="P28" s="9">
        <f>-2*O28/Inputs!$C$13</f>
        <v>398.11909268910313</v>
      </c>
      <c r="Q28" s="9">
        <f>-2*O28/Inputs!$C$14</f>
        <v>59.777641544910388</v>
      </c>
      <c r="R28" s="9">
        <f>F28-Inputs!$C$16/2</f>
        <v>2459.2893766268148</v>
      </c>
      <c r="S28" s="9">
        <f>F28+Inputs!$C$16/2</f>
        <v>2489.2893766268148</v>
      </c>
      <c r="T28" s="9">
        <f>F28-Inputs!$C$17/2</f>
        <v>2324.2893766268148</v>
      </c>
      <c r="U28" s="9">
        <f>F28+Inputs!$C$17/2</f>
        <v>2624.2893766268148</v>
      </c>
      <c r="V28" s="9">
        <f t="shared" si="5"/>
        <v>398.11909268910313</v>
      </c>
      <c r="W28" s="9">
        <f t="shared" si="6"/>
        <v>59.777641544910388</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61.213442747759345</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253.91481019754531</v>
      </c>
      <c r="Z28" s="9">
        <f t="shared" si="7"/>
        <v>402.39323100169668</v>
      </c>
      <c r="AA28" s="9">
        <f>SQRT((Inputs!$C$52+B28)^2+(Inputs!$C$52+Y28/1000)^2-2*(Inputs!$C$52+B28)*(Inputs!$C$52+Y28/1000)*COS(SQRT(A28^2+Inputs!$C$6^2)/Inputs!$C$52))</f>
        <v>406.60822810672767</v>
      </c>
      <c r="AB28" s="9">
        <f t="shared" si="8"/>
        <v>4214.9971050309887</v>
      </c>
      <c r="AC28" s="9">
        <f>AB28/Inputs!$C$12</f>
        <v>2367.9759017028027</v>
      </c>
      <c r="AD28" s="9">
        <f>2*AB28/Inputs!$C$21*1000000</f>
        <v>28.119433912049839</v>
      </c>
      <c r="AE28" s="9">
        <f t="shared" si="9"/>
        <v>7.5398516494136363</v>
      </c>
      <c r="AF28" s="9">
        <f>DEGREES((2*PI()/Inputs!$C$13)*Inputs!$C$15*SIN(RADIANS(AE28)))</f>
        <v>47.23767094452073</v>
      </c>
      <c r="AG28" s="9">
        <f t="shared" si="10"/>
        <v>0.95917536245344281</v>
      </c>
      <c r="AH28" s="9">
        <f t="shared" si="11"/>
        <v>-0.18101985130159204</v>
      </c>
      <c r="AI28" s="9">
        <f t="shared" si="12"/>
        <v>-106.3134749240121</v>
      </c>
      <c r="AJ28" s="9">
        <f t="shared" si="13"/>
        <v>-1.2624599473062261</v>
      </c>
      <c r="AK28" s="9">
        <f t="shared" si="14"/>
        <v>192.70136744978595</v>
      </c>
      <c r="AL28" s="9">
        <f>1000*(AA29-AA27)/(A29-A27)*Inputs!$C$11</f>
        <v>-960.21761244151094</v>
      </c>
      <c r="AM28" s="9">
        <f>-2*AL28/Inputs!$C$13</f>
        <v>384.08704497660437</v>
      </c>
      <c r="AN28" s="9">
        <f>-2*AL28/Inputs!$C$14</f>
        <v>57.670727473964625</v>
      </c>
      <c r="AO28" s="9">
        <f t="shared" si="15"/>
        <v>384.08704497660437</v>
      </c>
      <c r="AP28" s="9">
        <f t="shared" si="16"/>
        <v>57.670727473964625</v>
      </c>
      <c r="AQ28" s="9">
        <f>IF(OR(Inputs!$C$27=TRUE,Inputs!$C$27="TRUE",Inputs!$C$27=1),Inputs!$C$46/Inputs!$C$12,0)</f>
        <v>42.134831460674157</v>
      </c>
      <c r="AR28" s="9">
        <f t="shared" si="17"/>
        <v>2325.8410702421284</v>
      </c>
      <c r="AS28" s="9">
        <f t="shared" si="18"/>
        <v>2410.1107331634771</v>
      </c>
    </row>
    <row r="29" spans="1:45">
      <c r="A29" s="9">
        <f>Inputs!$C$7+27*(Inputs!$C$8-Inputs!$C$7)/240</f>
        <v>-46.5</v>
      </c>
      <c r="B29" s="9">
        <f>Inputs!$C$5+Inputs!$C$9*(A29/Inputs!$C$10)^2</f>
        <v>402.40249999999997</v>
      </c>
      <c r="C29" s="9">
        <f t="shared" si="0"/>
        <v>402.40249999999997</v>
      </c>
      <c r="D29" s="9">
        <f>SQRT((Inputs!$C$52+B29)^2+Inputs!$C$52^2-2*(Inputs!$C$52+B29)*Inputs!$C$52*COS(SQRT(A29^2+Inputs!$C$6^2)/Inputs!$C$52))</f>
        <v>406.73491523090837</v>
      </c>
      <c r="E29" s="9">
        <f t="shared" si="1"/>
        <v>4332.4152309083956</v>
      </c>
      <c r="F29" s="9">
        <f>E29/Inputs!$C$12</f>
        <v>2433.9411409597728</v>
      </c>
      <c r="G29" s="9">
        <f>2*E29/Inputs!$C$21*1000000</f>
        <v>28.902763330413041</v>
      </c>
      <c r="H29" s="9">
        <f>SQRT(A29^2+Inputs!$C$6^2)</f>
        <v>52.794412583151257</v>
      </c>
      <c r="I29" s="9">
        <f t="shared" si="2"/>
        <v>7.4744026758958535</v>
      </c>
      <c r="J29" s="9">
        <f>DEGREES((2*PI()/Inputs!$C$13)*Inputs!$C$15*SIN(RADIANS(I29)))</f>
        <v>46.829967730750575</v>
      </c>
      <c r="K29" s="9">
        <f t="shared" si="3"/>
        <v>0.95806916023328526</v>
      </c>
      <c r="L29" s="9">
        <f t="shared" si="4"/>
        <v>-0.18603139331106608</v>
      </c>
      <c r="M29" s="9">
        <f>2*(Inputs!$C$9/(Inputs!$C$10^2))*A29</f>
        <v>-0.10333333333333333</v>
      </c>
      <c r="N29" s="9">
        <f>M29*Inputs!$C$11</f>
        <v>-0.41333333333333333</v>
      </c>
      <c r="O29" s="9">
        <f>1000*(D30-D28)/(A30-A28)*Inputs!$C$11</f>
        <v>-984.92771102746701</v>
      </c>
      <c r="P29" s="9">
        <f>-2*O29/Inputs!$C$13</f>
        <v>393.9710844109868</v>
      </c>
      <c r="Q29" s="9">
        <f>-2*O29/Inputs!$C$14</f>
        <v>59.154817479127153</v>
      </c>
      <c r="R29" s="9">
        <f>F29-Inputs!$C$16/2</f>
        <v>2418.9411409597728</v>
      </c>
      <c r="S29" s="9">
        <f>F29+Inputs!$C$16/2</f>
        <v>2448.9411409597728</v>
      </c>
      <c r="T29" s="9">
        <f>F29-Inputs!$C$17/2</f>
        <v>2283.9411409597728</v>
      </c>
      <c r="U29" s="9">
        <f>F29+Inputs!$C$17/2</f>
        <v>2583.9411409597728</v>
      </c>
      <c r="V29" s="9">
        <f t="shared" si="5"/>
        <v>393.9710844109868</v>
      </c>
      <c r="W29" s="9">
        <f t="shared" si="6"/>
        <v>59.154817479127153</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57.529820703344001</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253.748238320312</v>
      </c>
      <c r="Z29" s="9">
        <f t="shared" si="7"/>
        <v>402.34497017929664</v>
      </c>
      <c r="AA29" s="9">
        <f>SQRT((Inputs!$C$52+B29)^2+(Inputs!$C$52+Y29/1000)^2-2*(Inputs!$C$52+B29)*(Inputs!$C$52+Y29/1000)*COS(SQRT(A29^2+Inputs!$C$6^2)/Inputs!$C$52))</f>
        <v>406.484572545579</v>
      </c>
      <c r="AB29" s="9">
        <f t="shared" si="8"/>
        <v>4139.6023662823609</v>
      </c>
      <c r="AC29" s="9">
        <f>AB29/Inputs!$C$12</f>
        <v>2325.6193069002029</v>
      </c>
      <c r="AD29" s="9">
        <f>2*AB29/Inputs!$C$21*1000000</f>
        <v>27.616454355782096</v>
      </c>
      <c r="AE29" s="9">
        <f t="shared" si="9"/>
        <v>7.4790655074720531</v>
      </c>
      <c r="AF29" s="9">
        <f>DEGREES((2*PI()/Inputs!$C$13)*Inputs!$C$15*SIN(RADIANS(AE29)))</f>
        <v>46.859016072413283</v>
      </c>
      <c r="AG29" s="9">
        <f t="shared" si="10"/>
        <v>0.95988241751582659</v>
      </c>
      <c r="AH29" s="9">
        <f t="shared" si="11"/>
        <v>-0.17781963368339637</v>
      </c>
      <c r="AI29" s="9">
        <f t="shared" si="12"/>
        <v>-108.32183405956994</v>
      </c>
      <c r="AJ29" s="9">
        <f t="shared" si="13"/>
        <v>-1.2863089746309448</v>
      </c>
      <c r="AK29" s="9">
        <f t="shared" si="14"/>
        <v>196.218417616968</v>
      </c>
      <c r="AL29" s="9">
        <f>1000*(AA30-AA28)/(A30-A28)*Inputs!$C$11</f>
        <v>-920.20232497020515</v>
      </c>
      <c r="AM29" s="9">
        <f>-2*AL29/Inputs!$C$13</f>
        <v>368.08092998808206</v>
      </c>
      <c r="AN29" s="9">
        <f>-2*AL29/Inputs!$C$14</f>
        <v>55.267406905117433</v>
      </c>
      <c r="AO29" s="9">
        <f t="shared" si="15"/>
        <v>368.08092998808206</v>
      </c>
      <c r="AP29" s="9">
        <f t="shared" si="16"/>
        <v>55.267406905117433</v>
      </c>
      <c r="AQ29" s="9">
        <f>IF(OR(Inputs!$C$27=TRUE,Inputs!$C$27="TRUE",Inputs!$C$27=1),Inputs!$C$46/Inputs!$C$12,0)</f>
        <v>42.134831460674157</v>
      </c>
      <c r="AR29" s="9">
        <f t="shared" si="17"/>
        <v>2283.4844754395285</v>
      </c>
      <c r="AS29" s="9">
        <f t="shared" si="18"/>
        <v>2367.7541383608773</v>
      </c>
    </row>
    <row r="30" spans="1:45">
      <c r="A30" s="9">
        <f>Inputs!$C$7+28*(Inputs!$C$8-Inputs!$C$7)/240</f>
        <v>-46</v>
      </c>
      <c r="B30" s="9">
        <f>Inputs!$C$5+Inputs!$C$9*(A30/Inputs!$C$10)^2</f>
        <v>402.35111111111109</v>
      </c>
      <c r="C30" s="9">
        <f t="shared" si="0"/>
        <v>402.35111111111109</v>
      </c>
      <c r="D30" s="9">
        <f>SQRT((Inputs!$C$52+B30)^2+Inputs!$C$52^2-2*(Inputs!$C$52+B30)*Inputs!$C$52*COS(SQRT(A30^2+Inputs!$C$6^2)/Inputs!$C$52))</f>
        <v>406.61244760708331</v>
      </c>
      <c r="E30" s="9">
        <f t="shared" si="1"/>
        <v>4261.3364959722167</v>
      </c>
      <c r="F30" s="9">
        <f>E30/Inputs!$C$12</f>
        <v>2394.0092674001216</v>
      </c>
      <c r="G30" s="9">
        <f>2*E30/Inputs!$C$21*1000000</f>
        <v>28.428577052276722</v>
      </c>
      <c r="H30" s="9">
        <f>SQRT(A30^2+Inputs!$C$6^2)</f>
        <v>52.354560450833695</v>
      </c>
      <c r="I30" s="9">
        <f t="shared" si="2"/>
        <v>7.4137620157175332</v>
      </c>
      <c r="J30" s="9">
        <f>DEGREES((2*PI()/Inputs!$C$13)*Inputs!$C$15*SIN(RADIANS(I30)))</f>
        <v>46.452162535839577</v>
      </c>
      <c r="K30" s="9">
        <f t="shared" si="3"/>
        <v>0.95873402775285366</v>
      </c>
      <c r="L30" s="9">
        <f t="shared" si="4"/>
        <v>-0.18301858210191152</v>
      </c>
      <c r="M30" s="9">
        <f>2*(Inputs!$C$9/(Inputs!$C$10^2))*A30</f>
        <v>-0.10222222222222223</v>
      </c>
      <c r="N30" s="9">
        <f>M30*Inputs!$C$11</f>
        <v>-0.40888888888888891</v>
      </c>
      <c r="O30" s="9">
        <f>1000*(D31-D29)/(A31-A29)*Inputs!$C$11</f>
        <v>-974.55088145738955</v>
      </c>
      <c r="P30" s="9">
        <f>-2*O30/Inputs!$C$13</f>
        <v>389.82035258295582</v>
      </c>
      <c r="Q30" s="9">
        <f>-2*O30/Inputs!$C$14</f>
        <v>58.531584471915295</v>
      </c>
      <c r="R30" s="9">
        <f>F30-Inputs!$C$16/2</f>
        <v>2379.0092674001216</v>
      </c>
      <c r="S30" s="9">
        <f>F30+Inputs!$C$16/2</f>
        <v>2409.0092674001216</v>
      </c>
      <c r="T30" s="9">
        <f>F30-Inputs!$C$17/2</f>
        <v>2244.0092674001216</v>
      </c>
      <c r="U30" s="9">
        <f>F30+Inputs!$C$17/2</f>
        <v>2544.0092674001216</v>
      </c>
      <c r="V30" s="9">
        <f t="shared" si="5"/>
        <v>389.82035258295582</v>
      </c>
      <c r="W30" s="9">
        <f t="shared" si="6"/>
        <v>58.531584471915295</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49.539620652832568</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237.40469511010875</v>
      </c>
      <c r="Z30" s="9">
        <f t="shared" si="7"/>
        <v>402.30157149045829</v>
      </c>
      <c r="AA30" s="9">
        <f>SQRT((Inputs!$C$52+B30)^2+(Inputs!$C$52+Y30/1000)^2-2*(Inputs!$C$52+B30)*(Inputs!$C$52+Y30/1000)*COS(SQRT(A30^2+Inputs!$C$6^2)/Inputs!$C$52))</f>
        <v>406.37817752548511</v>
      </c>
      <c r="AB30" s="9">
        <f t="shared" si="8"/>
        <v>4076.6060350268276</v>
      </c>
      <c r="AC30" s="9">
        <f>AB30/Inputs!$C$12</f>
        <v>2290.2281095656335</v>
      </c>
      <c r="AD30" s="9">
        <f>2*AB30/Inputs!$C$21*1000000</f>
        <v>27.196188071060998</v>
      </c>
      <c r="AE30" s="9">
        <f t="shared" si="9"/>
        <v>7.4180903056964445</v>
      </c>
      <c r="AF30" s="9">
        <f>DEGREES((2*PI()/Inputs!$C$13)*Inputs!$C$15*SIN(RADIANS(AE30)))</f>
        <v>46.479130502710213</v>
      </c>
      <c r="AG30" s="9">
        <f t="shared" si="10"/>
        <v>0.96047353520029721</v>
      </c>
      <c r="AH30" s="9">
        <f t="shared" si="11"/>
        <v>-0.1751459714775323</v>
      </c>
      <c r="AI30" s="9">
        <f t="shared" si="12"/>
        <v>-103.78115783448811</v>
      </c>
      <c r="AJ30" s="9">
        <f t="shared" si="13"/>
        <v>-1.232388981215724</v>
      </c>
      <c r="AK30" s="9">
        <f t="shared" si="14"/>
        <v>187.86507445727619</v>
      </c>
      <c r="AL30" s="9">
        <f>1000*(AA31-AA29)/(A31-A29)*Inputs!$C$11</f>
        <v>-881.36997100878034</v>
      </c>
      <c r="AM30" s="9">
        <f>-2*AL30/Inputs!$C$13</f>
        <v>352.54798840351214</v>
      </c>
      <c r="AN30" s="9">
        <f>-2*AL30/Inputs!$C$14</f>
        <v>52.935133393920744</v>
      </c>
      <c r="AO30" s="9">
        <f t="shared" si="15"/>
        <v>352.54798840351214</v>
      </c>
      <c r="AP30" s="9">
        <f t="shared" si="16"/>
        <v>52.935133393920744</v>
      </c>
      <c r="AQ30" s="9">
        <f>IF(OR(Inputs!$C$27=TRUE,Inputs!$C$27="TRUE",Inputs!$C$27=1),Inputs!$C$46/Inputs!$C$12,0)</f>
        <v>42.134831460674157</v>
      </c>
      <c r="AR30" s="9">
        <f t="shared" si="17"/>
        <v>2248.0932781049592</v>
      </c>
      <c r="AS30" s="9">
        <f t="shared" si="18"/>
        <v>2332.3629410263079</v>
      </c>
    </row>
    <row r="31" spans="1:45">
      <c r="A31" s="9">
        <f>Inputs!$C$7+29*(Inputs!$C$8-Inputs!$C$7)/240</f>
        <v>-45.5</v>
      </c>
      <c r="B31" s="9">
        <f>Inputs!$C$5+Inputs!$C$9*(A31/Inputs!$C$10)^2</f>
        <v>402.30027777777775</v>
      </c>
      <c r="C31" s="9">
        <f t="shared" si="0"/>
        <v>402.30027777777775</v>
      </c>
      <c r="D31" s="9">
        <f>SQRT((Inputs!$C$52+B31)^2+Inputs!$C$52^2-2*(Inputs!$C$52+B31)*Inputs!$C$52*COS(SQRT(A31^2+Inputs!$C$6^2)/Inputs!$C$52))</f>
        <v>406.49127751054402</v>
      </c>
      <c r="E31" s="9">
        <f t="shared" si="1"/>
        <v>4190.9997327662722</v>
      </c>
      <c r="F31" s="9">
        <f>E31/Inputs!$C$12</f>
        <v>2354.494231891164</v>
      </c>
      <c r="G31" s="9">
        <f>2*E31/Inputs!$C$21*1000000</f>
        <v>27.959340676717574</v>
      </c>
      <c r="H31" s="9">
        <f>SQRT(A31^2+Inputs!$C$6^2)</f>
        <v>51.915797210483056</v>
      </c>
      <c r="I31" s="9">
        <f t="shared" si="2"/>
        <v>7.3532316468514338</v>
      </c>
      <c r="J31" s="9">
        <f>DEGREES((2*PI()/Inputs!$C$13)*Inputs!$C$15*SIN(RADIANS(I31)))</f>
        <v>46.07499258851599</v>
      </c>
      <c r="K31" s="9">
        <f t="shared" si="3"/>
        <v>0.9593926920449114</v>
      </c>
      <c r="L31" s="9">
        <f t="shared" si="4"/>
        <v>-0.18003593996718301</v>
      </c>
      <c r="M31" s="9">
        <f>2*(Inputs!$C$9/(Inputs!$C$10^2))*A31</f>
        <v>-0.10111111111111111</v>
      </c>
      <c r="N31" s="9">
        <f>M31*Inputs!$C$11</f>
        <v>-0.40444444444444444</v>
      </c>
      <c r="O31" s="9">
        <f>1000*(D32-D30)/(A32-A30)*Inputs!$C$11</f>
        <v>-964.16730609553269</v>
      </c>
      <c r="P31" s="9">
        <f>-2*O31/Inputs!$C$13</f>
        <v>385.66692243821308</v>
      </c>
      <c r="Q31" s="9">
        <f>-2*O31/Inputs!$C$14</f>
        <v>57.907946312044011</v>
      </c>
      <c r="R31" s="9">
        <f>F31-Inputs!$C$16/2</f>
        <v>2339.494231891164</v>
      </c>
      <c r="S31" s="9">
        <f>F31+Inputs!$C$16/2</f>
        <v>2369.494231891164</v>
      </c>
      <c r="T31" s="9">
        <f>F31-Inputs!$C$17/2</f>
        <v>2204.494231891164</v>
      </c>
      <c r="U31" s="9">
        <f>F31+Inputs!$C$17/2</f>
        <v>2504.494231891164</v>
      </c>
      <c r="V31" s="9">
        <f t="shared" si="5"/>
        <v>385.66692243821308</v>
      </c>
      <c r="W31" s="9">
        <f t="shared" si="6"/>
        <v>57.907946312044011</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36.882918508215923</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230.03534200748854</v>
      </c>
      <c r="Z31" s="9">
        <f t="shared" si="7"/>
        <v>402.26339485926951</v>
      </c>
      <c r="AA31" s="9">
        <f>SQRT((Inputs!$C$52+B31)^2+(Inputs!$C$52+Y31/1000)^2-2*(Inputs!$C$52+B31)*(Inputs!$C$52+Y31/1000)*COS(SQRT(A31^2+Inputs!$C$6^2)/Inputs!$C$52))</f>
        <v>406.2642300528268</v>
      </c>
      <c r="AB31" s="9">
        <f t="shared" si="8"/>
        <v>4000.8351935572932</v>
      </c>
      <c r="AC31" s="9">
        <f>AB31/Inputs!$C$12</f>
        <v>2247.6602210996029</v>
      </c>
      <c r="AD31" s="9">
        <f>2*AB31/Inputs!$C$21*1000000</f>
        <v>26.690699427517238</v>
      </c>
      <c r="AE31" s="9">
        <f t="shared" si="9"/>
        <v>7.3573925494189591</v>
      </c>
      <c r="AF31" s="9">
        <f>DEGREES((2*PI()/Inputs!$C$13)*Inputs!$C$15*SIN(RADIANS(AE31)))</f>
        <v>46.100921181935178</v>
      </c>
      <c r="AG31" s="9">
        <f t="shared" si="10"/>
        <v>0.9611866128140687</v>
      </c>
      <c r="AH31" s="9">
        <f t="shared" si="11"/>
        <v>-0.17192286579608471</v>
      </c>
      <c r="AI31" s="9">
        <f t="shared" si="12"/>
        <v>-106.83401079156101</v>
      </c>
      <c r="AJ31" s="9">
        <f t="shared" si="13"/>
        <v>-1.2686412492003356</v>
      </c>
      <c r="AK31" s="9">
        <f t="shared" si="14"/>
        <v>193.15242349927263</v>
      </c>
      <c r="AL31" s="9">
        <f>1000*(AA32-AA30)/(A32-A30)*Inputs!$C$11</f>
        <v>-851.70372063248578</v>
      </c>
      <c r="AM31" s="9">
        <f>-2*AL31/Inputs!$C$13</f>
        <v>340.68148825299431</v>
      </c>
      <c r="AN31" s="9">
        <f>-2*AL31/Inputs!$C$14</f>
        <v>51.153376614563712</v>
      </c>
      <c r="AO31" s="9">
        <f t="shared" si="15"/>
        <v>340.68148825299431</v>
      </c>
      <c r="AP31" s="9">
        <f t="shared" si="16"/>
        <v>51.153376614563712</v>
      </c>
      <c r="AQ31" s="9">
        <f>IF(OR(Inputs!$C$27=TRUE,Inputs!$C$27="TRUE",Inputs!$C$27=1),Inputs!$C$46/Inputs!$C$12,0)</f>
        <v>42.134831460674157</v>
      </c>
      <c r="AR31" s="9">
        <f t="shared" si="17"/>
        <v>2205.5253896389286</v>
      </c>
      <c r="AS31" s="9">
        <f t="shared" si="18"/>
        <v>2289.7950525602773</v>
      </c>
    </row>
    <row r="32" spans="1:45">
      <c r="A32" s="9">
        <f>Inputs!$C$7+30*(Inputs!$C$8-Inputs!$C$7)/240</f>
        <v>-45</v>
      </c>
      <c r="B32" s="9">
        <f>Inputs!$C$5+Inputs!$C$9*(A32/Inputs!$C$10)^2</f>
        <v>402.25</v>
      </c>
      <c r="C32" s="9">
        <f t="shared" si="0"/>
        <v>402.25</v>
      </c>
      <c r="D32" s="9">
        <f>SQRT((Inputs!$C$52+B32)^2+Inputs!$C$52^2-2*(Inputs!$C$52+B32)*Inputs!$C$52*COS(SQRT(A32^2+Inputs!$C$6^2)/Inputs!$C$52))</f>
        <v>406.37140578055943</v>
      </c>
      <c r="E32" s="9">
        <f t="shared" si="1"/>
        <v>4121.4057805594275</v>
      </c>
      <c r="F32" s="9">
        <f>E32/Inputs!$C$12</f>
        <v>2315.3965059322627</v>
      </c>
      <c r="G32" s="9">
        <f>2*E32/Inputs!$C$21*1000000</f>
        <v>27.495059802734779</v>
      </c>
      <c r="H32" s="9">
        <f>SQRT(A32^2+Inputs!$C$6^2)</f>
        <v>51.478150704935004</v>
      </c>
      <c r="I32" s="9">
        <f t="shared" si="2"/>
        <v>7.2928160029494338</v>
      </c>
      <c r="J32" s="9">
        <f>DEGREES((2*PI()/Inputs!$C$13)*Inputs!$C$15*SIN(RADIANS(I32)))</f>
        <v>45.698486224086679</v>
      </c>
      <c r="K32" s="9">
        <f t="shared" si="3"/>
        <v>0.96004512300185918</v>
      </c>
      <c r="L32" s="9">
        <f t="shared" si="4"/>
        <v>-0.17708354241497856</v>
      </c>
      <c r="M32" s="9">
        <f>2*(Inputs!$C$9/(Inputs!$C$10^2))*A32</f>
        <v>-0.1</v>
      </c>
      <c r="N32" s="9">
        <f>M32*Inputs!$C$11</f>
        <v>-0.4</v>
      </c>
      <c r="O32" s="9">
        <f>1000*(D33-D31)/(A33-A31)*Inputs!$C$11</f>
        <v>-953.77704829843424</v>
      </c>
      <c r="P32" s="9">
        <f>-2*O32/Inputs!$C$13</f>
        <v>381.5108193193737</v>
      </c>
      <c r="Q32" s="9">
        <f>-2*O32/Inputs!$C$14</f>
        <v>57.283906804710767</v>
      </c>
      <c r="R32" s="9">
        <f>F32-Inputs!$C$16/2</f>
        <v>2300.3965059322627</v>
      </c>
      <c r="S32" s="9">
        <f>F32+Inputs!$C$16/2</f>
        <v>2330.3965059322627</v>
      </c>
      <c r="T32" s="9">
        <f>F32-Inputs!$C$17/2</f>
        <v>2165.3965059322627</v>
      </c>
      <c r="U32" s="9">
        <f>F32+Inputs!$C$17/2</f>
        <v>2465.3965059322627</v>
      </c>
      <c r="V32" s="9">
        <f t="shared" si="5"/>
        <v>381.5108193193737</v>
      </c>
      <c r="W32" s="9">
        <f t="shared" si="6"/>
        <v>57.283906804710767</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46.599178353528217</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208.8220272535724</v>
      </c>
      <c r="Z32" s="9">
        <f t="shared" si="7"/>
        <v>402.20340082164648</v>
      </c>
      <c r="AA32" s="9">
        <f>SQRT((Inputs!$C$52+B32)^2+(Inputs!$C$52+Y32/1000)^2-2*(Inputs!$C$52+B32)*(Inputs!$C$52+Y32/1000)*COS(SQRT(A32^2+Inputs!$C$6^2)/Inputs!$C$52))</f>
        <v>406.16525159532699</v>
      </c>
      <c r="AB32" s="9">
        <f t="shared" si="8"/>
        <v>3961.85077368051</v>
      </c>
      <c r="AC32" s="9">
        <f>AB32/Inputs!$C$12</f>
        <v>2225.7588616182638</v>
      </c>
      <c r="AD32" s="9">
        <f>2*AB32/Inputs!$C$21*1000000</f>
        <v>26.430623372656761</v>
      </c>
      <c r="AE32" s="9">
        <f t="shared" si="9"/>
        <v>7.296563113535691</v>
      </c>
      <c r="AF32" s="9">
        <f>DEGREES((2*PI()/Inputs!$C$13)*Inputs!$C$15*SIN(RADIANS(AE32)))</f>
        <v>45.721839455893111</v>
      </c>
      <c r="AG32" s="9">
        <f t="shared" si="10"/>
        <v>0.96155004128445376</v>
      </c>
      <c r="AH32" s="9">
        <f t="shared" si="11"/>
        <v>-0.17028109149695753</v>
      </c>
      <c r="AI32" s="9">
        <f t="shared" si="12"/>
        <v>-89.637644313998862</v>
      </c>
      <c r="AJ32" s="9">
        <f t="shared" si="13"/>
        <v>-1.0644364300780182</v>
      </c>
      <c r="AK32" s="9">
        <f t="shared" si="14"/>
        <v>162.2228489000442</v>
      </c>
      <c r="AL32" s="9">
        <f>1000*(AA33-AA31)/(A33-A31)*Inputs!$C$11</f>
        <v>-842.10836277179624</v>
      </c>
      <c r="AM32" s="9">
        <f>-2*AL32/Inputs!$C$13</f>
        <v>336.84334510871849</v>
      </c>
      <c r="AN32" s="9">
        <f>-2*AL32/Inputs!$C$14</f>
        <v>50.577078845152933</v>
      </c>
      <c r="AO32" s="9">
        <f t="shared" si="15"/>
        <v>336.84334510871849</v>
      </c>
      <c r="AP32" s="9">
        <f t="shared" si="16"/>
        <v>50.577078845152933</v>
      </c>
      <c r="AQ32" s="9">
        <f>IF(OR(Inputs!$C$27=TRUE,Inputs!$C$27="TRUE",Inputs!$C$27=1),Inputs!$C$46/Inputs!$C$12,0)</f>
        <v>42.134831460674157</v>
      </c>
      <c r="AR32" s="9">
        <f t="shared" si="17"/>
        <v>2183.6240301575895</v>
      </c>
      <c r="AS32" s="9">
        <f t="shared" si="18"/>
        <v>2267.8936930789382</v>
      </c>
    </row>
    <row r="33" spans="1:45">
      <c r="A33" s="9">
        <f>Inputs!$C$7+31*(Inputs!$C$8-Inputs!$C$7)/240</f>
        <v>-44.5</v>
      </c>
      <c r="B33" s="9">
        <f>Inputs!$C$5+Inputs!$C$9*(A33/Inputs!$C$10)^2</f>
        <v>402.20027777777779</v>
      </c>
      <c r="C33" s="9">
        <f t="shared" si="0"/>
        <v>402.20027777777779</v>
      </c>
      <c r="D33" s="9">
        <f>SQRT((Inputs!$C$52+B33)^2+Inputs!$C$52^2-2*(Inputs!$C$52+B33)*Inputs!$C$52*COS(SQRT(A33^2+Inputs!$C$6^2)/Inputs!$C$52))</f>
        <v>406.25283324846941</v>
      </c>
      <c r="E33" s="9">
        <f t="shared" si="1"/>
        <v>4052.5554706916296</v>
      </c>
      <c r="F33" s="9">
        <f>E33/Inputs!$C$12</f>
        <v>2276.7165565683313</v>
      </c>
      <c r="G33" s="9">
        <f>2*E33/Inputs!$C$21*1000000</f>
        <v>27.035739976431493</v>
      </c>
      <c r="H33" s="9">
        <f>SQRT(A33^2+Inputs!$C$6^2)</f>
        <v>51.041649659861115</v>
      </c>
      <c r="I33" s="9">
        <f t="shared" si="2"/>
        <v>7.2325196453541665</v>
      </c>
      <c r="J33" s="9">
        <f>DEGREES((2*PI()/Inputs!$C$13)*Inputs!$C$15*SIN(RADIANS(I33)))</f>
        <v>45.322672583556667</v>
      </c>
      <c r="K33" s="9">
        <f t="shared" si="3"/>
        <v>0.9606912907410361</v>
      </c>
      <c r="L33" s="9">
        <f t="shared" si="4"/>
        <v>-0.17416146427778792</v>
      </c>
      <c r="M33" s="9">
        <f>2*(Inputs!$C$9/(Inputs!$C$10^2))*A33</f>
        <v>-9.8888888888888887E-2</v>
      </c>
      <c r="N33" s="9">
        <f>M33*Inputs!$C$11</f>
        <v>-0.39555555555555555</v>
      </c>
      <c r="O33" s="9">
        <f>1000*(D34-D32)/(A34-A32)*Inputs!$C$11</f>
        <v>-943.38017172549371</v>
      </c>
      <c r="P33" s="9">
        <f>-2*O33/Inputs!$C$13</f>
        <v>377.35206869019748</v>
      </c>
      <c r="Q33" s="9">
        <f>-2*O33/Inputs!$C$14</f>
        <v>56.659469773302931</v>
      </c>
      <c r="R33" s="9">
        <f>F33-Inputs!$C$16/2</f>
        <v>2261.7165565683313</v>
      </c>
      <c r="S33" s="9">
        <f>F33+Inputs!$C$16/2</f>
        <v>2291.7165565683313</v>
      </c>
      <c r="T33" s="9">
        <f>F33-Inputs!$C$17/2</f>
        <v>2126.7165565683313</v>
      </c>
      <c r="U33" s="9">
        <f>F33+Inputs!$C$17/2</f>
        <v>2426.7165565683313</v>
      </c>
      <c r="V33" s="9">
        <f t="shared" si="5"/>
        <v>377.35206869019748</v>
      </c>
      <c r="W33" s="9">
        <f t="shared" si="6"/>
        <v>56.659469773302931</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27.915318214934121</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201.66422960156285</v>
      </c>
      <c r="Z33" s="9">
        <f t="shared" si="7"/>
        <v>402.17236245956286</v>
      </c>
      <c r="AA33" s="9">
        <f>SQRT((Inputs!$C$52+B33)^2+(Inputs!$C$52+Y33/1000)^2-2*(Inputs!$C$52+B33)*(Inputs!$C$52+Y33/1000)*COS(SQRT(A33^2+Inputs!$C$6^2)/Inputs!$C$52))</f>
        <v>406.05370296213385</v>
      </c>
      <c r="AB33" s="9">
        <f t="shared" si="8"/>
        <v>3881.3405025709926</v>
      </c>
      <c r="AC33" s="9">
        <f>AB33/Inputs!$C$12</f>
        <v>2180.5283722308945</v>
      </c>
      <c r="AD33" s="9">
        <f>2*AB33/Inputs!$C$21*1000000</f>
        <v>25.893516657920678</v>
      </c>
      <c r="AE33" s="9">
        <f t="shared" si="9"/>
        <v>7.2361094199534897</v>
      </c>
      <c r="AF33" s="9">
        <f>DEGREES((2*PI()/Inputs!$C$13)*Inputs!$C$15*SIN(RADIANS(AE33)))</f>
        <v>45.345048250873639</v>
      </c>
      <c r="AG33" s="9">
        <f t="shared" si="10"/>
        <v>0.96230997547962005</v>
      </c>
      <c r="AH33" s="9">
        <f t="shared" si="11"/>
        <v>-0.16685012207236871</v>
      </c>
      <c r="AI33" s="9">
        <f t="shared" si="12"/>
        <v>-96.188184337436724</v>
      </c>
      <c r="AJ33" s="9">
        <f t="shared" si="13"/>
        <v>-1.1422233185108155</v>
      </c>
      <c r="AK33" s="9">
        <f t="shared" si="14"/>
        <v>173.74891138662872</v>
      </c>
      <c r="AL33" s="9">
        <f>1000*(AA34-AA32)/(A34-A32)*Inputs!$C$11</f>
        <v>-909.33895693729028</v>
      </c>
      <c r="AM33" s="9">
        <f>-2*AL33/Inputs!$C$13</f>
        <v>363.73558277491611</v>
      </c>
      <c r="AN33" s="9">
        <f>-2*AL33/Inputs!$C$14</f>
        <v>54.614952368606026</v>
      </c>
      <c r="AO33" s="9">
        <f t="shared" si="15"/>
        <v>363.73558277491611</v>
      </c>
      <c r="AP33" s="9">
        <f t="shared" si="16"/>
        <v>54.614952368606026</v>
      </c>
      <c r="AQ33" s="9">
        <f>IF(OR(Inputs!$C$27=TRUE,Inputs!$C$27="TRUE",Inputs!$C$27=1),Inputs!$C$46/Inputs!$C$12,0)</f>
        <v>42.134831460674157</v>
      </c>
      <c r="AR33" s="9">
        <f t="shared" si="17"/>
        <v>2138.3935407702202</v>
      </c>
      <c r="AS33" s="9">
        <f t="shared" si="18"/>
        <v>2222.6632036915689</v>
      </c>
    </row>
    <row r="34" spans="1:45">
      <c r="A34" s="9">
        <f>Inputs!$C$7+32*(Inputs!$C$8-Inputs!$C$7)/240</f>
        <v>-44</v>
      </c>
      <c r="B34" s="9">
        <f>Inputs!$C$5+Inputs!$C$9*(A34/Inputs!$C$10)^2</f>
        <v>402.15111111111111</v>
      </c>
      <c r="C34" s="9">
        <f t="shared" si="0"/>
        <v>402.15111111111111</v>
      </c>
      <c r="D34" s="9">
        <f>SQRT((Inputs!$C$52+B34)^2+Inputs!$C$52^2-2*(Inputs!$C$52+B34)*Inputs!$C$52*COS(SQRT(A34^2+Inputs!$C$6^2)/Inputs!$C$52))</f>
        <v>406.13556073762805</v>
      </c>
      <c r="E34" s="9">
        <f t="shared" si="1"/>
        <v>3984.4496265169482</v>
      </c>
      <c r="F34" s="9">
        <f>E34/Inputs!$C$12</f>
        <v>2238.4548463578362</v>
      </c>
      <c r="G34" s="9">
        <f>2*E34/Inputs!$C$21*1000000</f>
        <v>26.581386690634812</v>
      </c>
      <c r="H34" s="9">
        <f>SQRT(A34^2+Inputs!$C$6^2)</f>
        <v>50.606323715519977</v>
      </c>
      <c r="I34" s="9">
        <f t="shared" si="2"/>
        <v>7.1723472676252644</v>
      </c>
      <c r="J34" s="9">
        <f>DEGREES((2*PI()/Inputs!$C$13)*Inputs!$C$15*SIN(RADIANS(I34)))</f>
        <v>44.947581642016367</v>
      </c>
      <c r="K34" s="9">
        <f t="shared" si="3"/>
        <v>0.96133116560794785</v>
      </c>
      <c r="L34" s="9">
        <f t="shared" si="4"/>
        <v>-0.17126977970712021</v>
      </c>
      <c r="M34" s="9">
        <f>2*(Inputs!$C$9/(Inputs!$C$10^2))*A34</f>
        <v>-9.7777777777777783E-2</v>
      </c>
      <c r="N34" s="9">
        <f>M34*Inputs!$C$11</f>
        <v>-0.39111111111111113</v>
      </c>
      <c r="O34" s="9">
        <f>1000*(D35-D33)/(A35-A33)*Inputs!$C$11</f>
        <v>-932.97674036443823</v>
      </c>
      <c r="P34" s="9">
        <f>-2*O34/Inputs!$C$13</f>
        <v>373.19069614577529</v>
      </c>
      <c r="Q34" s="9">
        <f>-2*O34/Inputs!$C$14</f>
        <v>56.034639060927226</v>
      </c>
      <c r="R34" s="9">
        <f>F34-Inputs!$C$16/2</f>
        <v>2223.4548463578362</v>
      </c>
      <c r="S34" s="9">
        <f>F34+Inputs!$C$16/2</f>
        <v>2253.4548463578362</v>
      </c>
      <c r="T34" s="9">
        <f>F34-Inputs!$C$17/2</f>
        <v>2088.4548463578362</v>
      </c>
      <c r="U34" s="9">
        <f>F34+Inputs!$C$17/2</f>
        <v>2388.4548463578362</v>
      </c>
      <c r="V34" s="9">
        <f t="shared" si="5"/>
        <v>373.19069614577529</v>
      </c>
      <c r="W34" s="9">
        <f t="shared" si="6"/>
        <v>56.034639060927226</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18.825392010190029</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200.11672258234324</v>
      </c>
      <c r="Z34" s="9">
        <f t="shared" si="7"/>
        <v>402.13228571910093</v>
      </c>
      <c r="AA34" s="9">
        <f>SQRT((Inputs!$C$52+B34)^2+(Inputs!$C$52+Y34/1000)^2-2*(Inputs!$C$52+B34)*(Inputs!$C$52+Y34/1000)*COS(SQRT(A34^2+Inputs!$C$6^2)/Inputs!$C$52))</f>
        <v>405.93791685609267</v>
      </c>
      <c r="AB34" s="9">
        <f t="shared" si="8"/>
        <v>3805.6311369917353</v>
      </c>
      <c r="AC34" s="9">
        <f>AB34/Inputs!$C$12</f>
        <v>2137.9950207818738</v>
      </c>
      <c r="AD34" s="9">
        <f>2*AB34/Inputs!$C$21*1000000</f>
        <v>25.388438137371256</v>
      </c>
      <c r="AE34" s="9">
        <f t="shared" si="9"/>
        <v>7.1758809025413592</v>
      </c>
      <c r="AF34" s="9">
        <f>DEGREES((2*PI()/Inputs!$C$13)*Inputs!$C$15*SIN(RADIANS(AE34)))</f>
        <v>44.969610306753033</v>
      </c>
      <c r="AG34" s="9">
        <f t="shared" si="10"/>
        <v>0.96302440841133741</v>
      </c>
      <c r="AH34" s="9">
        <f t="shared" si="11"/>
        <v>-0.16362705290815846</v>
      </c>
      <c r="AI34" s="9">
        <f t="shared" si="12"/>
        <v>-100.45982557596244</v>
      </c>
      <c r="AJ34" s="9">
        <f t="shared" si="13"/>
        <v>-1.1929485532635553</v>
      </c>
      <c r="AK34" s="9">
        <f t="shared" si="14"/>
        <v>181.29133057215321</v>
      </c>
      <c r="AL34" s="9">
        <f>1000*(AA35-AA33)/(A35-A33)*Inputs!$C$11</f>
        <v>-969.60078847541808</v>
      </c>
      <c r="AM34" s="9">
        <f>-2*AL34/Inputs!$C$13</f>
        <v>387.84031539016723</v>
      </c>
      <c r="AN34" s="9">
        <f>-2*AL34/Inputs!$C$14</f>
        <v>58.234281590115202</v>
      </c>
      <c r="AO34" s="9">
        <f t="shared" si="15"/>
        <v>387.84031539016723</v>
      </c>
      <c r="AP34" s="9">
        <f t="shared" si="16"/>
        <v>58.234281590115202</v>
      </c>
      <c r="AQ34" s="9">
        <f>IF(OR(Inputs!$C$27=TRUE,Inputs!$C$27="TRUE",Inputs!$C$27=1),Inputs!$C$46/Inputs!$C$12,0)</f>
        <v>42.134831460674157</v>
      </c>
      <c r="AR34" s="9">
        <f t="shared" si="17"/>
        <v>2095.8601893211994</v>
      </c>
      <c r="AS34" s="9">
        <f t="shared" si="18"/>
        <v>2180.1298522425482</v>
      </c>
    </row>
    <row r="35" spans="1:45">
      <c r="A35" s="9">
        <f>Inputs!$C$7+33*(Inputs!$C$8-Inputs!$C$7)/240</f>
        <v>-43.5</v>
      </c>
      <c r="B35" s="9">
        <f>Inputs!$C$5+Inputs!$C$9*(A35/Inputs!$C$10)^2</f>
        <v>402.10250000000002</v>
      </c>
      <c r="C35" s="9">
        <f t="shared" si="0"/>
        <v>402.10250000000002</v>
      </c>
      <c r="D35" s="9">
        <f>SQRT((Inputs!$C$52+B35)^2+Inputs!$C$52^2-2*(Inputs!$C$52+B35)*Inputs!$C$52*COS(SQRT(A35^2+Inputs!$C$6^2)/Inputs!$C$52))</f>
        <v>406.01958906337831</v>
      </c>
      <c r="E35" s="9">
        <f t="shared" si="1"/>
        <v>3917.0890633782847</v>
      </c>
      <c r="F35" s="9">
        <f>E35/Inputs!$C$12</f>
        <v>2200.6118333585869</v>
      </c>
      <c r="G35" s="9">
        <f>2*E35/Inputs!$C$21*1000000</f>
        <v>26.132005384727087</v>
      </c>
      <c r="H35" s="9">
        <f>SQRT(A35^2+Inputs!$C$6^2)</f>
        <v>50.172203459684724</v>
      </c>
      <c r="I35" s="9">
        <f t="shared" si="2"/>
        <v>7.1123037002334444</v>
      </c>
      <c r="J35" s="9">
        <f>DEGREES((2*PI()/Inputs!$C$13)*Inputs!$C$15*SIN(RADIANS(I35)))</f>
        <v>44.573244238081699</v>
      </c>
      <c r="K35" s="9">
        <f t="shared" si="3"/>
        <v>0.9619647181791855</v>
      </c>
      <c r="L35" s="9">
        <f t="shared" si="4"/>
        <v>-0.16840856216949901</v>
      </c>
      <c r="M35" s="9">
        <f>2*(Inputs!$C$9/(Inputs!$C$10^2))*A35</f>
        <v>-9.6666666666666665E-2</v>
      </c>
      <c r="N35" s="9">
        <f>M35*Inputs!$C$11</f>
        <v>-0.38666666666666666</v>
      </c>
      <c r="O35" s="9">
        <f>1000*(D36-D34)/(A36-A34)*Inputs!$C$11</f>
        <v>-922.56681849630695</v>
      </c>
      <c r="P35" s="9">
        <f>-2*O35/Inputs!$C$13</f>
        <v>369.02672739852278</v>
      </c>
      <c r="Q35" s="9">
        <f>-2*O35/Inputs!$C$14</f>
        <v>55.40941852830673</v>
      </c>
      <c r="R35" s="9">
        <f>F35-Inputs!$C$16/2</f>
        <v>2185.6118333585869</v>
      </c>
      <c r="S35" s="9">
        <f>F35+Inputs!$C$16/2</f>
        <v>2215.6118333585869</v>
      </c>
      <c r="T35" s="9">
        <f>F35-Inputs!$C$17/2</f>
        <v>2050.6118333585869</v>
      </c>
      <c r="U35" s="9">
        <f>F35+Inputs!$C$17/2</f>
        <v>2350.6118333585869</v>
      </c>
      <c r="V35" s="9">
        <f t="shared" si="5"/>
        <v>369.02672739852278</v>
      </c>
      <c r="W35" s="9">
        <f t="shared" si="6"/>
        <v>55.40941852830673</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22.55480739682735</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210.84839534160349</v>
      </c>
      <c r="Z35" s="9">
        <f t="shared" si="7"/>
        <v>402.07994519260319</v>
      </c>
      <c r="AA35" s="9">
        <f>SQRT((Inputs!$C$52+B35)^2+(Inputs!$C$52+Y35/1000)^2-2*(Inputs!$C$52+B35)*(Inputs!$C$52+Y35/1000)*COS(SQRT(A35^2+Inputs!$C$6^2)/Inputs!$C$52))</f>
        <v>405.811302765015</v>
      </c>
      <c r="AB35" s="9">
        <f t="shared" si="8"/>
        <v>3731.3575724118095</v>
      </c>
      <c r="AC35" s="9">
        <f>AB35/Inputs!$C$12</f>
        <v>2096.2682991077581</v>
      </c>
      <c r="AD35" s="9">
        <f>2*AB35/Inputs!$C$21*1000000</f>
        <v>24.892938250046367</v>
      </c>
      <c r="AE35" s="9">
        <f t="shared" si="9"/>
        <v>7.1159968552869222</v>
      </c>
      <c r="AF35" s="9">
        <f>DEGREES((2*PI()/Inputs!$C$13)*Inputs!$C$15*SIN(RADIANS(AE35)))</f>
        <v>44.596270370926199</v>
      </c>
      <c r="AG35" s="9">
        <f t="shared" si="10"/>
        <v>0.96372492726932346</v>
      </c>
      <c r="AH35" s="9">
        <f t="shared" si="11"/>
        <v>-0.16046907607885597</v>
      </c>
      <c r="AI35" s="9">
        <f t="shared" si="12"/>
        <v>-104.34353425082872</v>
      </c>
      <c r="AJ35" s="9">
        <f t="shared" si="13"/>
        <v>-1.2390671346807203</v>
      </c>
      <c r="AK35" s="9">
        <f t="shared" si="14"/>
        <v>188.29358794477614</v>
      </c>
      <c r="AL35" s="9">
        <f>1000*(AA36-AA34)/(A36-A34)*Inputs!$C$11</f>
        <v>-845.59571805698397</v>
      </c>
      <c r="AM35" s="9">
        <f>-2*AL35/Inputs!$C$13</f>
        <v>338.23828722279359</v>
      </c>
      <c r="AN35" s="9">
        <f>-2*AL35/Inputs!$C$14</f>
        <v>50.786529613032073</v>
      </c>
      <c r="AO35" s="9">
        <f t="shared" si="15"/>
        <v>338.23828722279359</v>
      </c>
      <c r="AP35" s="9">
        <f t="shared" si="16"/>
        <v>50.786529613032073</v>
      </c>
      <c r="AQ35" s="9">
        <f>IF(OR(Inputs!$C$27=TRUE,Inputs!$C$27="TRUE",Inputs!$C$27=1),Inputs!$C$46/Inputs!$C$12,0)</f>
        <v>42.134831460674157</v>
      </c>
      <c r="AR35" s="9">
        <f t="shared" si="17"/>
        <v>2054.1334676470838</v>
      </c>
      <c r="AS35" s="9">
        <f t="shared" si="18"/>
        <v>2138.4031305684325</v>
      </c>
    </row>
    <row r="36" spans="1:45">
      <c r="A36" s="9">
        <f>Inputs!$C$7+34*(Inputs!$C$8-Inputs!$C$7)/240</f>
        <v>-43</v>
      </c>
      <c r="B36" s="9">
        <f>Inputs!$C$5+Inputs!$C$9*(A36/Inputs!$C$10)^2</f>
        <v>402.05444444444447</v>
      </c>
      <c r="C36" s="9">
        <f t="shared" si="0"/>
        <v>402.05444444444447</v>
      </c>
      <c r="D36" s="9">
        <f>SQRT((Inputs!$C$52+B36)^2+Inputs!$C$52^2-2*(Inputs!$C$52+B36)*Inputs!$C$52*COS(SQRT(A36^2+Inputs!$C$6^2)/Inputs!$C$52))</f>
        <v>405.90491903300398</v>
      </c>
      <c r="E36" s="9">
        <f t="shared" si="1"/>
        <v>3850.4745885595071</v>
      </c>
      <c r="F36" s="9">
        <f>E36/Inputs!$C$12</f>
        <v>2163.1879711008464</v>
      </c>
      <c r="G36" s="9">
        <f>2*E36/Inputs!$C$21*1000000</f>
        <v>25.687601444326575</v>
      </c>
      <c r="H36" s="9">
        <f>SQRT(A36^2+Inputs!$C$6^2)</f>
        <v>49.739320461783549</v>
      </c>
      <c r="I36" s="9">
        <f t="shared" si="2"/>
        <v>7.0523939154276203</v>
      </c>
      <c r="J36" s="9">
        <f>DEGREES((2*PI()/Inputs!$C$13)*Inputs!$C$15*SIN(RADIANS(I36)))</f>
        <v>44.19969210441981</v>
      </c>
      <c r="K36" s="9">
        <f t="shared" si="3"/>
        <v>0.96259191926554377</v>
      </c>
      <c r="L36" s="9">
        <f t="shared" si="4"/>
        <v>-0.16557788444152105</v>
      </c>
      <c r="M36" s="9">
        <f>2*(Inputs!$C$9/(Inputs!$C$10^2))*A36</f>
        <v>-9.555555555555556E-2</v>
      </c>
      <c r="N36" s="9">
        <f>M36*Inputs!$C$11</f>
        <v>-0.38222222222222224</v>
      </c>
      <c r="O36" s="9">
        <f>1000*(D37-D35)/(A37-A35)*Inputs!$C$11</f>
        <v>-912.15047069840693</v>
      </c>
      <c r="P36" s="9">
        <f>-2*O36/Inputs!$C$13</f>
        <v>364.86018827936277</v>
      </c>
      <c r="Q36" s="9">
        <f>-2*O36/Inputs!$C$14</f>
        <v>54.783812053958378</v>
      </c>
      <c r="R36" s="9">
        <f>F36-Inputs!$C$16/2</f>
        <v>2148.1879711008464</v>
      </c>
      <c r="S36" s="9">
        <f>F36+Inputs!$C$16/2</f>
        <v>2178.1879711008464</v>
      </c>
      <c r="T36" s="9">
        <f>F36-Inputs!$C$17/2</f>
        <v>2013.1879711008464</v>
      </c>
      <c r="U36" s="9">
        <f>F36+Inputs!$C$17/2</f>
        <v>2313.1879711008464</v>
      </c>
      <c r="V36" s="9">
        <f t="shared" si="5"/>
        <v>364.86018827936277</v>
      </c>
      <c r="W36" s="9">
        <f t="shared" si="6"/>
        <v>54.783812053958378</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3.69479063881065</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180.5581841932563</v>
      </c>
      <c r="Z36" s="9">
        <f t="shared" si="7"/>
        <v>402.05074965380567</v>
      </c>
      <c r="AA36" s="9">
        <f>SQRT((Inputs!$C$52+B36)^2+(Inputs!$C$52+Y36/1000)^2-2*(Inputs!$C$52+B36)*(Inputs!$C$52+Y36/1000)*COS(SQRT(A36^2+Inputs!$C$6^2)/Inputs!$C$52))</f>
        <v>405.72651792657842</v>
      </c>
      <c r="AB36" s="9">
        <f t="shared" si="8"/>
        <v>3675.768272772757</v>
      </c>
      <c r="AC36" s="9">
        <f>AB36/Inputs!$C$12</f>
        <v>2065.0383554903128</v>
      </c>
      <c r="AD36" s="9">
        <f>2*AB36/Inputs!$C$21*1000000</f>
        <v>24.522086361310375</v>
      </c>
      <c r="AE36" s="9">
        <f t="shared" si="9"/>
        <v>7.0555305620164139</v>
      </c>
      <c r="AF36" s="9">
        <f>DEGREES((2*PI()/Inputs!$C$13)*Inputs!$C$15*SIN(RADIANS(AE36)))</f>
        <v>44.219251064000694</v>
      </c>
      <c r="AG36" s="9">
        <f t="shared" si="10"/>
        <v>0.96425062707105436</v>
      </c>
      <c r="AH36" s="9">
        <f t="shared" si="11"/>
        <v>-0.15810070031627416</v>
      </c>
      <c r="AI36" s="9">
        <f t="shared" si="12"/>
        <v>-98.149615610533601</v>
      </c>
      <c r="AJ36" s="9">
        <f t="shared" si="13"/>
        <v>-1.1655150830161993</v>
      </c>
      <c r="AK36" s="9">
        <f t="shared" si="14"/>
        <v>176.86339355444565</v>
      </c>
      <c r="AL36" s="9">
        <f>1000*(AA37-AA35)/(A37-A35)*Inputs!$C$11</f>
        <v>-797.38420535591104</v>
      </c>
      <c r="AM36" s="9">
        <f>-2*AL36/Inputs!$C$13</f>
        <v>318.95368214236441</v>
      </c>
      <c r="AN36" s="9">
        <f>-2*AL36/Inputs!$C$14</f>
        <v>47.890943264619288</v>
      </c>
      <c r="AO36" s="9">
        <f t="shared" si="15"/>
        <v>318.95368214236441</v>
      </c>
      <c r="AP36" s="9">
        <f t="shared" si="16"/>
        <v>47.890943264619288</v>
      </c>
      <c r="AQ36" s="9">
        <f>IF(OR(Inputs!$C$27=TRUE,Inputs!$C$27="TRUE",Inputs!$C$27=1),Inputs!$C$46/Inputs!$C$12,0)</f>
        <v>42.134831460674157</v>
      </c>
      <c r="AR36" s="9">
        <f t="shared" si="17"/>
        <v>2022.9035240296387</v>
      </c>
      <c r="AS36" s="9">
        <f t="shared" si="18"/>
        <v>2107.1731869509872</v>
      </c>
    </row>
    <row r="37" spans="1:45">
      <c r="A37" s="9">
        <f>Inputs!$C$7+35*(Inputs!$C$8-Inputs!$C$7)/240</f>
        <v>-42.5</v>
      </c>
      <c r="B37" s="9">
        <f>Inputs!$C$5+Inputs!$C$9*(A37/Inputs!$C$10)^2</f>
        <v>402.00694444444446</v>
      </c>
      <c r="C37" s="9">
        <f t="shared" si="0"/>
        <v>402.00694444444446</v>
      </c>
      <c r="D37" s="9">
        <f>SQRT((Inputs!$C$52+B37)^2+Inputs!$C$52^2-2*(Inputs!$C$52+B37)*Inputs!$C$52*COS(SQRT(A37^2+Inputs!$C$6^2)/Inputs!$C$52))</f>
        <v>405.7915514457037</v>
      </c>
      <c r="E37" s="9">
        <f t="shared" si="1"/>
        <v>3784.6070012592463</v>
      </c>
      <c r="F37" s="9">
        <f>E37/Inputs!$C$12</f>
        <v>2126.1837085726102</v>
      </c>
      <c r="G37" s="9">
        <f>2*E37/Inputs!$C$21*1000000</f>
        <v>25.248180201112639</v>
      </c>
      <c r="H37" s="9">
        <f>SQRT(A37^2+Inputs!$C$6^2)</f>
        <v>49.307707308290048</v>
      </c>
      <c r="I37" s="9">
        <f t="shared" si="2"/>
        <v>6.9926230322802692</v>
      </c>
      <c r="J37" s="9">
        <f>DEGREES((2*PI()/Inputs!$C$13)*Inputs!$C$15*SIN(RADIANS(I37)))</f>
        <v>43.826957899393037</v>
      </c>
      <c r="K37" s="9">
        <f t="shared" si="3"/>
        <v>0.96321273991492051</v>
      </c>
      <c r="L37" s="9">
        <f t="shared" si="4"/>
        <v>-0.16277781860586732</v>
      </c>
      <c r="M37" s="9">
        <f>2*(Inputs!$C$9/(Inputs!$C$10^2))*A37</f>
        <v>-9.4444444444444442E-2</v>
      </c>
      <c r="N37" s="9">
        <f>M37*Inputs!$C$11</f>
        <v>-0.37777777777777777</v>
      </c>
      <c r="O37" s="9">
        <f>1000*(D38-D36)/(A38-A36)*Inputs!$C$11</f>
        <v>-901.72776185045223</v>
      </c>
      <c r="P37" s="9">
        <f>-2*O37/Inputs!$C$13</f>
        <v>360.69110474018089</v>
      </c>
      <c r="Q37" s="9">
        <f>-2*O37/Inputs!$C$14</f>
        <v>54.1578235345617</v>
      </c>
      <c r="R37" s="9">
        <f>F37-Inputs!$C$16/2</f>
        <v>2111.1837085726102</v>
      </c>
      <c r="S37" s="9">
        <f>F37+Inputs!$C$16/2</f>
        <v>2141.1837085726102</v>
      </c>
      <c r="T37" s="9">
        <f>F37-Inputs!$C$17/2</f>
        <v>1976.1837085726102</v>
      </c>
      <c r="U37" s="9">
        <f>F37+Inputs!$C$17/2</f>
        <v>2276.1837085726102</v>
      </c>
      <c r="V37" s="9">
        <f t="shared" si="5"/>
        <v>360.69110474018089</v>
      </c>
      <c r="W37" s="9">
        <f t="shared" si="6"/>
        <v>54.1578235345617</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9.4775494942885228</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181.72917551772019</v>
      </c>
      <c r="Z37" s="9">
        <f t="shared" si="7"/>
        <v>401.99746689495015</v>
      </c>
      <c r="AA37" s="9">
        <f>SQRT((Inputs!$C$52+B37)^2+(Inputs!$C$52+Y37/1000)^2-2*(Inputs!$C$52+B37)*(Inputs!$C$52+Y37/1000)*COS(SQRT(A37^2+Inputs!$C$6^2)/Inputs!$C$52))</f>
        <v>405.61195671367602</v>
      </c>
      <c r="AB37" s="9">
        <f t="shared" si="8"/>
        <v>3614.4898187258718</v>
      </c>
      <c r="AC37" s="9">
        <f>AB37/Inputs!$C$12</f>
        <v>2030.6122577111639</v>
      </c>
      <c r="AD37" s="9">
        <f>2*AB37/Inputs!$C$21*1000000</f>
        <v>24.113280519724558</v>
      </c>
      <c r="AE37" s="9">
        <f t="shared" si="9"/>
        <v>6.9957541802293859</v>
      </c>
      <c r="AF37" s="9">
        <f>DEGREES((2*PI()/Inputs!$C$13)*Inputs!$C$15*SIN(RADIANS(AE37)))</f>
        <v>43.846485081360214</v>
      </c>
      <c r="AG37" s="9">
        <f t="shared" si="10"/>
        <v>0.96482882740252252</v>
      </c>
      <c r="AH37" s="9">
        <f t="shared" si="11"/>
        <v>-0.15549729048441288</v>
      </c>
      <c r="AI37" s="9">
        <f t="shared" si="12"/>
        <v>-95.571450861446237</v>
      </c>
      <c r="AJ37" s="9">
        <f t="shared" si="13"/>
        <v>-1.1348996813880809</v>
      </c>
      <c r="AK37" s="9">
        <f t="shared" si="14"/>
        <v>172.25162602343167</v>
      </c>
      <c r="AL37" s="9">
        <f>1000*(AA38-AA36)/(A38-A36)*Inputs!$C$11</f>
        <v>-862.75607500533624</v>
      </c>
      <c r="AM37" s="9">
        <f>-2*AL37/Inputs!$C$13</f>
        <v>345.1024300021345</v>
      </c>
      <c r="AN37" s="9">
        <f>-2*AL37/Inputs!$C$14</f>
        <v>51.817181682002179</v>
      </c>
      <c r="AO37" s="9">
        <f t="shared" si="15"/>
        <v>345.1024300021345</v>
      </c>
      <c r="AP37" s="9">
        <f t="shared" si="16"/>
        <v>51.817181682002179</v>
      </c>
      <c r="AQ37" s="9">
        <f>IF(OR(Inputs!$C$27=TRUE,Inputs!$C$27="TRUE",Inputs!$C$27=1),Inputs!$C$46/Inputs!$C$12,0)</f>
        <v>42.134831460674157</v>
      </c>
      <c r="AR37" s="9">
        <f t="shared" si="17"/>
        <v>1988.4774262504898</v>
      </c>
      <c r="AS37" s="9">
        <f t="shared" si="18"/>
        <v>2072.7470891718381</v>
      </c>
    </row>
    <row r="38" spans="1:45">
      <c r="A38" s="9">
        <f>Inputs!$C$7+36*(Inputs!$C$8-Inputs!$C$7)/240</f>
        <v>-42</v>
      </c>
      <c r="B38" s="9">
        <f>Inputs!$C$5+Inputs!$C$9*(A38/Inputs!$C$10)^2</f>
        <v>401.96</v>
      </c>
      <c r="C38" s="9">
        <f t="shared" si="0"/>
        <v>401.96</v>
      </c>
      <c r="D38" s="9">
        <f>SQRT((Inputs!$C$52+B38)^2+Inputs!$C$52^2-2*(Inputs!$C$52+B38)*Inputs!$C$52*COS(SQRT(A38^2+Inputs!$C$6^2)/Inputs!$C$52))</f>
        <v>405.67948709254136</v>
      </c>
      <c r="E38" s="9">
        <f t="shared" si="1"/>
        <v>3719.4870925413852</v>
      </c>
      <c r="F38" s="9">
        <f>E38/Inputs!$C$12</f>
        <v>2089.5994901917893</v>
      </c>
      <c r="G38" s="9">
        <f>2*E38/Inputs!$C$21*1000000</f>
        <v>24.813746932495448</v>
      </c>
      <c r="H38" s="9">
        <f>SQRT(A38^2+Inputs!$C$6^2)</f>
        <v>48.877397639399746</v>
      </c>
      <c r="I38" s="9">
        <f t="shared" si="2"/>
        <v>6.9329963219162467</v>
      </c>
      <c r="J38" s="9">
        <f>DEGREES((2*PI()/Inputs!$C$13)*Inputs!$C$15*SIN(RADIANS(I38)))</f>
        <v>43.455075239853677</v>
      </c>
      <c r="K38" s="9">
        <f t="shared" si="3"/>
        <v>0.96382715141542996</v>
      </c>
      <c r="L38" s="9">
        <f t="shared" si="4"/>
        <v>-0.16000843604631027</v>
      </c>
      <c r="M38" s="9">
        <f>2*(Inputs!$C$9/(Inputs!$C$10^2))*A38</f>
        <v>-9.3333333333333338E-2</v>
      </c>
      <c r="N38" s="9">
        <f>M38*Inputs!$C$11</f>
        <v>-0.37333333333333335</v>
      </c>
      <c r="O38" s="9">
        <f>1000*(D39-D37)/(A39-A37)*Inputs!$C$11</f>
        <v>-891.298757131608</v>
      </c>
      <c r="P38" s="9">
        <f>-2*O38/Inputs!$C$13</f>
        <v>356.5195028526432</v>
      </c>
      <c r="Q38" s="9">
        <f>-2*O38/Inputs!$C$14</f>
        <v>53.531456884781264</v>
      </c>
      <c r="R38" s="9">
        <f>F38-Inputs!$C$16/2</f>
        <v>2074.5994901917893</v>
      </c>
      <c r="S38" s="9">
        <f>F38+Inputs!$C$16/2</f>
        <v>2104.5994901917893</v>
      </c>
      <c r="T38" s="9">
        <f>F38-Inputs!$C$17/2</f>
        <v>1939.5994901917893</v>
      </c>
      <c r="U38" s="9">
        <f>F38+Inputs!$C$17/2</f>
        <v>2239.5994901917893</v>
      </c>
      <c r="V38" s="9">
        <f t="shared" si="5"/>
        <v>356.5195028526432</v>
      </c>
      <c r="W38" s="9">
        <f t="shared" si="6"/>
        <v>53.531456884781264</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-8.6913035259942717</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170.62817299702391</v>
      </c>
      <c r="Z38" s="9">
        <f t="shared" si="7"/>
        <v>401.96869130352599</v>
      </c>
      <c r="AA38" s="9">
        <f>SQRT((Inputs!$C$52+B38)^2+(Inputs!$C$52+Y38/1000)^2-2*(Inputs!$C$52+B38)*(Inputs!$C$52+Y38/1000)*COS(SQRT(A38^2+Inputs!$C$6^2)/Inputs!$C$52))</f>
        <v>405.51082890782709</v>
      </c>
      <c r="AB38" s="9">
        <f t="shared" si="8"/>
        <v>3542.1376043011037</v>
      </c>
      <c r="AC38" s="9">
        <f>AB38/Inputs!$C$12</f>
        <v>1989.9649462365751</v>
      </c>
      <c r="AD38" s="9">
        <f>2*AB38/Inputs!$C$21*1000000</f>
        <v>23.63059850092095</v>
      </c>
      <c r="AE38" s="9">
        <f t="shared" si="9"/>
        <v>6.9359118888381346</v>
      </c>
      <c r="AF38" s="9">
        <f>DEGREES((2*PI()/Inputs!$C$13)*Inputs!$C$15*SIN(RADIANS(AE38)))</f>
        <v>43.473260281794772</v>
      </c>
      <c r="AG38" s="9">
        <f t="shared" si="10"/>
        <v>0.96551513630542662</v>
      </c>
      <c r="AH38" s="9">
        <f t="shared" si="11"/>
        <v>-0.15240913430525482</v>
      </c>
      <c r="AI38" s="9">
        <f t="shared" si="12"/>
        <v>-99.634543955214212</v>
      </c>
      <c r="AJ38" s="9">
        <f t="shared" si="13"/>
        <v>-1.183148431574498</v>
      </c>
      <c r="AK38" s="9">
        <f t="shared" si="14"/>
        <v>179.31947652301818</v>
      </c>
      <c r="AL38" s="9">
        <f>1000*(AA39-AA37)/(A39-A37)*Inputs!$C$11</f>
        <v>-850.68236531287766</v>
      </c>
      <c r="AM38" s="9">
        <f>-2*AL38/Inputs!$C$13</f>
        <v>340.27294612515107</v>
      </c>
      <c r="AN38" s="9">
        <f>-2*AL38/Inputs!$C$14</f>
        <v>51.092033952725387</v>
      </c>
      <c r="AO38" s="9">
        <f t="shared" si="15"/>
        <v>340.27294612515107</v>
      </c>
      <c r="AP38" s="9">
        <f t="shared" si="16"/>
        <v>51.092033952725387</v>
      </c>
      <c r="AQ38" s="9">
        <f>IF(OR(Inputs!$C$27=TRUE,Inputs!$C$27="TRUE",Inputs!$C$27=1),Inputs!$C$46/Inputs!$C$12,0)</f>
        <v>42.134831460674157</v>
      </c>
      <c r="AR38" s="9">
        <f t="shared" si="17"/>
        <v>1947.8301147759009</v>
      </c>
      <c r="AS38" s="9">
        <f t="shared" si="18"/>
        <v>2032.0997776972492</v>
      </c>
    </row>
    <row r="39" spans="1:45">
      <c r="A39" s="9">
        <f>Inputs!$C$7+37*(Inputs!$C$8-Inputs!$C$7)/240</f>
        <v>-41.5</v>
      </c>
      <c r="B39" s="9">
        <f>Inputs!$C$5+Inputs!$C$9*(A39/Inputs!$C$10)^2</f>
        <v>401.91361111111109</v>
      </c>
      <c r="C39" s="9">
        <f t="shared" si="0"/>
        <v>401.91361111111109</v>
      </c>
      <c r="D39" s="9">
        <f>SQRT((Inputs!$C$52+B39)^2+Inputs!$C$52^2-2*(Inputs!$C$52+B39)*Inputs!$C$52*COS(SQRT(A39^2+Inputs!$C$6^2)/Inputs!$C$52))</f>
        <v>405.5687267564208</v>
      </c>
      <c r="E39" s="9">
        <f t="shared" si="1"/>
        <v>3655.1156453097065</v>
      </c>
      <c r="F39" s="9">
        <f>E39/Inputs!$C$12</f>
        <v>2053.4357557919698</v>
      </c>
      <c r="G39" s="9">
        <f>2*E39/Inputs!$C$21*1000000</f>
        <v>24.384306861446838</v>
      </c>
      <c r="H39" s="9">
        <f>SQRT(A39^2+Inputs!$C$6^2)</f>
        <v>48.448426187029028</v>
      </c>
      <c r="I39" s="9">
        <f t="shared" si="2"/>
        <v>6.8735192129301588</v>
      </c>
      <c r="J39" s="9">
        <f>DEGREES((2*PI()/Inputs!$C$13)*Inputs!$C$15*SIN(RADIANS(I39)))</f>
        <v>43.084078735121693</v>
      </c>
      <c r="K39" s="9">
        <f t="shared" si="3"/>
        <v>0.96443512529826658</v>
      </c>
      <c r="L39" s="9">
        <f t="shared" si="4"/>
        <v>-0.15726980744380722</v>
      </c>
      <c r="M39" s="9">
        <f>2*(Inputs!$C$9/(Inputs!$C$10^2))*A39</f>
        <v>-9.2222222222222219E-2</v>
      </c>
      <c r="N39" s="9">
        <f>M39*Inputs!$C$11</f>
        <v>-0.36888888888888888</v>
      </c>
      <c r="O39" s="9">
        <f>1000*(D40-D38)/(A40-A38)*Inputs!$C$11</f>
        <v>-880.86352199184148</v>
      </c>
      <c r="P39" s="9">
        <f>-2*O39/Inputs!$C$13</f>
        <v>352.34540879673659</v>
      </c>
      <c r="Q39" s="9">
        <f>-2*O39/Inputs!$C$14</f>
        <v>52.904716035546038</v>
      </c>
      <c r="R39" s="9">
        <f>F39-Inputs!$C$16/2</f>
        <v>2038.4357557919698</v>
      </c>
      <c r="S39" s="9">
        <f>F39+Inputs!$C$16/2</f>
        <v>2068.4357557919698</v>
      </c>
      <c r="T39" s="9">
        <f>F39-Inputs!$C$17/2</f>
        <v>1903.4357557919698</v>
      </c>
      <c r="U39" s="9">
        <f>F39+Inputs!$C$17/2</f>
        <v>2203.4357557919698</v>
      </c>
      <c r="V39" s="9">
        <f t="shared" si="5"/>
        <v>352.34540879673659</v>
      </c>
      <c r="W39" s="9">
        <f t="shared" si="6"/>
        <v>52.904716035546038</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-15.792555414769886</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171.38557913738282</v>
      </c>
      <c r="Z39" s="9">
        <f t="shared" si="7"/>
        <v>401.92940366652584</v>
      </c>
      <c r="AA39" s="9">
        <f>SQRT((Inputs!$C$52+B39)^2+(Inputs!$C$52+Y39/1000)^2-2*(Inputs!$C$52+B39)*(Inputs!$C$52+Y39/1000)*COS(SQRT(A39^2+Inputs!$C$6^2)/Inputs!$C$52))</f>
        <v>405.3992861223478</v>
      </c>
      <c r="AB39" s="9">
        <f t="shared" si="8"/>
        <v>3469.8824558219599</v>
      </c>
      <c r="AC39" s="9">
        <f>AB39/Inputs!$C$12</f>
        <v>1949.3721661921122</v>
      </c>
      <c r="AD39" s="9">
        <f>2*AB39/Inputs!$C$21*1000000</f>
        <v>23.148564036403876</v>
      </c>
      <c r="AE39" s="9">
        <f t="shared" si="9"/>
        <v>6.8764234257235453</v>
      </c>
      <c r="AF39" s="9">
        <f>DEGREES((2*PI()/Inputs!$C$13)*Inputs!$C$15*SIN(RADIANS(AE39)))</f>
        <v>43.102195236274746</v>
      </c>
      <c r="AG39" s="9">
        <f t="shared" si="10"/>
        <v>0.96620036347775673</v>
      </c>
      <c r="AH39" s="9">
        <f t="shared" si="11"/>
        <v>-0.14932803470949726</v>
      </c>
      <c r="AI39" s="9">
        <f t="shared" si="12"/>
        <v>-104.06358959985755</v>
      </c>
      <c r="AJ39" s="9">
        <f t="shared" si="13"/>
        <v>-1.2357428250429621</v>
      </c>
      <c r="AK39" s="9">
        <f t="shared" si="14"/>
        <v>187.1781345521527</v>
      </c>
      <c r="AL39" s="9">
        <f>1000*(AA40-AA38)/(A40-A38)*Inputs!$C$11</f>
        <v>-905.01393411864228</v>
      </c>
      <c r="AM39" s="9">
        <f>-2*AL39/Inputs!$C$13</f>
        <v>362.00557364745691</v>
      </c>
      <c r="AN39" s="9">
        <f>-2*AL39/Inputs!$C$14</f>
        <v>54.355191238356902</v>
      </c>
      <c r="AO39" s="9">
        <f t="shared" si="15"/>
        <v>362.00557364745691</v>
      </c>
      <c r="AP39" s="9">
        <f t="shared" si="16"/>
        <v>54.355191238356902</v>
      </c>
      <c r="AQ39" s="9">
        <f>IF(OR(Inputs!$C$27=TRUE,Inputs!$C$27="TRUE",Inputs!$C$27=1),Inputs!$C$46/Inputs!$C$12,0)</f>
        <v>42.134831460674157</v>
      </c>
      <c r="AR39" s="9">
        <f t="shared" si="17"/>
        <v>1907.2373347314381</v>
      </c>
      <c r="AS39" s="9">
        <f t="shared" si="18"/>
        <v>1991.5069976527864</v>
      </c>
    </row>
    <row r="40" spans="1:45">
      <c r="A40" s="9">
        <f>Inputs!$C$7+38*(Inputs!$C$8-Inputs!$C$7)/240</f>
        <v>-41</v>
      </c>
      <c r="B40" s="9">
        <f>Inputs!$C$5+Inputs!$C$9*(A40/Inputs!$C$10)^2</f>
        <v>401.8677777777778</v>
      </c>
      <c r="C40" s="9">
        <f t="shared" si="0"/>
        <v>401.8677777777778</v>
      </c>
      <c r="D40" s="9">
        <f>SQRT((Inputs!$C$52+B40)^2+Inputs!$C$52^2-2*(Inputs!$C$52+B40)*Inputs!$C$52*COS(SQRT(A40^2+Inputs!$C$6^2)/Inputs!$C$52))</f>
        <v>405.4592712120434</v>
      </c>
      <c r="E40" s="9">
        <f t="shared" si="1"/>
        <v>3591.4934342656011</v>
      </c>
      <c r="F40" s="9">
        <f>E40/Inputs!$C$12</f>
        <v>2017.6929405986523</v>
      </c>
      <c r="G40" s="9">
        <f>2*E40/Inputs!$C$21*1000000</f>
        <v>23.959865156218179</v>
      </c>
      <c r="H40" s="9">
        <f>SQRT(A40^2+Inputs!$C$6^2)</f>
        <v>48.020828814171878</v>
      </c>
      <c r="I40" s="9">
        <f t="shared" si="2"/>
        <v>6.8141972969973379</v>
      </c>
      <c r="J40" s="9">
        <f>DEGREES((2*PI()/Inputs!$C$13)*Inputs!$C$15*SIN(RADIANS(I40)))</f>
        <v>42.714004022176852</v>
      </c>
      <c r="K40" s="9">
        <f t="shared" si="3"/>
        <v>0.96503663334071799</v>
      </c>
      <c r="L40" s="9">
        <f t="shared" si="4"/>
        <v>-0.15456200277187909</v>
      </c>
      <c r="M40" s="9">
        <f>2*(Inputs!$C$9/(Inputs!$C$10^2))*A40</f>
        <v>-9.1111111111111115E-2</v>
      </c>
      <c r="N40" s="9">
        <f>M40*Inputs!$C$11</f>
        <v>-0.36444444444444446</v>
      </c>
      <c r="O40" s="9">
        <f>1000*(D41-D39)/(A41-A39)*Inputs!$C$11</f>
        <v>-870.42212220785586</v>
      </c>
      <c r="P40" s="9">
        <f>-2*O40/Inputs!$C$13</f>
        <v>348.16884888314235</v>
      </c>
      <c r="Q40" s="9">
        <f>-2*O40/Inputs!$C$14</f>
        <v>52.277604937408768</v>
      </c>
      <c r="R40" s="9">
        <f>F40-Inputs!$C$16/2</f>
        <v>2002.6929405986523</v>
      </c>
      <c r="S40" s="9">
        <f>F40+Inputs!$C$16/2</f>
        <v>2032.6929405986523</v>
      </c>
      <c r="T40" s="9">
        <f>F40-Inputs!$C$17/2</f>
        <v>1867.6929405986523</v>
      </c>
      <c r="U40" s="9">
        <f>F40+Inputs!$C$17/2</f>
        <v>2167.6929405986521</v>
      </c>
      <c r="V40" s="9">
        <f t="shared" si="5"/>
        <v>348.16884888314235</v>
      </c>
      <c r="W40" s="9">
        <f t="shared" si="6"/>
        <v>52.277604937408768</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-17.886266996681616</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176.66624192778235</v>
      </c>
      <c r="Z40" s="9">
        <f t="shared" si="7"/>
        <v>401.8856640447745</v>
      </c>
      <c r="AA40" s="9">
        <f>SQRT((Inputs!$C$52+B40)^2+(Inputs!$C$52+Y40/1000)^2-2*(Inputs!$C$52+B40)*(Inputs!$C$52+Y40/1000)*COS(SQRT(A40^2+Inputs!$C$6^2)/Inputs!$C$52))</f>
        <v>405.28457542429743</v>
      </c>
      <c r="AB40" s="9">
        <f t="shared" si="8"/>
        <v>3398.9113795229287</v>
      </c>
      <c r="AC40" s="9">
        <f>AB40/Inputs!$C$12</f>
        <v>1909.5007750128811</v>
      </c>
      <c r="AD40" s="9">
        <f>2*AB40/Inputs!$C$21*1000000</f>
        <v>22.675095979385372</v>
      </c>
      <c r="AE40" s="9">
        <f t="shared" si="9"/>
        <v>6.817166024888464</v>
      </c>
      <c r="AF40" s="9">
        <f>DEGREES((2*PI()/Inputs!$C$13)*Inputs!$C$15*SIN(RADIANS(AE40)))</f>
        <v>42.732525269610122</v>
      </c>
      <c r="AG40" s="9">
        <f t="shared" si="10"/>
        <v>0.96687372005470584</v>
      </c>
      <c r="AH40" s="9">
        <f t="shared" si="11"/>
        <v>-0.14630243874252219</v>
      </c>
      <c r="AI40" s="9">
        <f t="shared" si="12"/>
        <v>-108.19216558577114</v>
      </c>
      <c r="AJ40" s="9">
        <f t="shared" si="13"/>
        <v>-1.2847691768328069</v>
      </c>
      <c r="AK40" s="9">
        <f t="shared" si="14"/>
        <v>194.55250892446398</v>
      </c>
      <c r="AL40" s="9">
        <f>1000*(AA41-AA39)/(A41-A39)*Inputs!$C$11</f>
        <v>-949.26050871026746</v>
      </c>
      <c r="AM40" s="9">
        <f>-2*AL40/Inputs!$C$13</f>
        <v>379.70420348410698</v>
      </c>
      <c r="AN40" s="9">
        <f>-2*AL40/Inputs!$C$14</f>
        <v>57.012643165781832</v>
      </c>
      <c r="AO40" s="9">
        <f t="shared" si="15"/>
        <v>379.70420348410698</v>
      </c>
      <c r="AP40" s="9">
        <f t="shared" si="16"/>
        <v>57.012643165781832</v>
      </c>
      <c r="AQ40" s="9">
        <f>IF(OR(Inputs!$C$27=TRUE,Inputs!$C$27="TRUE",Inputs!$C$27=1),Inputs!$C$46/Inputs!$C$12,0)</f>
        <v>42.134831460674157</v>
      </c>
      <c r="AR40" s="9">
        <f t="shared" si="17"/>
        <v>1867.365943552207</v>
      </c>
      <c r="AS40" s="9">
        <f t="shared" si="18"/>
        <v>1951.6356064735553</v>
      </c>
    </row>
    <row r="41" spans="1:45">
      <c r="A41" s="9">
        <f>Inputs!$C$7+39*(Inputs!$C$8-Inputs!$C$7)/240</f>
        <v>-40.5</v>
      </c>
      <c r="B41" s="9">
        <f>Inputs!$C$5+Inputs!$C$9*(A41/Inputs!$C$10)^2</f>
        <v>401.82249999999999</v>
      </c>
      <c r="C41" s="9">
        <f t="shared" si="0"/>
        <v>401.82249999999999</v>
      </c>
      <c r="D41" s="9">
        <f>SQRT((Inputs!$C$52+B41)^2+Inputs!$C$52^2-2*(Inputs!$C$52+B41)*Inputs!$C$52*COS(SQRT(A41^2+Inputs!$C$6^2)/Inputs!$C$52))</f>
        <v>405.35112122586884</v>
      </c>
      <c r="E41" s="9">
        <f t="shared" si="1"/>
        <v>3528.6212258688465</v>
      </c>
      <c r="F41" s="9">
        <f>E41/Inputs!$C$12</f>
        <v>1982.3714752072171</v>
      </c>
      <c r="G41" s="9">
        <f>2*E41/Inputs!$C$21*1000000</f>
        <v>23.540426930078716</v>
      </c>
      <c r="H41" s="9">
        <f>SQRT(A41^2+Inputs!$C$6^2)</f>
        <v>47.594642555649052</v>
      </c>
      <c r="I41" s="9">
        <f t="shared" si="2"/>
        <v>6.7550363346833162</v>
      </c>
      <c r="J41" s="9">
        <f>DEGREES((2*PI()/Inputs!$C$13)*Inputs!$C$15*SIN(RADIANS(I41)))</f>
        <v>42.344887802096068</v>
      </c>
      <c r="K41" s="9">
        <f t="shared" si="3"/>
        <v>0.96563164756913622</v>
      </c>
      <c r="L41" s="9">
        <f t="shared" si="4"/>
        <v>-0.15188509129213362</v>
      </c>
      <c r="M41" s="9">
        <f>2*(Inputs!$C$9/(Inputs!$C$10^2))*A41</f>
        <v>-0.09</v>
      </c>
      <c r="N41" s="9">
        <f>M41*Inputs!$C$11</f>
        <v>-0.36</v>
      </c>
      <c r="O41" s="9">
        <f>1000*(D42-D40)/(A42-A40)*Inputs!$C$11</f>
        <v>-859.97462381146761</v>
      </c>
      <c r="P41" s="9">
        <f>-2*O41/Inputs!$C$13</f>
        <v>343.98984952458704</v>
      </c>
      <c r="Q41" s="9">
        <f>-2*O41/Inputs!$C$14</f>
        <v>51.650127556244307</v>
      </c>
      <c r="R41" s="9">
        <f>F41-Inputs!$C$16/2</f>
        <v>1967.3714752072171</v>
      </c>
      <c r="S41" s="9">
        <f>F41+Inputs!$C$16/2</f>
        <v>1997.3714752072171</v>
      </c>
      <c r="T41" s="9">
        <f>F41-Inputs!$C$17/2</f>
        <v>1832.3714752072171</v>
      </c>
      <c r="U41" s="9">
        <f>F41+Inputs!$C$17/2</f>
        <v>2132.3714752072174</v>
      </c>
      <c r="V41" s="9">
        <f t="shared" si="5"/>
        <v>343.98984952458704</v>
      </c>
      <c r="W41" s="9">
        <f t="shared" si="6"/>
        <v>51.650127556244307</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-15.042977474303433</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191.24651788741608</v>
      </c>
      <c r="Z41" s="9">
        <f t="shared" si="7"/>
        <v>401.8375429774743</v>
      </c>
      <c r="AA41" s="9">
        <f>SQRT((Inputs!$C$52+B41)^2+(Inputs!$C$52+Y41/1000)^2-2*(Inputs!$C$52+B41)*(Inputs!$C$52+Y41/1000)*COS(SQRT(A41^2+Inputs!$C$6^2)/Inputs!$C$52))</f>
        <v>405.16197099517024</v>
      </c>
      <c r="AB41" s="9">
        <f t="shared" si="8"/>
        <v>3324.4280176959364</v>
      </c>
      <c r="AC41" s="9">
        <f>AB41/Inputs!$C$12</f>
        <v>1867.6561897168183</v>
      </c>
      <c r="AD41" s="9">
        <f>2*AB41/Inputs!$C$21*1000000</f>
        <v>22.178196475482626</v>
      </c>
      <c r="AE41" s="9">
        <f t="shared" si="9"/>
        <v>6.7582231651457585</v>
      </c>
      <c r="AF41" s="9">
        <f>DEGREES((2*PI()/Inputs!$C$13)*Inputs!$C$15*SIN(RADIANS(AE41)))</f>
        <v>42.364772182592084</v>
      </c>
      <c r="AG41" s="9">
        <f t="shared" si="10"/>
        <v>0.9675810139974782</v>
      </c>
      <c r="AH41" s="9">
        <f t="shared" si="11"/>
        <v>-0.14312662010266847</v>
      </c>
      <c r="AI41" s="9">
        <f t="shared" si="12"/>
        <v>-114.71528549039886</v>
      </c>
      <c r="AJ41" s="9">
        <f t="shared" si="13"/>
        <v>-1.3622304545960908</v>
      </c>
      <c r="AK41" s="9">
        <f t="shared" si="14"/>
        <v>206.2894953617195</v>
      </c>
      <c r="AL41" s="9">
        <f>1000*(AA42-AA40)/(A42-A40)*Inputs!$C$11</f>
        <v>-943.33769797481182</v>
      </c>
      <c r="AM41" s="9">
        <f>-2*AL41/Inputs!$C$13</f>
        <v>377.33507918992473</v>
      </c>
      <c r="AN41" s="9">
        <f>-2*AL41/Inputs!$C$14</f>
        <v>56.656918797285996</v>
      </c>
      <c r="AO41" s="9">
        <f t="shared" si="15"/>
        <v>377.33507918992473</v>
      </c>
      <c r="AP41" s="9">
        <f t="shared" si="16"/>
        <v>56.656918797285996</v>
      </c>
      <c r="AQ41" s="9">
        <f>IF(OR(Inputs!$C$27=TRUE,Inputs!$C$27="TRUE",Inputs!$C$27=1),Inputs!$C$46/Inputs!$C$12,0)</f>
        <v>42.134831460674157</v>
      </c>
      <c r="AR41" s="9">
        <f t="shared" si="17"/>
        <v>1825.5213582561441</v>
      </c>
      <c r="AS41" s="9">
        <f t="shared" si="18"/>
        <v>1909.7910211774924</v>
      </c>
    </row>
    <row r="42" spans="1:45">
      <c r="A42" s="9">
        <f>Inputs!$C$7+40*(Inputs!$C$8-Inputs!$C$7)/240</f>
        <v>-40</v>
      </c>
      <c r="B42" s="9">
        <f>Inputs!$C$5+Inputs!$C$9*(A42/Inputs!$C$10)^2</f>
        <v>401.77777777777777</v>
      </c>
      <c r="C42" s="9">
        <f t="shared" si="0"/>
        <v>401.77777777777777</v>
      </c>
      <c r="D42" s="9">
        <f>SQRT((Inputs!$C$52+B42)^2+Inputs!$C$52^2-2*(Inputs!$C$52+B42)*Inputs!$C$52*COS(SQRT(A42^2+Inputs!$C$6^2)/Inputs!$C$52))</f>
        <v>405.24427755609054</v>
      </c>
      <c r="E42" s="9">
        <f t="shared" si="1"/>
        <v>3466.499778312766</v>
      </c>
      <c r="F42" s="9">
        <f>E42/Inputs!$C$12</f>
        <v>1947.4717855689696</v>
      </c>
      <c r="G42" s="9">
        <f>2*E42/Inputs!$C$21*1000000</f>
        <v>23.12599724114985</v>
      </c>
      <c r="H42" s="9">
        <f>SQRT(A42^2+Inputs!$C$6^2)</f>
        <v>47.169905660283021</v>
      </c>
      <c r="I42" s="9">
        <f t="shared" si="2"/>
        <v>6.6960422614565118</v>
      </c>
      <c r="J42" s="9">
        <f>DEGREES((2*PI()/Inputs!$C$13)*Inputs!$C$15*SIN(RADIANS(I42)))</f>
        <v>41.976767877765525</v>
      </c>
      <c r="K42" s="9">
        <f t="shared" si="3"/>
        <v>0.96622014026175418</v>
      </c>
      <c r="L42" s="9">
        <f t="shared" si="4"/>
        <v>-0.14923914155044041</v>
      </c>
      <c r="M42" s="9">
        <f>2*(Inputs!$C$9/(Inputs!$C$10^2))*A42</f>
        <v>-8.8888888888888892E-2</v>
      </c>
      <c r="N42" s="9">
        <f>M42*Inputs!$C$11</f>
        <v>-0.35555555555555557</v>
      </c>
      <c r="O42" s="9">
        <f>1000*(D43-D41)/(A43-A41)*Inputs!$C$11</f>
        <v>-849.52109312484936</v>
      </c>
      <c r="P42" s="9">
        <f>-2*O42/Inputs!$C$13</f>
        <v>339.80843724993974</v>
      </c>
      <c r="Q42" s="9">
        <f>-2*O42/Inputs!$C$14</f>
        <v>51.022287875366331</v>
      </c>
      <c r="R42" s="9">
        <f>F42-Inputs!$C$16/2</f>
        <v>1932.4717855689696</v>
      </c>
      <c r="S42" s="9">
        <f>F42+Inputs!$C$16/2</f>
        <v>1962.4717855689696</v>
      </c>
      <c r="T42" s="9">
        <f>F42-Inputs!$C$17/2</f>
        <v>1797.4717855689696</v>
      </c>
      <c r="U42" s="9">
        <f>F42+Inputs!$C$17/2</f>
        <v>2097.4717855689696</v>
      </c>
      <c r="V42" s="9">
        <f t="shared" si="5"/>
        <v>339.80843724993974</v>
      </c>
      <c r="W42" s="9">
        <f t="shared" si="6"/>
        <v>51.022287875366331</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-31.231711064274894</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197.66557297517377</v>
      </c>
      <c r="Z42" s="9">
        <f t="shared" si="7"/>
        <v>401.80900948884204</v>
      </c>
      <c r="AA42" s="9">
        <f>SQRT((Inputs!$C$52+B42)^2+(Inputs!$C$52+Y42/1000)^2-2*(Inputs!$C$52+B42)*(Inputs!$C$52+Y42/1000)*COS(SQRT(A42^2+Inputs!$C$6^2)/Inputs!$C$52))</f>
        <v>405.04874099980373</v>
      </c>
      <c r="AB42" s="9">
        <f t="shared" si="8"/>
        <v>3239.7315109616898</v>
      </c>
      <c r="AC42" s="9">
        <f>AB42/Inputs!$C$12</f>
        <v>1820.073882562747</v>
      </c>
      <c r="AD42" s="9">
        <f>2*AB42/Inputs!$C$21*1000000</f>
        <v>21.613162202777559</v>
      </c>
      <c r="AE42" s="9">
        <f t="shared" si="9"/>
        <v>6.699308233472455</v>
      </c>
      <c r="AF42" s="9">
        <f>DEGREES((2*PI()/Inputs!$C$13)*Inputs!$C$15*SIN(RADIANS(AE42)))</f>
        <v>41.997148539170077</v>
      </c>
      <c r="AG42" s="9">
        <f t="shared" si="10"/>
        <v>0.96838830340803017</v>
      </c>
      <c r="AH42" s="9">
        <f t="shared" si="11"/>
        <v>-0.13950464785888392</v>
      </c>
      <c r="AI42" s="9">
        <f t="shared" si="12"/>
        <v>-127.39790300622258</v>
      </c>
      <c r="AJ42" s="9">
        <f t="shared" si="13"/>
        <v>-1.5128350383722911</v>
      </c>
      <c r="AK42" s="9">
        <f t="shared" si="14"/>
        <v>228.89728403944866</v>
      </c>
      <c r="AL42" s="9">
        <f>1000*(AA43-AA41)/(A43-A41)*Inputs!$C$11</f>
        <v>-888.33971303142789</v>
      </c>
      <c r="AM42" s="9">
        <f>-2*AL42/Inputs!$C$13</f>
        <v>355.33588521257116</v>
      </c>
      <c r="AN42" s="9">
        <f>-2*AL42/Inputs!$C$14</f>
        <v>53.353736518404084</v>
      </c>
      <c r="AO42" s="9">
        <f t="shared" si="15"/>
        <v>355.33588521257116</v>
      </c>
      <c r="AP42" s="9">
        <f t="shared" si="16"/>
        <v>53.353736518404084</v>
      </c>
      <c r="AQ42" s="9">
        <f>IF(OR(Inputs!$C$27=TRUE,Inputs!$C$27="TRUE",Inputs!$C$27=1),Inputs!$C$46/Inputs!$C$12,0)</f>
        <v>42.134831460674157</v>
      </c>
      <c r="AR42" s="9">
        <f t="shared" si="17"/>
        <v>1777.9390511020729</v>
      </c>
      <c r="AS42" s="9">
        <f t="shared" si="18"/>
        <v>1862.2087140234212</v>
      </c>
    </row>
    <row r="43" spans="1:45">
      <c r="A43" s="9">
        <f>Inputs!$C$7+41*(Inputs!$C$8-Inputs!$C$7)/240</f>
        <v>-39.5</v>
      </c>
      <c r="B43" s="9">
        <f>Inputs!$C$5+Inputs!$C$9*(A43/Inputs!$C$10)^2</f>
        <v>401.73361111111109</v>
      </c>
      <c r="C43" s="9">
        <f t="shared" si="0"/>
        <v>401.73361111111109</v>
      </c>
      <c r="D43" s="9">
        <f>SQRT((Inputs!$C$52+B43)^2+Inputs!$C$52^2-2*(Inputs!$C$52+B43)*Inputs!$C$52*COS(SQRT(A43^2+Inputs!$C$6^2)/Inputs!$C$52))</f>
        <v>405.13874095258763</v>
      </c>
      <c r="E43" s="9">
        <f t="shared" si="1"/>
        <v>3405.129841476537</v>
      </c>
      <c r="F43" s="9">
        <f>E43/Inputs!$C$12</f>
        <v>1912.9942929643466</v>
      </c>
      <c r="G43" s="9">
        <f>2*E43/Inputs!$C$21*1000000</f>
        <v>22.716581092086958</v>
      </c>
      <c r="H43" s="9">
        <f>SQRT(A43^2+Inputs!$C$6^2)</f>
        <v>46.746657634530408</v>
      </c>
      <c r="I43" s="9">
        <f t="shared" si="2"/>
        <v>6.6372211939086254</v>
      </c>
      <c r="J43" s="9">
        <f>DEGREES((2*PI()/Inputs!$C$13)*Inputs!$C$15*SIN(RADIANS(I43)))</f>
        <v>41.609683192895538</v>
      </c>
      <c r="K43" s="9">
        <f t="shared" si="3"/>
        <v>0.96680208395170664</v>
      </c>
      <c r="L43" s="9">
        <f t="shared" si="4"/>
        <v>-0.1466242213721376</v>
      </c>
      <c r="M43" s="9">
        <f>2*(Inputs!$C$9/(Inputs!$C$10^2))*A43</f>
        <v>-8.7777777777777774E-2</v>
      </c>
      <c r="N43" s="9">
        <f>M43*Inputs!$C$11</f>
        <v>-0.3511111111111111</v>
      </c>
      <c r="O43" s="9">
        <f>1000*(D44-D42)/(A44-A42)*Inputs!$C$11</f>
        <v>-839.06159677599135</v>
      </c>
      <c r="P43" s="9">
        <f>-2*O43/Inputs!$C$13</f>
        <v>335.62463871039654</v>
      </c>
      <c r="Q43" s="9">
        <f>-2*O43/Inputs!$C$14</f>
        <v>50.394089896455938</v>
      </c>
      <c r="R43" s="9">
        <f>F43-Inputs!$C$16/2</f>
        <v>1897.9942929643466</v>
      </c>
      <c r="S43" s="9">
        <f>F43+Inputs!$C$16/2</f>
        <v>1927.9942929643466</v>
      </c>
      <c r="T43" s="9">
        <f>F43-Inputs!$C$17/2</f>
        <v>1762.9942929643466</v>
      </c>
      <c r="U43" s="9">
        <f>F43+Inputs!$C$17/2</f>
        <v>2062.9942929643466</v>
      </c>
      <c r="V43" s="9">
        <f t="shared" si="5"/>
        <v>335.62463871039654</v>
      </c>
      <c r="W43" s="9">
        <f t="shared" si="6"/>
        <v>50.394089896455938</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-33.241151326098546</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200.98178735327417</v>
      </c>
      <c r="Z43" s="9">
        <f t="shared" si="7"/>
        <v>401.76685226243717</v>
      </c>
      <c r="AA43" s="9">
        <f>SQRT((Inputs!$C$52+B43)^2+(Inputs!$C$52+Y43/1000)^2-2*(Inputs!$C$52+B43)*(Inputs!$C$52+Y43/1000)*COS(SQRT(A43^2+Inputs!$C$6^2)/Inputs!$C$52))</f>
        <v>404.93988606691238</v>
      </c>
      <c r="AB43" s="9">
        <f t="shared" si="8"/>
        <v>3173.0338044752102</v>
      </c>
      <c r="AC43" s="9">
        <f>AB43/Inputs!$C$12</f>
        <v>1782.6032609411293</v>
      </c>
      <c r="AD43" s="9">
        <f>2*AB43/Inputs!$C$21*1000000</f>
        <v>21.168203000458472</v>
      </c>
      <c r="AE43" s="9">
        <f t="shared" si="9"/>
        <v>6.6405137032083941</v>
      </c>
      <c r="AF43" s="9">
        <f>DEGREES((2*PI()/Inputs!$C$13)*Inputs!$C$15*SIN(RADIANS(AE43)))</f>
        <v>41.63023192067994</v>
      </c>
      <c r="AG43" s="9">
        <f t="shared" si="10"/>
        <v>0.96902322148219733</v>
      </c>
      <c r="AH43" s="9">
        <f t="shared" si="11"/>
        <v>-0.13665815476848781</v>
      </c>
      <c r="AI43" s="9">
        <f t="shared" si="12"/>
        <v>-130.39103202321735</v>
      </c>
      <c r="AJ43" s="9">
        <f t="shared" si="13"/>
        <v>-1.5483780916284857</v>
      </c>
      <c r="AK43" s="9">
        <f t="shared" si="14"/>
        <v>234.2229386793727</v>
      </c>
      <c r="AL43" s="9">
        <f>1000*(AA44-AA42)/(A44-A42)*Inputs!$C$11</f>
        <v>-787.41809613757141</v>
      </c>
      <c r="AM43" s="9">
        <f>-2*AL43/Inputs!$C$13</f>
        <v>314.96723845502856</v>
      </c>
      <c r="AN43" s="9">
        <f>-2*AL43/Inputs!$C$14</f>
        <v>47.292378146400686</v>
      </c>
      <c r="AO43" s="9">
        <f t="shared" si="15"/>
        <v>314.96723845502856</v>
      </c>
      <c r="AP43" s="9">
        <f t="shared" si="16"/>
        <v>47.292378146400686</v>
      </c>
      <c r="AQ43" s="9">
        <f>IF(OR(Inputs!$C$27=TRUE,Inputs!$C$27="TRUE",Inputs!$C$27=1),Inputs!$C$46/Inputs!$C$12,0)</f>
        <v>42.134831460674157</v>
      </c>
      <c r="AR43" s="9">
        <f t="shared" si="17"/>
        <v>1740.4684294804551</v>
      </c>
      <c r="AS43" s="9">
        <f t="shared" si="18"/>
        <v>1824.7380924018034</v>
      </c>
    </row>
    <row r="44" spans="1:45">
      <c r="A44" s="9">
        <f>Inputs!$C$7+42*(Inputs!$C$8-Inputs!$C$7)/240</f>
        <v>-39</v>
      </c>
      <c r="B44" s="9">
        <f>Inputs!$C$5+Inputs!$C$9*(A44/Inputs!$C$10)^2</f>
        <v>401.69</v>
      </c>
      <c r="C44" s="9">
        <f t="shared" si="0"/>
        <v>401.69</v>
      </c>
      <c r="D44" s="9">
        <f>SQRT((Inputs!$C$52+B44)^2+Inputs!$C$52^2-2*(Inputs!$C$52+B44)*Inputs!$C$52*COS(SQRT(A44^2+Inputs!$C$6^2)/Inputs!$C$52))</f>
        <v>405.03451215689654</v>
      </c>
      <c r="E44" s="9">
        <f t="shared" si="1"/>
        <v>3344.5121568965419</v>
      </c>
      <c r="F44" s="9">
        <f>E44/Inputs!$C$12</f>
        <v>1878.9394139868214</v>
      </c>
      <c r="G44" s="9">
        <f>2*E44/Inputs!$C$21*1000000</f>
        <v>22.3121834298883</v>
      </c>
      <c r="H44" s="9">
        <f>SQRT(A44^2+Inputs!$C$6^2)</f>
        <v>46.324939287601879</v>
      </c>
      <c r="I44" s="9">
        <f t="shared" si="2"/>
        <v>6.5785794361869598</v>
      </c>
      <c r="J44" s="9">
        <f>DEGREES((2*PI()/Inputs!$C$13)*Inputs!$C$15*SIN(RADIANS(I44)))</f>
        <v>41.243673872364795</v>
      </c>
      <c r="K44" s="9">
        <f t="shared" si="3"/>
        <v>0.96737745142985054</v>
      </c>
      <c r="L44" s="9">
        <f t="shared" si="4"/>
        <v>-0.14404039785809303</v>
      </c>
      <c r="M44" s="9">
        <f>2*(Inputs!$C$9/(Inputs!$C$10^2))*A44</f>
        <v>-8.666666666666667E-2</v>
      </c>
      <c r="N44" s="9">
        <f>M44*Inputs!$C$11</f>
        <v>-0.34666666666666668</v>
      </c>
      <c r="O44" s="9">
        <f>1000*(D45-D43)/(A45-A43)*Inputs!$C$11</f>
        <v>-828.59620164936132</v>
      </c>
      <c r="P44" s="9">
        <f>-2*O44/Inputs!$C$13</f>
        <v>331.43848065974453</v>
      </c>
      <c r="Q44" s="9">
        <f>-2*O44/Inputs!$C$14</f>
        <v>49.765537636598282</v>
      </c>
      <c r="R44" s="9">
        <f>F44-Inputs!$C$16/2</f>
        <v>1863.9394139868214</v>
      </c>
      <c r="S44" s="9">
        <f>F44+Inputs!$C$16/2</f>
        <v>1893.9394139868214</v>
      </c>
      <c r="T44" s="9">
        <f>F44-Inputs!$C$17/2</f>
        <v>1728.9394139868214</v>
      </c>
      <c r="U44" s="9">
        <f>F44+Inputs!$C$17/2</f>
        <v>2028.9394139868214</v>
      </c>
      <c r="V44" s="9">
        <f t="shared" si="5"/>
        <v>331.43848065974453</v>
      </c>
      <c r="W44" s="9">
        <f t="shared" si="6"/>
        <v>49.765537636598282</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-32.020201365077646</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184.54420924136062</v>
      </c>
      <c r="Z44" s="9">
        <f t="shared" si="7"/>
        <v>401.72202020136507</v>
      </c>
      <c r="AA44" s="9">
        <f>SQRT((Inputs!$C$52+B44)^2+(Inputs!$C$52+Y44/1000)^2-2*(Inputs!$C$52+B44)*(Inputs!$C$52+Y44/1000)*COS(SQRT(A44^2+Inputs!$C$6^2)/Inputs!$C$52))</f>
        <v>404.85188647576933</v>
      </c>
      <c r="AB44" s="9">
        <f t="shared" si="8"/>
        <v>3129.8662744042645</v>
      </c>
      <c r="AC44" s="9">
        <f>AB44/Inputs!$C$12</f>
        <v>1758.3518395529575</v>
      </c>
      <c r="AD44" s="9">
        <f>2*AB44/Inputs!$C$21*1000000</f>
        <v>20.88022023825739</v>
      </c>
      <c r="AE44" s="9">
        <f t="shared" si="9"/>
        <v>6.5815766300257703</v>
      </c>
      <c r="AF44" s="9">
        <f>DEGREES((2*PI()/Inputs!$C$13)*Inputs!$C$15*SIN(RADIANS(AE44)))</f>
        <v>41.262381744546992</v>
      </c>
      <c r="AG44" s="9">
        <f t="shared" si="10"/>
        <v>0.96943318690102065</v>
      </c>
      <c r="AH44" s="9">
        <f t="shared" si="11"/>
        <v>-0.13482117023738674</v>
      </c>
      <c r="AI44" s="9">
        <f t="shared" si="12"/>
        <v>-120.58757443386389</v>
      </c>
      <c r="AJ44" s="9">
        <f t="shared" si="13"/>
        <v>-1.4319631916309099</v>
      </c>
      <c r="AK44" s="9">
        <f t="shared" si="14"/>
        <v>216.56441060643826</v>
      </c>
      <c r="AL44" s="9">
        <f>1000*(AA45-AA43)/(A45-A43)*Inputs!$C$11</f>
        <v>-871.0683408874047</v>
      </c>
      <c r="AM44" s="9">
        <f>-2*AL44/Inputs!$C$13</f>
        <v>348.42733635496188</v>
      </c>
      <c r="AN44" s="9">
        <f>-2*AL44/Inputs!$C$14</f>
        <v>52.316416870114402</v>
      </c>
      <c r="AO44" s="9">
        <f t="shared" si="15"/>
        <v>348.42733635496188</v>
      </c>
      <c r="AP44" s="9">
        <f t="shared" si="16"/>
        <v>52.316416870114402</v>
      </c>
      <c r="AQ44" s="9">
        <f>IF(OR(Inputs!$C$27=TRUE,Inputs!$C$27="TRUE",Inputs!$C$27=1),Inputs!$C$46/Inputs!$C$12,0)</f>
        <v>42.134831460674157</v>
      </c>
      <c r="AR44" s="9">
        <f t="shared" si="17"/>
        <v>1716.2170080922833</v>
      </c>
      <c r="AS44" s="9">
        <f t="shared" si="18"/>
        <v>1800.4866710136316</v>
      </c>
    </row>
    <row r="45" spans="1:45">
      <c r="A45" s="9">
        <f>Inputs!$C$7+43*(Inputs!$C$8-Inputs!$C$7)/240</f>
        <v>-38.5</v>
      </c>
      <c r="B45" s="9">
        <f>Inputs!$C$5+Inputs!$C$9*(A45/Inputs!$C$10)^2</f>
        <v>401.64694444444444</v>
      </c>
      <c r="C45" s="9">
        <f t="shared" si="0"/>
        <v>401.64694444444444</v>
      </c>
      <c r="D45" s="9">
        <f>SQRT((Inputs!$C$52+B45)^2+Inputs!$C$52^2-2*(Inputs!$C$52+B45)*Inputs!$C$52*COS(SQRT(A45^2+Inputs!$C$6^2)/Inputs!$C$52))</f>
        <v>404.93159190217528</v>
      </c>
      <c r="E45" s="9">
        <f t="shared" si="1"/>
        <v>3284.6474577308413</v>
      </c>
      <c r="F45" s="9">
        <f>E45/Inputs!$C$12</f>
        <v>1845.3075605229446</v>
      </c>
      <c r="G45" s="9">
        <f>2*E45/Inputs!$C$21*1000000</f>
        <v>21.91280914565797</v>
      </c>
      <c r="H45" s="9">
        <f>SQRT(A45^2+Inputs!$C$6^2)</f>
        <v>45.904792778096713</v>
      </c>
      <c r="I45" s="9">
        <f t="shared" si="2"/>
        <v>6.5201234866425004</v>
      </c>
      <c r="J45" s="9">
        <f>DEGREES((2*PI()/Inputs!$C$13)*Inputs!$C$15*SIN(RADIANS(I45)))</f>
        <v>40.87878126391778</v>
      </c>
      <c r="K45" s="9">
        <f t="shared" si="3"/>
        <v>0.96794621574763717</v>
      </c>
      <c r="L45" s="9">
        <f t="shared" si="4"/>
        <v>-0.14148773738048093</v>
      </c>
      <c r="M45" s="9">
        <f>2*(Inputs!$C$9/(Inputs!$C$10^2))*A45</f>
        <v>-8.5555555555555551E-2</v>
      </c>
      <c r="N45" s="9">
        <f>M45*Inputs!$C$11</f>
        <v>-0.34222222222222221</v>
      </c>
      <c r="O45" s="9">
        <f>1000*(D46-D44)/(A46-A44)*Inputs!$C$11</f>
        <v>-818.12497490614078</v>
      </c>
      <c r="P45" s="9">
        <f>-2*O45/Inputs!$C$13</f>
        <v>327.24998996245631</v>
      </c>
      <c r="Q45" s="9">
        <f>-2*O45/Inputs!$C$14</f>
        <v>49.136635129497947</v>
      </c>
      <c r="R45" s="9">
        <f>F45-Inputs!$C$16/2</f>
        <v>1830.3075605229446</v>
      </c>
      <c r="S45" s="9">
        <f>F45+Inputs!$C$16/2</f>
        <v>1860.3075605229446</v>
      </c>
      <c r="T45" s="9">
        <f>F45-Inputs!$C$17/2</f>
        <v>1695.3075605229446</v>
      </c>
      <c r="U45" s="9">
        <f>F45+Inputs!$C$17/2</f>
        <v>1995.3075605229446</v>
      </c>
      <c r="V45" s="9">
        <f t="shared" si="5"/>
        <v>327.24998996245631</v>
      </c>
      <c r="W45" s="9">
        <f t="shared" si="6"/>
        <v>49.136635129497947</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-34.295384147954024</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211.63430992610967</v>
      </c>
      <c r="Z45" s="9">
        <f t="shared" si="7"/>
        <v>401.68123982859242</v>
      </c>
      <c r="AA45" s="9">
        <f>SQRT((Inputs!$C$52+B45)^2+(Inputs!$C$52+Y45/1000)^2-2*(Inputs!$C$52+B45)*(Inputs!$C$52+Y45/1000)*COS(SQRT(A45^2+Inputs!$C$6^2)/Inputs!$C$52))</f>
        <v>404.72211898169053</v>
      </c>
      <c r="AB45" s="9">
        <f t="shared" si="8"/>
        <v>3040.8791530981034</v>
      </c>
      <c r="AC45" s="9">
        <f>AB45/Inputs!$C$12</f>
        <v>1708.3590747742153</v>
      </c>
      <c r="AD45" s="9">
        <f>2*AB45/Inputs!$C$21*1000000</f>
        <v>20.286562066201835</v>
      </c>
      <c r="AE45" s="9">
        <f t="shared" si="9"/>
        <v>6.5235312348616903</v>
      </c>
      <c r="AF45" s="9">
        <f>DEGREES((2*PI()/Inputs!$C$13)*Inputs!$C$15*SIN(RADIANS(AE45)))</f>
        <v>40.900054216224042</v>
      </c>
      <c r="AG45" s="9">
        <f t="shared" si="10"/>
        <v>0.97028302736540795</v>
      </c>
      <c r="AH45" s="9">
        <f t="shared" si="11"/>
        <v>-0.13101565430590625</v>
      </c>
      <c r="AI45" s="9">
        <f t="shared" si="12"/>
        <v>-136.94848574872935</v>
      </c>
      <c r="AJ45" s="9">
        <f t="shared" si="13"/>
        <v>-1.6262470794561352</v>
      </c>
      <c r="AK45" s="9">
        <f t="shared" si="14"/>
        <v>245.92969407406369</v>
      </c>
      <c r="AL45" s="9">
        <f>1000*(AA46-AA44)/(A46-A44)*Inputs!$C$11</f>
        <v>-891.22594813898104</v>
      </c>
      <c r="AM45" s="9">
        <f>-2*AL45/Inputs!$C$13</f>
        <v>356.49037925559242</v>
      </c>
      <c r="AN45" s="9">
        <f>-2*AL45/Inputs!$C$14</f>
        <v>53.527083972311175</v>
      </c>
      <c r="AO45" s="9">
        <f t="shared" si="15"/>
        <v>356.49037925559242</v>
      </c>
      <c r="AP45" s="9">
        <f t="shared" si="16"/>
        <v>53.527083972311175</v>
      </c>
      <c r="AQ45" s="9">
        <f>IF(OR(Inputs!$C$27=TRUE,Inputs!$C$27="TRUE",Inputs!$C$27=1),Inputs!$C$46/Inputs!$C$12,0)</f>
        <v>42.134831460674157</v>
      </c>
      <c r="AR45" s="9">
        <f t="shared" si="17"/>
        <v>1666.2242433135411</v>
      </c>
      <c r="AS45" s="9">
        <f t="shared" si="18"/>
        <v>1750.4939062348894</v>
      </c>
    </row>
    <row r="46" spans="1:45">
      <c r="A46" s="9">
        <f>Inputs!$C$7+44*(Inputs!$C$8-Inputs!$C$7)/240</f>
        <v>-38</v>
      </c>
      <c r="B46" s="9">
        <f>Inputs!$C$5+Inputs!$C$9*(A46/Inputs!$C$10)^2</f>
        <v>401.60444444444443</v>
      </c>
      <c r="C46" s="9">
        <f t="shared" si="0"/>
        <v>401.60444444444443</v>
      </c>
      <c r="D46" s="9">
        <f>SQRT((Inputs!$C$52+B46)^2+Inputs!$C$52^2-2*(Inputs!$C$52+B46)*Inputs!$C$52*COS(SQRT(A46^2+Inputs!$C$6^2)/Inputs!$C$52))</f>
        <v>404.82998091317</v>
      </c>
      <c r="E46" s="9">
        <f t="shared" si="1"/>
        <v>3225.5364687255792</v>
      </c>
      <c r="F46" s="9">
        <f>E46/Inputs!$C$12</f>
        <v>1812.0991397334715</v>
      </c>
      <c r="G46" s="9">
        <f>2*E46/Inputs!$C$21*1000000</f>
        <v>21.518463074381806</v>
      </c>
      <c r="H46" s="9">
        <f>SQRT(A46^2+Inputs!$C$6^2)</f>
        <v>45.486261662176638</v>
      </c>
      <c r="I46" s="9">
        <f t="shared" si="2"/>
        <v>6.4618600446971843</v>
      </c>
      <c r="J46" s="9">
        <f>DEGREES((2*PI()/Inputs!$C$13)*Inputs!$C$15*SIN(RADIANS(I46)))</f>
        <v>40.515047981236947</v>
      </c>
      <c r="K46" s="9">
        <f t="shared" si="3"/>
        <v>0.96850835021994941</v>
      </c>
      <c r="L46" s="9">
        <f t="shared" si="4"/>
        <v>-0.13896630557866255</v>
      </c>
      <c r="M46" s="9">
        <f>2*(Inputs!$C$9/(Inputs!$C$10^2))*A46</f>
        <v>-8.4444444444444447E-2</v>
      </c>
      <c r="N46" s="9">
        <f>M46*Inputs!$C$11</f>
        <v>-0.33777777777777779</v>
      </c>
      <c r="O46" s="9">
        <f>1000*(D47-D45)/(A47-A45)*Inputs!$C$11</f>
        <v>-807.64798399150095</v>
      </c>
      <c r="P46" s="9">
        <f>-2*O46/Inputs!$C$13</f>
        <v>323.05919359660038</v>
      </c>
      <c r="Q46" s="9">
        <f>-2*O46/Inputs!$C$14</f>
        <v>48.507386425915975</v>
      </c>
      <c r="R46" s="9">
        <f>F46-Inputs!$C$16/2</f>
        <v>1797.0991397334715</v>
      </c>
      <c r="S46" s="9">
        <f>F46+Inputs!$C$16/2</f>
        <v>1827.0991397334715</v>
      </c>
      <c r="T46" s="9">
        <f>F46-Inputs!$C$17/2</f>
        <v>1662.0991397334715</v>
      </c>
      <c r="U46" s="9">
        <f>F46+Inputs!$C$17/2</f>
        <v>1962.0991397334715</v>
      </c>
      <c r="V46" s="9">
        <f t="shared" si="5"/>
        <v>323.05919359660038</v>
      </c>
      <c r="W46" s="9">
        <f t="shared" si="6"/>
        <v>48.507386425915975</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-21.157379061522128</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202.93658014849487</v>
      </c>
      <c r="Z46" s="9">
        <f t="shared" si="7"/>
        <v>401.62560182350597</v>
      </c>
      <c r="AA46" s="9">
        <f>SQRT((Inputs!$C$52+B46)^2+(Inputs!$C$52+Y46/1000)^2-2*(Inputs!$C$52+B46)*(Inputs!$C$52+Y46/1000)*COS(SQRT(A46^2+Inputs!$C$6^2)/Inputs!$C$52))</f>
        <v>404.62907998873459</v>
      </c>
      <c r="AB46" s="9">
        <f t="shared" si="8"/>
        <v>3003.4781652286142</v>
      </c>
      <c r="AC46" s="9">
        <f>AB46/Inputs!$C$12</f>
        <v>1687.3472838363</v>
      </c>
      <c r="AD46" s="9">
        <f>2*AB46/Inputs!$C$21*1000000</f>
        <v>20.037049532637774</v>
      </c>
      <c r="AE46" s="9">
        <f t="shared" si="9"/>
        <v>6.465099314836217</v>
      </c>
      <c r="AF46" s="9">
        <f>DEGREES((2*PI()/Inputs!$C$13)*Inputs!$C$15*SIN(RADIANS(AE46)))</f>
        <v>40.53527154864959</v>
      </c>
      <c r="AG46" s="9">
        <f t="shared" si="10"/>
        <v>0.97063777971191645</v>
      </c>
      <c r="AH46" s="9">
        <f t="shared" si="11"/>
        <v>-0.12942808836622735</v>
      </c>
      <c r="AI46" s="9">
        <f t="shared" si="12"/>
        <v>-124.75185589717148</v>
      </c>
      <c r="AJ46" s="9">
        <f t="shared" si="13"/>
        <v>-1.4814135417440326</v>
      </c>
      <c r="AK46" s="9">
        <f t="shared" si="14"/>
        <v>224.093959210017</v>
      </c>
      <c r="AL46" s="9">
        <f>1000*(AA47-AA45)/(A47-A45)*Inputs!$C$11</f>
        <v>-917.07855207778266</v>
      </c>
      <c r="AM46" s="9">
        <f>-2*AL46/Inputs!$C$13</f>
        <v>366.83142083111306</v>
      </c>
      <c r="AN46" s="9">
        <f>-2*AL46/Inputs!$C$14</f>
        <v>55.079792917584548</v>
      </c>
      <c r="AO46" s="9">
        <f t="shared" si="15"/>
        <v>366.83142083111306</v>
      </c>
      <c r="AP46" s="9">
        <f t="shared" si="16"/>
        <v>55.079792917584548</v>
      </c>
      <c r="AQ46" s="9">
        <f>IF(OR(Inputs!$C$27=TRUE,Inputs!$C$27="TRUE",Inputs!$C$27=1),Inputs!$C$46/Inputs!$C$12,0)</f>
        <v>42.134831460674157</v>
      </c>
      <c r="AR46" s="9">
        <f t="shared" si="17"/>
        <v>1645.2124523756258</v>
      </c>
      <c r="AS46" s="9">
        <f t="shared" si="18"/>
        <v>1729.4821152969741</v>
      </c>
    </row>
    <row r="47" spans="1:45">
      <c r="A47" s="9">
        <f>Inputs!$C$7+45*(Inputs!$C$8-Inputs!$C$7)/240</f>
        <v>-37.5</v>
      </c>
      <c r="B47" s="9">
        <f>Inputs!$C$5+Inputs!$C$9*(A47/Inputs!$C$10)^2</f>
        <v>401.5625</v>
      </c>
      <c r="C47" s="9">
        <f t="shared" si="0"/>
        <v>401.5625</v>
      </c>
      <c r="D47" s="9">
        <f>SQRT((Inputs!$C$52+B47)^2+Inputs!$C$52^2-2*(Inputs!$C$52+B47)*Inputs!$C$52*COS(SQRT(A47^2+Inputs!$C$6^2)/Inputs!$C$52))</f>
        <v>404.72967990617741</v>
      </c>
      <c r="E47" s="9">
        <f t="shared" si="1"/>
        <v>3167.1799061774095</v>
      </c>
      <c r="F47" s="9">
        <f>E47/Inputs!$C$12</f>
        <v>1779.3145540322525</v>
      </c>
      <c r="G47" s="9">
        <f>2*E47/Inputs!$C$21*1000000</f>
        <v>21.129149994676713</v>
      </c>
      <c r="H47" s="9">
        <f>SQRT(A47^2+Inputs!$C$6^2)</f>
        <v>45.069390943299865</v>
      </c>
      <c r="I47" s="9">
        <f t="shared" si="2"/>
        <v>6.4037960179333062</v>
      </c>
      <c r="J47" s="9">
        <f>DEGREES((2*PI()/Inputs!$C$13)*Inputs!$C$15*SIN(RADIANS(I47)))</f>
        <v>40.152517948407976</v>
      </c>
      <c r="K47" s="9">
        <f t="shared" si="3"/>
        <v>0.96906382842795635</v>
      </c>
      <c r="L47" s="9">
        <f t="shared" si="4"/>
        <v>-0.13647616735493498</v>
      </c>
      <c r="M47" s="9">
        <f>2*(Inputs!$C$9/(Inputs!$C$10^2))*A47</f>
        <v>-8.3333333333333329E-2</v>
      </c>
      <c r="N47" s="9">
        <f>M47*Inputs!$C$11</f>
        <v>-0.33333333333333331</v>
      </c>
      <c r="O47" s="9">
        <f>1000*(D48-D46)/(A48-A46)*Inputs!$C$11</f>
        <v>-797.16529662255198</v>
      </c>
      <c r="P47" s="9">
        <f>-2*O47/Inputs!$C$13</f>
        <v>318.86611864902079</v>
      </c>
      <c r="Q47" s="9">
        <f>-2*O47/Inputs!$C$14</f>
        <v>47.877795592946072</v>
      </c>
      <c r="R47" s="9">
        <f>F47-Inputs!$C$16/2</f>
        <v>1764.3145540322525</v>
      </c>
      <c r="S47" s="9">
        <f>F47+Inputs!$C$16/2</f>
        <v>1794.3145540322525</v>
      </c>
      <c r="T47" s="9">
        <f>F47-Inputs!$C$17/2</f>
        <v>1629.3145540322525</v>
      </c>
      <c r="U47" s="9">
        <f>F47+Inputs!$C$17/2</f>
        <v>1929.3145540322525</v>
      </c>
      <c r="V47" s="9">
        <f t="shared" si="5"/>
        <v>318.86611864902079</v>
      </c>
      <c r="W47" s="9">
        <f t="shared" si="6"/>
        <v>47.877795592946072</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-18.69341167436205</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239.18714852881689</v>
      </c>
      <c r="Z47" s="9">
        <f t="shared" si="7"/>
        <v>401.58119341167435</v>
      </c>
      <c r="AA47" s="9">
        <f>SQRT((Inputs!$C$52+B47)^2+(Inputs!$C$52+Y47/1000)^2-2*(Inputs!$C$52+B47)*(Inputs!$C$52+Y47/1000)*COS(SQRT(A47^2+Inputs!$C$6^2)/Inputs!$C$52))</f>
        <v>404.49284934367108</v>
      </c>
      <c r="AB47" s="9">
        <f t="shared" si="8"/>
        <v>2911.6559319967337</v>
      </c>
      <c r="AC47" s="9">
        <f>AB47/Inputs!$C$12</f>
        <v>1635.7617595487268</v>
      </c>
      <c r="AD47" s="9">
        <f>2*AB47/Inputs!$C$21*1000000</f>
        <v>19.424477529696453</v>
      </c>
      <c r="AE47" s="9">
        <f t="shared" si="9"/>
        <v>6.4075809221470346</v>
      </c>
      <c r="AF47" s="9">
        <f>DEGREES((2*PI()/Inputs!$C$13)*Inputs!$C$15*SIN(RADIANS(AE47)))</f>
        <v>40.176150732946006</v>
      </c>
      <c r="AG47" s="9">
        <f t="shared" si="10"/>
        <v>0.97151625174399092</v>
      </c>
      <c r="AH47" s="9">
        <f t="shared" si="11"/>
        <v>-0.12549930026934686</v>
      </c>
      <c r="AI47" s="9">
        <f t="shared" si="12"/>
        <v>-143.55279448352576</v>
      </c>
      <c r="AJ47" s="9">
        <f t="shared" si="13"/>
        <v>-1.7046724649802592</v>
      </c>
      <c r="AK47" s="9">
        <f t="shared" si="14"/>
        <v>257.88056020317896</v>
      </c>
      <c r="AL47" s="9">
        <f>1000*(AA48-AA46)/(A48-A46)*Inputs!$C$11</f>
        <v>-929.17574816442539</v>
      </c>
      <c r="AM47" s="9">
        <f>-2*AL47/Inputs!$C$13</f>
        <v>371.67029926577015</v>
      </c>
      <c r="AN47" s="9">
        <f>-2*AL47/Inputs!$C$14</f>
        <v>55.806351241106633</v>
      </c>
      <c r="AO47" s="9">
        <f t="shared" si="15"/>
        <v>371.67029926577015</v>
      </c>
      <c r="AP47" s="9">
        <f t="shared" si="16"/>
        <v>55.806351241106633</v>
      </c>
      <c r="AQ47" s="9">
        <f>IF(OR(Inputs!$C$27=TRUE,Inputs!$C$27="TRUE",Inputs!$C$27=1),Inputs!$C$46/Inputs!$C$12,0)</f>
        <v>42.134831460674157</v>
      </c>
      <c r="AR47" s="9">
        <f t="shared" si="17"/>
        <v>1593.6269280880526</v>
      </c>
      <c r="AS47" s="9">
        <f t="shared" si="18"/>
        <v>1677.8965910094009</v>
      </c>
    </row>
    <row r="48" spans="1:45">
      <c r="A48" s="9">
        <f>Inputs!$C$7+46*(Inputs!$C$8-Inputs!$C$7)/240</f>
        <v>-37</v>
      </c>
      <c r="B48" s="9">
        <f>Inputs!$C$5+Inputs!$C$9*(A48/Inputs!$C$10)^2</f>
        <v>401.52111111111111</v>
      </c>
      <c r="C48" s="9">
        <f t="shared" si="0"/>
        <v>401.52111111111111</v>
      </c>
      <c r="D48" s="9">
        <f>SQRT((Inputs!$C$52+B48)^2+Inputs!$C$52^2-2*(Inputs!$C$52+B48)*Inputs!$C$52*COS(SQRT(A48^2+Inputs!$C$6^2)/Inputs!$C$52))</f>
        <v>404.63068958901437</v>
      </c>
      <c r="E48" s="9">
        <f t="shared" si="1"/>
        <v>3109.5784779032556</v>
      </c>
      <c r="F48" s="9">
        <f>E48/Inputs!$C$12</f>
        <v>1746.9542010692446</v>
      </c>
      <c r="G48" s="9">
        <f>2*E48/Inputs!$C$21*1000000</f>
        <v>20.744874628588924</v>
      </c>
      <c r="H48" s="9">
        <f>SQRT(A48^2+Inputs!$C$6^2)</f>
        <v>44.654227123532216</v>
      </c>
      <c r="I48" s="9">
        <f t="shared" si="2"/>
        <v>6.3459385294073707</v>
      </c>
      <c r="J48" s="9">
        <f>DEGREES((2*PI()/Inputs!$C$13)*Inputs!$C$15*SIN(RADIANS(I48)))</f>
        <v>39.791236445792514</v>
      </c>
      <c r="K48" s="9">
        <f t="shared" si="3"/>
        <v>0.96961262422188055</v>
      </c>
      <c r="L48" s="9">
        <f t="shared" si="4"/>
        <v>-0.13401738687061548</v>
      </c>
      <c r="M48" s="9">
        <f>2*(Inputs!$C$9/(Inputs!$C$10^2))*A48</f>
        <v>-8.2222222222222224E-2</v>
      </c>
      <c r="N48" s="9">
        <f>M48*Inputs!$C$11</f>
        <v>-0.3288888888888889</v>
      </c>
      <c r="O48" s="9">
        <f>1000*(D49-D47)/(A49-A47)*Inputs!$C$11</f>
        <v>-786.67698078584181</v>
      </c>
      <c r="P48" s="9">
        <f>-2*O48/Inputs!$C$13</f>
        <v>314.67079231433672</v>
      </c>
      <c r="Q48" s="9">
        <f>-2*O48/Inputs!$C$14</f>
        <v>47.247866713864376</v>
      </c>
      <c r="R48" s="9">
        <f>F48-Inputs!$C$16/2</f>
        <v>1731.9542010692446</v>
      </c>
      <c r="S48" s="9">
        <f>F48+Inputs!$C$16/2</f>
        <v>1761.9542010692446</v>
      </c>
      <c r="T48" s="9">
        <f>F48-Inputs!$C$17/2</f>
        <v>1596.9542010692446</v>
      </c>
      <c r="U48" s="9">
        <f>F48+Inputs!$C$17/2</f>
        <v>1896.9542010692446</v>
      </c>
      <c r="V48" s="9">
        <f t="shared" si="5"/>
        <v>314.67079231433672</v>
      </c>
      <c r="W48" s="9">
        <f t="shared" si="6"/>
        <v>47.247866713864376</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-25.837662785318539</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236.18872035541293</v>
      </c>
      <c r="Z48" s="9">
        <f t="shared" si="7"/>
        <v>401.54694877389642</v>
      </c>
      <c r="AA48" s="9">
        <f>SQRT((Inputs!$C$52+B48)^2+(Inputs!$C$52+Y48/1000)^2-2*(Inputs!$C$52+B48)*(Inputs!$C$52+Y48/1000)*COS(SQRT(A48^2+Inputs!$C$6^2)/Inputs!$C$52))</f>
        <v>404.39678605169348</v>
      </c>
      <c r="AB48" s="9">
        <f t="shared" si="8"/>
        <v>2849.8372777970644</v>
      </c>
      <c r="AC48" s="9">
        <f>AB48/Inputs!$C$12</f>
        <v>1601.0321785376766</v>
      </c>
      <c r="AD48" s="9">
        <f>2*AB48/Inputs!$C$21*1000000</f>
        <v>19.012067860606852</v>
      </c>
      <c r="AE48" s="9">
        <f t="shared" si="9"/>
        <v>6.3496431308760428</v>
      </c>
      <c r="AF48" s="9">
        <f>DEGREES((2*PI()/Inputs!$C$13)*Inputs!$C$15*SIN(RADIANS(AE48)))</f>
        <v>39.814370435723539</v>
      </c>
      <c r="AG48" s="9">
        <f t="shared" si="10"/>
        <v>0.97210804944076723</v>
      </c>
      <c r="AH48" s="9">
        <f t="shared" si="11"/>
        <v>-0.12285460723994959</v>
      </c>
      <c r="AI48" s="9">
        <f t="shared" si="12"/>
        <v>-145.92202253156802</v>
      </c>
      <c r="AJ48" s="9">
        <f t="shared" si="13"/>
        <v>-1.7328067679820727</v>
      </c>
      <c r="AK48" s="9">
        <f t="shared" si="14"/>
        <v>262.02638314073147</v>
      </c>
      <c r="AL48" s="9">
        <f>1000*(AA49-AA47)/(A49-A47)*Inputs!$C$11</f>
        <v>-888.70347801366734</v>
      </c>
      <c r="AM48" s="9">
        <f>-2*AL48/Inputs!$C$13</f>
        <v>355.48139120546693</v>
      </c>
      <c r="AN48" s="9">
        <f>-2*AL48/Inputs!$C$14</f>
        <v>53.375584265085131</v>
      </c>
      <c r="AO48" s="9">
        <f t="shared" si="15"/>
        <v>355.48139120546693</v>
      </c>
      <c r="AP48" s="9">
        <f t="shared" si="16"/>
        <v>53.375584265085131</v>
      </c>
      <c r="AQ48" s="9">
        <f>IF(OR(Inputs!$C$27=TRUE,Inputs!$C$27="TRUE",Inputs!$C$27=1),Inputs!$C$46/Inputs!$C$12,0)</f>
        <v>42.134831460674157</v>
      </c>
      <c r="AR48" s="9">
        <f t="shared" si="17"/>
        <v>1558.8973470770025</v>
      </c>
      <c r="AS48" s="9">
        <f t="shared" si="18"/>
        <v>1643.1670099983507</v>
      </c>
    </row>
    <row r="49" spans="1:45">
      <c r="A49" s="9">
        <f>Inputs!$C$7+47*(Inputs!$C$8-Inputs!$C$7)/240</f>
        <v>-36.5</v>
      </c>
      <c r="B49" s="9">
        <f>Inputs!$C$5+Inputs!$C$9*(A49/Inputs!$C$10)^2</f>
        <v>401.48027777777776</v>
      </c>
      <c r="C49" s="9">
        <f t="shared" si="0"/>
        <v>401.48027777777776</v>
      </c>
      <c r="D49" s="9">
        <f>SQRT((Inputs!$C$52+B49)^2+Inputs!$C$52^2-2*(Inputs!$C$52+B49)*Inputs!$C$52*COS(SQRT(A49^2+Inputs!$C$6^2)/Inputs!$C$52))</f>
        <v>404.53301066098095</v>
      </c>
      <c r="E49" s="9">
        <f t="shared" si="1"/>
        <v>3052.7328832031912</v>
      </c>
      <c r="F49" s="9">
        <f>E49/Inputs!$C$12</f>
        <v>1715.0184737096579</v>
      </c>
      <c r="G49" s="9">
        <f>2*E49/Inputs!$C$21*1000000</f>
        <v>20.365641641346372</v>
      </c>
      <c r="H49" s="9">
        <f>SQRT(A49^2+Inputs!$C$6^2)</f>
        <v>44.240818256447291</v>
      </c>
      <c r="I49" s="9">
        <f t="shared" si="2"/>
        <v>6.2882949251900104</v>
      </c>
      <c r="J49" s="9">
        <f>DEGREES((2*PI()/Inputs!$C$13)*Inputs!$C$15*SIN(RADIANS(I49)))</f>
        <v>39.431250157318473</v>
      </c>
      <c r="K49" s="9">
        <f t="shared" si="3"/>
        <v>0.97015471172381817</v>
      </c>
      <c r="L49" s="9">
        <f t="shared" si="4"/>
        <v>-0.1315900275418308</v>
      </c>
      <c r="M49" s="9">
        <f>2*(Inputs!$C$9/(Inputs!$C$10^2))*A49</f>
        <v>-8.1111111111111106E-2</v>
      </c>
      <c r="N49" s="9">
        <f>M49*Inputs!$C$11</f>
        <v>-0.32444444444444442</v>
      </c>
      <c r="O49" s="9">
        <f>1000*(D50-D48)/(A50-A48)*Inputs!$C$11</f>
        <v>-776.18310471439145</v>
      </c>
      <c r="P49" s="9">
        <f>-2*O49/Inputs!$C$13</f>
        <v>310.47324188575658</v>
      </c>
      <c r="Q49" s="9">
        <f>-2*O49/Inputs!$C$14</f>
        <v>46.617603886750238</v>
      </c>
      <c r="R49" s="9">
        <f>F49-Inputs!$C$16/2</f>
        <v>1700.0184737096579</v>
      </c>
      <c r="S49" s="9">
        <f>F49+Inputs!$C$16/2</f>
        <v>1730.0184737096579</v>
      </c>
      <c r="T49" s="9">
        <f>F49-Inputs!$C$17/2</f>
        <v>1565.0184737096579</v>
      </c>
      <c r="U49" s="9">
        <f>F49+Inputs!$C$17/2</f>
        <v>1865.0184737096579</v>
      </c>
      <c r="V49" s="9">
        <f t="shared" si="5"/>
        <v>310.47324188575658</v>
      </c>
      <c r="W49" s="9">
        <f t="shared" si="6"/>
        <v>46.617603886750238</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-21.548035323184823</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264.8535608975177</v>
      </c>
      <c r="Z49" s="9">
        <f t="shared" si="7"/>
        <v>401.50182581310094</v>
      </c>
      <c r="AA49" s="9">
        <f>SQRT((Inputs!$C$52+B49)^2+(Inputs!$C$52+Y49/1000)^2-2*(Inputs!$C$52+B49)*(Inputs!$C$52+Y49/1000)*COS(SQRT(A49^2+Inputs!$C$6^2)/Inputs!$C$52))</f>
        <v>404.27067347416767</v>
      </c>
      <c r="AB49" s="9">
        <f t="shared" si="8"/>
        <v>2768.8476610667294</v>
      </c>
      <c r="AC49" s="9">
        <f>AB49/Inputs!$C$12</f>
        <v>1555.532393857713</v>
      </c>
      <c r="AD49" s="9">
        <f>2*AB49/Inputs!$C$21*1000000</f>
        <v>18.471763296104864</v>
      </c>
      <c r="AE49" s="9">
        <f t="shared" si="9"/>
        <v>6.2924127185075021</v>
      </c>
      <c r="AF49" s="9">
        <f>DEGREES((2*PI()/Inputs!$C$13)*Inputs!$C$15*SIN(RADIANS(AE49)))</f>
        <v>39.456967246064899</v>
      </c>
      <c r="AG49" s="9">
        <f t="shared" si="10"/>
        <v>0.97288419103756563</v>
      </c>
      <c r="AH49" s="9">
        <f t="shared" si="11"/>
        <v>-0.11938853654268174</v>
      </c>
      <c r="AI49" s="9">
        <f t="shared" si="12"/>
        <v>-159.48607985194485</v>
      </c>
      <c r="AJ49" s="9">
        <f t="shared" si="13"/>
        <v>-1.8938783452415073</v>
      </c>
      <c r="AK49" s="9">
        <f t="shared" si="14"/>
        <v>286.40159622070252</v>
      </c>
      <c r="AL49" s="9">
        <f>1000*(AA50-AA48)/(A50-A48)*Inputs!$C$11</f>
        <v>-923.35743705643836</v>
      </c>
      <c r="AM49" s="9">
        <f>-2*AL49/Inputs!$C$13</f>
        <v>369.34297482257534</v>
      </c>
      <c r="AN49" s="9">
        <f>-2*AL49/Inputs!$C$14</f>
        <v>55.45690312651282</v>
      </c>
      <c r="AO49" s="9">
        <f t="shared" si="15"/>
        <v>369.34297482257534</v>
      </c>
      <c r="AP49" s="9">
        <f t="shared" si="16"/>
        <v>55.45690312651282</v>
      </c>
      <c r="AQ49" s="9">
        <f>IF(OR(Inputs!$C$27=TRUE,Inputs!$C$27="TRUE",Inputs!$C$27=1),Inputs!$C$46/Inputs!$C$12,0)</f>
        <v>42.134831460674157</v>
      </c>
      <c r="AR49" s="9">
        <f t="shared" si="17"/>
        <v>1513.3975623970389</v>
      </c>
      <c r="AS49" s="9">
        <f t="shared" si="18"/>
        <v>1597.6672253183872</v>
      </c>
    </row>
    <row r="50" spans="1:45">
      <c r="A50" s="9">
        <f>Inputs!$C$7+48*(Inputs!$C$8-Inputs!$C$7)/240</f>
        <v>-36</v>
      </c>
      <c r="B50" s="9">
        <f>Inputs!$C$5+Inputs!$C$9*(A50/Inputs!$C$10)^2</f>
        <v>401.44</v>
      </c>
      <c r="C50" s="9">
        <f t="shared" si="0"/>
        <v>401.44</v>
      </c>
      <c r="D50" s="9">
        <f>SQRT((Inputs!$C$52+B50)^2+Inputs!$C$52^2-2*(Inputs!$C$52+B50)*Inputs!$C$52*COS(SQRT(A50^2+Inputs!$C$6^2)/Inputs!$C$52))</f>
        <v>404.43664381283577</v>
      </c>
      <c r="E50" s="9">
        <f t="shared" si="1"/>
        <v>2996.6438128357709</v>
      </c>
      <c r="F50" s="9">
        <f>E50/Inputs!$C$12</f>
        <v>1683.5077600200959</v>
      </c>
      <c r="G50" s="9">
        <f>2*E50/Inputs!$C$21*1000000</f>
        <v>19.99145564119409</v>
      </c>
      <c r="H50" s="9">
        <f>SQRT(A50^2+Inputs!$C$6^2)</f>
        <v>43.829214001622255</v>
      </c>
      <c r="I50" s="9">
        <f t="shared" si="2"/>
        <v>6.2308727821328196</v>
      </c>
      <c r="J50" s="9">
        <f>DEGREES((2*PI()/Inputs!$C$13)*Inputs!$C$15*SIN(RADIANS(I50)))</f>
        <v>39.072607219193102</v>
      </c>
      <c r="K50" s="9">
        <f t="shared" si="3"/>
        <v>0.97069006533041091</v>
      </c>
      <c r="L50" s="9">
        <f t="shared" si="4"/>
        <v>-0.12919415203591073</v>
      </c>
      <c r="M50" s="9">
        <f>2*(Inputs!$C$9/(Inputs!$C$10^2))*A50</f>
        <v>-0.08</v>
      </c>
      <c r="N50" s="9">
        <f>M50*Inputs!$C$11</f>
        <v>-0.32</v>
      </c>
      <c r="O50" s="9">
        <f>1000*(D51-D49)/(A51-A49)*Inputs!$C$11</f>
        <v>-765.68373692771274</v>
      </c>
      <c r="P50" s="9">
        <f>-2*O50/Inputs!$C$13</f>
        <v>306.2734947710851</v>
      </c>
      <c r="Q50" s="9">
        <f>-2*O50/Inputs!$C$14</f>
        <v>45.987011226889656</v>
      </c>
      <c r="R50" s="9">
        <f>F50-Inputs!$C$16/2</f>
        <v>1668.5077600200959</v>
      </c>
      <c r="S50" s="9">
        <f>F50+Inputs!$C$16/2</f>
        <v>1698.5077600200959</v>
      </c>
      <c r="T50" s="9">
        <f>F50-Inputs!$C$17/2</f>
        <v>1533.5077600200959</v>
      </c>
      <c r="U50" s="9">
        <f>F50+Inputs!$C$17/2</f>
        <v>1833.5077600200959</v>
      </c>
      <c r="V50" s="9">
        <f t="shared" si="5"/>
        <v>306.2734947710851</v>
      </c>
      <c r="W50" s="9">
        <f t="shared" si="6"/>
        <v>45.987011226889656</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-2.2866622063925579</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273.24610443212225</v>
      </c>
      <c r="Z50" s="9">
        <f t="shared" si="7"/>
        <v>401.44228666220641</v>
      </c>
      <c r="AA50" s="9">
        <f>SQRT((Inputs!$C$52+B50)^2+(Inputs!$C$52+Y50/1000)^2-2*(Inputs!$C$52+B50)*(Inputs!$C$52+Y50/1000)*COS(SQRT(A50^2+Inputs!$C$6^2)/Inputs!$C$52))</f>
        <v>404.16594669242937</v>
      </c>
      <c r="AB50" s="9">
        <f t="shared" si="8"/>
        <v>2723.660030222959</v>
      </c>
      <c r="AC50" s="9">
        <f>AB50/Inputs!$C$12</f>
        <v>1530.1460843949208</v>
      </c>
      <c r="AD50" s="9">
        <f>2*AB50/Inputs!$C$21*1000000</f>
        <v>18.170303872173857</v>
      </c>
      <c r="AE50" s="9">
        <f t="shared" si="9"/>
        <v>6.2350833913324726</v>
      </c>
      <c r="AF50" s="9">
        <f>DEGREES((2*PI()/Inputs!$C$13)*Inputs!$C$15*SIN(RADIANS(AE50)))</f>
        <v>39.098906865813106</v>
      </c>
      <c r="AG50" s="9">
        <f t="shared" si="10"/>
        <v>0.97331540113947623</v>
      </c>
      <c r="AH50" s="9">
        <f t="shared" si="11"/>
        <v>-0.11746404563622032</v>
      </c>
      <c r="AI50" s="9">
        <f t="shared" si="12"/>
        <v>-153.36167562517517</v>
      </c>
      <c r="AJ50" s="9">
        <f t="shared" si="13"/>
        <v>-1.8211517690202328</v>
      </c>
      <c r="AK50" s="9">
        <f t="shared" si="14"/>
        <v>275.53276663851483</v>
      </c>
      <c r="AL50" s="9">
        <f>1000*(AA51-AA49)/(A51-A49)*Inputs!$C$11</f>
        <v>-845.70618868087877</v>
      </c>
      <c r="AM50" s="9">
        <f>-2*AL50/Inputs!$C$13</f>
        <v>338.28247547235151</v>
      </c>
      <c r="AN50" s="9">
        <f>-2*AL50/Inputs!$C$14</f>
        <v>50.793164485338067</v>
      </c>
      <c r="AO50" s="9">
        <f t="shared" si="15"/>
        <v>338.28247547235151</v>
      </c>
      <c r="AP50" s="9">
        <f t="shared" si="16"/>
        <v>50.793164485338067</v>
      </c>
      <c r="AQ50" s="9">
        <f>IF(OR(Inputs!$C$27=TRUE,Inputs!$C$27="TRUE",Inputs!$C$27=1),Inputs!$C$46/Inputs!$C$12,0)</f>
        <v>42.134831460674157</v>
      </c>
      <c r="AR50" s="9">
        <f t="shared" si="17"/>
        <v>1488.0112529342466</v>
      </c>
      <c r="AS50" s="9">
        <f t="shared" si="18"/>
        <v>1572.2809158555949</v>
      </c>
    </row>
    <row r="51" spans="1:45">
      <c r="A51" s="9">
        <f>Inputs!$C$7+49*(Inputs!$C$8-Inputs!$C$7)/240</f>
        <v>-35.5</v>
      </c>
      <c r="B51" s="9">
        <f>Inputs!$C$5+Inputs!$C$9*(A51/Inputs!$C$10)^2</f>
        <v>401.40027777777777</v>
      </c>
      <c r="C51" s="9">
        <f t="shared" si="0"/>
        <v>401.40027777777777</v>
      </c>
      <c r="D51" s="9">
        <f>SQRT((Inputs!$C$52+B51)^2+Inputs!$C$52^2-2*(Inputs!$C$52+B51)*Inputs!$C$52*COS(SQRT(A51^2+Inputs!$C$6^2)/Inputs!$C$52))</f>
        <v>404.34158972674902</v>
      </c>
      <c r="E51" s="9">
        <f t="shared" si="1"/>
        <v>2941.3119489712471</v>
      </c>
      <c r="F51" s="9">
        <f>E51/Inputs!$C$12</f>
        <v>1652.4224432422736</v>
      </c>
      <c r="G51" s="9">
        <f>2*E51/Inputs!$C$21*1000000</f>
        <v>19.622321179082146</v>
      </c>
      <c r="H51" s="9">
        <f>SQRT(A51^2+Inputs!$C$6^2)</f>
        <v>43.419465680728962</v>
      </c>
      <c r="I51" s="9">
        <f t="shared" si="2"/>
        <v>6.1736799158619622</v>
      </c>
      <c r="J51" s="9">
        <f>DEGREES((2*PI()/Inputs!$C$13)*Inputs!$C$15*SIN(RADIANS(I51)))</f>
        <v>38.715357270037714</v>
      </c>
      <c r="K51" s="9">
        <f t="shared" si="3"/>
        <v>0.97121865971571986</v>
      </c>
      <c r="L51" s="9">
        <f t="shared" si="4"/>
        <v>-0.1268298222668158</v>
      </c>
      <c r="M51" s="9">
        <f>2*(Inputs!$C$9/(Inputs!$C$10^2))*A51</f>
        <v>-7.8888888888888883E-2</v>
      </c>
      <c r="N51" s="9">
        <f>M51*Inputs!$C$11</f>
        <v>-0.31555555555555553</v>
      </c>
      <c r="O51" s="9">
        <f>1000*(D52-D50)/(A52-A50)*Inputs!$C$11</f>
        <v>-755.17894620224979</v>
      </c>
      <c r="P51" s="9">
        <f>-2*O51/Inputs!$C$13</f>
        <v>302.07157848089992</v>
      </c>
      <c r="Q51" s="9">
        <f>-2*O51/Inputs!$C$14</f>
        <v>45.356092864999994</v>
      </c>
      <c r="R51" s="9">
        <f>F51-Inputs!$C$16/2</f>
        <v>1637.4224432422736</v>
      </c>
      <c r="S51" s="9">
        <f>F51+Inputs!$C$16/2</f>
        <v>1667.4224432422736</v>
      </c>
      <c r="T51" s="9">
        <f>F51-Inputs!$C$17/2</f>
        <v>1502.4224432422736</v>
      </c>
      <c r="U51" s="9">
        <f>F51+Inputs!$C$17/2</f>
        <v>1802.4224432422736</v>
      </c>
      <c r="V51" s="9">
        <f t="shared" si="5"/>
        <v>302.07157848089992</v>
      </c>
      <c r="W51" s="9">
        <f t="shared" si="6"/>
        <v>45.356092864999994</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-0.63397186114618087</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284.9525044866856</v>
      </c>
      <c r="Z51" s="9">
        <f t="shared" si="7"/>
        <v>401.40091174963891</v>
      </c>
      <c r="AA51" s="9">
        <f>SQRT((Inputs!$C$52+B51)^2+(Inputs!$C$52+Y51/1000)^2-2*(Inputs!$C$52+B51)*(Inputs!$C$52+Y51/1000)*COS(SQRT(A51^2+Inputs!$C$6^2)/Inputs!$C$52))</f>
        <v>404.05924692699745</v>
      </c>
      <c r="AB51" s="9">
        <f t="shared" si="8"/>
        <v>2658.3351773585377</v>
      </c>
      <c r="AC51" s="9">
        <f>AB51/Inputs!$C$12</f>
        <v>1493.4467288531112</v>
      </c>
      <c r="AD51" s="9">
        <f>2*AB51/Inputs!$C$21*1000000</f>
        <v>17.734503363380394</v>
      </c>
      <c r="AE51" s="9">
        <f t="shared" si="9"/>
        <v>6.1780317969659224</v>
      </c>
      <c r="AF51" s="9">
        <f>DEGREES((2*PI()/Inputs!$C$13)*Inputs!$C$15*SIN(RADIANS(AE51)))</f>
        <v>38.742542253306674</v>
      </c>
      <c r="AG51" s="9">
        <f t="shared" si="10"/>
        <v>0.97394227701728153</v>
      </c>
      <c r="AH51" s="9">
        <f t="shared" si="11"/>
        <v>-0.11466781843908992</v>
      </c>
      <c r="AI51" s="9">
        <f t="shared" si="12"/>
        <v>-158.97571438916248</v>
      </c>
      <c r="AJ51" s="9">
        <f t="shared" si="13"/>
        <v>-1.8878178157017516</v>
      </c>
      <c r="AK51" s="9">
        <f t="shared" si="14"/>
        <v>285.58647634783176</v>
      </c>
      <c r="AL51" s="9">
        <f>1000*(AA52-AA50)/(A52-A50)*Inputs!$C$11</f>
        <v>-785.14960582833737</v>
      </c>
      <c r="AM51" s="9">
        <f>-2*AL51/Inputs!$C$13</f>
        <v>314.05984233133495</v>
      </c>
      <c r="AN51" s="9">
        <f>-2*AL51/Inputs!$C$14</f>
        <v>47.156132482182429</v>
      </c>
      <c r="AO51" s="9">
        <f t="shared" si="15"/>
        <v>314.05984233133495</v>
      </c>
      <c r="AP51" s="9">
        <f t="shared" si="16"/>
        <v>47.156132482182429</v>
      </c>
      <c r="AQ51" s="9">
        <f>IF(OR(Inputs!$C$27=TRUE,Inputs!$C$27="TRUE",Inputs!$C$27=1),Inputs!$C$46/Inputs!$C$12,0)</f>
        <v>42.134831460674157</v>
      </c>
      <c r="AR51" s="9">
        <f t="shared" si="17"/>
        <v>1451.311897392437</v>
      </c>
      <c r="AS51" s="9">
        <f t="shared" si="18"/>
        <v>1535.5815603137853</v>
      </c>
    </row>
    <row r="52" spans="1:45">
      <c r="A52" s="9">
        <f>Inputs!$C$7+50*(Inputs!$C$8-Inputs!$C$7)/240</f>
        <v>-35</v>
      </c>
      <c r="B52" s="9">
        <f>Inputs!$C$5+Inputs!$C$9*(A52/Inputs!$C$10)^2</f>
        <v>401.36111111111109</v>
      </c>
      <c r="C52" s="9">
        <f t="shared" si="0"/>
        <v>401.36111111111109</v>
      </c>
      <c r="D52" s="9">
        <f>SQRT((Inputs!$C$52+B52)^2+Inputs!$C$52^2-2*(Inputs!$C$52+B52)*Inputs!$C$52*COS(SQRT(A52^2+Inputs!$C$6^2)/Inputs!$C$52))</f>
        <v>404.24784907628521</v>
      </c>
      <c r="E52" s="9">
        <f t="shared" si="1"/>
        <v>2886.7379651741203</v>
      </c>
      <c r="F52" s="9">
        <f>E52/Inputs!$C$12</f>
        <v>1621.7629017832137</v>
      </c>
      <c r="G52" s="9">
        <f>2*E52/Inputs!$C$21*1000000</f>
        <v>19.258242748549197</v>
      </c>
      <c r="H52" s="9">
        <f>SQRT(A52^2+Inputs!$C$6^2)</f>
        <v>43.011626335213137</v>
      </c>
      <c r="I52" s="9">
        <f t="shared" si="2"/>
        <v>6.116724388997361</v>
      </c>
      <c r="J52" s="9">
        <f>DEGREES((2*PI()/Inputs!$C$13)*Inputs!$C$15*SIN(RADIANS(I52)))</f>
        <v>38.359551502436567</v>
      </c>
      <c r="K52" s="9">
        <f t="shared" si="3"/>
        <v>0.97174046983379292</v>
      </c>
      <c r="L52" s="9">
        <f t="shared" si="4"/>
        <v>-0.12449709939187389</v>
      </c>
      <c r="M52" s="9">
        <f>2*(Inputs!$C$9/(Inputs!$C$10^2))*A52</f>
        <v>-7.7777777777777779E-2</v>
      </c>
      <c r="N52" s="9">
        <f>M52*Inputs!$C$11</f>
        <v>-0.31111111111111112</v>
      </c>
      <c r="O52" s="9">
        <f>1000*(D53-D51)/(A53-A51)*Inputs!$C$11</f>
        <v>-744.66880155273429</v>
      </c>
      <c r="P52" s="9">
        <f>-2*O52/Inputs!$C$13</f>
        <v>297.86752062109372</v>
      </c>
      <c r="Q52" s="9">
        <f>-2*O52/Inputs!$C$14</f>
        <v>44.724852946110168</v>
      </c>
      <c r="R52" s="9">
        <f>F52-Inputs!$C$16/2</f>
        <v>1606.7629017832137</v>
      </c>
      <c r="S52" s="9">
        <f>F52+Inputs!$C$16/2</f>
        <v>1636.7629017832137</v>
      </c>
      <c r="T52" s="9">
        <f>F52-Inputs!$C$17/2</f>
        <v>1471.7629017832137</v>
      </c>
      <c r="U52" s="9">
        <f>F52+Inputs!$C$17/2</f>
        <v>1771.7629017832137</v>
      </c>
      <c r="V52" s="9">
        <f t="shared" si="5"/>
        <v>297.86752062109372</v>
      </c>
      <c r="W52" s="9">
        <f t="shared" si="6"/>
        <v>44.724852946110168</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-9.7085297317811534</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280.71344003936963</v>
      </c>
      <c r="Z52" s="9">
        <f t="shared" si="7"/>
        <v>401.37081964084285</v>
      </c>
      <c r="AA52" s="9">
        <f>SQRT((Inputs!$C$52+B52)^2+(Inputs!$C$52+Y52/1000)^2-2*(Inputs!$C$52+B52)*(Inputs!$C$52+Y52/1000)*COS(SQRT(A52^2+Inputs!$C$6^2)/Inputs!$C$52))</f>
        <v>403.96965929097229</v>
      </c>
      <c r="AB52" s="9">
        <f t="shared" si="8"/>
        <v>2598.8396501294346</v>
      </c>
      <c r="AC52" s="9">
        <f>AB52/Inputs!$C$12</f>
        <v>1460.022275353615</v>
      </c>
      <c r="AD52" s="9">
        <f>2*AB52/Inputs!$C$21*1000000</f>
        <v>17.337591929210138</v>
      </c>
      <c r="AE52" s="9">
        <f t="shared" si="9"/>
        <v>6.1209729554559349</v>
      </c>
      <c r="AF52" s="9">
        <f>DEGREES((2*PI()/Inputs!$C$13)*Inputs!$C$15*SIN(RADIANS(AE52)))</f>
        <v>38.386093952238021</v>
      </c>
      <c r="AG52" s="9">
        <f t="shared" si="10"/>
        <v>0.97451423907721568</v>
      </c>
      <c r="AH52" s="9">
        <f t="shared" si="11"/>
        <v>-0.11211810822928614</v>
      </c>
      <c r="AI52" s="9">
        <f t="shared" si="12"/>
        <v>-161.74062642959871</v>
      </c>
      <c r="AJ52" s="9">
        <f t="shared" si="13"/>
        <v>-1.920650819339059</v>
      </c>
      <c r="AK52" s="9">
        <f t="shared" si="14"/>
        <v>290.42196977115077</v>
      </c>
      <c r="AL52" s="9">
        <f>1000*(AA53-AA51)/(A53-A51)*Inputs!$C$11</f>
        <v>-869.39113846369764</v>
      </c>
      <c r="AM52" s="9">
        <f>-2*AL52/Inputs!$C$13</f>
        <v>347.75645538547906</v>
      </c>
      <c r="AN52" s="9">
        <f>-2*AL52/Inputs!$C$14</f>
        <v>52.215683991813677</v>
      </c>
      <c r="AO52" s="9">
        <f t="shared" si="15"/>
        <v>347.75645538547906</v>
      </c>
      <c r="AP52" s="9">
        <f t="shared" si="16"/>
        <v>52.215683991813677</v>
      </c>
      <c r="AQ52" s="9">
        <f>IF(OR(Inputs!$C$27=TRUE,Inputs!$C$27="TRUE",Inputs!$C$27=1),Inputs!$C$46/Inputs!$C$12,0)</f>
        <v>42.134831460674157</v>
      </c>
      <c r="AR52" s="9">
        <f t="shared" si="17"/>
        <v>1417.8874438929408</v>
      </c>
      <c r="AS52" s="9">
        <f t="shared" si="18"/>
        <v>1502.1571068142891</v>
      </c>
    </row>
    <row r="53" spans="1:45">
      <c r="A53" s="9">
        <f>Inputs!$C$7+51*(Inputs!$C$8-Inputs!$C$7)/240</f>
        <v>-34.5</v>
      </c>
      <c r="B53" s="9">
        <f>Inputs!$C$5+Inputs!$C$9*(A53/Inputs!$C$10)^2</f>
        <v>401.32249999999999</v>
      </c>
      <c r="C53" s="9">
        <f t="shared" si="0"/>
        <v>401.32249999999999</v>
      </c>
      <c r="D53" s="9">
        <f>SQRT((Inputs!$C$52+B53)^2+Inputs!$C$52^2-2*(Inputs!$C$52+B53)*Inputs!$C$52*COS(SQRT(A53^2+Inputs!$C$6^2)/Inputs!$C$52))</f>
        <v>404.15542252636084</v>
      </c>
      <c r="E53" s="9">
        <f t="shared" si="1"/>
        <v>2832.9225263608464</v>
      </c>
      <c r="F53" s="9">
        <f>E53/Inputs!$C$12</f>
        <v>1591.5295091914868</v>
      </c>
      <c r="G53" s="9">
        <f>2*E53/Inputs!$C$21*1000000</f>
        <v>18.899224785440378</v>
      </c>
      <c r="H53" s="9">
        <f>SQRT(A53^2+Inputs!$C$6^2)</f>
        <v>42.605750785545368</v>
      </c>
      <c r="I53" s="9">
        <f t="shared" si="2"/>
        <v>6.0600145195950779</v>
      </c>
      <c r="J53" s="9">
        <f>DEGREES((2*PI()/Inputs!$C$13)*Inputs!$C$15*SIN(RADIANS(I53)))</f>
        <v>38.005242715884584</v>
      </c>
      <c r="K53" s="9">
        <f t="shared" si="3"/>
        <v>0.97225547092145215</v>
      </c>
      <c r="L53" s="9">
        <f t="shared" si="4"/>
        <v>-0.12219604380746735</v>
      </c>
      <c r="M53" s="9">
        <f>2*(Inputs!$C$9/(Inputs!$C$10^2))*A53</f>
        <v>-7.6666666666666661E-2</v>
      </c>
      <c r="N53" s="9">
        <f>M53*Inputs!$C$11</f>
        <v>-0.30666666666666664</v>
      </c>
      <c r="O53" s="9">
        <f>1000*(D54-D52)/(A54-A52)*Inputs!$C$11</f>
        <v>-734.15337228061617</v>
      </c>
      <c r="P53" s="9">
        <f>-2*O53/Inputs!$C$13</f>
        <v>293.66134891224647</v>
      </c>
      <c r="Q53" s="9">
        <f>-2*O53/Inputs!$C$14</f>
        <v>44.093295632469442</v>
      </c>
      <c r="R53" s="9">
        <f>F53-Inputs!$C$16/2</f>
        <v>1576.5295091914868</v>
      </c>
      <c r="S53" s="9">
        <f>F53+Inputs!$C$16/2</f>
        <v>1606.5295091914868</v>
      </c>
      <c r="T53" s="9">
        <f>F53-Inputs!$C$17/2</f>
        <v>1441.5295091914868</v>
      </c>
      <c r="U53" s="9">
        <f>F53+Inputs!$C$17/2</f>
        <v>1741.5295091914868</v>
      </c>
      <c r="V53" s="9">
        <f t="shared" si="5"/>
        <v>293.66134891224647</v>
      </c>
      <c r="W53" s="9">
        <f t="shared" si="6"/>
        <v>44.093295632469442</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-9.8596508268729295</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316.31487804948046</v>
      </c>
      <c r="Z53" s="9">
        <f t="shared" si="7"/>
        <v>401.33235965082685</v>
      </c>
      <c r="AA53" s="9">
        <f>SQRT((Inputs!$C$52+B53)^2+(Inputs!$C$52+Y53/1000)^2-2*(Inputs!$C$52+B53)*(Inputs!$C$52+Y53/1000)*COS(SQRT(A53^2+Inputs!$C$6^2)/Inputs!$C$52))</f>
        <v>403.84189914238152</v>
      </c>
      <c r="AB53" s="9">
        <f t="shared" si="8"/>
        <v>2509.5394915546763</v>
      </c>
      <c r="AC53" s="9">
        <f>AB53/Inputs!$C$12</f>
        <v>1409.8536469408293</v>
      </c>
      <c r="AD53" s="9">
        <f>2*AB53/Inputs!$C$21*1000000</f>
        <v>16.741845397289321</v>
      </c>
      <c r="AE53" s="9">
        <f t="shared" si="9"/>
        <v>6.0647590656594197</v>
      </c>
      <c r="AF53" s="9">
        <f>DEGREES((2*PI()/Inputs!$C$13)*Inputs!$C$15*SIN(RADIANS(AE53)))</f>
        <v>38.03488686043746</v>
      </c>
      <c r="AG53" s="9">
        <f t="shared" si="10"/>
        <v>0.97537408355033139</v>
      </c>
      <c r="AH53" s="9">
        <f t="shared" si="11"/>
        <v>-0.10828788134048811</v>
      </c>
      <c r="AI53" s="9">
        <f t="shared" si="12"/>
        <v>-181.67586225065747</v>
      </c>
      <c r="AJ53" s="9">
        <f t="shared" si="13"/>
        <v>-2.1573793881510568</v>
      </c>
      <c r="AK53" s="9">
        <f t="shared" si="14"/>
        <v>326.17452887635341</v>
      </c>
      <c r="AL53" s="9">
        <f>1000*(AA54-AA52)/(A54-A52)*Inputs!$C$11</f>
        <v>-887.98878353281907</v>
      </c>
      <c r="AM53" s="9">
        <f>-2*AL53/Inputs!$C$13</f>
        <v>355.19551341312763</v>
      </c>
      <c r="AN53" s="9">
        <f>-2*AL53/Inputs!$C$14</f>
        <v>53.332659671640791</v>
      </c>
      <c r="AO53" s="9">
        <f t="shared" si="15"/>
        <v>355.19551341312763</v>
      </c>
      <c r="AP53" s="9">
        <f t="shared" si="16"/>
        <v>53.332659671640791</v>
      </c>
      <c r="AQ53" s="9">
        <f>IF(OR(Inputs!$C$27=TRUE,Inputs!$C$27="TRUE",Inputs!$C$27=1),Inputs!$C$46/Inputs!$C$12,0)</f>
        <v>42.134831460674157</v>
      </c>
      <c r="AR53" s="9">
        <f t="shared" si="17"/>
        <v>1367.7188154801552</v>
      </c>
      <c r="AS53" s="9">
        <f t="shared" si="18"/>
        <v>1451.9884784015035</v>
      </c>
    </row>
    <row r="54" spans="1:45">
      <c r="A54" s="9">
        <f>Inputs!$C$7+52*(Inputs!$C$8-Inputs!$C$7)/240</f>
        <v>-34</v>
      </c>
      <c r="B54" s="9">
        <f>Inputs!$C$5+Inputs!$C$9*(A54/Inputs!$C$10)^2</f>
        <v>401.28444444444443</v>
      </c>
      <c r="C54" s="9">
        <f t="shared" si="0"/>
        <v>401.28444444444443</v>
      </c>
      <c r="D54" s="9">
        <f>SQRT((Inputs!$C$52+B54)^2+Inputs!$C$52^2-2*(Inputs!$C$52+B54)*Inputs!$C$52*COS(SQRT(A54^2+Inputs!$C$6^2)/Inputs!$C$52))</f>
        <v>404.06431073321505</v>
      </c>
      <c r="E54" s="9">
        <f t="shared" si="1"/>
        <v>2779.86628877062</v>
      </c>
      <c r="F54" s="9">
        <f>E54/Inputs!$C$12</f>
        <v>1561.7226341407977</v>
      </c>
      <c r="G54" s="9">
        <f>2*E54/Inputs!$C$21*1000000</f>
        <v>18.545271667712335</v>
      </c>
      <c r="H54" s="9">
        <f>SQRT(A54^2+Inputs!$C$6^2)</f>
        <v>42.201895692018383</v>
      </c>
      <c r="I54" s="9">
        <f t="shared" si="2"/>
        <v>6.0035588898090326</v>
      </c>
      <c r="J54" s="9">
        <f>DEGREES((2*PI()/Inputs!$C$13)*Inputs!$C$15*SIN(RADIANS(I54)))</f>
        <v>37.652485371109634</v>
      </c>
      <c r="K54" s="9">
        <f t="shared" si="3"/>
        <v>0.97276363850093261</v>
      </c>
      <c r="L54" s="9">
        <f t="shared" si="4"/>
        <v>-0.1199267151453179</v>
      </c>
      <c r="M54" s="9">
        <f>2*(Inputs!$C$9/(Inputs!$C$10^2))*A54</f>
        <v>-7.5555555555555556E-2</v>
      </c>
      <c r="N54" s="9">
        <f>M54*Inputs!$C$11</f>
        <v>-0.30222222222222223</v>
      </c>
      <c r="O54" s="9">
        <f>1000*(D55-D53)/(A55-A53)*Inputs!$C$11</f>
        <v>-723.63272791653799</v>
      </c>
      <c r="P54" s="9">
        <f>-2*O54/Inputs!$C$13</f>
        <v>289.4530911666152</v>
      </c>
      <c r="Q54" s="9">
        <f>-2*O54/Inputs!$C$14</f>
        <v>43.461425100092377</v>
      </c>
      <c r="R54" s="9">
        <f>F54-Inputs!$C$16/2</f>
        <v>1546.7226341407977</v>
      </c>
      <c r="S54" s="9">
        <f>F54+Inputs!$C$16/2</f>
        <v>1576.7226341407977</v>
      </c>
      <c r="T54" s="9">
        <f>F54-Inputs!$C$17/2</f>
        <v>1411.7226341407977</v>
      </c>
      <c r="U54" s="9">
        <f>F54+Inputs!$C$17/2</f>
        <v>1711.7226341407977</v>
      </c>
      <c r="V54" s="9">
        <f t="shared" si="5"/>
        <v>289.4530911666152</v>
      </c>
      <c r="W54" s="9">
        <f t="shared" si="6"/>
        <v>43.461425100092377</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0.233219012771956</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319.41525492664545</v>
      </c>
      <c r="Z54" s="9">
        <f t="shared" si="7"/>
        <v>401.28421122543165</v>
      </c>
      <c r="AA54" s="9">
        <f>SQRT((Inputs!$C$52+B54)^2+(Inputs!$C$52+Y54/1000)^2-2*(Inputs!$C$52+B54)*(Inputs!$C$52+Y54/1000)*COS(SQRT(A54^2+Inputs!$C$6^2)/Inputs!$C$52))</f>
        <v>403.74766209508908</v>
      </c>
      <c r="AB54" s="9">
        <f t="shared" si="8"/>
        <v>2463.4508696574358</v>
      </c>
      <c r="AC54" s="9">
        <f>AB54/Inputs!$C$12</f>
        <v>1383.9611627288964</v>
      </c>
      <c r="AD54" s="9">
        <f>2*AB54/Inputs!$C$21*1000000</f>
        <v>16.434375208047669</v>
      </c>
      <c r="AE54" s="9">
        <f t="shared" si="9"/>
        <v>6.008306452022449</v>
      </c>
      <c r="AF54" s="9">
        <f>DEGREES((2*PI()/Inputs!$C$13)*Inputs!$C$15*SIN(RADIANS(AE54)))</f>
        <v>37.682151450389952</v>
      </c>
      <c r="AG54" s="9">
        <f t="shared" si="10"/>
        <v>0.97581661328174474</v>
      </c>
      <c r="AH54" s="9">
        <f t="shared" si="11"/>
        <v>-0.10631792295519807</v>
      </c>
      <c r="AI54" s="9">
        <f t="shared" si="12"/>
        <v>-177.76147141190131</v>
      </c>
      <c r="AJ54" s="9">
        <f t="shared" si="13"/>
        <v>-2.1108964596646658</v>
      </c>
      <c r="AK54" s="9">
        <f t="shared" si="14"/>
        <v>319.18203591387351</v>
      </c>
      <c r="AL54" s="9">
        <f>1000*(AA55-AA53)/(A55-A53)*Inputs!$C$11</f>
        <v>-772.1508123777312</v>
      </c>
      <c r="AM54" s="9">
        <f>-2*AL54/Inputs!$C$13</f>
        <v>308.86032495109248</v>
      </c>
      <c r="AN54" s="9">
        <f>-2*AL54/Inputs!$C$14</f>
        <v>46.375424166830705</v>
      </c>
      <c r="AO54" s="9">
        <f t="shared" si="15"/>
        <v>308.86032495109248</v>
      </c>
      <c r="AP54" s="9">
        <f t="shared" si="16"/>
        <v>46.375424166830705</v>
      </c>
      <c r="AQ54" s="9">
        <f>IF(OR(Inputs!$C$27=TRUE,Inputs!$C$27="TRUE",Inputs!$C$27=1),Inputs!$C$46/Inputs!$C$12,0)</f>
        <v>42.134831460674157</v>
      </c>
      <c r="AR54" s="9">
        <f t="shared" si="17"/>
        <v>1341.8263312682222</v>
      </c>
      <c r="AS54" s="9">
        <f t="shared" si="18"/>
        <v>1426.0959941895705</v>
      </c>
    </row>
    <row r="55" spans="1:45">
      <c r="A55" s="9">
        <f>Inputs!$C$7+53*(Inputs!$C$8-Inputs!$C$7)/240</f>
        <v>-33.5</v>
      </c>
      <c r="B55" s="9">
        <f>Inputs!$C$5+Inputs!$C$9*(A55/Inputs!$C$10)^2</f>
        <v>401.24694444444447</v>
      </c>
      <c r="C55" s="9">
        <f t="shared" si="0"/>
        <v>401.24694444444447</v>
      </c>
      <c r="D55" s="9">
        <f>SQRT((Inputs!$C$52+B55)^2+Inputs!$C$52^2-2*(Inputs!$C$52+B55)*Inputs!$C$52*COS(SQRT(A55^2+Inputs!$C$6^2)/Inputs!$C$52))</f>
        <v>403.9745143443817</v>
      </c>
      <c r="E55" s="9">
        <f t="shared" si="1"/>
        <v>2727.5698999372366</v>
      </c>
      <c r="F55" s="9">
        <f>E55/Inputs!$C$12</f>
        <v>1532.3426404141778</v>
      </c>
      <c r="G55" s="9">
        <f>2*E55/Inputs!$C$21*1000000</f>
        <v>18.196387715245571</v>
      </c>
      <c r="H55" s="9">
        <f>SQRT(A55^2+Inputs!$C$6^2)</f>
        <v>41.800119617053731</v>
      </c>
      <c r="I55" s="9">
        <f t="shared" si="2"/>
        <v>5.9473663547666744</v>
      </c>
      <c r="J55" s="9">
        <f>DEGREES((2*PI()/Inputs!$C$13)*Inputs!$C$15*SIN(RADIANS(I55)))</f>
        <v>37.301335645735293</v>
      </c>
      <c r="K55" s="9">
        <f t="shared" si="3"/>
        <v>0.97326494838249344</v>
      </c>
      <c r="L55" s="9">
        <f t="shared" si="4"/>
        <v>-0.11768917226882726</v>
      </c>
      <c r="M55" s="9">
        <f>2*(Inputs!$C$9/(Inputs!$C$10^2))*A55</f>
        <v>-7.4444444444444438E-2</v>
      </c>
      <c r="N55" s="9">
        <f>M55*Inputs!$C$11</f>
        <v>-0.29777777777777775</v>
      </c>
      <c r="O55" s="9">
        <f>1000*(D56-D54)/(A56-A54)*Inputs!$C$11</f>
        <v>-713.10693823488691</v>
      </c>
      <c r="P55" s="9">
        <f>-2*O55/Inputs!$C$13</f>
        <v>285.24277529395476</v>
      </c>
      <c r="Q55" s="9">
        <f>-2*O55/Inputs!$C$14</f>
        <v>42.829245539632851</v>
      </c>
      <c r="R55" s="9">
        <f>F55-Inputs!$C$16/2</f>
        <v>1517.3426404141778</v>
      </c>
      <c r="S55" s="9">
        <f>F55+Inputs!$C$16/2</f>
        <v>1547.3426404141778</v>
      </c>
      <c r="T55" s="9">
        <f>F55-Inputs!$C$17/2</f>
        <v>1382.3426404141778</v>
      </c>
      <c r="U55" s="9">
        <f>F55+Inputs!$C$17/2</f>
        <v>1682.3426404141778</v>
      </c>
      <c r="V55" s="9">
        <f t="shared" si="5"/>
        <v>285.24277529395476</v>
      </c>
      <c r="W55" s="9">
        <f t="shared" si="6"/>
        <v>42.829245539632851</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8.5001955674394374</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328.44480575089858</v>
      </c>
      <c r="Z55" s="9">
        <f t="shared" si="7"/>
        <v>401.23844424887704</v>
      </c>
      <c r="AA55" s="9">
        <f>SQRT((Inputs!$C$52+B55)^2+(Inputs!$C$52+Y55/1000)^2-2*(Inputs!$C$52+B55)*(Inputs!$C$52+Y55/1000)*COS(SQRT(A55^2+Inputs!$C$6^2)/Inputs!$C$52))</f>
        <v>403.64886143928709</v>
      </c>
      <c r="AB55" s="9">
        <f t="shared" si="8"/>
        <v>2410.417190410044</v>
      </c>
      <c r="AC55" s="9">
        <f>AB55/Inputs!$C$12</f>
        <v>1354.1669609045191</v>
      </c>
      <c r="AD55" s="9">
        <f>2*AB55/Inputs!$C$21*1000000</f>
        <v>16.080572583383962</v>
      </c>
      <c r="AE55" s="9">
        <f t="shared" si="9"/>
        <v>5.9522036555317888</v>
      </c>
      <c r="AF55" s="9">
        <f>DEGREES((2*PI()/Inputs!$C$13)*Inputs!$C$15*SIN(RADIANS(AE55)))</f>
        <v>37.33156557595597</v>
      </c>
      <c r="AG55" s="9">
        <f t="shared" si="10"/>
        <v>0.97632682973146623</v>
      </c>
      <c r="AH55" s="9">
        <f t="shared" si="11"/>
        <v>-0.10404775992461898</v>
      </c>
      <c r="AI55" s="9">
        <f t="shared" si="12"/>
        <v>-178.17567950965872</v>
      </c>
      <c r="AJ55" s="9">
        <f t="shared" si="13"/>
        <v>-2.1158151318616092</v>
      </c>
      <c r="AK55" s="9">
        <f t="shared" si="14"/>
        <v>319.94461018345913</v>
      </c>
      <c r="AL55" s="9">
        <f>1000*(AA56-AA54)/(A56-A54)*Inputs!$C$11</f>
        <v>-803.32765570756237</v>
      </c>
      <c r="AM55" s="9">
        <f>-2*AL55/Inputs!$C$13</f>
        <v>321.33106228302495</v>
      </c>
      <c r="AN55" s="9">
        <f>-2*AL55/Inputs!$C$14</f>
        <v>48.247907249703452</v>
      </c>
      <c r="AO55" s="9">
        <f t="shared" si="15"/>
        <v>321.33106228302495</v>
      </c>
      <c r="AP55" s="9">
        <f t="shared" si="16"/>
        <v>48.247907249703452</v>
      </c>
      <c r="AQ55" s="9">
        <f>IF(OR(Inputs!$C$27=TRUE,Inputs!$C$27="TRUE",Inputs!$C$27=1),Inputs!$C$46/Inputs!$C$12,0)</f>
        <v>42.134831460674157</v>
      </c>
      <c r="AR55" s="9">
        <f t="shared" si="17"/>
        <v>1312.032129443845</v>
      </c>
      <c r="AS55" s="9">
        <f t="shared" si="18"/>
        <v>1396.3017923651933</v>
      </c>
    </row>
    <row r="56" spans="1:45">
      <c r="A56" s="9">
        <f>Inputs!$C$7+54*(Inputs!$C$8-Inputs!$C$7)/240</f>
        <v>-33</v>
      </c>
      <c r="B56" s="9">
        <f>Inputs!$C$5+Inputs!$C$9*(A56/Inputs!$C$10)^2</f>
        <v>401.21</v>
      </c>
      <c r="C56" s="9">
        <f t="shared" si="0"/>
        <v>401.21</v>
      </c>
      <c r="D56" s="9">
        <f>SQRT((Inputs!$C$52+B56)^2+Inputs!$C$52^2-2*(Inputs!$C$52+B56)*Inputs!$C$52*COS(SQRT(A56^2+Inputs!$C$6^2)/Inputs!$C$52))</f>
        <v>403.88603399865633</v>
      </c>
      <c r="E56" s="9">
        <f t="shared" si="1"/>
        <v>2676.0339986563508</v>
      </c>
      <c r="F56" s="9">
        <f>E56/Inputs!$C$12</f>
        <v>1503.3898868855904</v>
      </c>
      <c r="G56" s="9">
        <f>2*E56/Inputs!$C$21*1000000</f>
        <v>17.852577189625972</v>
      </c>
      <c r="H56" s="9">
        <f>SQRT(A56^2+Inputs!$C$6^2)</f>
        <v>41.400483088968905</v>
      </c>
      <c r="I56" s="9">
        <f t="shared" si="2"/>
        <v>5.8914460516514309</v>
      </c>
      <c r="J56" s="9">
        <f>DEGREES((2*PI()/Inputs!$C$13)*Inputs!$C$15*SIN(RADIANS(I56)))</f>
        <v>36.951851491238891</v>
      </c>
      <c r="K56" s="9">
        <f t="shared" si="3"/>
        <v>0.97375937666704759</v>
      </c>
      <c r="L56" s="9">
        <f t="shared" si="4"/>
        <v>-0.11548347326926375</v>
      </c>
      <c r="M56" s="9">
        <f>2*(Inputs!$C$9/(Inputs!$C$10^2))*A56</f>
        <v>-7.3333333333333334E-2</v>
      </c>
      <c r="N56" s="9">
        <f>M56*Inputs!$C$11</f>
        <v>-0.29333333333333333</v>
      </c>
      <c r="O56" s="9">
        <f>1000*(D57-D55)/(A57-A55)*Inputs!$C$11</f>
        <v>-702.57607326084326</v>
      </c>
      <c r="P56" s="9">
        <f>-2*O56/Inputs!$C$13</f>
        <v>281.0304293043373</v>
      </c>
      <c r="Q56" s="9">
        <f>-2*O56/Inputs!$C$14</f>
        <v>42.196761156807405</v>
      </c>
      <c r="R56" s="9">
        <f>F56-Inputs!$C$16/2</f>
        <v>1488.3898868855904</v>
      </c>
      <c r="S56" s="9">
        <f>F56+Inputs!$C$16/2</f>
        <v>1518.3898868855904</v>
      </c>
      <c r="T56" s="9">
        <f>F56-Inputs!$C$17/2</f>
        <v>1353.3898868855904</v>
      </c>
      <c r="U56" s="9">
        <f>F56+Inputs!$C$17/2</f>
        <v>1653.3898868855904</v>
      </c>
      <c r="V56" s="9">
        <f t="shared" si="5"/>
        <v>281.0304293043373</v>
      </c>
      <c r="W56" s="9">
        <f t="shared" si="6"/>
        <v>42.196761156807405</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12.884972617306985</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342.05712046848419</v>
      </c>
      <c r="Z56" s="9">
        <f t="shared" si="7"/>
        <v>401.19711502738267</v>
      </c>
      <c r="AA56" s="9">
        <f>SQRT((Inputs!$C$52+B56)^2+(Inputs!$C$52+Y56/1000)^2-2*(Inputs!$C$52+B56)*(Inputs!$C$52+Y56/1000)*COS(SQRT(A56^2+Inputs!$C$6^2)/Inputs!$C$52))</f>
        <v>403.54683018116219</v>
      </c>
      <c r="AB56" s="9">
        <f t="shared" si="8"/>
        <v>2349.7151537795276</v>
      </c>
      <c r="AC56" s="9">
        <f>AB56/Inputs!$C$12</f>
        <v>1320.0646931345659</v>
      </c>
      <c r="AD56" s="9">
        <f>2*AB56/Inputs!$C$21*1000000</f>
        <v>15.675612184877096</v>
      </c>
      <c r="AE56" s="9">
        <f t="shared" si="9"/>
        <v>5.8964377666497043</v>
      </c>
      <c r="AF56" s="9">
        <f>DEGREES((2*PI()/Inputs!$C$13)*Inputs!$C$15*SIN(RADIANS(AE56)))</f>
        <v>36.983049562114594</v>
      </c>
      <c r="AG56" s="9">
        <f t="shared" si="10"/>
        <v>0.97691199984308985</v>
      </c>
      <c r="AH56" s="9">
        <f t="shared" si="11"/>
        <v>-0.10144555732442344</v>
      </c>
      <c r="AI56" s="9">
        <f t="shared" si="12"/>
        <v>-183.32519375102447</v>
      </c>
      <c r="AJ56" s="9">
        <f t="shared" si="13"/>
        <v>-2.176965004748876</v>
      </c>
      <c r="AK56" s="9">
        <f t="shared" si="14"/>
        <v>329.17214785117721</v>
      </c>
      <c r="AL56" s="9">
        <f>1000*(AA57-AA55)/(A57-A55)*Inputs!$C$11</f>
        <v>-792.148729776045</v>
      </c>
      <c r="AM56" s="9">
        <f>-2*AL56/Inputs!$C$13</f>
        <v>316.859491910418</v>
      </c>
      <c r="AN56" s="9">
        <f>-2*AL56/Inputs!$C$14</f>
        <v>47.576500286849551</v>
      </c>
      <c r="AO56" s="9">
        <f t="shared" si="15"/>
        <v>316.859491910418</v>
      </c>
      <c r="AP56" s="9">
        <f t="shared" si="16"/>
        <v>47.576500286849551</v>
      </c>
      <c r="AQ56" s="9">
        <f>IF(OR(Inputs!$C$27=TRUE,Inputs!$C$27="TRUE",Inputs!$C$27=1),Inputs!$C$46/Inputs!$C$12,0)</f>
        <v>42.134831460674157</v>
      </c>
      <c r="AR56" s="9">
        <f t="shared" si="17"/>
        <v>1277.9298616738918</v>
      </c>
      <c r="AS56" s="9">
        <f t="shared" si="18"/>
        <v>1362.1995245952401</v>
      </c>
    </row>
    <row r="57" spans="1:45">
      <c r="A57" s="9">
        <f>Inputs!$C$7+55*(Inputs!$C$8-Inputs!$C$7)/240</f>
        <v>-32.5</v>
      </c>
      <c r="B57" s="9">
        <f>Inputs!$C$5+Inputs!$C$9*(A57/Inputs!$C$10)^2</f>
        <v>401.17361111111109</v>
      </c>
      <c r="C57" s="9">
        <f t="shared" si="0"/>
        <v>401.17361111111109</v>
      </c>
      <c r="D57" s="9">
        <f>SQRT((Inputs!$C$52+B57)^2+Inputs!$C$52^2-2*(Inputs!$C$52+B57)*Inputs!$C$52*COS(SQRT(A57^2+Inputs!$C$6^2)/Inputs!$C$52))</f>
        <v>403.79887032606649</v>
      </c>
      <c r="E57" s="9">
        <f t="shared" si="1"/>
        <v>2625.2592149554062</v>
      </c>
      <c r="F57" s="9">
        <f>E57/Inputs!$C$12</f>
        <v>1474.8647275030371</v>
      </c>
      <c r="G57" s="9">
        <f>2*E57/Inputs!$C$21*1000000</f>
        <v>17.513844293944221</v>
      </c>
      <c r="H57" s="9">
        <f>SQRT(A57^2+Inputs!$C$6^2)</f>
        <v>41.003048667141812</v>
      </c>
      <c r="I57" s="9">
        <f t="shared" si="2"/>
        <v>5.8358074089827321</v>
      </c>
      <c r="J57" s="9">
        <f>DEGREES((2*PI()/Inputs!$C$13)*Inputs!$C$15*SIN(RADIANS(I57)))</f>
        <v>36.604092691146747</v>
      </c>
      <c r="K57" s="9">
        <f t="shared" si="3"/>
        <v>0.97424689974874612</v>
      </c>
      <c r="L57" s="9">
        <f t="shared" si="4"/>
        <v>-0.1133096754620804</v>
      </c>
      <c r="M57" s="9">
        <f>2*(Inputs!$C$9/(Inputs!$C$10^2))*A57</f>
        <v>-7.2222222222222215E-2</v>
      </c>
      <c r="N57" s="9">
        <f>M57*Inputs!$C$11</f>
        <v>-0.28888888888888886</v>
      </c>
      <c r="O57" s="9">
        <f>1000*(D58-D56)/(A58-A56)*Inputs!$C$11</f>
        <v>-692.04020328015758</v>
      </c>
      <c r="P57" s="9">
        <f>-2*O57/Inputs!$C$13</f>
        <v>276.81608131206303</v>
      </c>
      <c r="Q57" s="9">
        <f>-2*O57/Inputs!$C$14</f>
        <v>41.563976172982443</v>
      </c>
      <c r="R57" s="9">
        <f>F57-Inputs!$C$16/2</f>
        <v>1459.8647275030371</v>
      </c>
      <c r="S57" s="9">
        <f>F57+Inputs!$C$16/2</f>
        <v>1489.8647275030371</v>
      </c>
      <c r="T57" s="9">
        <f>F57-Inputs!$C$17/2</f>
        <v>1324.8647275030371</v>
      </c>
      <c r="U57" s="9">
        <f>F57+Inputs!$C$17/2</f>
        <v>1624.8647275030371</v>
      </c>
      <c r="V57" s="9">
        <f t="shared" si="5"/>
        <v>276.81608131206303</v>
      </c>
      <c r="W57" s="9">
        <f t="shared" si="6"/>
        <v>41.563976172982443</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14.196906765365963</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350.91834122472949</v>
      </c>
      <c r="Z57" s="9">
        <f t="shared" si="7"/>
        <v>401.15941420434569</v>
      </c>
      <c r="AA57" s="9">
        <f>SQRT((Inputs!$C$52+B57)^2+(Inputs!$C$52+Y57/1000)^2-2*(Inputs!$C$52+B57)*(Inputs!$C$52+Y57/1000)*COS(SQRT(A57^2+Inputs!$C$6^2)/Inputs!$C$52))</f>
        <v>403.45082425684308</v>
      </c>
      <c r="AB57" s="9">
        <f t="shared" si="8"/>
        <v>2291.4100524973833</v>
      </c>
      <c r="AC57" s="9">
        <f>AB57/Inputs!$C$12</f>
        <v>1287.309018256957</v>
      </c>
      <c r="AD57" s="9">
        <f>2*AB57/Inputs!$C$21*1000000</f>
        <v>15.286642417784794</v>
      </c>
      <c r="AE57" s="9">
        <f t="shared" si="9"/>
        <v>5.8408813214092925</v>
      </c>
      <c r="AF57" s="9">
        <f>DEGREES((2*PI()/Inputs!$C$13)*Inputs!$C$15*SIN(RADIANS(AE57)))</f>
        <v>36.635807655258844</v>
      </c>
      <c r="AG57" s="9">
        <f t="shared" si="10"/>
        <v>0.97747470040542295</v>
      </c>
      <c r="AH57" s="9">
        <f t="shared" si="11"/>
        <v>-9.8944744604947885E-2</v>
      </c>
      <c r="AI57" s="9">
        <f t="shared" si="12"/>
        <v>-187.55570924608014</v>
      </c>
      <c r="AJ57" s="9">
        <f t="shared" si="13"/>
        <v>-2.2272018761594268</v>
      </c>
      <c r="AK57" s="9">
        <f t="shared" si="14"/>
        <v>336.72143445936354</v>
      </c>
      <c r="AL57" s="9">
        <f>1000*(AA58-AA56)/(A58-A56)*Inputs!$C$11</f>
        <v>-687.94146808750156</v>
      </c>
      <c r="AM57" s="9">
        <f>-2*AL57/Inputs!$C$13</f>
        <v>275.17658723500062</v>
      </c>
      <c r="AN57" s="9">
        <f>-2*AL57/Inputs!$C$14</f>
        <v>41.317805891141241</v>
      </c>
      <c r="AO57" s="9">
        <f t="shared" si="15"/>
        <v>275.17658723500062</v>
      </c>
      <c r="AP57" s="9">
        <f t="shared" si="16"/>
        <v>41.317805891141241</v>
      </c>
      <c r="AQ57" s="9">
        <f>IF(OR(Inputs!$C$27=TRUE,Inputs!$C$27="TRUE",Inputs!$C$27=1),Inputs!$C$46/Inputs!$C$12,0)</f>
        <v>42.134831460674157</v>
      </c>
      <c r="AR57" s="9">
        <f t="shared" si="17"/>
        <v>1245.1741867962828</v>
      </c>
      <c r="AS57" s="9">
        <f t="shared" si="18"/>
        <v>1329.4438497176311</v>
      </c>
    </row>
    <row r="58" spans="1:45">
      <c r="A58" s="9">
        <f>Inputs!$C$7+56*(Inputs!$C$8-Inputs!$C$7)/240</f>
        <v>-32</v>
      </c>
      <c r="B58" s="9">
        <f>Inputs!$C$5+Inputs!$C$9*(A58/Inputs!$C$10)^2</f>
        <v>401.13777777777779</v>
      </c>
      <c r="C58" s="9">
        <f t="shared" si="0"/>
        <v>401.13777777777779</v>
      </c>
      <c r="D58" s="9">
        <f>SQRT((Inputs!$C$52+B58)^2+Inputs!$C$52^2-2*(Inputs!$C$52+B58)*Inputs!$C$52*COS(SQRT(A58^2+Inputs!$C$6^2)/Inputs!$C$52))</f>
        <v>403.71302394783629</v>
      </c>
      <c r="E58" s="9">
        <f t="shared" si="1"/>
        <v>2575.2461700585059</v>
      </c>
      <c r="F58" s="9">
        <f>E58/Inputs!$C$12</f>
        <v>1446.7675112688235</v>
      </c>
      <c r="G58" s="9">
        <f>2*E58/Inputs!$C$21*1000000</f>
        <v>17.180193172561438</v>
      </c>
      <c r="H58" s="9">
        <f>SQRT(A58^2+Inputs!$C$6^2)</f>
        <v>40.607881008493905</v>
      </c>
      <c r="I58" s="9">
        <f t="shared" si="2"/>
        <v>5.7804601560821682</v>
      </c>
      <c r="J58" s="9">
        <f>DEGREES((2*PI()/Inputs!$C$13)*Inputs!$C$15*SIN(RADIANS(I58)))</f>
        <v>36.258120920394553</v>
      </c>
      <c r="K58" s="9">
        <f t="shared" si="3"/>
        <v>0.9747274943175861</v>
      </c>
      <c r="L58" s="9">
        <f t="shared" si="4"/>
        <v>-0.11116783538305441</v>
      </c>
      <c r="M58" s="9">
        <f>2*(Inputs!$C$9/(Inputs!$C$10^2))*A58</f>
        <v>-7.1111111111111111E-2</v>
      </c>
      <c r="N58" s="9">
        <f>M58*Inputs!$C$11</f>
        <v>-0.28444444444444444</v>
      </c>
      <c r="O58" s="9">
        <f>1000*(D59-D57)/(A59-A57)*Inputs!$C$11</f>
        <v>-681.49939879981503</v>
      </c>
      <c r="P58" s="9">
        <f>-2*O58/Inputs!$C$13</f>
        <v>272.59975951992601</v>
      </c>
      <c r="Q58" s="9">
        <f>-2*O58/Inputs!$C$14</f>
        <v>40.930894822811716</v>
      </c>
      <c r="R58" s="9">
        <f>F58-Inputs!$C$16/2</f>
        <v>1431.7675112688235</v>
      </c>
      <c r="S58" s="9">
        <f>F58+Inputs!$C$16/2</f>
        <v>1461.7675112688235</v>
      </c>
      <c r="T58" s="9">
        <f>F58-Inputs!$C$17/2</f>
        <v>1296.7675112688235</v>
      </c>
      <c r="U58" s="9">
        <f>F58+Inputs!$C$17/2</f>
        <v>1596.7675112688235</v>
      </c>
      <c r="V58" s="9">
        <f t="shared" si="5"/>
        <v>272.59975951992601</v>
      </c>
      <c r="W58" s="9">
        <f t="shared" si="6"/>
        <v>40.930894822811716</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5.7308266461344264</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340.91681406553505</v>
      </c>
      <c r="Z58" s="9">
        <f t="shared" si="7"/>
        <v>401.13204695113166</v>
      </c>
      <c r="AA58" s="9">
        <f>SQRT((Inputs!$C$52+B58)^2+(Inputs!$C$52+Y58/1000)^2-2*(Inputs!$C$52+B58)*(Inputs!$C$52+Y58/1000)*COS(SQRT(A58^2+Inputs!$C$6^2)/Inputs!$C$52))</f>
        <v>403.37484481414032</v>
      </c>
      <c r="AB58" s="9">
        <f t="shared" si="8"/>
        <v>2242.7978630086614</v>
      </c>
      <c r="AC58" s="9">
        <f>AB58/Inputs!$C$12</f>
        <v>1259.9987994430683</v>
      </c>
      <c r="AD58" s="9">
        <f>2*AB58/Inputs!$C$21*1000000</f>
        <v>14.962336797736663</v>
      </c>
      <c r="AE58" s="9">
        <f t="shared" si="9"/>
        <v>5.7853436630843715</v>
      </c>
      <c r="AF58" s="9">
        <f>DEGREES((2*PI()/Inputs!$C$13)*Inputs!$C$15*SIN(RADIANS(AE58)))</f>
        <v>36.288648743581966</v>
      </c>
      <c r="AG58" s="9">
        <f t="shared" si="10"/>
        <v>0.9779444661479344</v>
      </c>
      <c r="AH58" s="9">
        <f t="shared" si="11"/>
        <v>-9.6858064908088834E-2</v>
      </c>
      <c r="AI58" s="9">
        <f t="shared" si="12"/>
        <v>-186.76871182575519</v>
      </c>
      <c r="AJ58" s="9">
        <f t="shared" si="13"/>
        <v>-2.217856374824775</v>
      </c>
      <c r="AK58" s="9">
        <f t="shared" si="14"/>
        <v>335.18598741940065</v>
      </c>
      <c r="AL58" s="9">
        <f>1000*(AA59-AA57)/(A59-A57)*Inputs!$C$11</f>
        <v>-698.73171517633637</v>
      </c>
      <c r="AM58" s="9">
        <f>-2*AL58/Inputs!$C$13</f>
        <v>279.49268607053455</v>
      </c>
      <c r="AN58" s="9">
        <f>-2*AL58/Inputs!$C$14</f>
        <v>41.965868779359546</v>
      </c>
      <c r="AO58" s="9">
        <f t="shared" si="15"/>
        <v>279.49268607053455</v>
      </c>
      <c r="AP58" s="9">
        <f t="shared" si="16"/>
        <v>41.965868779359546</v>
      </c>
      <c r="AQ58" s="9">
        <f>IF(OR(Inputs!$C$27=TRUE,Inputs!$C$27="TRUE",Inputs!$C$27=1),Inputs!$C$46/Inputs!$C$12,0)</f>
        <v>42.134831460674157</v>
      </c>
      <c r="AR58" s="9">
        <f t="shared" si="17"/>
        <v>1217.8639679823941</v>
      </c>
      <c r="AS58" s="9">
        <f t="shared" si="18"/>
        <v>1302.1336309037424</v>
      </c>
    </row>
    <row r="59" spans="1:45">
      <c r="A59" s="9">
        <f>Inputs!$C$7+57*(Inputs!$C$8-Inputs!$C$7)/240</f>
        <v>-31.5</v>
      </c>
      <c r="B59" s="9">
        <f>Inputs!$C$5+Inputs!$C$9*(A59/Inputs!$C$10)^2</f>
        <v>401.10250000000002</v>
      </c>
      <c r="C59" s="9">
        <f t="shared" si="0"/>
        <v>401.10250000000002</v>
      </c>
      <c r="D59" s="9">
        <f>SQRT((Inputs!$C$52+B59)^2+Inputs!$C$52^2-2*(Inputs!$C$52+B59)*Inputs!$C$52*COS(SQRT(A59^2+Inputs!$C$6^2)/Inputs!$C$52))</f>
        <v>403.62849547636654</v>
      </c>
      <c r="E59" s="9">
        <f t="shared" si="1"/>
        <v>2525.9954763665178</v>
      </c>
      <c r="F59" s="9">
        <f>E59/Inputs!$C$12</f>
        <v>1419.0985822283808</v>
      </c>
      <c r="G59" s="9">
        <f>2*E59/Inputs!$C$21*1000000</f>
        <v>16.85162791097645</v>
      </c>
      <c r="H59" s="9">
        <f>SQRT(A59^2+Inputs!$C$6^2)</f>
        <v>40.215046935195787</v>
      </c>
      <c r="I59" s="9">
        <f t="shared" si="2"/>
        <v>5.7254143327118072</v>
      </c>
      <c r="J59" s="9">
        <f>DEGREES((2*PI()/Inputs!$C$13)*Inputs!$C$15*SIN(RADIANS(I59)))</f>
        <v>35.913999805764909</v>
      </c>
      <c r="K59" s="9">
        <f t="shared" si="3"/>
        <v>0.97520113736185254</v>
      </c>
      <c r="L59" s="9">
        <f t="shared" si="4"/>
        <v>-0.10905800878509146</v>
      </c>
      <c r="M59" s="9">
        <f>2*(Inputs!$C$9/(Inputs!$C$10^2))*A59</f>
        <v>-7.0000000000000007E-2</v>
      </c>
      <c r="N59" s="9">
        <f>M59*Inputs!$C$11</f>
        <v>-0.28000000000000003</v>
      </c>
      <c r="O59" s="9">
        <f>1000*(D60-D58)/(A60-A58)*Inputs!$C$11</f>
        <v>-670.95373055508389</v>
      </c>
      <c r="P59" s="9">
        <f>-2*O59/Inputs!$C$13</f>
        <v>268.38149222203356</v>
      </c>
      <c r="Q59" s="9">
        <f>-2*O59/Inputs!$C$14</f>
        <v>40.297521354659693</v>
      </c>
      <c r="R59" s="9">
        <f>F59-Inputs!$C$16/2</f>
        <v>1404.0985822283808</v>
      </c>
      <c r="S59" s="9">
        <f>F59+Inputs!$C$16/2</f>
        <v>1434.0985822283808</v>
      </c>
      <c r="T59" s="9">
        <f>F59-Inputs!$C$17/2</f>
        <v>1269.0985822283808</v>
      </c>
      <c r="U59" s="9">
        <f>F59+Inputs!$C$17/2</f>
        <v>1569.0985822283808</v>
      </c>
      <c r="V59" s="9">
        <f t="shared" si="5"/>
        <v>268.38149222203356</v>
      </c>
      <c r="W59" s="9">
        <f t="shared" si="6"/>
        <v>40.297521354659693</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9.2958171156023646</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355.15219987006986</v>
      </c>
      <c r="Z59" s="9">
        <f t="shared" si="7"/>
        <v>401.09320418288439</v>
      </c>
      <c r="AA59" s="9">
        <f>SQRT((Inputs!$C$52+B59)^2+(Inputs!$C$52+Y59/1000)^2-2*(Inputs!$C$52+B59)*(Inputs!$C$52+Y59/1000)*COS(SQRT(A59^2+Inputs!$C$6^2)/Inputs!$C$52))</f>
        <v>403.27614132804899</v>
      </c>
      <c r="AB59" s="9">
        <f t="shared" si="8"/>
        <v>2182.9371451646011</v>
      </c>
      <c r="AC59" s="9">
        <f>AB59/Inputs!$C$12</f>
        <v>1226.3691826767422</v>
      </c>
      <c r="AD59" s="9">
        <f>2*AB59/Inputs!$C$21*1000000</f>
        <v>14.562989074025346</v>
      </c>
      <c r="AE59" s="9">
        <f t="shared" si="9"/>
        <v>5.730454581716061</v>
      </c>
      <c r="AF59" s="9">
        <f>DEGREES((2*PI()/Inputs!$C$13)*Inputs!$C$15*SIN(RADIANS(AE59)))</f>
        <v>35.945510502735566</v>
      </c>
      <c r="AG59" s="9">
        <f t="shared" si="10"/>
        <v>0.97852313675404268</v>
      </c>
      <c r="AH59" s="9">
        <f t="shared" si="11"/>
        <v>-9.4289011804136402E-2</v>
      </c>
      <c r="AI59" s="9">
        <f t="shared" si="12"/>
        <v>-192.72939955163861</v>
      </c>
      <c r="AJ59" s="9">
        <f t="shared" si="13"/>
        <v>-2.2886388369511046</v>
      </c>
      <c r="AK59" s="9">
        <f t="shared" si="14"/>
        <v>345.85638275446752</v>
      </c>
      <c r="AL59" s="9">
        <f>1000*(AA60-AA58)/(A60-A58)*Inputs!$C$11</f>
        <v>-720.36044637070518</v>
      </c>
      <c r="AM59" s="9">
        <f>-2*AL59/Inputs!$C$13</f>
        <v>288.14417854828207</v>
      </c>
      <c r="AN59" s="9">
        <f>-2*AL59/Inputs!$C$14</f>
        <v>43.264891673916232</v>
      </c>
      <c r="AO59" s="9">
        <f t="shared" si="15"/>
        <v>288.14417854828207</v>
      </c>
      <c r="AP59" s="9">
        <f t="shared" si="16"/>
        <v>43.264891673916232</v>
      </c>
      <c r="AQ59" s="9">
        <f>IF(OR(Inputs!$C$27=TRUE,Inputs!$C$27="TRUE",Inputs!$C$27=1),Inputs!$C$46/Inputs!$C$12,0)</f>
        <v>42.134831460674157</v>
      </c>
      <c r="AR59" s="9">
        <f t="shared" si="17"/>
        <v>1184.234351216068</v>
      </c>
      <c r="AS59" s="9">
        <f t="shared" si="18"/>
        <v>1268.5040141374163</v>
      </c>
    </row>
    <row r="60" spans="1:45">
      <c r="A60" s="9">
        <f>Inputs!$C$7+58*(Inputs!$C$8-Inputs!$C$7)/240</f>
        <v>-31</v>
      </c>
      <c r="B60" s="9">
        <f>Inputs!$C$5+Inputs!$C$9*(A60/Inputs!$C$10)^2</f>
        <v>401.06777777777779</v>
      </c>
      <c r="C60" s="9">
        <f t="shared" si="0"/>
        <v>401.06777777777779</v>
      </c>
      <c r="D60" s="9">
        <f>SQRT((Inputs!$C$52+B60)^2+Inputs!$C$52^2-2*(Inputs!$C$52+B60)*Inputs!$C$52*COS(SQRT(A60^2+Inputs!$C$6^2)/Inputs!$C$52))</f>
        <v>403.54528551519752</v>
      </c>
      <c r="E60" s="9">
        <f t="shared" si="1"/>
        <v>2477.5077374197281</v>
      </c>
      <c r="F60" s="9">
        <f>E60/Inputs!$C$12</f>
        <v>1391.8582794492854</v>
      </c>
      <c r="G60" s="9">
        <f>2*E60/Inputs!$C$21*1000000</f>
        <v>16.528152535576648</v>
      </c>
      <c r="H60" s="9">
        <f>SQRT(A60^2+Inputs!$C$6^2)</f>
        <v>39.824615503479755</v>
      </c>
      <c r="I60" s="9">
        <f t="shared" si="2"/>
        <v>5.6706802988679366</v>
      </c>
      <c r="J60" s="9">
        <f>DEGREES((2*PI()/Inputs!$C$13)*Inputs!$C$15*SIN(RADIANS(I60)))</f>
        <v>35.571794987296549</v>
      </c>
      <c r="K60" s="9">
        <f t="shared" si="3"/>
        <v>0.97566780617069948</v>
      </c>
      <c r="L60" s="9">
        <f t="shared" si="4"/>
        <v>-0.10698025063433281</v>
      </c>
      <c r="M60" s="9">
        <f>2*(Inputs!$C$9/(Inputs!$C$10^2))*A60</f>
        <v>-6.8888888888888888E-2</v>
      </c>
      <c r="N60" s="9">
        <f>M60*Inputs!$C$11</f>
        <v>-0.27555555555555555</v>
      </c>
      <c r="O60" s="9">
        <f>1000*(D61-D59)/(A61-A59)*Inputs!$C$11</f>
        <v>-660.40326954157536</v>
      </c>
      <c r="P60" s="9">
        <f>-2*O60/Inputs!$C$13</f>
        <v>264.16130781663014</v>
      </c>
      <c r="Q60" s="9">
        <f>-2*O60/Inputs!$C$14</f>
        <v>39.663860032527054</v>
      </c>
      <c r="R60" s="9">
        <f>F60-Inputs!$C$16/2</f>
        <v>1376.8582794492854</v>
      </c>
      <c r="S60" s="9">
        <f>F60+Inputs!$C$16/2</f>
        <v>1406.8582794492854</v>
      </c>
      <c r="T60" s="9">
        <f>F60-Inputs!$C$17/2</f>
        <v>1241.8582794492854</v>
      </c>
      <c r="U60" s="9">
        <f>F60+Inputs!$C$17/2</f>
        <v>1541.8582794492854</v>
      </c>
      <c r="V60" s="9">
        <f t="shared" si="5"/>
        <v>264.16130781663014</v>
      </c>
      <c r="W60" s="9">
        <f t="shared" si="6"/>
        <v>39.663860032527054</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-13.18958267522941</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353.26100932469092</v>
      </c>
      <c r="Z60" s="9">
        <f t="shared" si="7"/>
        <v>401.08096736045303</v>
      </c>
      <c r="AA60" s="9">
        <f>SQRT((Inputs!$C$52+B60)^2+(Inputs!$C$52+Y60/1000)^2-2*(Inputs!$C$52+B60)*(Inputs!$C$52+Y60/1000)*COS(SQRT(A60^2+Inputs!$C$6^2)/Inputs!$C$52))</f>
        <v>403.19475470254764</v>
      </c>
      <c r="AB60" s="9">
        <f t="shared" si="8"/>
        <v>2113.7873420946107</v>
      </c>
      <c r="AC60" s="9">
        <f>AB60/Inputs!$C$12</f>
        <v>1187.5209787048375</v>
      </c>
      <c r="AD60" s="9">
        <f>2*AB60/Inputs!$C$21*1000000</f>
        <v>14.10167124414191</v>
      </c>
      <c r="AE60" s="9">
        <f t="shared" si="9"/>
        <v>5.6756468197139078</v>
      </c>
      <c r="AF60" s="9">
        <f>DEGREES((2*PI()/Inputs!$C$13)*Inputs!$C$15*SIN(RADIANS(AE60)))</f>
        <v>35.602847712603342</v>
      </c>
      <c r="AG60" s="9">
        <f t="shared" si="10"/>
        <v>0.97919394795793679</v>
      </c>
      <c r="AH60" s="9">
        <f t="shared" si="11"/>
        <v>-9.1312794066377739E-2</v>
      </c>
      <c r="AI60" s="9">
        <f t="shared" si="12"/>
        <v>-204.33730074444793</v>
      </c>
      <c r="AJ60" s="9">
        <f t="shared" si="13"/>
        <v>-2.4264812914347385</v>
      </c>
      <c r="AK60" s="9">
        <f t="shared" si="14"/>
        <v>366.45059199992033</v>
      </c>
      <c r="AL60" s="9">
        <f>1000*(AA61-AA59)/(A61-A59)*Inputs!$C$11</f>
        <v>-595.34623192939762</v>
      </c>
      <c r="AM60" s="9">
        <f>-2*AL60/Inputs!$C$13</f>
        <v>238.13849277175905</v>
      </c>
      <c r="AN60" s="9">
        <f>-2*AL60/Inputs!$C$14</f>
        <v>35.756530446210071</v>
      </c>
      <c r="AO60" s="9">
        <f t="shared" si="15"/>
        <v>238.13849277175905</v>
      </c>
      <c r="AP60" s="9">
        <f t="shared" si="16"/>
        <v>35.756530446210071</v>
      </c>
      <c r="AQ60" s="9">
        <f>IF(OR(Inputs!$C$27=TRUE,Inputs!$C$27="TRUE",Inputs!$C$27=1),Inputs!$C$46/Inputs!$C$12,0)</f>
        <v>42.134831460674157</v>
      </c>
      <c r="AR60" s="9">
        <f t="shared" si="17"/>
        <v>1145.3861472441633</v>
      </c>
      <c r="AS60" s="9">
        <f t="shared" si="18"/>
        <v>1229.6558101655116</v>
      </c>
    </row>
    <row r="61" spans="1:45">
      <c r="A61" s="9">
        <f>Inputs!$C$7+59*(Inputs!$C$8-Inputs!$C$7)/240</f>
        <v>-30.5</v>
      </c>
      <c r="B61" s="9">
        <f>Inputs!$C$5+Inputs!$C$9*(A61/Inputs!$C$10)^2</f>
        <v>401.0336111111111</v>
      </c>
      <c r="C61" s="9">
        <f t="shared" si="0"/>
        <v>401.0336111111111</v>
      </c>
      <c r="D61" s="9">
        <f>SQRT((Inputs!$C$52+B61)^2+Inputs!$C$52^2-2*(Inputs!$C$52+B61)*Inputs!$C$52*COS(SQRT(A61^2+Inputs!$C$6^2)/Inputs!$C$52))</f>
        <v>403.46339465898114</v>
      </c>
      <c r="E61" s="9">
        <f t="shared" si="1"/>
        <v>2429.7835478700449</v>
      </c>
      <c r="F61" s="9">
        <f>E61/Inputs!$C$12</f>
        <v>1365.0469370056433</v>
      </c>
      <c r="G61" s="9">
        <f>2*E61/Inputs!$C$21*1000000</f>
        <v>16.209771013452546</v>
      </c>
      <c r="H61" s="9">
        <f>SQRT(A61^2+Inputs!$C$6^2)</f>
        <v>39.436658073421995</v>
      </c>
      <c r="I61" s="9">
        <f t="shared" si="2"/>
        <v>5.6162687447103439</v>
      </c>
      <c r="J61" s="9">
        <f>DEGREES((2*PI()/Inputs!$C$13)*Inputs!$C$15*SIN(RADIANS(I61)))</f>
        <v>35.231574180540157</v>
      </c>
      <c r="K61" s="9">
        <f t="shared" si="3"/>
        <v>0.9761274783366205</v>
      </c>
      <c r="L61" s="9">
        <f t="shared" si="4"/>
        <v>-0.10493461510667687</v>
      </c>
      <c r="M61" s="9">
        <f>2*(Inputs!$C$9/(Inputs!$C$10^2))*A61</f>
        <v>-6.7777777777777784E-2</v>
      </c>
      <c r="N61" s="9">
        <f>M61*Inputs!$C$11</f>
        <v>-0.27111111111111114</v>
      </c>
      <c r="O61" s="9">
        <f>1000*(D62-D60)/(A62-A60)*Inputs!$C$11</f>
        <v>-649.84808697204244</v>
      </c>
      <c r="P61" s="9">
        <f>-2*O61/Inputs!$C$13</f>
        <v>259.93923478881698</v>
      </c>
      <c r="Q61" s="9">
        <f>-2*O61/Inputs!$C$14</f>
        <v>39.029915133456008</v>
      </c>
      <c r="R61" s="9">
        <f>F61-Inputs!$C$16/2</f>
        <v>1350.0469370056433</v>
      </c>
      <c r="S61" s="9">
        <f>F61+Inputs!$C$16/2</f>
        <v>1380.0469370056433</v>
      </c>
      <c r="T61" s="9">
        <f>F61-Inputs!$C$17/2</f>
        <v>1215.0469370056433</v>
      </c>
      <c r="U61" s="9">
        <f>F61+Inputs!$C$17/2</f>
        <v>1515.0469370056433</v>
      </c>
      <c r="V61" s="9">
        <f t="shared" si="5"/>
        <v>259.93923478881698</v>
      </c>
      <c r="W61" s="9">
        <f t="shared" si="6"/>
        <v>39.029915133456008</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-7.4673180377006023</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338.65715440925169</v>
      </c>
      <c r="Z61" s="9">
        <f t="shared" si="7"/>
        <v>401.0410784291488</v>
      </c>
      <c r="AA61" s="9">
        <f>SQRT((Inputs!$C$52+B61)^2+(Inputs!$C$52+Y61/1000)^2-2*(Inputs!$C$52+B61)*(Inputs!$C$52+Y61/1000)*COS(SQRT(A61^2+Inputs!$C$6^2)/Inputs!$C$52))</f>
        <v>403.12730477006664</v>
      </c>
      <c r="AB61" s="9">
        <f t="shared" si="8"/>
        <v>2086.2263409178468</v>
      </c>
      <c r="AC61" s="9">
        <f>AB61/Inputs!$C$12</f>
        <v>1172.0372701785657</v>
      </c>
      <c r="AD61" s="9">
        <f>2*AB61/Inputs!$C$21*1000000</f>
        <v>13.91780403573626</v>
      </c>
      <c r="AE61" s="9">
        <f t="shared" si="9"/>
        <v>5.6209850863903705</v>
      </c>
      <c r="AF61" s="9">
        <f>DEGREES((2*PI()/Inputs!$C$13)*Inputs!$C$15*SIN(RADIANS(AE61)))</f>
        <v>35.26106545806163</v>
      </c>
      <c r="AG61" s="9">
        <f t="shared" si="10"/>
        <v>0.97945971454004543</v>
      </c>
      <c r="AH61" s="9">
        <f t="shared" si="11"/>
        <v>-9.0134219589405457E-2</v>
      </c>
      <c r="AI61" s="9">
        <f t="shared" si="12"/>
        <v>-193.00966682707758</v>
      </c>
      <c r="AJ61" s="9">
        <f t="shared" si="13"/>
        <v>-2.2919669777162852</v>
      </c>
      <c r="AK61" s="9">
        <f t="shared" si="14"/>
        <v>346.12447244695227</v>
      </c>
      <c r="AL61" s="9">
        <f>1000*(AA62-AA60)/(A62-A60)*Inputs!$C$11</f>
        <v>-585.60834472018541</v>
      </c>
      <c r="AM61" s="9">
        <f>-2*AL61/Inputs!$C$13</f>
        <v>234.24333788807417</v>
      </c>
      <c r="AN61" s="9">
        <f>-2*AL61/Inputs!$C$14</f>
        <v>35.171672355566692</v>
      </c>
      <c r="AO61" s="9">
        <f t="shared" si="15"/>
        <v>234.24333788807417</v>
      </c>
      <c r="AP61" s="9">
        <f t="shared" si="16"/>
        <v>35.171672355566692</v>
      </c>
      <c r="AQ61" s="9">
        <f>IF(OR(Inputs!$C$27=TRUE,Inputs!$C$27="TRUE",Inputs!$C$27=1),Inputs!$C$46/Inputs!$C$12,0)</f>
        <v>42.134831460674157</v>
      </c>
      <c r="AR61" s="9">
        <f t="shared" si="17"/>
        <v>1129.9024387178915</v>
      </c>
      <c r="AS61" s="9">
        <f t="shared" si="18"/>
        <v>1214.1721016392398</v>
      </c>
    </row>
    <row r="62" spans="1:45">
      <c r="A62" s="9">
        <f>Inputs!$C$7+60*(Inputs!$C$8-Inputs!$C$7)/240</f>
        <v>-30</v>
      </c>
      <c r="B62" s="9">
        <f>Inputs!$C$5+Inputs!$C$9*(A62/Inputs!$C$10)^2</f>
        <v>401</v>
      </c>
      <c r="C62" s="9">
        <f t="shared" si="0"/>
        <v>401</v>
      </c>
      <c r="D62" s="9">
        <f>SQRT((Inputs!$C$52+B62)^2+Inputs!$C$52^2-2*(Inputs!$C$52+B62)*Inputs!$C$52*COS(SQRT(A62^2+Inputs!$C$6^2)/Inputs!$C$52))</f>
        <v>403.38282349345451</v>
      </c>
      <c r="E62" s="9">
        <f t="shared" si="1"/>
        <v>2382.8234934545094</v>
      </c>
      <c r="F62" s="9">
        <f>E62/Inputs!$C$12</f>
        <v>1338.6648839632076</v>
      </c>
      <c r="G62" s="9">
        <f>2*E62/Inputs!$C$21*1000000</f>
        <v>15.896487252221066</v>
      </c>
      <c r="H62" s="9">
        <f>SQRT(A62^2+Inputs!$C$6^2)</f>
        <v>39.05124837953327</v>
      </c>
      <c r="I62" s="9">
        <f t="shared" si="2"/>
        <v>5.5621907006038249</v>
      </c>
      <c r="J62" s="9">
        <f>DEGREES((2*PI()/Inputs!$C$13)*Inputs!$C$15*SIN(RADIANS(I62)))</f>
        <v>34.893407239514069</v>
      </c>
      <c r="K62" s="9">
        <f t="shared" si="3"/>
        <v>0.97658013175787806</v>
      </c>
      <c r="L62" s="9">
        <f t="shared" si="4"/>
        <v>-0.10292115558440429</v>
      </c>
      <c r="M62" s="9">
        <f>2*(Inputs!$C$9/(Inputs!$C$10^2))*A62</f>
        <v>-6.6666666666666666E-2</v>
      </c>
      <c r="N62" s="9">
        <f>M62*Inputs!$C$11</f>
        <v>-0.26666666666666666</v>
      </c>
      <c r="O62" s="9">
        <f>1000*(D63-D61)/(A63-A61)*Inputs!$C$11</f>
        <v>-639.28825426273761</v>
      </c>
      <c r="P62" s="9">
        <f>-2*O62/Inputs!$C$13</f>
        <v>255.71530170509504</v>
      </c>
      <c r="Q62" s="9">
        <f>-2*O62/Inputs!$C$14</f>
        <v>38.395690946710971</v>
      </c>
      <c r="R62" s="9">
        <f>F62-Inputs!$C$16/2</f>
        <v>1323.6648839632076</v>
      </c>
      <c r="S62" s="9">
        <f>F62+Inputs!$C$16/2</f>
        <v>1353.6648839632076</v>
      </c>
      <c r="T62" s="9">
        <f>F62-Inputs!$C$17/2</f>
        <v>1188.6648839632076</v>
      </c>
      <c r="U62" s="9">
        <f>F62+Inputs!$C$17/2</f>
        <v>1488.6648839632076</v>
      </c>
      <c r="V62" s="9">
        <f t="shared" si="5"/>
        <v>255.71530170509504</v>
      </c>
      <c r="W62" s="9">
        <f t="shared" si="6"/>
        <v>38.395690946710971</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-17.518013833672008</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336.97644838088075</v>
      </c>
      <c r="Z62" s="9">
        <f t="shared" si="7"/>
        <v>401.01751801383369</v>
      </c>
      <c r="AA62" s="9">
        <f>SQRT((Inputs!$C$52+B62)^2+(Inputs!$C$52+Y62/1000)^2-2*(Inputs!$C$52+B62)*(Inputs!$C$52+Y62/1000)*COS(SQRT(A62^2+Inputs!$C$6^2)/Inputs!$C$52))</f>
        <v>403.04835261636759</v>
      </c>
      <c r="AB62" s="9">
        <f t="shared" si="8"/>
        <v>2030.8346025339006</v>
      </c>
      <c r="AC62" s="9">
        <f>AB62/Inputs!$C$12</f>
        <v>1140.9183160302812</v>
      </c>
      <c r="AD62" s="9">
        <f>2*AB62/Inputs!$C$21*1000000</f>
        <v>13.548270133826387</v>
      </c>
      <c r="AE62" s="9">
        <f t="shared" si="9"/>
        <v>5.5668393917384416</v>
      </c>
      <c r="AF62" s="9">
        <f>DEGREES((2*PI()/Inputs!$C$13)*Inputs!$C$15*SIN(RADIANS(AE62)))</f>
        <v>34.922478186107455</v>
      </c>
      <c r="AG62" s="9">
        <f t="shared" si="10"/>
        <v>0.9799970700944477</v>
      </c>
      <c r="AH62" s="9">
        <f t="shared" si="11"/>
        <v>-8.7752227194602211E-2</v>
      </c>
      <c r="AI62" s="9">
        <f t="shared" si="12"/>
        <v>-197.74656793292638</v>
      </c>
      <c r="AJ62" s="9">
        <f t="shared" si="13"/>
        <v>-2.3482171183946789</v>
      </c>
      <c r="AK62" s="9">
        <f t="shared" si="14"/>
        <v>354.49446221455275</v>
      </c>
      <c r="AL62" s="9">
        <f>1000*(AA63-AA61)/(A63-A61)*Inputs!$C$11</f>
        <v>-590.4015835149039</v>
      </c>
      <c r="AM62" s="9">
        <f>-2*AL62/Inputs!$C$13</f>
        <v>236.16063340596156</v>
      </c>
      <c r="AN62" s="9">
        <f>-2*AL62/Inputs!$C$14</f>
        <v>35.459554565459698</v>
      </c>
      <c r="AO62" s="9">
        <f t="shared" si="15"/>
        <v>236.16063340596156</v>
      </c>
      <c r="AP62" s="9">
        <f t="shared" si="16"/>
        <v>35.459554565459698</v>
      </c>
      <c r="AQ62" s="9">
        <f>IF(OR(Inputs!$C$27=TRUE,Inputs!$C$27="TRUE",Inputs!$C$27=1),Inputs!$C$46/Inputs!$C$12,0)</f>
        <v>42.134831460674157</v>
      </c>
      <c r="AR62" s="9">
        <f t="shared" si="17"/>
        <v>1098.783484569607</v>
      </c>
      <c r="AS62" s="9">
        <f t="shared" si="18"/>
        <v>1183.0531474909553</v>
      </c>
    </row>
    <row r="63" spans="1:45">
      <c r="A63" s="9">
        <f>Inputs!$C$7+61*(Inputs!$C$8-Inputs!$C$7)/240</f>
        <v>-29.5</v>
      </c>
      <c r="B63" s="9">
        <f>Inputs!$C$5+Inputs!$C$9*(A63/Inputs!$C$10)^2</f>
        <v>400.96694444444444</v>
      </c>
      <c r="C63" s="9">
        <f t="shared" si="0"/>
        <v>400.96694444444444</v>
      </c>
      <c r="D63" s="9">
        <f>SQRT((Inputs!$C$52+B63)^2+Inputs!$C$52^2-2*(Inputs!$C$52+B63)*Inputs!$C$52*COS(SQRT(A63^2+Inputs!$C$6^2)/Inputs!$C$52))</f>
        <v>403.30357259541546</v>
      </c>
      <c r="E63" s="9">
        <f t="shared" si="1"/>
        <v>2336.6281509710234</v>
      </c>
      <c r="F63" s="9">
        <f>E63/Inputs!$C$12</f>
        <v>1312.7124443657435</v>
      </c>
      <c r="G63" s="9">
        <f>2*E63/Inputs!$C$21*1000000</f>
        <v>15.588305099863611</v>
      </c>
      <c r="H63" s="9">
        <f>SQRT(A63^2+Inputs!$C$6^2)</f>
        <v>38.668462601970617</v>
      </c>
      <c r="I63" s="9">
        <f t="shared" si="2"/>
        <v>5.5084575472448263</v>
      </c>
      <c r="J63" s="9">
        <f>DEGREES((2*PI()/Inputs!$C$13)*Inputs!$C$15*SIN(RADIANS(I63)))</f>
        <v>34.557366220189273</v>
      </c>
      <c r="K63" s="9">
        <f t="shared" si="3"/>
        <v>0.97702574464088932</v>
      </c>
      <c r="L63" s="9">
        <f t="shared" si="4"/>
        <v>-0.10093992465291421</v>
      </c>
      <c r="M63" s="9">
        <f>2*(Inputs!$C$9/(Inputs!$C$10^2))*A63</f>
        <v>-6.5555555555555561E-2</v>
      </c>
      <c r="N63" s="9">
        <f>M63*Inputs!$C$11</f>
        <v>-0.26222222222222225</v>
      </c>
      <c r="O63" s="9">
        <f>1000*(D64-D62)/(A64-A62)*Inputs!$C$11</f>
        <v>-628.72384309639529</v>
      </c>
      <c r="P63" s="9">
        <f>-2*O63/Inputs!$C$13</f>
        <v>251.48953723855811</v>
      </c>
      <c r="Q63" s="9">
        <f>-2*O63/Inputs!$C$14</f>
        <v>37.76119177756128</v>
      </c>
      <c r="R63" s="9">
        <f>F63-Inputs!$C$16/2</f>
        <v>1297.7124443657435</v>
      </c>
      <c r="S63" s="9">
        <f>F63+Inputs!$C$16/2</f>
        <v>1327.7124443657435</v>
      </c>
      <c r="T63" s="9">
        <f>F63-Inputs!$C$17/2</f>
        <v>1162.7124443657435</v>
      </c>
      <c r="U63" s="9">
        <f>F63+Inputs!$C$17/2</f>
        <v>1462.7124443657435</v>
      </c>
      <c r="V63" s="9">
        <f t="shared" si="5"/>
        <v>251.48953723855811</v>
      </c>
      <c r="W63" s="9">
        <f t="shared" si="6"/>
        <v>37.76119177756128</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-36.167878297776255</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326.24732503276135</v>
      </c>
      <c r="Z63" s="9">
        <f t="shared" si="7"/>
        <v>401.0031123227422</v>
      </c>
      <c r="AA63" s="9">
        <f>SQRT((Inputs!$C$52+B63)^2+(Inputs!$C$52+Y63/1000)^2-2*(Inputs!$C$52+B63)*(Inputs!$C$52+Y63/1000)*COS(SQRT(A63^2+Inputs!$C$6^2)/Inputs!$C$52))</f>
        <v>402.97970437418792</v>
      </c>
      <c r="AB63" s="9">
        <f t="shared" si="8"/>
        <v>1976.5920514457207</v>
      </c>
      <c r="AC63" s="9">
        <f>AB63/Inputs!$C$12</f>
        <v>1110.444972722315</v>
      </c>
      <c r="AD63" s="9">
        <f>2*AB63/Inputs!$C$21*1000000</f>
        <v>13.18640278432702</v>
      </c>
      <c r="AE63" s="9">
        <f t="shared" si="9"/>
        <v>5.5129155384179427</v>
      </c>
      <c r="AF63" s="9">
        <f>DEGREES((2*PI()/Inputs!$C$13)*Inputs!$C$15*SIN(RADIANS(AE63)))</f>
        <v>34.585247149347822</v>
      </c>
      <c r="AG63" s="9">
        <f t="shared" si="10"/>
        <v>0.9805241115448593</v>
      </c>
      <c r="AH63" s="9">
        <f t="shared" si="11"/>
        <v>-8.5417223611825313E-2</v>
      </c>
      <c r="AI63" s="9">
        <f t="shared" si="12"/>
        <v>-202.26747164342851</v>
      </c>
      <c r="AJ63" s="9">
        <f t="shared" si="13"/>
        <v>-2.4019023155365904</v>
      </c>
      <c r="AK63" s="9">
        <f t="shared" si="14"/>
        <v>362.41520333053762</v>
      </c>
      <c r="AL63" s="9">
        <f>1000*(AA64-AA62)/(A64-A62)*Inputs!$C$11</f>
        <v>-608.85565050057266</v>
      </c>
      <c r="AM63" s="9">
        <f>-2*AL63/Inputs!$C$13</f>
        <v>243.54226020022907</v>
      </c>
      <c r="AN63" s="9">
        <f>-2*AL63/Inputs!$C$14</f>
        <v>36.567906936971333</v>
      </c>
      <c r="AO63" s="9">
        <f t="shared" si="15"/>
        <v>243.54226020022907</v>
      </c>
      <c r="AP63" s="9">
        <f t="shared" si="16"/>
        <v>36.567906936971333</v>
      </c>
      <c r="AQ63" s="9">
        <f>IF(OR(Inputs!$C$27=TRUE,Inputs!$C$27="TRUE",Inputs!$C$27=1),Inputs!$C$46/Inputs!$C$12,0)</f>
        <v>42.134831460674157</v>
      </c>
      <c r="AR63" s="9">
        <f t="shared" si="17"/>
        <v>1068.3101412616409</v>
      </c>
      <c r="AS63" s="9">
        <f t="shared" si="18"/>
        <v>1152.5798041829892</v>
      </c>
    </row>
    <row r="64" spans="1:45">
      <c r="A64" s="9">
        <f>Inputs!$C$7+62*(Inputs!$C$8-Inputs!$C$7)/240</f>
        <v>-29</v>
      </c>
      <c r="B64" s="9">
        <f>Inputs!$C$5+Inputs!$C$9*(A64/Inputs!$C$10)^2</f>
        <v>400.93444444444447</v>
      </c>
      <c r="C64" s="9">
        <f t="shared" si="0"/>
        <v>400.93444444444447</v>
      </c>
      <c r="D64" s="9">
        <f>SQRT((Inputs!$C$52+B64)^2+Inputs!$C$52^2-2*(Inputs!$C$52+B64)*Inputs!$C$52*COS(SQRT(A64^2+Inputs!$C$6^2)/Inputs!$C$52))</f>
        <v>403.22564253268041</v>
      </c>
      <c r="E64" s="9">
        <f t="shared" si="1"/>
        <v>2291.1980882359444</v>
      </c>
      <c r="F64" s="9">
        <f>E64/Inputs!$C$12</f>
        <v>1287.1899372112048</v>
      </c>
      <c r="G64" s="9">
        <f>2*E64/Inputs!$C$21*1000000</f>
        <v>15.285228344443171</v>
      </c>
      <c r="H64" s="9">
        <f>SQRT(A64^2+Inputs!$C$6^2)</f>
        <v>38.288379438153292</v>
      </c>
      <c r="I64" s="9">
        <f t="shared" si="2"/>
        <v>5.4550810258419062</v>
      </c>
      <c r="J64" s="9">
        <f>DEGREES((2*PI()/Inputs!$C$13)*Inputs!$C$15*SIN(RADIANS(I64)))</f>
        <v>34.223525444306702</v>
      </c>
      <c r="K64" s="9">
        <f t="shared" si="3"/>
        <v>0.97746429550275815</v>
      </c>
      <c r="L64" s="9">
        <f t="shared" si="4"/>
        <v>-9.8990974096728052E-2</v>
      </c>
      <c r="M64" s="9">
        <f>2*(Inputs!$C$9/(Inputs!$C$10^2))*A64</f>
        <v>-6.4444444444444443E-2</v>
      </c>
      <c r="N64" s="9">
        <f>M64*Inputs!$C$11</f>
        <v>-0.25777777777777777</v>
      </c>
      <c r="O64" s="9">
        <f>1000*(D65-D63)/(A65-A63)*Inputs!$C$11</f>
        <v>-618.15492536243255</v>
      </c>
      <c r="P64" s="9">
        <f>-2*O64/Inputs!$C$13</f>
        <v>247.26197014497302</v>
      </c>
      <c r="Q64" s="9">
        <f>-2*O64/Inputs!$C$14</f>
        <v>37.126421943689643</v>
      </c>
      <c r="R64" s="9">
        <f>F64-Inputs!$C$16/2</f>
        <v>1272.1899372112048</v>
      </c>
      <c r="S64" s="9">
        <f>F64+Inputs!$C$16/2</f>
        <v>1302.1899372112048</v>
      </c>
      <c r="T64" s="9">
        <f>F64-Inputs!$C$17/2</f>
        <v>1137.1899372112048</v>
      </c>
      <c r="U64" s="9">
        <f>F64+Inputs!$C$17/2</f>
        <v>1437.1899372112048</v>
      </c>
      <c r="V64" s="9">
        <f t="shared" si="5"/>
        <v>247.26197014497302</v>
      </c>
      <c r="W64" s="9">
        <f t="shared" si="6"/>
        <v>37.126421943689643</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-22.863821755996071</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331.87736012346193</v>
      </c>
      <c r="Z64" s="9">
        <f t="shared" si="7"/>
        <v>400.95730826620047</v>
      </c>
      <c r="AA64" s="9">
        <f>SQRT((Inputs!$C$52+B64)^2+(Inputs!$C$52+Y64/1000)^2-2*(Inputs!$C$52+B64)*(Inputs!$C$52+Y64/1000)*COS(SQRT(A64^2+Inputs!$C$6^2)/Inputs!$C$52))</f>
        <v>402.89613870374245</v>
      </c>
      <c r="AB64" s="9">
        <f t="shared" si="8"/>
        <v>1938.8304375419807</v>
      </c>
      <c r="AC64" s="9">
        <f>AB64/Inputs!$C$12</f>
        <v>1089.2305828887531</v>
      </c>
      <c r="AD64" s="9">
        <f>2*AB64/Inputs!$C$21*1000000</f>
        <v>12.934484412826562</v>
      </c>
      <c r="AE64" s="9">
        <f t="shared" si="9"/>
        <v>5.4595729679541591</v>
      </c>
      <c r="AF64" s="9">
        <f>DEGREES((2*PI()/Inputs!$C$13)*Inputs!$C$15*SIN(RADIANS(AE64)))</f>
        <v>34.251621219583015</v>
      </c>
      <c r="AG64" s="9">
        <f t="shared" si="10"/>
        <v>0.98088956493679824</v>
      </c>
      <c r="AH64" s="9">
        <f t="shared" si="11"/>
        <v>-8.3798856255141718E-2</v>
      </c>
      <c r="AI64" s="9">
        <f t="shared" si="12"/>
        <v>-197.95935432245165</v>
      </c>
      <c r="AJ64" s="9">
        <f t="shared" si="13"/>
        <v>-2.3507439316166092</v>
      </c>
      <c r="AK64" s="9">
        <f t="shared" si="14"/>
        <v>354.741181879458</v>
      </c>
      <c r="AL64" s="9">
        <f>1000*(AA65-AA63)/(A65-A63)*Inputs!$C$11</f>
        <v>-554.94878530635106</v>
      </c>
      <c r="AM64" s="9">
        <f>-2*AL64/Inputs!$C$13</f>
        <v>221.97951412254042</v>
      </c>
      <c r="AN64" s="9">
        <f>-2*AL64/Inputs!$C$14</f>
        <v>33.330257375756823</v>
      </c>
      <c r="AO64" s="9">
        <f t="shared" si="15"/>
        <v>221.97951412254042</v>
      </c>
      <c r="AP64" s="9">
        <f t="shared" si="16"/>
        <v>33.330257375756823</v>
      </c>
      <c r="AQ64" s="9">
        <f>IF(OR(Inputs!$C$27=TRUE,Inputs!$C$27="TRUE",Inputs!$C$27=1),Inputs!$C$46/Inputs!$C$12,0)</f>
        <v>42.134831460674157</v>
      </c>
      <c r="AR64" s="9">
        <f t="shared" si="17"/>
        <v>1047.095751428079</v>
      </c>
      <c r="AS64" s="9">
        <f t="shared" si="18"/>
        <v>1131.3654143494273</v>
      </c>
    </row>
    <row r="65" spans="1:45">
      <c r="A65" s="9">
        <f>Inputs!$C$7+63*(Inputs!$C$8-Inputs!$C$7)/240</f>
        <v>-28.5</v>
      </c>
      <c r="B65" s="9">
        <f>Inputs!$C$5+Inputs!$C$9*(A65/Inputs!$C$10)^2</f>
        <v>400.90249999999997</v>
      </c>
      <c r="C65" s="9">
        <f t="shared" si="0"/>
        <v>400.90249999999997</v>
      </c>
      <c r="D65" s="9">
        <f>SQRT((Inputs!$C$52+B65)^2+Inputs!$C$52^2-2*(Inputs!$C$52+B65)*Inputs!$C$52*COS(SQRT(A65^2+Inputs!$C$6^2)/Inputs!$C$52))</f>
        <v>403.14903386407485</v>
      </c>
      <c r="E65" s="9">
        <f t="shared" si="1"/>
        <v>2246.5338640748769</v>
      </c>
      <c r="F65" s="9">
        <f>E65/Inputs!$C$12</f>
        <v>1262.0976764465599</v>
      </c>
      <c r="G65" s="9">
        <f>2*E65/Inputs!$C$21*1000000</f>
        <v>14.987260714042893</v>
      </c>
      <c r="H65" s="9">
        <f>SQRT(A65^2+Inputs!$C$6^2)</f>
        <v>37.911080174534725</v>
      </c>
      <c r="I65" s="9">
        <f t="shared" si="2"/>
        <v>5.4020732483141956</v>
      </c>
      <c r="J65" s="9">
        <f>DEGREES((2*PI()/Inputs!$C$13)*Inputs!$C$15*SIN(RADIANS(I65)))</f>
        <v>33.891961563301649</v>
      </c>
      <c r="K65" s="9">
        <f t="shared" si="3"/>
        <v>0.97789576317346538</v>
      </c>
      <c r="L65" s="9">
        <f t="shared" si="4"/>
        <v>-9.7074354896927853E-2</v>
      </c>
      <c r="M65" s="9">
        <f>2*(Inputs!$C$9/(Inputs!$C$10^2))*A65</f>
        <v>-6.3333333333333339E-2</v>
      </c>
      <c r="N65" s="9">
        <f>M65*Inputs!$C$11</f>
        <v>-0.25333333333333335</v>
      </c>
      <c r="O65" s="9">
        <f>1000*(D66-D64)/(A66-A64)*Inputs!$C$11</f>
        <v>-607.58157313557604</v>
      </c>
      <c r="P65" s="9">
        <f>-2*O65/Inputs!$C$13</f>
        <v>243.03262925423041</v>
      </c>
      <c r="Q65" s="9">
        <f>-2*O65/Inputs!$C$14</f>
        <v>36.491385773908476</v>
      </c>
      <c r="R65" s="9">
        <f>F65-Inputs!$C$16/2</f>
        <v>1247.0976764465599</v>
      </c>
      <c r="S65" s="9">
        <f>F65+Inputs!$C$16/2</f>
        <v>1277.0976764465599</v>
      </c>
      <c r="T65" s="9">
        <f>F65-Inputs!$C$17/2</f>
        <v>1112.0976764465599</v>
      </c>
      <c r="U65" s="9">
        <f>F65+Inputs!$C$17/2</f>
        <v>1412.0976764465599</v>
      </c>
      <c r="V65" s="9">
        <f t="shared" si="5"/>
        <v>243.03262925423041</v>
      </c>
      <c r="W65" s="9">
        <f t="shared" si="6"/>
        <v>36.491385773908476</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-29.731374520275047</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310.24247262167495</v>
      </c>
      <c r="Z65" s="9">
        <f t="shared" si="7"/>
        <v>400.93223137452026</v>
      </c>
      <c r="AA65" s="9">
        <f>SQRT((Inputs!$C$52+B65)^2+(Inputs!$C$52+Y65/1000)^2-2*(Inputs!$C$52+B65)*(Inputs!$C$52+Y65/1000)*COS(SQRT(A65^2+Inputs!$C$6^2)/Inputs!$C$52))</f>
        <v>402.84096717786133</v>
      </c>
      <c r="AB65" s="9">
        <f t="shared" si="8"/>
        <v>1908.7358033410737</v>
      </c>
      <c r="AC65" s="9">
        <f>AB65/Inputs!$C$12</f>
        <v>1072.3234850230751</v>
      </c>
      <c r="AD65" s="9">
        <f>2*AB65/Inputs!$C$21*1000000</f>
        <v>12.733714624275663</v>
      </c>
      <c r="AE65" s="9">
        <f t="shared" si="9"/>
        <v>5.4062321568295086</v>
      </c>
      <c r="AF65" s="9">
        <f>DEGREES((2*PI()/Inputs!$C$13)*Inputs!$C$15*SIN(RADIANS(AE65)))</f>
        <v>33.917976606709978</v>
      </c>
      <c r="AG65" s="9">
        <f t="shared" si="10"/>
        <v>0.98118152980089401</v>
      </c>
      <c r="AH65" s="9">
        <f t="shared" si="11"/>
        <v>-8.2506357418964033E-2</v>
      </c>
      <c r="AI65" s="9">
        <f t="shared" si="12"/>
        <v>-189.77419142348481</v>
      </c>
      <c r="AJ65" s="9">
        <f t="shared" si="13"/>
        <v>-2.2535460897672301</v>
      </c>
      <c r="AK65" s="9">
        <f t="shared" si="14"/>
        <v>339.97384714194999</v>
      </c>
      <c r="AL65" s="9">
        <f>1000*(AA66-AA64)/(A66-A64)*Inputs!$C$11</f>
        <v>-534.08081204588598</v>
      </c>
      <c r="AM65" s="9">
        <f>-2*AL65/Inputs!$C$13</f>
        <v>213.63232481835439</v>
      </c>
      <c r="AN65" s="9">
        <f>-2*AL65/Inputs!$C$14</f>
        <v>32.076925648401563</v>
      </c>
      <c r="AO65" s="9">
        <f t="shared" si="15"/>
        <v>213.63232481835439</v>
      </c>
      <c r="AP65" s="9">
        <f t="shared" si="16"/>
        <v>32.076925648401563</v>
      </c>
      <c r="AQ65" s="9">
        <f>IF(OR(Inputs!$C$27=TRUE,Inputs!$C$27="TRUE",Inputs!$C$27=1),Inputs!$C$46/Inputs!$C$12,0)</f>
        <v>42.134831460674157</v>
      </c>
      <c r="AR65" s="9">
        <f t="shared" si="17"/>
        <v>1030.188653562401</v>
      </c>
      <c r="AS65" s="9">
        <f t="shared" si="18"/>
        <v>1114.4583164837493</v>
      </c>
    </row>
    <row r="66" spans="1:45">
      <c r="A66" s="9">
        <f>Inputs!$C$7+64*(Inputs!$C$8-Inputs!$C$7)/240</f>
        <v>-28</v>
      </c>
      <c r="B66" s="9">
        <f>Inputs!$C$5+Inputs!$C$9*(A66/Inputs!$C$10)^2</f>
        <v>400.87111111111113</v>
      </c>
      <c r="C66" s="9">
        <f t="shared" ref="C66:C129" si="19">B66</f>
        <v>400.87111111111113</v>
      </c>
      <c r="D66" s="9">
        <f>SQRT((Inputs!$C$52+B66)^2+Inputs!$C$52^2-2*(Inputs!$C$52+B66)*Inputs!$C$52*COS(SQRT(A66^2+Inputs!$C$6^2)/Inputs!$C$52))</f>
        <v>403.07374713939652</v>
      </c>
      <c r="E66" s="9">
        <f t="shared" ref="E66:E129" si="20">(D66-C66)*1000</f>
        <v>2202.636028285383</v>
      </c>
      <c r="F66" s="9">
        <f>E66/Inputs!$C$12</f>
        <v>1237.4359709468442</v>
      </c>
      <c r="G66" s="9">
        <f>2*E66/Inputs!$C$21*1000000</f>
        <v>14.694405876517299</v>
      </c>
      <c r="H66" s="9">
        <f>SQRT(A66^2+Inputs!$C$6^2)</f>
        <v>37.536648758246919</v>
      </c>
      <c r="I66" s="9">
        <f t="shared" ref="I66:I129" si="21">DEGREES(ATAN(H66/B66))</f>
        <v>5.3494467074669219</v>
      </c>
      <c r="J66" s="9">
        <f>DEGREES((2*PI()/Inputs!$C$13)*Inputs!$C$15*SIN(RADIANS(I66)))</f>
        <v>33.562753622077572</v>
      </c>
      <c r="K66" s="9">
        <f t="shared" ref="K66:K129" si="22">(C66/D66)^4</f>
        <v>0.97832012679830072</v>
      </c>
      <c r="L66" s="9">
        <f t="shared" ref="L66:L129" si="23">10*LOG10(K66)</f>
        <v>-9.5190117227433396E-2</v>
      </c>
      <c r="M66" s="9">
        <f>2*(Inputs!$C$9/(Inputs!$C$10^2))*A66</f>
        <v>-6.222222222222222E-2</v>
      </c>
      <c r="N66" s="9">
        <f>M66*Inputs!$C$11</f>
        <v>-0.24888888888888888</v>
      </c>
      <c r="O66" s="9">
        <f>1000*(D67-D65)/(A67-A65)*Inputs!$C$11</f>
        <v>-597.00385875134998</v>
      </c>
      <c r="P66" s="9">
        <f>-2*O66/Inputs!$C$13</f>
        <v>238.80154350053999</v>
      </c>
      <c r="Q66" s="9">
        <f>-2*O66/Inputs!$C$14</f>
        <v>35.856087612693699</v>
      </c>
      <c r="R66" s="9">
        <f>F66-Inputs!$C$16/2</f>
        <v>1222.4359709468442</v>
      </c>
      <c r="S66" s="9">
        <f>F66+Inputs!$C$16/2</f>
        <v>1252.4359709468442</v>
      </c>
      <c r="T66" s="9">
        <f>F66-Inputs!$C$17/2</f>
        <v>1087.4359709468442</v>
      </c>
      <c r="U66" s="9">
        <f>F66+Inputs!$C$17/2</f>
        <v>1387.4359709468442</v>
      </c>
      <c r="V66" s="9">
        <f t="shared" ref="V66:V129" si="24">ABS(P66)</f>
        <v>238.80154350053999</v>
      </c>
      <c r="W66" s="9">
        <f t="shared" ref="W66:W129" si="25">ABS(Q66)</f>
        <v>35.856087612693699</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-53.017518277040161</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313.28317842657691</v>
      </c>
      <c r="Z66" s="9">
        <f t="shared" ref="Z66:Z129" si="26">B66-X66/1000</f>
        <v>400.92412862938818</v>
      </c>
      <c r="AA66" s="9">
        <f>SQRT((Inputs!$C$52+B66)^2+(Inputs!$C$52+Y66/1000)^2-2*(Inputs!$C$52+B66)*(Inputs!$C$52+Y66/1000)*COS(SQRT(A66^2+Inputs!$C$6^2)/Inputs!$C$52))</f>
        <v>402.76261850073098</v>
      </c>
      <c r="AB66" s="9">
        <f t="shared" ref="AB66:AB129" si="27">(AA66-Z66)*1000</f>
        <v>1838.4898713428015</v>
      </c>
      <c r="AC66" s="9">
        <f>AB66/Inputs!$C$12</f>
        <v>1032.8594782824728</v>
      </c>
      <c r="AD66" s="9">
        <f>2*AB66/Inputs!$C$21*1000000</f>
        <v>12.265084209308572</v>
      </c>
      <c r="AE66" s="9">
        <f t="shared" ref="AE66:AE129" si="28">DEGREES(ATAN(H66/(B66-Y66/1000)))</f>
        <v>5.3536063016643158</v>
      </c>
      <c r="AF66" s="9">
        <f>DEGREES((2*PI()/Inputs!$C$13)*Inputs!$C$15*SIN(RADIANS(AE66)))</f>
        <v>33.588775204474345</v>
      </c>
      <c r="AG66" s="9">
        <f t="shared" ref="AG66:AG129" si="29">(Z66/AA66)^4</f>
        <v>0.98186584530148013</v>
      </c>
      <c r="AH66" s="9">
        <f t="shared" ref="AH66:AH129" si="30">10*LOG10(AG66)</f>
        <v>-7.9478468621238335E-2</v>
      </c>
      <c r="AI66" s="9">
        <f t="shared" ref="AI66:AI129" si="31">AC66-F66</f>
        <v>-204.57649266437147</v>
      </c>
      <c r="AJ66" s="9">
        <f t="shared" ref="AJ66:AJ129" si="32">AD66-G66</f>
        <v>-2.4293216672087272</v>
      </c>
      <c r="AK66" s="9">
        <f t="shared" ref="AK66:AK129" si="33">Y66-X66</f>
        <v>366.30069670361706</v>
      </c>
      <c r="AL66" s="9">
        <f>1000*(AA67-AA65)/(A67-A65)*Inputs!$C$11</f>
        <v>-544.105204167181</v>
      </c>
      <c r="AM66" s="9">
        <f>-2*AL66/Inputs!$C$13</f>
        <v>217.6420816668724</v>
      </c>
      <c r="AN66" s="9">
        <f>-2*AL66/Inputs!$C$14</f>
        <v>32.678991241272136</v>
      </c>
      <c r="AO66" s="9">
        <f t="shared" ref="AO66:AO129" si="34">ABS(AM66)</f>
        <v>217.6420816668724</v>
      </c>
      <c r="AP66" s="9">
        <f t="shared" ref="AP66:AP129" si="35">ABS(AN66)</f>
        <v>32.678991241272136</v>
      </c>
      <c r="AQ66" s="9">
        <f>IF(OR(Inputs!$C$27=TRUE,Inputs!$C$27="TRUE",Inputs!$C$27=1),Inputs!$C$46/Inputs!$C$12,0)</f>
        <v>42.134831460674157</v>
      </c>
      <c r="AR66" s="9">
        <f t="shared" ref="AR66:AR129" si="36">AC66-AQ66</f>
        <v>990.72464682179861</v>
      </c>
      <c r="AS66" s="9">
        <f t="shared" ref="AS66:AS129" si="37">AC66+AQ66</f>
        <v>1074.9943097431469</v>
      </c>
    </row>
    <row r="67" spans="1:45">
      <c r="A67" s="9">
        <f>Inputs!$C$7+65*(Inputs!$C$8-Inputs!$C$7)/240</f>
        <v>-27.5</v>
      </c>
      <c r="B67" s="9">
        <f>Inputs!$C$5+Inputs!$C$9*(A67/Inputs!$C$10)^2</f>
        <v>400.84027777777777</v>
      </c>
      <c r="C67" s="9">
        <f t="shared" si="19"/>
        <v>400.84027777777777</v>
      </c>
      <c r="D67" s="9">
        <f>SQRT((Inputs!$C$52+B67)^2+Inputs!$C$52^2-2*(Inputs!$C$52+B67)*Inputs!$C$52*COS(SQRT(A67^2+Inputs!$C$6^2)/Inputs!$C$52))</f>
        <v>402.99978289938701</v>
      </c>
      <c r="E67" s="9">
        <f t="shared" si="20"/>
        <v>2159.5051216092429</v>
      </c>
      <c r="F67" s="9">
        <f>E67/Inputs!$C$12</f>
        <v>1213.2051244995746</v>
      </c>
      <c r="G67" s="9">
        <f>2*E67/Inputs!$C$21*1000000</f>
        <v>14.406667439307249</v>
      </c>
      <c r="H67" s="9">
        <f>SQRT(A67^2+Inputs!$C$6^2)</f>
        <v>37.165171868296262</v>
      </c>
      <c r="I67" s="9">
        <f t="shared" si="21"/>
        <v>5.2972142870977459</v>
      </c>
      <c r="J67" s="9">
        <f>DEGREES((2*PI()/Inputs!$C$13)*Inputs!$C$15*SIN(RADIANS(I67)))</f>
        <v>33.235983122338439</v>
      </c>
      <c r="K67" s="9">
        <f t="shared" si="22"/>
        <v>0.97873736584017712</v>
      </c>
      <c r="L67" s="9">
        <f t="shared" si="23"/>
        <v>-9.3338310451714646E-2</v>
      </c>
      <c r="M67" s="9">
        <f>2*(Inputs!$C$9/(Inputs!$C$10^2))*A67</f>
        <v>-6.1111111111111109E-2</v>
      </c>
      <c r="N67" s="9">
        <f>M67*Inputs!$C$11</f>
        <v>-0.24444444444444444</v>
      </c>
      <c r="O67" s="9">
        <f>1000*(D68-D66)/(A68-A66)*Inputs!$C$11</f>
        <v>-586.4218547242217</v>
      </c>
      <c r="P67" s="9">
        <f>-2*O67/Inputs!$C$13</f>
        <v>234.56874188968868</v>
      </c>
      <c r="Q67" s="9">
        <f>-2*O67/Inputs!$C$14</f>
        <v>35.220531815268572</v>
      </c>
      <c r="R67" s="9">
        <f>F67-Inputs!$C$16/2</f>
        <v>1198.2051244995746</v>
      </c>
      <c r="S67" s="9">
        <f>F67+Inputs!$C$16/2</f>
        <v>1228.2051244995746</v>
      </c>
      <c r="T67" s="9">
        <f>F67-Inputs!$C$17/2</f>
        <v>1063.2051244995746</v>
      </c>
      <c r="U67" s="9">
        <f>F67+Inputs!$C$17/2</f>
        <v>1363.2051244995746</v>
      </c>
      <c r="V67" s="9">
        <f t="shared" si="24"/>
        <v>234.56874188968868</v>
      </c>
      <c r="W67" s="9">
        <f t="shared" si="25"/>
        <v>35.220531815268572</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-63.021085948892313</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296.84376125916674</v>
      </c>
      <c r="Z67" s="9">
        <f t="shared" si="26"/>
        <v>400.90329886372666</v>
      </c>
      <c r="AA67" s="9">
        <f>SQRT((Inputs!$C$52+B67)^2+(Inputs!$C$52+Y67/1000)^2-2*(Inputs!$C$52+B67)*(Inputs!$C$52+Y67/1000)*COS(SQRT(A67^2+Inputs!$C$6^2)/Inputs!$C$52))</f>
        <v>402.70494087681953</v>
      </c>
      <c r="AB67" s="9">
        <f t="shared" si="27"/>
        <v>1801.6420130928736</v>
      </c>
      <c r="AC67" s="9">
        <f>AB67/Inputs!$C$12</f>
        <v>1012.1584343218391</v>
      </c>
      <c r="AD67" s="9">
        <f>2*AB67/Inputs!$C$21*1000000</f>
        <v>12.019261759366032</v>
      </c>
      <c r="AE67" s="9">
        <f t="shared" si="28"/>
        <v>5.3011177087270722</v>
      </c>
      <c r="AF67" s="9">
        <f>DEGREES((2*PI()/Inputs!$C$13)*Inputs!$C$15*SIN(RADIANS(AE67)))</f>
        <v>33.260404221020252</v>
      </c>
      <c r="AG67" s="9">
        <f t="shared" si="29"/>
        <v>0.98222432919024527</v>
      </c>
      <c r="AH67" s="9">
        <f t="shared" si="30"/>
        <v>-7.7893128207720652E-2</v>
      </c>
      <c r="AI67" s="9">
        <f t="shared" si="31"/>
        <v>-201.04669017773551</v>
      </c>
      <c r="AJ67" s="9">
        <f t="shared" si="32"/>
        <v>-2.3874056799412173</v>
      </c>
      <c r="AK67" s="9">
        <f t="shared" si="33"/>
        <v>359.86484720805908</v>
      </c>
      <c r="AL67" s="9">
        <f>1000*(AA68-AA66)/(A68-A66)*Inputs!$C$11</f>
        <v>-491.62382854683528</v>
      </c>
      <c r="AM67" s="9">
        <f>-2*AL67/Inputs!$C$13</f>
        <v>196.64953141873411</v>
      </c>
      <c r="AN67" s="9">
        <f>-2*AL67/Inputs!$C$14</f>
        <v>29.526956669479599</v>
      </c>
      <c r="AO67" s="9">
        <f t="shared" si="34"/>
        <v>196.64953141873411</v>
      </c>
      <c r="AP67" s="9">
        <f t="shared" si="35"/>
        <v>29.526956669479599</v>
      </c>
      <c r="AQ67" s="9">
        <f>IF(OR(Inputs!$C$27=TRUE,Inputs!$C$27="TRUE",Inputs!$C$27=1),Inputs!$C$46/Inputs!$C$12,0)</f>
        <v>42.134831460674157</v>
      </c>
      <c r="AR67" s="9">
        <f t="shared" si="36"/>
        <v>970.02360286116493</v>
      </c>
      <c r="AS67" s="9">
        <f t="shared" si="37"/>
        <v>1054.2932657825133</v>
      </c>
    </row>
    <row r="68" spans="1:45">
      <c r="A68" s="9">
        <f>Inputs!$C$7+66*(Inputs!$C$8-Inputs!$C$7)/240</f>
        <v>-27</v>
      </c>
      <c r="B68" s="9">
        <f>Inputs!$C$5+Inputs!$C$9*(A68/Inputs!$C$10)^2</f>
        <v>400.81</v>
      </c>
      <c r="C68" s="9">
        <f t="shared" si="19"/>
        <v>400.81</v>
      </c>
      <c r="D68" s="9">
        <f>SQRT((Inputs!$C$52+B68)^2+Inputs!$C$52^2-2*(Inputs!$C$52+B68)*Inputs!$C$52*COS(SQRT(A68^2+Inputs!$C$6^2)/Inputs!$C$52))</f>
        <v>402.92714167571546</v>
      </c>
      <c r="E68" s="9">
        <f t="shared" si="20"/>
        <v>2117.1416757154589</v>
      </c>
      <c r="F68" s="9">
        <f>E68/Inputs!$C$12</f>
        <v>1189.4054357952016</v>
      </c>
      <c r="G68" s="9">
        <f>2*E68/Inputs!$C$21*1000000</f>
        <v>14.12404894932653</v>
      </c>
      <c r="H68" s="9">
        <f>SQRT(A68^2+Inputs!$C$6^2)</f>
        <v>36.796738985948195</v>
      </c>
      <c r="I68" s="9">
        <f t="shared" si="21"/>
        <v>5.2453892719816002</v>
      </c>
      <c r="J68" s="9">
        <f>DEGREES((2*PI()/Inputs!$C$13)*Inputs!$C$15*SIN(RADIANS(I68)))</f>
        <v>32.911734085150734</v>
      </c>
      <c r="K68" s="9">
        <f t="shared" si="22"/>
        <v>0.97914746008181208</v>
      </c>
      <c r="L68" s="9">
        <f t="shared" si="23"/>
        <v>-9.1518983120005171E-2</v>
      </c>
      <c r="M68" s="9">
        <f>2*(Inputs!$C$9/(Inputs!$C$10^2))*A68</f>
        <v>-0.06</v>
      </c>
      <c r="N68" s="9">
        <f>M68*Inputs!$C$11</f>
        <v>-0.24</v>
      </c>
      <c r="O68" s="9">
        <f>1000*(D69-D67)/(A69-A67)*Inputs!$C$11</f>
        <v>-575.83563378602776</v>
      </c>
      <c r="P68" s="9">
        <f>-2*O68/Inputs!$C$13</f>
        <v>230.3342535144111</v>
      </c>
      <c r="Q68" s="9">
        <f>-2*O68/Inputs!$C$14</f>
        <v>34.584722749911577</v>
      </c>
      <c r="R68" s="9">
        <f>F68-Inputs!$C$16/2</f>
        <v>1174.4054357952016</v>
      </c>
      <c r="S68" s="9">
        <f>F68+Inputs!$C$16/2</f>
        <v>1204.4054357952016</v>
      </c>
      <c r="T68" s="9">
        <f>F68-Inputs!$C$17/2</f>
        <v>1039.4054357952016</v>
      </c>
      <c r="U68" s="9">
        <f>F68+Inputs!$C$17/2</f>
        <v>1339.4054357952016</v>
      </c>
      <c r="V68" s="9">
        <f t="shared" si="24"/>
        <v>230.3342535144111</v>
      </c>
      <c r="W68" s="9">
        <f t="shared" si="25"/>
        <v>34.584722749911577</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-69.671539284115184</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289.34226854100302</v>
      </c>
      <c r="Z68" s="9">
        <f t="shared" si="26"/>
        <v>400.87967153928412</v>
      </c>
      <c r="AA68" s="9">
        <f>SQRT((Inputs!$C$52+B68)^2+(Inputs!$C$52+Y68/1000)^2-2*(Inputs!$C$52+B68)*(Inputs!$C$52+Y68/1000)*COS(SQRT(A68^2+Inputs!$C$6^2)/Inputs!$C$52))</f>
        <v>402.63971254359427</v>
      </c>
      <c r="AB68" s="9">
        <f t="shared" si="27"/>
        <v>1760.0410043101533</v>
      </c>
      <c r="AC68" s="9">
        <f>AB68/Inputs!$C$12</f>
        <v>988.78708107311979</v>
      </c>
      <c r="AD68" s="9">
        <f>2*AB68/Inputs!$C$21*1000000</f>
        <v>11.741729702287262</v>
      </c>
      <c r="AE68" s="9">
        <f t="shared" si="28"/>
        <v>5.2491574613212384</v>
      </c>
      <c r="AF68" s="9">
        <f>DEGREES((2*PI()/Inputs!$C$13)*Inputs!$C$15*SIN(RADIANS(AE68)))</f>
        <v>32.935311096602589</v>
      </c>
      <c r="AG68" s="9">
        <f t="shared" si="29"/>
        <v>0.98262929203754534</v>
      </c>
      <c r="AH68" s="9">
        <f t="shared" si="30"/>
        <v>-7.6102937523300801E-2</v>
      </c>
      <c r="AI68" s="9">
        <f t="shared" si="31"/>
        <v>-200.61835472208179</v>
      </c>
      <c r="AJ68" s="9">
        <f t="shared" si="32"/>
        <v>-2.382319247039268</v>
      </c>
      <c r="AK68" s="9">
        <f t="shared" si="33"/>
        <v>359.01380782511819</v>
      </c>
      <c r="AL68" s="9">
        <f>1000*(AA69-AA67)/(A69-A67)*Inputs!$C$11</f>
        <v>-551.1717293163656</v>
      </c>
      <c r="AM68" s="9">
        <f>-2*AL68/Inputs!$C$13</f>
        <v>220.46869172654624</v>
      </c>
      <c r="AN68" s="9">
        <f>-2*AL68/Inputs!$C$14</f>
        <v>33.103407166148088</v>
      </c>
      <c r="AO68" s="9">
        <f t="shared" si="34"/>
        <v>220.46869172654624</v>
      </c>
      <c r="AP68" s="9">
        <f t="shared" si="35"/>
        <v>33.103407166148088</v>
      </c>
      <c r="AQ68" s="9">
        <f>IF(OR(Inputs!$C$27=TRUE,Inputs!$C$27="TRUE",Inputs!$C$27=1),Inputs!$C$46/Inputs!$C$12,0)</f>
        <v>42.134831460674157</v>
      </c>
      <c r="AR68" s="9">
        <f t="shared" si="36"/>
        <v>946.65224961244564</v>
      </c>
      <c r="AS68" s="9">
        <f t="shared" si="37"/>
        <v>1030.9219125337941</v>
      </c>
    </row>
    <row r="69" spans="1:45">
      <c r="A69" s="9">
        <f>Inputs!$C$7+67*(Inputs!$C$8-Inputs!$C$7)/240</f>
        <v>-26.5</v>
      </c>
      <c r="B69" s="9">
        <f>Inputs!$C$5+Inputs!$C$9*(A69/Inputs!$C$10)^2</f>
        <v>400.78027777777777</v>
      </c>
      <c r="C69" s="9">
        <f t="shared" si="19"/>
        <v>400.78027777777777</v>
      </c>
      <c r="D69" s="9">
        <f>SQRT((Inputs!$C$52+B69)^2+Inputs!$C$52^2-2*(Inputs!$C$52+B69)*Inputs!$C$52*COS(SQRT(A69^2+Inputs!$C$6^2)/Inputs!$C$52))</f>
        <v>402.85582399094051</v>
      </c>
      <c r="E69" s="9">
        <f t="shared" si="20"/>
        <v>2075.5462131627382</v>
      </c>
      <c r="F69" s="9">
        <f>E69/Inputs!$C$12</f>
        <v>1166.0371984060328</v>
      </c>
      <c r="G69" s="9">
        <f>2*E69/Inputs!$C$21*1000000</f>
        <v>13.846553892711592</v>
      </c>
      <c r="H69" s="9">
        <f>SQRT(A69^2+Inputs!$C$6^2)</f>
        <v>36.431442463893738</v>
      </c>
      <c r="I69" s="9">
        <f t="shared" si="21"/>
        <v>5.1939853576754134</v>
      </c>
      <c r="J69" s="9">
        <f>DEGREES((2*PI()/Inputs!$C$13)*Inputs!$C$15*SIN(RADIANS(I69)))</f>
        <v>32.590093112366418</v>
      </c>
      <c r="K69" s="9">
        <f t="shared" si="22"/>
        <v>0.97955038962808405</v>
      </c>
      <c r="L69" s="9">
        <f t="shared" si="23"/>
        <v>-8.9732182965647375E-2</v>
      </c>
      <c r="M69" s="9">
        <f>2*(Inputs!$C$9/(Inputs!$C$10^2))*A69</f>
        <v>-5.8888888888888886E-2</v>
      </c>
      <c r="N69" s="9">
        <f>M69*Inputs!$C$11</f>
        <v>-0.23555555555555555</v>
      </c>
      <c r="O69" s="9">
        <f>1000*(D70-D68)/(A70-A68)*Inputs!$C$11</f>
        <v>-565.24526889620574</v>
      </c>
      <c r="P69" s="9">
        <f>-2*O69/Inputs!$C$13</f>
        <v>226.0981075584823</v>
      </c>
      <c r="Q69" s="9">
        <f>-2*O69/Inputs!$C$14</f>
        <v>33.948664798570917</v>
      </c>
      <c r="R69" s="9">
        <f>F69-Inputs!$C$16/2</f>
        <v>1151.0371984060328</v>
      </c>
      <c r="S69" s="9">
        <f>F69+Inputs!$C$16/2</f>
        <v>1181.0371984060328</v>
      </c>
      <c r="T69" s="9">
        <f>F69-Inputs!$C$17/2</f>
        <v>1016.0371984060328</v>
      </c>
      <c r="U69" s="9">
        <f>F69+Inputs!$C$17/2</f>
        <v>1316.0371984060328</v>
      </c>
      <c r="V69" s="9">
        <f t="shared" si="24"/>
        <v>226.0981075584823</v>
      </c>
      <c r="W69" s="9">
        <f t="shared" si="25"/>
        <v>33.948664798570917</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-78.119420028637307</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290.55977847511139</v>
      </c>
      <c r="Z69" s="9">
        <f t="shared" si="26"/>
        <v>400.85839719780643</v>
      </c>
      <c r="AA69" s="9">
        <f>SQRT((Inputs!$C$52+B69)^2+(Inputs!$C$52+Y69/1000)^2-2*(Inputs!$C$52+B69)*(Inputs!$C$52+Y69/1000)*COS(SQRT(A69^2+Inputs!$C$6^2)/Inputs!$C$52))</f>
        <v>402.56714794449044</v>
      </c>
      <c r="AB69" s="9">
        <f t="shared" si="27"/>
        <v>1708.7507466840179</v>
      </c>
      <c r="AC69" s="9">
        <f>AB69/Inputs!$C$12</f>
        <v>959.97232959776284</v>
      </c>
      <c r="AD69" s="9">
        <f>2*AB69/Inputs!$C$21*1000000</f>
        <v>11.399557934736423</v>
      </c>
      <c r="AE69" s="9">
        <f t="shared" si="28"/>
        <v>5.1977330191182674</v>
      </c>
      <c r="AF69" s="9">
        <f>DEGREES((2*PI()/Inputs!$C$13)*Inputs!$C$15*SIN(RADIANS(AE69)))</f>
        <v>32.613543606751506</v>
      </c>
      <c r="AG69" s="9">
        <f t="shared" si="29"/>
        <v>0.98312925460121203</v>
      </c>
      <c r="AH69" s="9">
        <f t="shared" si="30"/>
        <v>-7.3893805708900279E-2</v>
      </c>
      <c r="AI69" s="9">
        <f t="shared" si="31"/>
        <v>-206.06486880826992</v>
      </c>
      <c r="AJ69" s="9">
        <f t="shared" si="32"/>
        <v>-2.4469959579751688</v>
      </c>
      <c r="AK69" s="9">
        <f t="shared" si="33"/>
        <v>368.67919850374869</v>
      </c>
      <c r="AL69" s="9">
        <f>1000*(AA70-AA68)/(A70-A68)*Inputs!$C$11</f>
        <v>-495.59379531910963</v>
      </c>
      <c r="AM69" s="9">
        <f>-2*AL69/Inputs!$C$13</f>
        <v>198.23751812764385</v>
      </c>
      <c r="AN69" s="9">
        <f>-2*AL69/Inputs!$C$14</f>
        <v>29.765393112258838</v>
      </c>
      <c r="AO69" s="9">
        <f t="shared" si="34"/>
        <v>198.23751812764385</v>
      </c>
      <c r="AP69" s="9">
        <f t="shared" si="35"/>
        <v>29.765393112258838</v>
      </c>
      <c r="AQ69" s="9">
        <f>IF(OR(Inputs!$C$27=TRUE,Inputs!$C$27="TRUE",Inputs!$C$27=1),Inputs!$C$46/Inputs!$C$12,0)</f>
        <v>42.134831460674157</v>
      </c>
      <c r="AR69" s="9">
        <f t="shared" si="36"/>
        <v>917.83749813708869</v>
      </c>
      <c r="AS69" s="9">
        <f t="shared" si="37"/>
        <v>1002.107161058437</v>
      </c>
    </row>
    <row r="70" spans="1:45">
      <c r="A70" s="9">
        <f>Inputs!$C$7+68*(Inputs!$C$8-Inputs!$C$7)/240</f>
        <v>-26</v>
      </c>
      <c r="B70" s="9">
        <f>Inputs!$C$5+Inputs!$C$9*(A70/Inputs!$C$10)^2</f>
        <v>400.75111111111113</v>
      </c>
      <c r="C70" s="9">
        <f t="shared" si="19"/>
        <v>400.75111111111113</v>
      </c>
      <c r="D70" s="9">
        <f>SQRT((Inputs!$C$52+B70)^2+Inputs!$C$52^2-2*(Inputs!$C$52+B70)*Inputs!$C$52*COS(SQRT(A70^2+Inputs!$C$6^2)/Inputs!$C$52))</f>
        <v>402.78583035849141</v>
      </c>
      <c r="E70" s="9">
        <f t="shared" si="20"/>
        <v>2034.7192473802806</v>
      </c>
      <c r="F70" s="9">
        <f>E70/Inputs!$C$12</f>
        <v>1143.1007007754386</v>
      </c>
      <c r="G70" s="9">
        <f>2*E70/Inputs!$C$21*1000000</f>
        <v>13.574185694693364</v>
      </c>
      <c r="H70" s="9">
        <f>SQRT(A70^2+Inputs!$C$6^2)</f>
        <v>36.069377593742864</v>
      </c>
      <c r="I70" s="9">
        <f t="shared" si="21"/>
        <v>5.1430166600771647</v>
      </c>
      <c r="J70" s="9">
        <f>DEGREES((2*PI()/Inputs!$C$13)*Inputs!$C$15*SIN(RADIANS(I70)))</f>
        <v>32.27114944649454</v>
      </c>
      <c r="K70" s="9">
        <f t="shared" si="22"/>
        <v>0.97994613490818028</v>
      </c>
      <c r="L70" s="9">
        <f t="shared" si="23"/>
        <v>-8.7977956902271004E-2</v>
      </c>
      <c r="M70" s="9">
        <f>2*(Inputs!$C$9/(Inputs!$C$10^2))*A70</f>
        <v>-5.7777777777777775E-2</v>
      </c>
      <c r="N70" s="9">
        <f>M70*Inputs!$C$11</f>
        <v>-0.2311111111111111</v>
      </c>
      <c r="O70" s="9">
        <f>1000*(D71-D69)/(A71-A69)*Inputs!$C$11</f>
        <v>-554.65083316926211</v>
      </c>
      <c r="P70" s="9">
        <f>-2*O70/Inputs!$C$13</f>
        <v>221.86033326770485</v>
      </c>
      <c r="Q70" s="9">
        <f>-2*O70/Inputs!$C$14</f>
        <v>33.312362352508238</v>
      </c>
      <c r="R70" s="9">
        <f>F70-Inputs!$C$16/2</f>
        <v>1128.1007007754386</v>
      </c>
      <c r="S70" s="9">
        <f>F70+Inputs!$C$16/2</f>
        <v>1158.1007007754386</v>
      </c>
      <c r="T70" s="9">
        <f>F70-Inputs!$C$17/2</f>
        <v>993.10070077543855</v>
      </c>
      <c r="U70" s="9">
        <f>F70+Inputs!$C$17/2</f>
        <v>1293.1007007754386</v>
      </c>
      <c r="V70" s="9">
        <f t="shared" si="24"/>
        <v>221.86033326770485</v>
      </c>
      <c r="W70" s="9">
        <f t="shared" si="25"/>
        <v>33.312362352508238</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-82.173494419788938</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271.74352983421755</v>
      </c>
      <c r="Z70" s="9">
        <f t="shared" si="26"/>
        <v>400.83328460553093</v>
      </c>
      <c r="AA70" s="9">
        <f>SQRT((Inputs!$C$52+B70)^2+(Inputs!$C$52+Y70/1000)^2-2*(Inputs!$C$52+B70)*(Inputs!$C$52+Y70/1000)*COS(SQRT(A70^2+Inputs!$C$6^2)/Inputs!$C$52))</f>
        <v>402.51581409476449</v>
      </c>
      <c r="AB70" s="9">
        <f t="shared" si="27"/>
        <v>1682.5294892335592</v>
      </c>
      <c r="AC70" s="9">
        <f>AB70/Inputs!$C$12</f>
        <v>945.24128608626916</v>
      </c>
      <c r="AD70" s="9">
        <f>2*AB70/Inputs!$C$21*1000000</f>
        <v>11.224628534408023</v>
      </c>
      <c r="AE70" s="9">
        <f t="shared" si="28"/>
        <v>5.1464876974058278</v>
      </c>
      <c r="AF70" s="9">
        <f>DEGREES((2*PI()/Inputs!$C$13)*Inputs!$C$15*SIN(RADIANS(AE70)))</f>
        <v>32.292870755254327</v>
      </c>
      <c r="AG70" s="9">
        <f t="shared" si="29"/>
        <v>0.98338441120145315</v>
      </c>
      <c r="AH70" s="9">
        <f t="shared" si="30"/>
        <v>-7.2766805108245555E-2</v>
      </c>
      <c r="AI70" s="9">
        <f t="shared" si="31"/>
        <v>-197.8594146891694</v>
      </c>
      <c r="AJ70" s="9">
        <f t="shared" si="32"/>
        <v>-2.3495571602853413</v>
      </c>
      <c r="AK70" s="9">
        <f t="shared" si="33"/>
        <v>353.91702425400649</v>
      </c>
      <c r="AL70" s="9">
        <f>1000*(AA71-AA69)/(A71-A69)*Inputs!$C$11</f>
        <v>-480.0642163863813</v>
      </c>
      <c r="AM70" s="9">
        <f>-2*AL70/Inputs!$C$13</f>
        <v>192.02568655455252</v>
      </c>
      <c r="AN70" s="9">
        <f>-2*AL70/Inputs!$C$14</f>
        <v>28.832685668851731</v>
      </c>
      <c r="AO70" s="9">
        <f t="shared" si="34"/>
        <v>192.02568655455252</v>
      </c>
      <c r="AP70" s="9">
        <f t="shared" si="35"/>
        <v>28.832685668851731</v>
      </c>
      <c r="AQ70" s="9">
        <f>IF(OR(Inputs!$C$27=TRUE,Inputs!$C$27="TRUE",Inputs!$C$27=1),Inputs!$C$46/Inputs!$C$12,0)</f>
        <v>42.134831460674157</v>
      </c>
      <c r="AR70" s="9">
        <f t="shared" si="36"/>
        <v>903.10645462559501</v>
      </c>
      <c r="AS70" s="9">
        <f t="shared" si="37"/>
        <v>987.37611754694331</v>
      </c>
    </row>
    <row r="71" spans="1:45">
      <c r="A71" s="9">
        <f>Inputs!$C$7+69*(Inputs!$C$8-Inputs!$C$7)/240</f>
        <v>-25.5</v>
      </c>
      <c r="B71" s="9">
        <f>Inputs!$C$5+Inputs!$C$9*(A71/Inputs!$C$10)^2</f>
        <v>400.72250000000003</v>
      </c>
      <c r="C71" s="9">
        <f t="shared" si="19"/>
        <v>400.72250000000003</v>
      </c>
      <c r="D71" s="9">
        <f>SQRT((Inputs!$C$52+B71)^2+Inputs!$C$52^2-2*(Inputs!$C$52+B71)*Inputs!$C$52*COS(SQRT(A71^2+Inputs!$C$6^2)/Inputs!$C$52))</f>
        <v>402.71716128264819</v>
      </c>
      <c r="E71" s="9">
        <f t="shared" si="20"/>
        <v>1994.6612826481669</v>
      </c>
      <c r="F71" s="9">
        <f>E71/Inputs!$C$12</f>
        <v>1120.5962262068354</v>
      </c>
      <c r="G71" s="9">
        <f>2*E71/Inputs!$C$21*1000000</f>
        <v>13.306947719466423</v>
      </c>
      <c r="H71" s="9">
        <f>SQRT(A71^2+Inputs!$C$6^2)</f>
        <v>35.710642671338192</v>
      </c>
      <c r="I71" s="9">
        <f t="shared" si="21"/>
        <v>5.092497724666333</v>
      </c>
      <c r="J71" s="9">
        <f>DEGREES((2*PI()/Inputs!$C$13)*Inputs!$C$15*SIN(RADIANS(I71)))</f>
        <v>31.954995028563069</v>
      </c>
      <c r="K71" s="9">
        <f t="shared" si="22"/>
        <v>0.98033467667772067</v>
      </c>
      <c r="L71" s="9">
        <f t="shared" si="23"/>
        <v>-8.6256351020983654E-2</v>
      </c>
      <c r="M71" s="9">
        <f>2*(Inputs!$C$9/(Inputs!$C$10^2))*A71</f>
        <v>-5.6666666666666664E-2</v>
      </c>
      <c r="N71" s="9">
        <f>M71*Inputs!$C$11</f>
        <v>-0.22666666666666666</v>
      </c>
      <c r="O71" s="9">
        <f>1000*(D72-D70)/(A72-A70)*Inputs!$C$11</f>
        <v>-544.05239994980548</v>
      </c>
      <c r="P71" s="9">
        <f>-2*O71/Inputs!$C$13</f>
        <v>217.62095997992219</v>
      </c>
      <c r="Q71" s="9">
        <f>-2*O71/Inputs!$C$14</f>
        <v>32.675819816805138</v>
      </c>
      <c r="R71" s="9">
        <f>F71-Inputs!$C$16/2</f>
        <v>1105.5962262068354</v>
      </c>
      <c r="S71" s="9">
        <f>F71+Inputs!$C$16/2</f>
        <v>1135.5962262068354</v>
      </c>
      <c r="T71" s="9">
        <f>F71-Inputs!$C$17/2</f>
        <v>970.59622620683535</v>
      </c>
      <c r="U71" s="9">
        <f>F71+Inputs!$C$17/2</f>
        <v>1270.5962262068354</v>
      </c>
      <c r="V71" s="9">
        <f t="shared" si="24"/>
        <v>217.62095997992219</v>
      </c>
      <c r="W71" s="9">
        <f t="shared" si="25"/>
        <v>32.675819816805138</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-104.31813701930129</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271.72277085419893</v>
      </c>
      <c r="Z71" s="9">
        <f t="shared" si="26"/>
        <v>400.8268181370193</v>
      </c>
      <c r="AA71" s="9">
        <f>SQRT((Inputs!$C$52+B71)^2+(Inputs!$C$52+Y71/1000)^2-2*(Inputs!$C$52+B71)*(Inputs!$C$52+Y71/1000)*COS(SQRT(A71^2+Inputs!$C$6^2)/Inputs!$C$52))</f>
        <v>402.44713189039385</v>
      </c>
      <c r="AB71" s="9">
        <f t="shared" si="27"/>
        <v>1620.3137533745462</v>
      </c>
      <c r="AC71" s="9">
        <f>AB71/Inputs!$C$12</f>
        <v>910.28862549131804</v>
      </c>
      <c r="AD71" s="9">
        <f>2*AB71/Inputs!$C$21*1000000</f>
        <v>10.809569821630044</v>
      </c>
      <c r="AE71" s="9">
        <f t="shared" si="28"/>
        <v>5.0959350114868824</v>
      </c>
      <c r="AF71" s="9">
        <f>DEGREES((2*PI()/Inputs!$C$13)*Inputs!$C$15*SIN(RADIANS(AE71)))</f>
        <v>31.976506830748921</v>
      </c>
      <c r="AG71" s="9">
        <f t="shared" si="29"/>
        <v>0.98399238640131725</v>
      </c>
      <c r="AH71" s="9">
        <f t="shared" si="30"/>
        <v>-7.0082618904953015E-2</v>
      </c>
      <c r="AI71" s="9">
        <f t="shared" si="31"/>
        <v>-210.30760071551731</v>
      </c>
      <c r="AJ71" s="9">
        <f t="shared" si="32"/>
        <v>-2.4973778978363796</v>
      </c>
      <c r="AK71" s="9">
        <f t="shared" si="33"/>
        <v>376.0409078735002</v>
      </c>
      <c r="AL71" s="9">
        <f>1000*(AA72-AA70)/(A72-A70)*Inputs!$C$11</f>
        <v>-498.7118920478224</v>
      </c>
      <c r="AM71" s="9">
        <f>-2*AL71/Inputs!$C$13</f>
        <v>199.48475681912896</v>
      </c>
      <c r="AN71" s="9">
        <f>-2*AL71/Inputs!$C$14</f>
        <v>29.952666189058405</v>
      </c>
      <c r="AO71" s="9">
        <f t="shared" si="34"/>
        <v>199.48475681912896</v>
      </c>
      <c r="AP71" s="9">
        <f t="shared" si="35"/>
        <v>29.952666189058405</v>
      </c>
      <c r="AQ71" s="9">
        <f>IF(OR(Inputs!$C$27=TRUE,Inputs!$C$27="TRUE",Inputs!$C$27=1),Inputs!$C$46/Inputs!$C$12,0)</f>
        <v>42.134831460674157</v>
      </c>
      <c r="AR71" s="9">
        <f t="shared" si="36"/>
        <v>868.15379403064389</v>
      </c>
      <c r="AS71" s="9">
        <f t="shared" si="37"/>
        <v>952.42345695199219</v>
      </c>
    </row>
    <row r="72" spans="1:45">
      <c r="A72" s="9">
        <f>Inputs!$C$7+70*(Inputs!$C$8-Inputs!$C$7)/240</f>
        <v>-25</v>
      </c>
      <c r="B72" s="9">
        <f>Inputs!$C$5+Inputs!$C$9*(A72/Inputs!$C$10)^2</f>
        <v>400.69444444444446</v>
      </c>
      <c r="C72" s="9">
        <f t="shared" si="19"/>
        <v>400.69444444444446</v>
      </c>
      <c r="D72" s="9">
        <f>SQRT((Inputs!$C$52+B72)^2+Inputs!$C$52^2-2*(Inputs!$C$52+B72)*Inputs!$C$52*COS(SQRT(A72^2+Inputs!$C$6^2)/Inputs!$C$52))</f>
        <v>402.64981725850396</v>
      </c>
      <c r="E72" s="9">
        <f t="shared" si="20"/>
        <v>1955.3728140595013</v>
      </c>
      <c r="F72" s="9">
        <f>E72/Inputs!$C$12</f>
        <v>1098.5240528424165</v>
      </c>
      <c r="G72" s="9">
        <f>2*E72/Inputs!$C$21*1000000</f>
        <v>13.04484326993644</v>
      </c>
      <c r="H72" s="9">
        <f>SQRT(A72^2+Inputs!$C$6^2)</f>
        <v>35.355339059327378</v>
      </c>
      <c r="I72" s="9">
        <f t="shared" si="21"/>
        <v>5.042443535344872</v>
      </c>
      <c r="J72" s="9">
        <f>DEGREES((2*PI()/Inputs!$C$13)*Inputs!$C$15*SIN(RADIANS(I72)))</f>
        <v>31.641724553462272</v>
      </c>
      <c r="K72" s="9">
        <f t="shared" si="22"/>
        <v>0.98071599602103154</v>
      </c>
      <c r="L72" s="9">
        <f t="shared" si="23"/>
        <v>-8.4567410586801783E-2</v>
      </c>
      <c r="M72" s="9">
        <f>2*(Inputs!$C$9/(Inputs!$C$10^2))*A72</f>
        <v>-5.5555555555555552E-2</v>
      </c>
      <c r="N72" s="9">
        <f>M72*Inputs!$C$11</f>
        <v>-0.22222222222222221</v>
      </c>
      <c r="O72" s="9">
        <f>1000*(D73-D71)/(A73-A71)*Inputs!$C$11</f>
        <v>-533.4500427779858</v>
      </c>
      <c r="P72" s="9">
        <f>-2*O72/Inputs!$C$13</f>
        <v>213.38001711119432</v>
      </c>
      <c r="Q72" s="9">
        <f>-2*O72/Inputs!$C$14</f>
        <v>32.039041608287441</v>
      </c>
      <c r="R72" s="9">
        <f>F72-Inputs!$C$16/2</f>
        <v>1083.5240528424165</v>
      </c>
      <c r="S72" s="9">
        <f>F72+Inputs!$C$16/2</f>
        <v>1113.5240528424165</v>
      </c>
      <c r="T72" s="9">
        <f>F72-Inputs!$C$17/2</f>
        <v>948.52405284241649</v>
      </c>
      <c r="U72" s="9">
        <f>F72+Inputs!$C$17/2</f>
        <v>1248.5240528424165</v>
      </c>
      <c r="V72" s="9">
        <f t="shared" si="24"/>
        <v>213.38001711119432</v>
      </c>
      <c r="W72" s="9">
        <f t="shared" si="25"/>
        <v>32.039041608287441</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-97.552975883581098</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260.27138413189709</v>
      </c>
      <c r="Z72" s="9">
        <f t="shared" si="26"/>
        <v>400.79199742032802</v>
      </c>
      <c r="AA72" s="9">
        <f>SQRT((Inputs!$C$52+B72)^2+(Inputs!$C$52+Y72/1000)^2-2*(Inputs!$C$52+B72)*(Inputs!$C$52+Y72/1000)*COS(SQRT(A72^2+Inputs!$C$6^2)/Inputs!$C$52))</f>
        <v>402.39113612175254</v>
      </c>
      <c r="AB72" s="9">
        <f t="shared" si="27"/>
        <v>1599.138701424522</v>
      </c>
      <c r="AC72" s="9">
        <f>AB72/Inputs!$C$12</f>
        <v>898.39252889018087</v>
      </c>
      <c r="AD72" s="9">
        <f>2*AB72/Inputs!$C$21*1000000</f>
        <v>10.668305080740369</v>
      </c>
      <c r="AE72" s="9">
        <f t="shared" si="28"/>
        <v>5.0457040739305832</v>
      </c>
      <c r="AF72" s="9">
        <f>DEGREES((2*PI()/Inputs!$C$13)*Inputs!$C$15*SIN(RADIANS(AE72)))</f>
        <v>31.662131784497483</v>
      </c>
      <c r="AG72" s="9">
        <f t="shared" si="29"/>
        <v>0.98419814844696918</v>
      </c>
      <c r="AH72" s="9">
        <f t="shared" si="30"/>
        <v>-6.9174563310181042E-2</v>
      </c>
      <c r="AI72" s="9">
        <f t="shared" si="31"/>
        <v>-200.13152395223563</v>
      </c>
      <c r="AJ72" s="9">
        <f t="shared" si="32"/>
        <v>-2.3765381891960704</v>
      </c>
      <c r="AK72" s="9">
        <f t="shared" si="33"/>
        <v>357.82436001547819</v>
      </c>
      <c r="AL72" s="9">
        <f>1000*(AA73-AA71)/(A73-A71)*Inputs!$C$11</f>
        <v>-552.68147430206227</v>
      </c>
      <c r="AM72" s="9">
        <f>-2*AL72/Inputs!$C$13</f>
        <v>221.07258972082491</v>
      </c>
      <c r="AN72" s="9">
        <f>-2*AL72/Inputs!$C$14</f>
        <v>33.194082540664404</v>
      </c>
      <c r="AO72" s="9">
        <f t="shared" si="34"/>
        <v>221.07258972082491</v>
      </c>
      <c r="AP72" s="9">
        <f t="shared" si="35"/>
        <v>33.194082540664404</v>
      </c>
      <c r="AQ72" s="9">
        <f>IF(OR(Inputs!$C$27=TRUE,Inputs!$C$27="TRUE",Inputs!$C$27=1),Inputs!$C$46/Inputs!$C$12,0)</f>
        <v>42.134831460674157</v>
      </c>
      <c r="AR72" s="9">
        <f t="shared" si="36"/>
        <v>856.25769742950672</v>
      </c>
      <c r="AS72" s="9">
        <f t="shared" si="37"/>
        <v>940.52736035085502</v>
      </c>
    </row>
    <row r="73" spans="1:45">
      <c r="A73" s="9">
        <f>Inputs!$C$7+71*(Inputs!$C$8-Inputs!$C$7)/240</f>
        <v>-24.5</v>
      </c>
      <c r="B73" s="9">
        <f>Inputs!$C$5+Inputs!$C$9*(A73/Inputs!$C$10)^2</f>
        <v>400.66694444444443</v>
      </c>
      <c r="C73" s="9">
        <f t="shared" si="19"/>
        <v>400.66694444444443</v>
      </c>
      <c r="D73" s="9">
        <f>SQRT((Inputs!$C$52+B73)^2+Inputs!$C$52^2-2*(Inputs!$C$52+B73)*Inputs!$C$52*COS(SQRT(A73^2+Inputs!$C$6^2)/Inputs!$C$52))</f>
        <v>402.5837987719537</v>
      </c>
      <c r="E73" s="9">
        <f t="shared" si="20"/>
        <v>1916.8543275092702</v>
      </c>
      <c r="F73" s="9">
        <f>E73/Inputs!$C$12</f>
        <v>1076.8844536568934</v>
      </c>
      <c r="G73" s="9">
        <f>2*E73/Inputs!$C$21*1000000</f>
        <v>12.787875587645839</v>
      </c>
      <c r="H73" s="9">
        <f>SQRT(A73^2+Inputs!$C$6^2)</f>
        <v>35.003571246374278</v>
      </c>
      <c r="I73" s="9">
        <f t="shared" si="21"/>
        <v>4.9928695227894897</v>
      </c>
      <c r="J73" s="9">
        <f>DEGREES((2*PI()/Inputs!$C$13)*Inputs!$C$15*SIN(RADIANS(I73)))</f>
        <v>31.331435522208853</v>
      </c>
      <c r="K73" s="9">
        <f t="shared" si="22"/>
        <v>0.98109007435313089</v>
      </c>
      <c r="L73" s="9">
        <f t="shared" si="23"/>
        <v>-8.2911180036263202E-2</v>
      </c>
      <c r="M73" s="9">
        <f>2*(Inputs!$C$9/(Inputs!$C$10^2))*A73</f>
        <v>-5.4444444444444441E-2</v>
      </c>
      <c r="N73" s="9">
        <f>M73*Inputs!$C$11</f>
        <v>-0.21777777777777776</v>
      </c>
      <c r="O73" s="9">
        <f>1000*(D74-D72)/(A74-A72)*Inputs!$C$11</f>
        <v>-522.8438353706224</v>
      </c>
      <c r="P73" s="9">
        <f>-2*O73/Inputs!$C$13</f>
        <v>209.13753414824896</v>
      </c>
      <c r="Q73" s="9">
        <f>-2*O73/Inputs!$C$14</f>
        <v>31.402032154391737</v>
      </c>
      <c r="R73" s="9">
        <f>F73-Inputs!$C$16/2</f>
        <v>1061.8844536568934</v>
      </c>
      <c r="S73" s="9">
        <f>F73+Inputs!$C$16/2</f>
        <v>1091.8844536568934</v>
      </c>
      <c r="T73" s="9">
        <f>F73-Inputs!$C$17/2</f>
        <v>926.88445365689336</v>
      </c>
      <c r="U73" s="9">
        <f>F73+Inputs!$C$17/2</f>
        <v>1226.8844536568934</v>
      </c>
      <c r="V73" s="9">
        <f t="shared" si="24"/>
        <v>209.13753414824896</v>
      </c>
      <c r="W73" s="9">
        <f t="shared" si="25"/>
        <v>31.402032154391737</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-113.61582851930044</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276.49363528969542</v>
      </c>
      <c r="Z73" s="9">
        <f t="shared" si="26"/>
        <v>400.78056027296373</v>
      </c>
      <c r="AA73" s="9">
        <f>SQRT((Inputs!$C$52+B73)^2+(Inputs!$C$52+Y73/1000)^2-2*(Inputs!$C$52+B73)*(Inputs!$C$52+Y73/1000)*COS(SQRT(A73^2+Inputs!$C$6^2)/Inputs!$C$52))</f>
        <v>402.30896152181833</v>
      </c>
      <c r="AB73" s="9">
        <f t="shared" si="27"/>
        <v>1528.4012488546068</v>
      </c>
      <c r="AC73" s="9">
        <f>AB73/Inputs!$C$12</f>
        <v>858.65238699697011</v>
      </c>
      <c r="AD73" s="9">
        <f>2*AB73/Inputs!$C$21*1000000</f>
        <v>10.196395593478252</v>
      </c>
      <c r="AE73" s="9">
        <f t="shared" si="28"/>
        <v>4.9962999525522482</v>
      </c>
      <c r="AF73" s="9">
        <f>DEGREES((2*PI()/Inputs!$C$13)*Inputs!$C$15*SIN(RADIANS(AE73)))</f>
        <v>31.352907705966835</v>
      </c>
      <c r="AG73" s="9">
        <f t="shared" si="29"/>
        <v>0.98489008528313682</v>
      </c>
      <c r="AH73" s="9">
        <f t="shared" si="30"/>
        <v>-6.6122344958615617E-2</v>
      </c>
      <c r="AI73" s="9">
        <f t="shared" si="31"/>
        <v>-218.23206665992325</v>
      </c>
      <c r="AJ73" s="9">
        <f t="shared" si="32"/>
        <v>-2.591479994167587</v>
      </c>
      <c r="AK73" s="9">
        <f t="shared" si="33"/>
        <v>390.10946380899588</v>
      </c>
      <c r="AL73" s="9">
        <f>1000*(AA74-AA72)/(A74-A72)*Inputs!$C$11</f>
        <v>-556.12609983631955</v>
      </c>
      <c r="AM73" s="9">
        <f>-2*AL73/Inputs!$C$13</f>
        <v>222.45043993452782</v>
      </c>
      <c r="AN73" s="9">
        <f>-2*AL73/Inputs!$C$14</f>
        <v>33.400966957136312</v>
      </c>
      <c r="AO73" s="9">
        <f t="shared" si="34"/>
        <v>222.45043993452782</v>
      </c>
      <c r="AP73" s="9">
        <f t="shared" si="35"/>
        <v>33.400966957136312</v>
      </c>
      <c r="AQ73" s="9">
        <f>IF(OR(Inputs!$C$27=TRUE,Inputs!$C$27="TRUE",Inputs!$C$27=1),Inputs!$C$46/Inputs!$C$12,0)</f>
        <v>42.134831460674157</v>
      </c>
      <c r="AR73" s="9">
        <f t="shared" si="36"/>
        <v>816.51755553629596</v>
      </c>
      <c r="AS73" s="9">
        <f t="shared" si="37"/>
        <v>900.78721845764426</v>
      </c>
    </row>
    <row r="74" spans="1:45">
      <c r="A74" s="9">
        <f>Inputs!$C$7+72*(Inputs!$C$8-Inputs!$C$7)/240</f>
        <v>-24</v>
      </c>
      <c r="B74" s="9">
        <f>Inputs!$C$5+Inputs!$C$9*(A74/Inputs!$C$10)^2</f>
        <v>400.64</v>
      </c>
      <c r="C74" s="9">
        <f t="shared" si="19"/>
        <v>400.64</v>
      </c>
      <c r="D74" s="9">
        <f>SQRT((Inputs!$C$52+B74)^2+Inputs!$C$52^2-2*(Inputs!$C$52+B74)*Inputs!$C$52*COS(SQRT(A74^2+Inputs!$C$6^2)/Inputs!$C$52))</f>
        <v>402.5191062996613</v>
      </c>
      <c r="E74" s="9">
        <f t="shared" si="20"/>
        <v>1879.1062996613164</v>
      </c>
      <c r="F74" s="9">
        <f>E74/Inputs!$C$12</f>
        <v>1055.6776964389417</v>
      </c>
      <c r="G74" s="9">
        <f>2*E74/Inputs!$C$21*1000000</f>
        <v>12.536047852553491</v>
      </c>
      <c r="H74" s="9">
        <f>SQRT(A74^2+Inputs!$C$6^2)</f>
        <v>34.655446902326915</v>
      </c>
      <c r="I74" s="9">
        <f t="shared" si="21"/>
        <v>4.9437915722171066</v>
      </c>
      <c r="J74" s="9">
        <f>DEGREES((2*PI()/Inputs!$C$13)*Inputs!$C$15*SIN(RADIANS(I74)))</f>
        <v>31.024228290513804</v>
      </c>
      <c r="K74" s="9">
        <f t="shared" si="22"/>
        <v>0.98145689342189257</v>
      </c>
      <c r="L74" s="9">
        <f t="shared" si="23"/>
        <v>-8.1287702974148904E-2</v>
      </c>
      <c r="M74" s="9">
        <f>2*(Inputs!$C$9/(Inputs!$C$10^2))*A74</f>
        <v>-5.333333333333333E-2</v>
      </c>
      <c r="N74" s="9">
        <f>M74*Inputs!$C$11</f>
        <v>-0.21333333333333332</v>
      </c>
      <c r="O74" s="9">
        <f>1000*(D75-D73)/(A75-A73)*Inputs!$C$11</f>
        <v>-512.2338516328</v>
      </c>
      <c r="P74" s="9">
        <f>-2*O74/Inputs!$C$13</f>
        <v>204.89354065312</v>
      </c>
      <c r="Q74" s="9">
        <f>-2*O74/Inputs!$C$14</f>
        <v>30.764795893861866</v>
      </c>
      <c r="R74" s="9">
        <f>F74-Inputs!$C$16/2</f>
        <v>1040.6776964389417</v>
      </c>
      <c r="S74" s="9">
        <f>F74+Inputs!$C$16/2</f>
        <v>1070.6776964389417</v>
      </c>
      <c r="T74" s="9">
        <f>F74-Inputs!$C$17/2</f>
        <v>905.67769643894167</v>
      </c>
      <c r="U74" s="9">
        <f>F74+Inputs!$C$17/2</f>
        <v>1205.6776964389417</v>
      </c>
      <c r="V74" s="9">
        <f t="shared" si="24"/>
        <v>204.89354065312</v>
      </c>
      <c r="W74" s="9">
        <f t="shared" si="25"/>
        <v>30.764795893861866</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-111.48853690711687</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268.57917598156757</v>
      </c>
      <c r="Z74" s="9">
        <f t="shared" si="26"/>
        <v>400.75148853690712</v>
      </c>
      <c r="AA74" s="9">
        <f>SQRT((Inputs!$C$52+B74)^2+(Inputs!$C$52+Y74/1000)^2-2*(Inputs!$C$52+B74)*(Inputs!$C$52+Y74/1000)*COS(SQRT(A74^2+Inputs!$C$6^2)/Inputs!$C$52))</f>
        <v>402.25210459679346</v>
      </c>
      <c r="AB74" s="9">
        <f t="shared" si="27"/>
        <v>1500.6160598863403</v>
      </c>
      <c r="AC74" s="9">
        <f>AB74/Inputs!$C$12</f>
        <v>843.04273027322483</v>
      </c>
      <c r="AD74" s="9">
        <f>2*AB74/Inputs!$C$21*1000000</f>
        <v>10.011032765116061</v>
      </c>
      <c r="AE74" s="9">
        <f t="shared" si="28"/>
        <v>4.9470915385794303</v>
      </c>
      <c r="AF74" s="9">
        <f>DEGREES((2*PI()/Inputs!$C$13)*Inputs!$C$15*SIN(RADIANS(AE74)))</f>
        <v>31.044885401813787</v>
      </c>
      <c r="AG74" s="9">
        <f t="shared" si="29"/>
        <v>0.98516114890779505</v>
      </c>
      <c r="AH74" s="9">
        <f t="shared" si="30"/>
        <v>-6.4927234545916174E-2</v>
      </c>
      <c r="AI74" s="9">
        <f t="shared" si="31"/>
        <v>-212.63496616571683</v>
      </c>
      <c r="AJ74" s="9">
        <f t="shared" si="32"/>
        <v>-2.5250150874374295</v>
      </c>
      <c r="AK74" s="9">
        <f t="shared" si="33"/>
        <v>380.06771288868447</v>
      </c>
      <c r="AL74" s="9">
        <f>1000*(AA75-AA73)/(A75-A73)*Inputs!$C$11</f>
        <v>-502.31324419269185</v>
      </c>
      <c r="AM74" s="9">
        <f>-2*AL74/Inputs!$C$13</f>
        <v>200.92529767707674</v>
      </c>
      <c r="AN74" s="9">
        <f>-2*AL74/Inputs!$C$14</f>
        <v>30.16896361517669</v>
      </c>
      <c r="AO74" s="9">
        <f t="shared" si="34"/>
        <v>200.92529767707674</v>
      </c>
      <c r="AP74" s="9">
        <f t="shared" si="35"/>
        <v>30.16896361517669</v>
      </c>
      <c r="AQ74" s="9">
        <f>IF(OR(Inputs!$C$27=TRUE,Inputs!$C$27="TRUE",Inputs!$C$27=1),Inputs!$C$46/Inputs!$C$12,0)</f>
        <v>42.134831460674157</v>
      </c>
      <c r="AR74" s="9">
        <f t="shared" si="36"/>
        <v>800.90789881255068</v>
      </c>
      <c r="AS74" s="9">
        <f t="shared" si="37"/>
        <v>885.17756173389898</v>
      </c>
    </row>
    <row r="75" spans="1:45">
      <c r="A75" s="9">
        <f>Inputs!$C$7+73*(Inputs!$C$8-Inputs!$C$7)/240</f>
        <v>-23.5</v>
      </c>
      <c r="B75" s="9">
        <f>Inputs!$C$5+Inputs!$C$9*(A75/Inputs!$C$10)^2</f>
        <v>400.61361111111108</v>
      </c>
      <c r="C75" s="9">
        <f t="shared" si="19"/>
        <v>400.61361111111108</v>
      </c>
      <c r="D75" s="9">
        <f>SQRT((Inputs!$C$52+B75)^2+Inputs!$C$52^2-2*(Inputs!$C$52+B75)*Inputs!$C$52*COS(SQRT(A75^2+Inputs!$C$6^2)/Inputs!$C$52))</f>
        <v>402.4557403090455</v>
      </c>
      <c r="E75" s="9">
        <f t="shared" si="20"/>
        <v>1842.1291979344119</v>
      </c>
      <c r="F75" s="9">
        <f>E75/Inputs!$C$12</f>
        <v>1034.9040437833773</v>
      </c>
      <c r="G75" s="9">
        <f>2*E75/Inputs!$C$21*1000000</f>
        <v>12.289363182941793</v>
      </c>
      <c r="H75" s="9">
        <f>SQRT(A75^2+Inputs!$C$6^2)</f>
        <v>34.311076928595526</v>
      </c>
      <c r="I75" s="9">
        <f t="shared" si="21"/>
        <v>4.8952260304560395</v>
      </c>
      <c r="J75" s="9">
        <f>DEGREES((2*PI()/Inputs!$C$13)*Inputs!$C$15*SIN(RADIANS(I75)))</f>
        <v>30.720206112978573</v>
      </c>
      <c r="K75" s="9">
        <f t="shared" si="22"/>
        <v>0.98181643531000218</v>
      </c>
      <c r="L75" s="9">
        <f t="shared" si="23"/>
        <v>-7.9697022171027546E-2</v>
      </c>
      <c r="M75" s="9">
        <f>2*(Inputs!$C$9/(Inputs!$C$10^2))*A75</f>
        <v>-5.2222222222222225E-2</v>
      </c>
      <c r="N75" s="9">
        <f>M75*Inputs!$C$11</f>
        <v>-0.2088888888888889</v>
      </c>
      <c r="O75" s="9">
        <f>1000*(D76-D74)/(A76-A74)*Inputs!$C$11</f>
        <v>-501.62016566741841</v>
      </c>
      <c r="P75" s="9">
        <f>-2*O75/Inputs!$C$13</f>
        <v>200.64806626696736</v>
      </c>
      <c r="Q75" s="9">
        <f>-2*O75/Inputs!$C$14</f>
        <v>30.127337277322429</v>
      </c>
      <c r="R75" s="9">
        <f>F75-Inputs!$C$16/2</f>
        <v>1019.9040437833773</v>
      </c>
      <c r="S75" s="9">
        <f>F75+Inputs!$C$16/2</f>
        <v>1049.9040437833773</v>
      </c>
      <c r="T75" s="9">
        <f>F75-Inputs!$C$17/2</f>
        <v>884.90404378337735</v>
      </c>
      <c r="U75" s="9">
        <f>F75+Inputs!$C$17/2</f>
        <v>1184.9040437833773</v>
      </c>
      <c r="V75" s="9">
        <f t="shared" si="24"/>
        <v>200.64806626696736</v>
      </c>
      <c r="W75" s="9">
        <f t="shared" si="25"/>
        <v>30.127337277322429</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-125.65162794647964</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273.93459884711217</v>
      </c>
      <c r="Z75" s="9">
        <f t="shared" si="26"/>
        <v>400.73926273905755</v>
      </c>
      <c r="AA75" s="9">
        <f>SQRT((Inputs!$C$52+B75)^2+(Inputs!$C$52+Y75/1000)^2-2*(Inputs!$C$52+B75)*(Inputs!$C$52+Y75/1000)*COS(SQRT(A75^2+Inputs!$C$6^2)/Inputs!$C$52))</f>
        <v>402.18338321077016</v>
      </c>
      <c r="AB75" s="9">
        <f t="shared" si="27"/>
        <v>1444.1204717126084</v>
      </c>
      <c r="AC75" s="9">
        <f>AB75/Inputs!$C$12</f>
        <v>811.30363579360017</v>
      </c>
      <c r="AD75" s="9">
        <f>2*AB75/Inputs!$C$21*1000000</f>
        <v>9.6341347700788962</v>
      </c>
      <c r="AE75" s="9">
        <f t="shared" si="28"/>
        <v>4.8985593221689561</v>
      </c>
      <c r="AF75" s="9">
        <f>DEGREES((2*PI()/Inputs!$C$13)*Inputs!$C$15*SIN(RADIANS(AE75)))</f>
        <v>30.741073356498173</v>
      </c>
      <c r="AG75" s="9">
        <f t="shared" si="29"/>
        <v>0.98571436786383926</v>
      </c>
      <c r="AH75" s="9">
        <f t="shared" si="30"/>
        <v>-6.2489130828458396E-2</v>
      </c>
      <c r="AI75" s="9">
        <f t="shared" si="31"/>
        <v>-223.60040798977718</v>
      </c>
      <c r="AJ75" s="9">
        <f t="shared" si="32"/>
        <v>-2.6552284128628969</v>
      </c>
      <c r="AK75" s="9">
        <f t="shared" si="33"/>
        <v>399.58622679359178</v>
      </c>
      <c r="AL75" s="9">
        <f>1000*(AA76-AA74)/(A76-A74)*Inputs!$C$11</f>
        <v>-545.52306341952317</v>
      </c>
      <c r="AM75" s="9">
        <f>-2*AL75/Inputs!$C$13</f>
        <v>218.20922536780927</v>
      </c>
      <c r="AN75" s="9">
        <f>-2*AL75/Inputs!$C$14</f>
        <v>32.764147953124514</v>
      </c>
      <c r="AO75" s="9">
        <f t="shared" si="34"/>
        <v>218.20922536780927</v>
      </c>
      <c r="AP75" s="9">
        <f t="shared" si="35"/>
        <v>32.764147953124514</v>
      </c>
      <c r="AQ75" s="9">
        <f>IF(OR(Inputs!$C$27=TRUE,Inputs!$C$27="TRUE",Inputs!$C$27=1),Inputs!$C$46/Inputs!$C$12,0)</f>
        <v>42.134831460674157</v>
      </c>
      <c r="AR75" s="9">
        <f t="shared" si="36"/>
        <v>769.16880433292602</v>
      </c>
      <c r="AS75" s="9">
        <f t="shared" si="37"/>
        <v>853.43846725427431</v>
      </c>
    </row>
    <row r="76" spans="1:45">
      <c r="A76" s="9">
        <f>Inputs!$C$7+74*(Inputs!$C$8-Inputs!$C$7)/240</f>
        <v>-23</v>
      </c>
      <c r="B76" s="9">
        <f>Inputs!$C$5+Inputs!$C$9*(A76/Inputs!$C$10)^2</f>
        <v>400.58777777777777</v>
      </c>
      <c r="C76" s="9">
        <f t="shared" si="19"/>
        <v>400.58777777777777</v>
      </c>
      <c r="D76" s="9">
        <f>SQRT((Inputs!$C$52+B76)^2+Inputs!$C$52^2-2*(Inputs!$C$52+B76)*Inputs!$C$52*COS(SQRT(A76^2+Inputs!$C$6^2)/Inputs!$C$52))</f>
        <v>402.39370125824445</v>
      </c>
      <c r="E76" s="9">
        <f t="shared" si="20"/>
        <v>1805.9234804666744</v>
      </c>
      <c r="F76" s="9">
        <f>E76/Inputs!$C$12</f>
        <v>1014.5637530711654</v>
      </c>
      <c r="G76" s="9">
        <f>2*E76/Inputs!$C$21*1000000</f>
        <v>12.047824635179278</v>
      </c>
      <c r="H76" s="9">
        <f>SQRT(A76^2+Inputs!$C$6^2)</f>
        <v>33.97057550292606</v>
      </c>
      <c r="I76" s="9">
        <f t="shared" si="21"/>
        <v>4.8471897122057523</v>
      </c>
      <c r="J76" s="9">
        <f>DEGREES((2*PI()/Inputs!$C$13)*Inputs!$C$15*SIN(RADIANS(I76)))</f>
        <v>30.419475182182925</v>
      </c>
      <c r="K76" s="9">
        <f t="shared" si="22"/>
        <v>0.9821686824370861</v>
      </c>
      <c r="L76" s="9">
        <f t="shared" si="23"/>
        <v>-7.8139179559932534E-2</v>
      </c>
      <c r="M76" s="9">
        <f>2*(Inputs!$C$9/(Inputs!$C$10^2))*A76</f>
        <v>-5.1111111111111114E-2</v>
      </c>
      <c r="N76" s="9">
        <f>M76*Inputs!$C$11</f>
        <v>-0.20444444444444446</v>
      </c>
      <c r="O76" s="9">
        <f>1000*(D77-D75)/(A77-A75)*Inputs!$C$11</f>
        <v>-491.00285175427416</v>
      </c>
      <c r="P76" s="9">
        <f>-2*O76/Inputs!$C$13</f>
        <v>196.40114070170966</v>
      </c>
      <c r="Q76" s="9">
        <f>-2*O76/Inputs!$C$14</f>
        <v>29.489660766022475</v>
      </c>
      <c r="R76" s="9">
        <f>F76-Inputs!$C$16/2</f>
        <v>999.56375307116537</v>
      </c>
      <c r="S76" s="9">
        <f>F76+Inputs!$C$16/2</f>
        <v>1029.5637530711654</v>
      </c>
      <c r="T76" s="9">
        <f>F76-Inputs!$C$17/2</f>
        <v>864.56375307116537</v>
      </c>
      <c r="U76" s="9">
        <f>F76+Inputs!$C$17/2</f>
        <v>1164.5637530711654</v>
      </c>
      <c r="V76" s="9">
        <f t="shared" si="24"/>
        <v>196.40114070170966</v>
      </c>
      <c r="W76" s="9">
        <f t="shared" si="25"/>
        <v>29.489660766022475</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-132.54578984267809</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279.55588840772998</v>
      </c>
      <c r="Z76" s="9">
        <f t="shared" si="26"/>
        <v>400.72032356762043</v>
      </c>
      <c r="AA76" s="9">
        <f>SQRT((Inputs!$C$52+B76)^2+(Inputs!$C$52+Y76/1000)^2-2*(Inputs!$C$52+B76)*(Inputs!$C$52+Y76/1000)*COS(SQRT(A76^2+Inputs!$C$6^2)/Inputs!$C$52))</f>
        <v>402.11572383093858</v>
      </c>
      <c r="AB76" s="9">
        <f t="shared" si="27"/>
        <v>1395.4002633181517</v>
      </c>
      <c r="AC76" s="9">
        <f>AB76/Inputs!$C$12</f>
        <v>783.93273220120886</v>
      </c>
      <c r="AD76" s="9">
        <f>2*AB76/Inputs!$C$21*1000000</f>
        <v>9.3091085254596475</v>
      </c>
      <c r="AE76" s="9">
        <f t="shared" si="28"/>
        <v>4.850558609905554</v>
      </c>
      <c r="AF76" s="9">
        <f>DEGREES((2*PI()/Inputs!$C$13)*Inputs!$C$15*SIN(RADIANS(AE76)))</f>
        <v>30.440566835056778</v>
      </c>
      <c r="AG76" s="9">
        <f t="shared" si="29"/>
        <v>0.98619150054736315</v>
      </c>
      <c r="AH76" s="9">
        <f t="shared" si="30"/>
        <v>-6.0387447386529715E-2</v>
      </c>
      <c r="AI76" s="9">
        <f t="shared" si="31"/>
        <v>-230.6310208699565</v>
      </c>
      <c r="AJ76" s="9">
        <f t="shared" si="32"/>
        <v>-2.7387161097196309</v>
      </c>
      <c r="AK76" s="9">
        <f t="shared" si="33"/>
        <v>412.1016782504081</v>
      </c>
      <c r="AL76" s="9">
        <f>1000*(AA77-AA75)/(A77-A75)*Inputs!$C$11</f>
        <v>-542.0228500745452</v>
      </c>
      <c r="AM76" s="9">
        <f>-2*AL76/Inputs!$C$13</f>
        <v>216.80914002981808</v>
      </c>
      <c r="AN76" s="9">
        <f>-2*AL76/Inputs!$C$14</f>
        <v>32.553924929402115</v>
      </c>
      <c r="AO76" s="9">
        <f t="shared" si="34"/>
        <v>216.80914002981808</v>
      </c>
      <c r="AP76" s="9">
        <f t="shared" si="35"/>
        <v>32.553924929402115</v>
      </c>
      <c r="AQ76" s="9">
        <f>IF(OR(Inputs!$C$27=TRUE,Inputs!$C$27="TRUE",Inputs!$C$27=1),Inputs!$C$46/Inputs!$C$12,0)</f>
        <v>42.134831460674157</v>
      </c>
      <c r="AR76" s="9">
        <f t="shared" si="36"/>
        <v>741.79790074053471</v>
      </c>
      <c r="AS76" s="9">
        <f t="shared" si="37"/>
        <v>826.06756366188301</v>
      </c>
    </row>
    <row r="77" spans="1:45">
      <c r="A77" s="9">
        <f>Inputs!$C$7+75*(Inputs!$C$8-Inputs!$C$7)/240</f>
        <v>-22.5</v>
      </c>
      <c r="B77" s="9">
        <f>Inputs!$C$5+Inputs!$C$9*(A77/Inputs!$C$10)^2</f>
        <v>400.5625</v>
      </c>
      <c r="C77" s="9">
        <f t="shared" si="19"/>
        <v>400.5625</v>
      </c>
      <c r="D77" s="9">
        <f>SQRT((Inputs!$C$52+B77)^2+Inputs!$C$52^2-2*(Inputs!$C$52+B77)*Inputs!$C$52*COS(SQRT(A77^2+Inputs!$C$6^2)/Inputs!$C$52))</f>
        <v>402.33298959610693</v>
      </c>
      <c r="E77" s="9">
        <f t="shared" si="20"/>
        <v>1770.4895961069269</v>
      </c>
      <c r="F77" s="9">
        <f>E77/Inputs!$C$12</f>
        <v>994.65707646456565</v>
      </c>
      <c r="G77" s="9">
        <f>2*E77/Inputs!$C$21*1000000</f>
        <v>11.811435203662974</v>
      </c>
      <c r="H77" s="9">
        <f>SQRT(A77^2+Inputs!$C$6^2)</f>
        <v>33.634060117684278</v>
      </c>
      <c r="I77" s="9">
        <f t="shared" si="21"/>
        <v>4.7996999053579179</v>
      </c>
      <c r="J77" s="9">
        <f>DEGREES((2*PI()/Inputs!$C$13)*Inputs!$C$15*SIN(RADIANS(I77)))</f>
        <v>30.122144661864603</v>
      </c>
      <c r="K77" s="9">
        <f t="shared" si="22"/>
        <v>0.98251361756155309</v>
      </c>
      <c r="L77" s="9">
        <f t="shared" si="23"/>
        <v>-7.6614216234208971E-2</v>
      </c>
      <c r="M77" s="9">
        <f>2*(Inputs!$C$9/(Inputs!$C$10^2))*A77</f>
        <v>-0.05</v>
      </c>
      <c r="N77" s="9">
        <f>M77*Inputs!$C$11</f>
        <v>-0.2</v>
      </c>
      <c r="O77" s="9">
        <f>1000*(D78-D76)/(A78-A76)*Inputs!$C$11</f>
        <v>-480.3819843364181</v>
      </c>
      <c r="P77" s="9">
        <f>-2*O77/Inputs!$C$13</f>
        <v>192.15279373456724</v>
      </c>
      <c r="Q77" s="9">
        <f>-2*O77/Inputs!$C$14</f>
        <v>28.851770831016104</v>
      </c>
      <c r="R77" s="9">
        <f>F77-Inputs!$C$16/2</f>
        <v>979.65707646456565</v>
      </c>
      <c r="S77" s="9">
        <f>F77+Inputs!$C$16/2</f>
        <v>1009.6570764645656</v>
      </c>
      <c r="T77" s="9">
        <f>F77-Inputs!$C$17/2</f>
        <v>844.65707646456565</v>
      </c>
      <c r="U77" s="9">
        <f>F77+Inputs!$C$17/2</f>
        <v>1144.6570764645658</v>
      </c>
      <c r="V77" s="9">
        <f t="shared" si="24"/>
        <v>192.15279373456724</v>
      </c>
      <c r="W77" s="9">
        <f t="shared" si="25"/>
        <v>28.851770831016104</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-138.29494668428998</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286.69936407981004</v>
      </c>
      <c r="Z77" s="9">
        <f t="shared" si="26"/>
        <v>400.70079494668431</v>
      </c>
      <c r="AA77" s="9">
        <f>SQRT((Inputs!$C$52+B77)^2+(Inputs!$C$52+Y77/1000)^2-2*(Inputs!$C$52+B77)*(Inputs!$C$52+Y77/1000)*COS(SQRT(A77^2+Inputs!$C$6^2)/Inputs!$C$52))</f>
        <v>402.04787749825152</v>
      </c>
      <c r="AB77" s="9">
        <f t="shared" si="27"/>
        <v>1347.0825515672118</v>
      </c>
      <c r="AC77" s="9">
        <f>AB77/Inputs!$C$12</f>
        <v>756.78795031865832</v>
      </c>
      <c r="AD77" s="9">
        <f>2*AB77/Inputs!$C$21*1000000</f>
        <v>8.9867674494147014</v>
      </c>
      <c r="AE77" s="9">
        <f t="shared" si="28"/>
        <v>4.8031216344318413</v>
      </c>
      <c r="AF77" s="9">
        <f>DEGREES((2*PI()/Inputs!$C$13)*Inputs!$C$15*SIN(RADIANS(AE77)))</f>
        <v>30.143568574126842</v>
      </c>
      <c r="AG77" s="9">
        <f t="shared" si="29"/>
        <v>0.98666499658207707</v>
      </c>
      <c r="AH77" s="9">
        <f t="shared" si="30"/>
        <v>-5.8302787713340805E-2</v>
      </c>
      <c r="AI77" s="9">
        <f t="shared" si="31"/>
        <v>-237.86912614590733</v>
      </c>
      <c r="AJ77" s="9">
        <f t="shared" si="32"/>
        <v>-2.8246677542482725</v>
      </c>
      <c r="AK77" s="9">
        <f t="shared" si="33"/>
        <v>424.99431076410002</v>
      </c>
      <c r="AL77" s="9">
        <f>1000*(AA78-AA76)/(A78-A76)*Inputs!$C$11</f>
        <v>-628.02958703673539</v>
      </c>
      <c r="AM77" s="9">
        <f>-2*AL77/Inputs!$C$13</f>
        <v>251.21183481469416</v>
      </c>
      <c r="AN77" s="9">
        <f>-2*AL77/Inputs!$C$14</f>
        <v>37.719494716921048</v>
      </c>
      <c r="AO77" s="9">
        <f t="shared" si="34"/>
        <v>251.21183481469416</v>
      </c>
      <c r="AP77" s="9">
        <f t="shared" si="35"/>
        <v>37.719494716921048</v>
      </c>
      <c r="AQ77" s="9">
        <f>IF(OR(Inputs!$C$27=TRUE,Inputs!$C$27="TRUE",Inputs!$C$27=1),Inputs!$C$46/Inputs!$C$12,0)</f>
        <v>42.134831460674157</v>
      </c>
      <c r="AR77" s="9">
        <f t="shared" si="36"/>
        <v>714.65311885798417</v>
      </c>
      <c r="AS77" s="9">
        <f t="shared" si="37"/>
        <v>798.92278177933247</v>
      </c>
    </row>
    <row r="78" spans="1:45">
      <c r="A78" s="9">
        <f>Inputs!$C$7+76*(Inputs!$C$8-Inputs!$C$7)/240</f>
        <v>-22</v>
      </c>
      <c r="B78" s="9">
        <f>Inputs!$C$5+Inputs!$C$9*(A78/Inputs!$C$10)^2</f>
        <v>400.53777777777776</v>
      </c>
      <c r="C78" s="9">
        <f t="shared" si="19"/>
        <v>400.53777777777776</v>
      </c>
      <c r="D78" s="9">
        <f>SQRT((Inputs!$C$52+B78)^2+Inputs!$C$52^2-2*(Inputs!$C$52+B78)*Inputs!$C$52*COS(SQRT(A78^2+Inputs!$C$6^2)/Inputs!$C$52))</f>
        <v>402.27360576216034</v>
      </c>
      <c r="E78" s="9">
        <f t="shared" si="20"/>
        <v>1735.8279843825812</v>
      </c>
      <c r="F78" s="9">
        <f>E78/Inputs!$C$12</f>
        <v>975.18426088909052</v>
      </c>
      <c r="G78" s="9">
        <f>2*E78/Inputs!$C$21*1000000</f>
        <v>11.580197820604154</v>
      </c>
      <c r="H78" s="9">
        <f>SQRT(A78^2+Inputs!$C$6^2)</f>
        <v>33.301651610693426</v>
      </c>
      <c r="I78" s="9">
        <f t="shared" si="21"/>
        <v>4.7527743752411666</v>
      </c>
      <c r="J78" s="9">
        <f>DEGREES((2*PI()/Inputs!$C$13)*Inputs!$C$15*SIN(RADIANS(I78)))</f>
        <v>29.828326713325737</v>
      </c>
      <c r="K78" s="9">
        <f t="shared" si="22"/>
        <v>0.98285122378263112</v>
      </c>
      <c r="L78" s="9">
        <f t="shared" si="23"/>
        <v>-7.5122172444392704E-2</v>
      </c>
      <c r="M78" s="9">
        <f>2*(Inputs!$C$9/(Inputs!$C$10^2))*A78</f>
        <v>-4.8888888888888891E-2</v>
      </c>
      <c r="N78" s="9">
        <f>M78*Inputs!$C$11</f>
        <v>-0.19555555555555557</v>
      </c>
      <c r="O78" s="9">
        <f>1000*(D79-D77)/(A79-A77)*Inputs!$C$11</f>
        <v>-469.75763804971393</v>
      </c>
      <c r="P78" s="9">
        <f>-2*O78/Inputs!$C$13</f>
        <v>187.90305521988557</v>
      </c>
      <c r="Q78" s="9">
        <f>-2*O78/Inputs!$C$14</f>
        <v>28.213671954937777</v>
      </c>
      <c r="R78" s="9">
        <f>F78-Inputs!$C$16/2</f>
        <v>960.18426088909052</v>
      </c>
      <c r="S78" s="9">
        <f>F78+Inputs!$C$16/2</f>
        <v>990.18426088909052</v>
      </c>
      <c r="T78" s="9">
        <f>F78-Inputs!$C$17/2</f>
        <v>825.18426088909052</v>
      </c>
      <c r="U78" s="9">
        <f>F78+Inputs!$C$17/2</f>
        <v>1125.1842608890906</v>
      </c>
      <c r="V78" s="9">
        <f t="shared" si="24"/>
        <v>187.90305521988557</v>
      </c>
      <c r="W78" s="9">
        <f t="shared" si="25"/>
        <v>28.213671954937777</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-144.0992283446906</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316.60820817766938</v>
      </c>
      <c r="Z78" s="9">
        <f t="shared" si="26"/>
        <v>400.68187700612248</v>
      </c>
      <c r="AA78" s="9">
        <f>SQRT((Inputs!$C$52+B78)^2+(Inputs!$C$52+Y78/1000)^2-2*(Inputs!$C$52+B78)*(Inputs!$C$52+Y78/1000)*COS(SQRT(A78^2+Inputs!$C$6^2)/Inputs!$C$52))</f>
        <v>401.95871643417939</v>
      </c>
      <c r="AB78" s="9">
        <f t="shared" si="27"/>
        <v>1276.8394280569169</v>
      </c>
      <c r="AC78" s="9">
        <f>AB78/Inputs!$C$12</f>
        <v>717.32552138029041</v>
      </c>
      <c r="AD78" s="9">
        <f>2*AB78/Inputs!$C$21*1000000</f>
        <v>8.518155770662629</v>
      </c>
      <c r="AE78" s="9">
        <f t="shared" si="28"/>
        <v>4.7565169706313606</v>
      </c>
      <c r="AF78" s="9">
        <f>DEGREES((2*PI()/Inputs!$C$13)*Inputs!$C$15*SIN(RADIANS(AE78)))</f>
        <v>29.851761212069317</v>
      </c>
      <c r="AG78" s="9">
        <f t="shared" si="29"/>
        <v>0.98735423967319902</v>
      </c>
      <c r="AH78" s="9">
        <f t="shared" si="30"/>
        <v>-5.5270046412439655E-2</v>
      </c>
      <c r="AI78" s="9">
        <f t="shared" si="31"/>
        <v>-257.85873950880011</v>
      </c>
      <c r="AJ78" s="9">
        <f t="shared" si="32"/>
        <v>-3.0620420499415246</v>
      </c>
      <c r="AK78" s="9">
        <f t="shared" si="33"/>
        <v>460.70743652236001</v>
      </c>
      <c r="AL78" s="9">
        <f>1000*(AA79-AA77)/(A79-A77)*Inputs!$C$11</f>
        <v>-652.02741991993207</v>
      </c>
      <c r="AM78" s="9">
        <f>-2*AL78/Inputs!$C$13</f>
        <v>260.81096796797283</v>
      </c>
      <c r="AN78" s="9">
        <f>-2*AL78/Inputs!$C$14</f>
        <v>39.160806001197123</v>
      </c>
      <c r="AO78" s="9">
        <f t="shared" si="34"/>
        <v>260.81096796797283</v>
      </c>
      <c r="AP78" s="9">
        <f t="shared" si="35"/>
        <v>39.160806001197123</v>
      </c>
      <c r="AQ78" s="9">
        <f>IF(OR(Inputs!$C$27=TRUE,Inputs!$C$27="TRUE",Inputs!$C$27=1),Inputs!$C$46/Inputs!$C$12,0)</f>
        <v>42.134831460674157</v>
      </c>
      <c r="AR78" s="9">
        <f t="shared" si="36"/>
        <v>675.19068991961626</v>
      </c>
      <c r="AS78" s="9">
        <f t="shared" si="37"/>
        <v>759.46035284096456</v>
      </c>
    </row>
    <row r="79" spans="1:45">
      <c r="A79" s="9">
        <f>Inputs!$C$7+77*(Inputs!$C$8-Inputs!$C$7)/240</f>
        <v>-21.5</v>
      </c>
      <c r="B79" s="9">
        <f>Inputs!$C$5+Inputs!$C$9*(A79/Inputs!$C$10)^2</f>
        <v>400.51361111111112</v>
      </c>
      <c r="C79" s="9">
        <f t="shared" si="19"/>
        <v>400.51361111111112</v>
      </c>
      <c r="D79" s="9">
        <f>SQRT((Inputs!$C$52+B79)^2+Inputs!$C$52^2-2*(Inputs!$C$52+B79)*Inputs!$C$52*COS(SQRT(A79^2+Inputs!$C$6^2)/Inputs!$C$52))</f>
        <v>402.2155501865945</v>
      </c>
      <c r="E79" s="9">
        <f t="shared" si="20"/>
        <v>1701.9390754833807</v>
      </c>
      <c r="F79" s="9">
        <f>E79/Inputs!$C$12</f>
        <v>956.14554802437124</v>
      </c>
      <c r="G79" s="9">
        <f>2*E79/Inputs!$C$21*1000000</f>
        <v>11.354115355919866</v>
      </c>
      <c r="H79" s="9">
        <f>SQRT(A79^2+Inputs!$C$6^2)</f>
        <v>32.973474187595095</v>
      </c>
      <c r="I79" s="9">
        <f t="shared" si="21"/>
        <v>4.7064313676414065</v>
      </c>
      <c r="J79" s="9">
        <f>DEGREES((2*PI()/Inputs!$C$13)*Inputs!$C$15*SIN(RADIANS(I79)))</f>
        <v>29.538136514134887</v>
      </c>
      <c r="K79" s="9">
        <f t="shared" si="22"/>
        <v>0.98318148454221788</v>
      </c>
      <c r="L79" s="9">
        <f t="shared" si="23"/>
        <v>-7.3663087595809085E-2</v>
      </c>
      <c r="M79" s="9">
        <f>2*(Inputs!$C$9/(Inputs!$C$10^2))*A79</f>
        <v>-4.777777777777778E-2</v>
      </c>
      <c r="N79" s="9">
        <f>M79*Inputs!$C$11</f>
        <v>-0.19111111111111112</v>
      </c>
      <c r="O79" s="9">
        <f>1000*(D80-D78)/(A80-A78)*Inputs!$C$11</f>
        <v>-459.12988767804563</v>
      </c>
      <c r="P79" s="9">
        <f>-2*O79/Inputs!$C$13</f>
        <v>183.65195507121825</v>
      </c>
      <c r="Q79" s="9">
        <f>-2*O79/Inputs!$C$14</f>
        <v>27.575368629312052</v>
      </c>
      <c r="R79" s="9">
        <f>F79-Inputs!$C$16/2</f>
        <v>941.14554802437124</v>
      </c>
      <c r="S79" s="9">
        <f>F79+Inputs!$C$16/2</f>
        <v>971.14554802437124</v>
      </c>
      <c r="T79" s="9">
        <f>F79-Inputs!$C$17/2</f>
        <v>806.14554802437124</v>
      </c>
      <c r="U79" s="9">
        <f>F79+Inputs!$C$17/2</f>
        <v>1106.1455480243712</v>
      </c>
      <c r="V79" s="9">
        <f t="shared" si="24"/>
        <v>183.65195507121825</v>
      </c>
      <c r="W79" s="9">
        <f t="shared" si="25"/>
        <v>27.575368629312052</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-156.9345481530768</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332.44947759769417</v>
      </c>
      <c r="Z79" s="9">
        <f t="shared" si="26"/>
        <v>400.67054565926418</v>
      </c>
      <c r="AA79" s="9">
        <f>SQRT((Inputs!$C$52+B79)^2+(Inputs!$C$52+Y79/1000)^2-2*(Inputs!$C$52+B79)*(Inputs!$C$52+Y79/1000)*COS(SQRT(A79^2+Inputs!$C$6^2)/Inputs!$C$52))</f>
        <v>401.88487064327154</v>
      </c>
      <c r="AB79" s="9">
        <f t="shared" si="27"/>
        <v>1214.3249840073622</v>
      </c>
      <c r="AC79" s="9">
        <f>AB79/Inputs!$C$12</f>
        <v>682.20504719514736</v>
      </c>
      <c r="AD79" s="9">
        <f>2*AB79/Inputs!$C$21*1000000</f>
        <v>8.1011042913385243</v>
      </c>
      <c r="AE79" s="9">
        <f t="shared" si="28"/>
        <v>4.7103236377752786</v>
      </c>
      <c r="AF79" s="9">
        <f>DEGREES((2*PI()/Inputs!$C$13)*Inputs!$C$15*SIN(RADIANS(AE79)))</f>
        <v>29.562509839810836</v>
      </c>
      <c r="AG79" s="9">
        <f t="shared" si="29"/>
        <v>0.98796837212917232</v>
      </c>
      <c r="AH79" s="9">
        <f t="shared" si="30"/>
        <v>-5.2569582763748901E-2</v>
      </c>
      <c r="AI79" s="9">
        <f t="shared" si="31"/>
        <v>-273.94050082922388</v>
      </c>
      <c r="AJ79" s="9">
        <f t="shared" si="32"/>
        <v>-3.2530110645813419</v>
      </c>
      <c r="AK79" s="9">
        <f t="shared" si="33"/>
        <v>489.384025750771</v>
      </c>
      <c r="AL79" s="9">
        <f>1000*(AA80-AA78)/(A80-A78)*Inputs!$C$11</f>
        <v>-464.60598070098058</v>
      </c>
      <c r="AM79" s="9">
        <f>-2*AL79/Inputs!$C$13</f>
        <v>185.84239228039223</v>
      </c>
      <c r="AN79" s="9">
        <f>-2*AL79/Inputs!$C$14</f>
        <v>27.904263105164002</v>
      </c>
      <c r="AO79" s="9">
        <f t="shared" si="34"/>
        <v>185.84239228039223</v>
      </c>
      <c r="AP79" s="9">
        <f t="shared" si="35"/>
        <v>27.904263105164002</v>
      </c>
      <c r="AQ79" s="9">
        <f>IF(OR(Inputs!$C$27=TRUE,Inputs!$C$27="TRUE",Inputs!$C$27=1),Inputs!$C$46/Inputs!$C$12,0)</f>
        <v>42.134831460674157</v>
      </c>
      <c r="AR79" s="9">
        <f t="shared" si="36"/>
        <v>640.07021573447321</v>
      </c>
      <c r="AS79" s="9">
        <f t="shared" si="37"/>
        <v>724.33987865582151</v>
      </c>
    </row>
    <row r="80" spans="1:45">
      <c r="A80" s="9">
        <f>Inputs!$C$7+78*(Inputs!$C$8-Inputs!$C$7)/240</f>
        <v>-21</v>
      </c>
      <c r="B80" s="9">
        <f>Inputs!$C$5+Inputs!$C$9*(A80/Inputs!$C$10)^2</f>
        <v>400.49</v>
      </c>
      <c r="C80" s="9">
        <f t="shared" si="19"/>
        <v>400.49</v>
      </c>
      <c r="D80" s="9">
        <f>SQRT((Inputs!$C$52+B80)^2+Inputs!$C$52^2-2*(Inputs!$C$52+B80)*Inputs!$C$52*COS(SQRT(A80^2+Inputs!$C$6^2)/Inputs!$C$52))</f>
        <v>402.15882329024083</v>
      </c>
      <c r="E80" s="9">
        <f t="shared" si="20"/>
        <v>1668.8232902408231</v>
      </c>
      <c r="F80" s="9">
        <f>E80/Inputs!$C$12</f>
        <v>937.54117429259725</v>
      </c>
      <c r="G80" s="9">
        <f>2*E80/Inputs!$C$21*1000000</f>
        <v>11.133190617095666</v>
      </c>
      <c r="H80" s="9">
        <f>SQRT(A80^2+Inputs!$C$6^2)</f>
        <v>32.649655434629018</v>
      </c>
      <c r="I80" s="9">
        <f t="shared" si="21"/>
        <v>4.6606896104389781</v>
      </c>
      <c r="J80" s="9">
        <f>DEGREES((2*PI()/Inputs!$C$13)*Inputs!$C$15*SIN(RADIANS(I80)))</f>
        <v>29.251692268127087</v>
      </c>
      <c r="K80" s="9">
        <f t="shared" si="22"/>
        <v>0.98350438362674375</v>
      </c>
      <c r="L80" s="9">
        <f t="shared" si="23"/>
        <v>-7.2237000246009542E-2</v>
      </c>
      <c r="M80" s="9">
        <f>2*(Inputs!$C$9/(Inputs!$C$10^2))*A80</f>
        <v>-4.6666666666666669E-2</v>
      </c>
      <c r="N80" s="9">
        <f>M80*Inputs!$C$11</f>
        <v>-0.18666666666666668</v>
      </c>
      <c r="O80" s="9">
        <f>1000*(D81-D79)/(A81-A79)*Inputs!$C$11</f>
        <v>-448.49880820765975</v>
      </c>
      <c r="P80" s="9">
        <f>-2*O80/Inputs!$C$13</f>
        <v>179.3995232830639</v>
      </c>
      <c r="Q80" s="9">
        <f>-2*O80/Inputs!$C$14</f>
        <v>26.936865357817403</v>
      </c>
      <c r="R80" s="9">
        <f>F80-Inputs!$C$16/2</f>
        <v>922.54117429259725</v>
      </c>
      <c r="S80" s="9">
        <f>F80+Inputs!$C$16/2</f>
        <v>952.54117429259725</v>
      </c>
      <c r="T80" s="9">
        <f>F80-Inputs!$C$17/2</f>
        <v>787.54117429259725</v>
      </c>
      <c r="U80" s="9">
        <f>F80+Inputs!$C$17/2</f>
        <v>1087.5411742925971</v>
      </c>
      <c r="V80" s="9">
        <f t="shared" si="24"/>
        <v>179.3995232830639</v>
      </c>
      <c r="W80" s="9">
        <f t="shared" si="25"/>
        <v>26.936865357817403</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-142.37794992196604</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317.91812880175183</v>
      </c>
      <c r="Z80" s="9">
        <f t="shared" si="26"/>
        <v>400.63237794992199</v>
      </c>
      <c r="AA80" s="9">
        <f>SQRT((Inputs!$C$52+B80)^2+(Inputs!$C$52+Y80/1000)^2-2*(Inputs!$C$52+B80)*(Inputs!$C$52+Y80/1000)*COS(SQRT(A80^2+Inputs!$C$6^2)/Inputs!$C$52))</f>
        <v>401.84256493900415</v>
      </c>
      <c r="AB80" s="9">
        <f t="shared" si="27"/>
        <v>1210.1869890821604</v>
      </c>
      <c r="AC80" s="9">
        <f>AB80/Inputs!$C$12</f>
        <v>679.88033094503396</v>
      </c>
      <c r="AD80" s="9">
        <f>2*AB80/Inputs!$C$21*1000000</f>
        <v>8.0734985606753344</v>
      </c>
      <c r="AE80" s="9">
        <f t="shared" si="28"/>
        <v>4.6643759804572689</v>
      </c>
      <c r="AF80" s="9">
        <f>DEGREES((2*PI()/Inputs!$C$13)*Inputs!$C$15*SIN(RADIANS(AE80)))</f>
        <v>29.274777764853685</v>
      </c>
      <c r="AG80" s="9">
        <f t="shared" si="29"/>
        <v>0.98800792974504725</v>
      </c>
      <c r="AH80" s="9">
        <f t="shared" si="30"/>
        <v>-5.2395697537719318E-2</v>
      </c>
      <c r="AI80" s="9">
        <f t="shared" si="31"/>
        <v>-257.66084334756329</v>
      </c>
      <c r="AJ80" s="9">
        <f t="shared" si="32"/>
        <v>-3.0596920564203316</v>
      </c>
      <c r="AK80" s="9">
        <f t="shared" si="33"/>
        <v>460.29607872371787</v>
      </c>
      <c r="AL80" s="9">
        <f>1000*(AA81-AA79)/(A81-A79)*Inputs!$C$11</f>
        <v>-492.26696746541165</v>
      </c>
      <c r="AM80" s="9">
        <f>-2*AL80/Inputs!$C$13</f>
        <v>196.90678698616466</v>
      </c>
      <c r="AN80" s="9">
        <f>-2*AL80/Inputs!$C$14</f>
        <v>29.565583631556258</v>
      </c>
      <c r="AO80" s="9">
        <f t="shared" si="34"/>
        <v>196.90678698616466</v>
      </c>
      <c r="AP80" s="9">
        <f t="shared" si="35"/>
        <v>29.565583631556258</v>
      </c>
      <c r="AQ80" s="9">
        <f>IF(OR(Inputs!$C$27=TRUE,Inputs!$C$27="TRUE",Inputs!$C$27=1),Inputs!$C$46/Inputs!$C$12,0)</f>
        <v>42.134831460674157</v>
      </c>
      <c r="AR80" s="9">
        <f t="shared" si="36"/>
        <v>637.74549948435981</v>
      </c>
      <c r="AS80" s="9">
        <f t="shared" si="37"/>
        <v>722.01516240570811</v>
      </c>
    </row>
    <row r="81" spans="1:45">
      <c r="A81" s="9">
        <f>Inputs!$C$7+79*(Inputs!$C$8-Inputs!$C$7)/240</f>
        <v>-20.5</v>
      </c>
      <c r="B81" s="9">
        <f>Inputs!$C$5+Inputs!$C$9*(A81/Inputs!$C$10)^2</f>
        <v>400.46694444444444</v>
      </c>
      <c r="C81" s="9">
        <f t="shared" si="19"/>
        <v>400.46694444444444</v>
      </c>
      <c r="D81" s="9">
        <f>SQRT((Inputs!$C$52+B81)^2+Inputs!$C$52^2-2*(Inputs!$C$52+B81)*Inputs!$C$52*COS(SQRT(A81^2+Inputs!$C$6^2)/Inputs!$C$52))</f>
        <v>402.10342548454258</v>
      </c>
      <c r="E81" s="9">
        <f t="shared" si="20"/>
        <v>1636.4810400981469</v>
      </c>
      <c r="F81" s="9">
        <f>E81/Inputs!$C$12</f>
        <v>919.37137084165556</v>
      </c>
      <c r="G81" s="9">
        <f>2*E81/Inputs!$C$21*1000000</f>
        <v>10.917426348985384</v>
      </c>
      <c r="H81" s="9">
        <f>SQRT(A81^2+Inputs!$C$6^2)</f>
        <v>32.330326320654422</v>
      </c>
      <c r="I81" s="9">
        <f t="shared" si="21"/>
        <v>4.6155683136934407</v>
      </c>
      <c r="J81" s="9">
        <f>DEGREES((2*PI()/Inputs!$C$13)*Inputs!$C$15*SIN(RADIANS(I81)))</f>
        <v>28.969115205638342</v>
      </c>
      <c r="K81" s="9">
        <f t="shared" si="22"/>
        <v>0.98381990516909135</v>
      </c>
      <c r="L81" s="9">
        <f t="shared" si="23"/>
        <v>-7.0843948101851545E-2</v>
      </c>
      <c r="M81" s="9">
        <f>2*(Inputs!$C$9/(Inputs!$C$10^2))*A81</f>
        <v>-4.5555555555555557E-2</v>
      </c>
      <c r="N81" s="9">
        <f>M81*Inputs!$C$11</f>
        <v>-0.18222222222222223</v>
      </c>
      <c r="O81" s="9">
        <f>1000*(D82-D80)/(A82-A80)*Inputs!$C$11</f>
        <v>-437.86447475304158</v>
      </c>
      <c r="P81" s="9">
        <f>-2*O81/Inputs!$C$13</f>
        <v>175.14578990121663</v>
      </c>
      <c r="Q81" s="9">
        <f>-2*O81/Inputs!$C$14</f>
        <v>26.298166651834332</v>
      </c>
      <c r="R81" s="9">
        <f>F81-Inputs!$C$16/2</f>
        <v>904.37137084165556</v>
      </c>
      <c r="S81" s="9">
        <f>F81+Inputs!$C$16/2</f>
        <v>934.37137084165556</v>
      </c>
      <c r="T81" s="9">
        <f>F81-Inputs!$C$17/2</f>
        <v>769.37137084165556</v>
      </c>
      <c r="U81" s="9">
        <f>F81+Inputs!$C$17/2</f>
        <v>1069.3713708416556</v>
      </c>
      <c r="V81" s="9">
        <f t="shared" si="24"/>
        <v>175.14578990121663</v>
      </c>
      <c r="W81" s="9">
        <f t="shared" si="25"/>
        <v>26.298166651834332</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-140.55086511584989</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343.37986587370784</v>
      </c>
      <c r="Z81" s="9">
        <f t="shared" si="26"/>
        <v>400.60749530956031</v>
      </c>
      <c r="AA81" s="9">
        <f>SQRT((Inputs!$C$52+B81)^2+(Inputs!$C$52+Y81/1000)^2-2*(Inputs!$C$52+B81)*(Inputs!$C$52+Y81/1000)*COS(SQRT(A81^2+Inputs!$C$6^2)/Inputs!$C$52))</f>
        <v>401.76180390140519</v>
      </c>
      <c r="AB81" s="9">
        <f t="shared" si="27"/>
        <v>1154.308591844881</v>
      </c>
      <c r="AC81" s="9">
        <f>AB81/Inputs!$C$12</f>
        <v>648.48797294656231</v>
      </c>
      <c r="AD81" s="9">
        <f>2*AB81/Inputs!$C$21*1000000</f>
        <v>7.7007180203638139</v>
      </c>
      <c r="AE81" s="9">
        <f t="shared" si="28"/>
        <v>4.6195121870629334</v>
      </c>
      <c r="AF81" s="9">
        <f>DEGREES((2*PI()/Inputs!$C$13)*Inputs!$C$15*SIN(RADIANS(AE81)))</f>
        <v>28.9938148636184</v>
      </c>
      <c r="AG81" s="9">
        <f t="shared" si="29"/>
        <v>0.98855696676687344</v>
      </c>
      <c r="AH81" s="9">
        <f t="shared" si="30"/>
        <v>-4.9982988949267615E-2</v>
      </c>
      <c r="AI81" s="9">
        <f t="shared" si="31"/>
        <v>-270.88339789509325</v>
      </c>
      <c r="AJ81" s="9">
        <f t="shared" si="32"/>
        <v>-3.2167083286215696</v>
      </c>
      <c r="AK81" s="9">
        <f t="shared" si="33"/>
        <v>483.93073098955773</v>
      </c>
      <c r="AL81" s="9">
        <f>1000*(AA82-AA80)/(A82-A80)*Inputs!$C$11</f>
        <v>-518.6710302721167</v>
      </c>
      <c r="AM81" s="9">
        <f>-2*AL81/Inputs!$C$13</f>
        <v>207.46841210884668</v>
      </c>
      <c r="AN81" s="9">
        <f>-2*AL81/Inputs!$C$14</f>
        <v>31.15141322955656</v>
      </c>
      <c r="AO81" s="9">
        <f t="shared" si="34"/>
        <v>207.46841210884668</v>
      </c>
      <c r="AP81" s="9">
        <f t="shared" si="35"/>
        <v>31.15141322955656</v>
      </c>
      <c r="AQ81" s="9">
        <f>IF(OR(Inputs!$C$27=TRUE,Inputs!$C$27="TRUE",Inputs!$C$27=1),Inputs!$C$46/Inputs!$C$12,0)</f>
        <v>42.134831460674157</v>
      </c>
      <c r="AR81" s="9">
        <f t="shared" si="36"/>
        <v>606.35314148588816</v>
      </c>
      <c r="AS81" s="9">
        <f t="shared" si="37"/>
        <v>690.62280440723646</v>
      </c>
    </row>
    <row r="82" spans="1:45">
      <c r="A82" s="9">
        <f>Inputs!$C$7+80*(Inputs!$C$8-Inputs!$C$7)/240</f>
        <v>-20</v>
      </c>
      <c r="B82" s="9">
        <f>Inputs!$C$5+Inputs!$C$9*(A82/Inputs!$C$10)^2</f>
        <v>400.44444444444446</v>
      </c>
      <c r="C82" s="9">
        <f t="shared" si="19"/>
        <v>400.44444444444446</v>
      </c>
      <c r="D82" s="9">
        <f>SQRT((Inputs!$C$52+B82)^2+Inputs!$C$52^2-2*(Inputs!$C$52+B82)*Inputs!$C$52*COS(SQRT(A82^2+Inputs!$C$6^2)/Inputs!$C$52))</f>
        <v>402.04935717155257</v>
      </c>
      <c r="E82" s="9">
        <f t="shared" si="20"/>
        <v>1604.9127271081147</v>
      </c>
      <c r="F82" s="9">
        <f>E82/Inputs!$C$12</f>
        <v>901.63636354388461</v>
      </c>
      <c r="G82" s="9">
        <f>2*E82/Inputs!$C$21*1000000</f>
        <v>10.706825233796341</v>
      </c>
      <c r="H82" s="9">
        <f>SQRT(A82^2+Inputs!$C$6^2)</f>
        <v>32.015621187164243</v>
      </c>
      <c r="I82" s="9">
        <f t="shared" si="21"/>
        <v>4.5710871679965557</v>
      </c>
      <c r="J82" s="9">
        <f>DEGREES((2*PI()/Inputs!$C$13)*Inputs!$C$15*SIN(RADIANS(I82)))</f>
        <v>28.690529572846842</v>
      </c>
      <c r="K82" s="9">
        <f t="shared" si="22"/>
        <v>0.98412803365021539</v>
      </c>
      <c r="L82" s="9">
        <f t="shared" si="23"/>
        <v>-6.9483968017792788E-2</v>
      </c>
      <c r="M82" s="9">
        <f>2*(Inputs!$C$9/(Inputs!$C$10^2))*A82</f>
        <v>-4.4444444444444446E-2</v>
      </c>
      <c r="N82" s="9">
        <f>M82*Inputs!$C$11</f>
        <v>-0.17777777777777778</v>
      </c>
      <c r="O82" s="9">
        <f>1000*(D83-D81)/(A83-A81)*Inputs!$C$11</f>
        <v>-427.22696259738768</v>
      </c>
      <c r="P82" s="9">
        <f>-2*O82/Inputs!$C$13</f>
        <v>170.89078503895507</v>
      </c>
      <c r="Q82" s="9">
        <f>-2*O82/Inputs!$C$14</f>
        <v>25.65927703287614</v>
      </c>
      <c r="R82" s="9">
        <f>F82-Inputs!$C$16/2</f>
        <v>886.63636354388461</v>
      </c>
      <c r="S82" s="9">
        <f>F82+Inputs!$C$16/2</f>
        <v>916.63636354388461</v>
      </c>
      <c r="T82" s="9">
        <f>F82-Inputs!$C$17/2</f>
        <v>751.63636354388461</v>
      </c>
      <c r="U82" s="9">
        <f>F82+Inputs!$C$17/2</f>
        <v>1051.6363635438847</v>
      </c>
      <c r="V82" s="9">
        <f t="shared" si="24"/>
        <v>170.89078503895507</v>
      </c>
      <c r="W82" s="9">
        <f t="shared" si="25"/>
        <v>25.65927703287614</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-146.32822187126578</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338.15830709982725</v>
      </c>
      <c r="Z82" s="9">
        <f t="shared" si="26"/>
        <v>400.59077266631573</v>
      </c>
      <c r="AA82" s="9">
        <f>SQRT((Inputs!$C$52+B82)^2+(Inputs!$C$52+Y82/1000)^2-2*(Inputs!$C$52+B82)*(Inputs!$C$52+Y82/1000)*COS(SQRT(A82^2+Inputs!$C$6^2)/Inputs!$C$52))</f>
        <v>401.71289718143612</v>
      </c>
      <c r="AB82" s="9">
        <f t="shared" si="27"/>
        <v>1122.1245151203902</v>
      </c>
      <c r="AC82" s="9">
        <f>AB82/Inputs!$C$12</f>
        <v>630.40703096651134</v>
      </c>
      <c r="AD82" s="9">
        <f>2*AB82/Inputs!$C$21*1000000</f>
        <v>7.486008971715961</v>
      </c>
      <c r="AE82" s="9">
        <f t="shared" si="28"/>
        <v>4.574934126079313</v>
      </c>
      <c r="AF82" s="9">
        <f>DEGREES((2*PI()/Inputs!$C$13)*Inputs!$C$15*SIN(RADIANS(AE82)))</f>
        <v>28.714623775595044</v>
      </c>
      <c r="AG82" s="9">
        <f t="shared" si="29"/>
        <v>0.98887333173862668</v>
      </c>
      <c r="AH82" s="9">
        <f t="shared" si="30"/>
        <v>-4.8593351471010918E-2</v>
      </c>
      <c r="AI82" s="9">
        <f t="shared" si="31"/>
        <v>-271.22933257737327</v>
      </c>
      <c r="AJ82" s="9">
        <f t="shared" si="32"/>
        <v>-3.2208162620803797</v>
      </c>
      <c r="AK82" s="9">
        <f t="shared" si="33"/>
        <v>484.48652897109304</v>
      </c>
      <c r="AL82" s="9">
        <f>1000*(AA83-AA81)/(A83-A81)*Inputs!$C$11</f>
        <v>-508.82909495953754</v>
      </c>
      <c r="AM82" s="9">
        <f>-2*AL82/Inputs!$C$13</f>
        <v>203.53163798381502</v>
      </c>
      <c r="AN82" s="9">
        <f>-2*AL82/Inputs!$C$14</f>
        <v>30.560306003575832</v>
      </c>
      <c r="AO82" s="9">
        <f t="shared" si="34"/>
        <v>203.53163798381502</v>
      </c>
      <c r="AP82" s="9">
        <f t="shared" si="35"/>
        <v>30.560306003575832</v>
      </c>
      <c r="AQ82" s="9">
        <f>IF(OR(Inputs!$C$27=TRUE,Inputs!$C$27="TRUE",Inputs!$C$27=1),Inputs!$C$46/Inputs!$C$12,0)</f>
        <v>42.134831460674157</v>
      </c>
      <c r="AR82" s="9">
        <f t="shared" si="36"/>
        <v>588.27219950583719</v>
      </c>
      <c r="AS82" s="9">
        <f t="shared" si="37"/>
        <v>672.54186242718549</v>
      </c>
    </row>
    <row r="83" spans="1:45">
      <c r="A83" s="9">
        <f>Inputs!$C$7+81*(Inputs!$C$8-Inputs!$C$7)/240</f>
        <v>-19.5</v>
      </c>
      <c r="B83" s="9">
        <f>Inputs!$C$5+Inputs!$C$9*(A83/Inputs!$C$10)^2</f>
        <v>400.42250000000001</v>
      </c>
      <c r="C83" s="9">
        <f t="shared" si="19"/>
        <v>400.42250000000001</v>
      </c>
      <c r="D83" s="9">
        <f>SQRT((Inputs!$C$52+B83)^2+Inputs!$C$52^2-2*(Inputs!$C$52+B83)*Inputs!$C$52*COS(SQRT(A83^2+Inputs!$C$6^2)/Inputs!$C$52))</f>
        <v>401.99661874389324</v>
      </c>
      <c r="E83" s="9">
        <f t="shared" si="20"/>
        <v>1574.1187438932229</v>
      </c>
      <c r="F83" s="9">
        <f>E83/Inputs!$C$12</f>
        <v>884.3363729737207</v>
      </c>
      <c r="G83" s="9">
        <f>2*E83/Inputs!$C$21*1000000</f>
        <v>10.501389890823891</v>
      </c>
      <c r="H83" s="9">
        <f>SQRT(A83^2+Inputs!$C$6^2)</f>
        <v>31.705677724975381</v>
      </c>
      <c r="I83" s="9">
        <f t="shared" si="21"/>
        <v>4.527266340904271</v>
      </c>
      <c r="J83" s="9">
        <f>DEGREES((2*PI()/Inputs!$C$13)*Inputs!$C$15*SIN(RADIANS(I83)))</f>
        <v>28.416062609031858</v>
      </c>
      <c r="K83" s="9">
        <f t="shared" si="22"/>
        <v>0.98442875390109563</v>
      </c>
      <c r="L83" s="9">
        <f t="shared" si="23"/>
        <v>-6.815709599260511E-2</v>
      </c>
      <c r="M83" s="9">
        <f>2*(Inputs!$C$9/(Inputs!$C$10^2))*A83</f>
        <v>-4.3333333333333335E-2</v>
      </c>
      <c r="N83" s="9">
        <f>M83*Inputs!$C$11</f>
        <v>-0.17333333333333334</v>
      </c>
      <c r="O83" s="9">
        <f>1000*(D84-D82)/(A84-A82)*Inputs!$C$11</f>
        <v>-416.58634719783549</v>
      </c>
      <c r="P83" s="9">
        <f>-2*O83/Inputs!$C$13</f>
        <v>166.6345388791342</v>
      </c>
      <c r="Q83" s="9">
        <f>-2*O83/Inputs!$C$14</f>
        <v>25.020201032903035</v>
      </c>
      <c r="R83" s="9">
        <f>F83-Inputs!$C$16/2</f>
        <v>869.3363729737207</v>
      </c>
      <c r="S83" s="9">
        <f>F83+Inputs!$C$16/2</f>
        <v>899.3363729737207</v>
      </c>
      <c r="T83" s="9">
        <f>F83-Inputs!$C$17/2</f>
        <v>734.3363729737207</v>
      </c>
      <c r="U83" s="9">
        <f>F83+Inputs!$C$17/2</f>
        <v>1034.3363729737207</v>
      </c>
      <c r="V83" s="9">
        <f t="shared" si="24"/>
        <v>166.6345388791342</v>
      </c>
      <c r="W83" s="9">
        <f t="shared" si="25"/>
        <v>25.020201032903035</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-140.04833812864371</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363.81454233492502</v>
      </c>
      <c r="Z83" s="9">
        <f t="shared" si="26"/>
        <v>400.56254833812864</v>
      </c>
      <c r="AA83" s="9">
        <f>SQRT((Inputs!$C$52+B83)^2+(Inputs!$C$52+Y83/1000)^2-2*(Inputs!$C$52+B83)*(Inputs!$C$52+Y83/1000)*COS(SQRT(A83^2+Inputs!$C$6^2)/Inputs!$C$52))</f>
        <v>401.6345966276653</v>
      </c>
      <c r="AB83" s="9">
        <f t="shared" si="27"/>
        <v>1072.0482895366672</v>
      </c>
      <c r="AC83" s="9">
        <f>AB83/Inputs!$C$12</f>
        <v>602.27431996441976</v>
      </c>
      <c r="AD83" s="9">
        <f>2*AB83/Inputs!$C$21*1000000</f>
        <v>7.1519363541604992</v>
      </c>
      <c r="AE83" s="9">
        <f t="shared" si="28"/>
        <v>4.5313663116157459</v>
      </c>
      <c r="AF83" s="9">
        <f>DEGREES((2*PI()/Inputs!$C$13)*Inputs!$C$15*SIN(RADIANS(AE83)))</f>
        <v>28.44174303504888</v>
      </c>
      <c r="AG83" s="9">
        <f t="shared" si="29"/>
        <v>0.98936582014032459</v>
      </c>
      <c r="AH83" s="9">
        <f t="shared" si="30"/>
        <v>-4.6430973889167039E-2</v>
      </c>
      <c r="AI83" s="9">
        <f t="shared" si="31"/>
        <v>-282.06205300930094</v>
      </c>
      <c r="AJ83" s="9">
        <f t="shared" si="32"/>
        <v>-3.3494535366633915</v>
      </c>
      <c r="AK83" s="9">
        <f t="shared" si="33"/>
        <v>503.86288046356873</v>
      </c>
      <c r="AL83" s="9">
        <f>1000*(AA84-AA82)/(A84-A82)*Inputs!$C$11</f>
        <v>-548.31566741358984</v>
      </c>
      <c r="AM83" s="9">
        <f>-2*AL83/Inputs!$C$13</f>
        <v>219.32626696543593</v>
      </c>
      <c r="AN83" s="9">
        <f>-2*AL83/Inputs!$C$14</f>
        <v>32.931871916732128</v>
      </c>
      <c r="AO83" s="9">
        <f t="shared" si="34"/>
        <v>219.32626696543593</v>
      </c>
      <c r="AP83" s="9">
        <f t="shared" si="35"/>
        <v>32.931871916732128</v>
      </c>
      <c r="AQ83" s="9">
        <f>IF(OR(Inputs!$C$27=TRUE,Inputs!$C$27="TRUE",Inputs!$C$27=1),Inputs!$C$46/Inputs!$C$12,0)</f>
        <v>42.134831460674157</v>
      </c>
      <c r="AR83" s="9">
        <f t="shared" si="36"/>
        <v>560.13948850374561</v>
      </c>
      <c r="AS83" s="9">
        <f t="shared" si="37"/>
        <v>644.40915142509391</v>
      </c>
    </row>
    <row r="84" spans="1:45">
      <c r="A84" s="9">
        <f>Inputs!$C$7+82*(Inputs!$C$8-Inputs!$C$7)/240</f>
        <v>-19</v>
      </c>
      <c r="B84" s="9">
        <f>Inputs!$C$5+Inputs!$C$9*(A84/Inputs!$C$10)^2</f>
        <v>400.40111111111111</v>
      </c>
      <c r="C84" s="9">
        <f t="shared" si="19"/>
        <v>400.40111111111111</v>
      </c>
      <c r="D84" s="9">
        <f>SQRT((Inputs!$C$52+B84)^2+Inputs!$C$52^2-2*(Inputs!$C$52+B84)*Inputs!$C$52*COS(SQRT(A84^2+Inputs!$C$6^2)/Inputs!$C$52))</f>
        <v>401.94521058475311</v>
      </c>
      <c r="E84" s="9">
        <f t="shared" si="20"/>
        <v>1544.0994736420066</v>
      </c>
      <c r="F84" s="9">
        <f>E84/Inputs!$C$12</f>
        <v>867.47161440562172</v>
      </c>
      <c r="G84" s="9">
        <f>2*E84/Inputs!$C$21*1000000</f>
        <v>10.301122876426774</v>
      </c>
      <c r="H84" s="9">
        <f>SQRT(A84^2+Inputs!$C$6^2)</f>
        <v>31.400636936215164</v>
      </c>
      <c r="I84" s="9">
        <f t="shared" si="21"/>
        <v>4.4841264712495112</v>
      </c>
      <c r="J84" s="9">
        <f>DEGREES((2*PI()/Inputs!$C$13)*Inputs!$C$15*SIN(RADIANS(I84)))</f>
        <v>28.145844510504666</v>
      </c>
      <c r="K84" s="9">
        <f t="shared" si="22"/>
        <v>0.98472205110430033</v>
      </c>
      <c r="L84" s="9">
        <f t="shared" si="23"/>
        <v>-6.6863367167696114E-2</v>
      </c>
      <c r="M84" s="9">
        <f>2*(Inputs!$C$9/(Inputs!$C$10^2))*A84</f>
        <v>-4.2222222222222223E-2</v>
      </c>
      <c r="N84" s="9">
        <f>M84*Inputs!$C$11</f>
        <v>-0.16888888888888889</v>
      </c>
      <c r="O84" s="9">
        <f>1000*(D85-D83)/(A85-A83)*Inputs!$C$11</f>
        <v>-405.94270413816957</v>
      </c>
      <c r="P84" s="9">
        <f>-2*O84/Inputs!$C$13</f>
        <v>162.37708165526783</v>
      </c>
      <c r="Q84" s="9">
        <f>-2*O84/Inputs!$C$14</f>
        <v>24.380943191481659</v>
      </c>
      <c r="R84" s="9">
        <f>F84-Inputs!$C$16/2</f>
        <v>852.47161440562172</v>
      </c>
      <c r="S84" s="9">
        <f>F84+Inputs!$C$16/2</f>
        <v>882.47161440562172</v>
      </c>
      <c r="T84" s="9">
        <f>F84-Inputs!$C$17/2</f>
        <v>717.47161440562172</v>
      </c>
      <c r="U84" s="9">
        <f>F84+Inputs!$C$17/2</f>
        <v>1017.4716144056217</v>
      </c>
      <c r="V84" s="9">
        <f t="shared" si="24"/>
        <v>162.37708165526783</v>
      </c>
      <c r="W84" s="9">
        <f t="shared" si="25"/>
        <v>24.380943191481659</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-144.88352309984418</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371.18641988342398</v>
      </c>
      <c r="Z84" s="9">
        <f t="shared" si="26"/>
        <v>400.54599463421096</v>
      </c>
      <c r="AA84" s="9">
        <f>SQRT((Inputs!$C$52+B84)^2+(Inputs!$C$52+Y84/1000)^2-2*(Inputs!$C$52+B84)*(Inputs!$C$52+Y84/1000)*COS(SQRT(A84^2+Inputs!$C$6^2)/Inputs!$C$52))</f>
        <v>401.57581826458272</v>
      </c>
      <c r="AB84" s="9">
        <f t="shared" si="27"/>
        <v>1029.8236303717658</v>
      </c>
      <c r="AC84" s="9">
        <f>AB84/Inputs!$C$12</f>
        <v>578.5526013324527</v>
      </c>
      <c r="AD84" s="9">
        <f>2*AB84/Inputs!$C$21*1000000</f>
        <v>6.8702437495726851</v>
      </c>
      <c r="AE84" s="9">
        <f t="shared" si="28"/>
        <v>4.4882702842637761</v>
      </c>
      <c r="AF84" s="9">
        <f>DEGREES((2*PI()/Inputs!$C$13)*Inputs!$C$15*SIN(RADIANS(AE84)))</f>
        <v>28.171801085504747</v>
      </c>
      <c r="AG84" s="9">
        <f t="shared" si="29"/>
        <v>0.98978156606627465</v>
      </c>
      <c r="AH84" s="9">
        <f t="shared" si="30"/>
        <v>-4.4606388560878674E-2</v>
      </c>
      <c r="AI84" s="9">
        <f t="shared" si="31"/>
        <v>-288.91901307316903</v>
      </c>
      <c r="AJ84" s="9">
        <f t="shared" si="32"/>
        <v>-3.430879126854089</v>
      </c>
      <c r="AK84" s="9">
        <f t="shared" si="33"/>
        <v>516.06994298326822</v>
      </c>
      <c r="AL84" s="9">
        <f>1000*(AA85-AA83)/(A85-A83)*Inputs!$C$11</f>
        <v>-413.67114149488771</v>
      </c>
      <c r="AM84" s="9">
        <f>-2*AL84/Inputs!$C$13</f>
        <v>165.46845659795508</v>
      </c>
      <c r="AN84" s="9">
        <f>-2*AL84/Inputs!$C$14</f>
        <v>24.845113603296561</v>
      </c>
      <c r="AO84" s="9">
        <f t="shared" si="34"/>
        <v>165.46845659795508</v>
      </c>
      <c r="AP84" s="9">
        <f t="shared" si="35"/>
        <v>24.845113603296561</v>
      </c>
      <c r="AQ84" s="9">
        <f>IF(OR(Inputs!$C$27=TRUE,Inputs!$C$27="TRUE",Inputs!$C$27=1),Inputs!$C$46/Inputs!$C$12,0)</f>
        <v>42.134831460674157</v>
      </c>
      <c r="AR84" s="9">
        <f t="shared" si="36"/>
        <v>536.41776987177855</v>
      </c>
      <c r="AS84" s="9">
        <f t="shared" si="37"/>
        <v>620.68743279312685</v>
      </c>
    </row>
    <row r="85" spans="1:45">
      <c r="A85" s="9">
        <f>Inputs!$C$7+83*(Inputs!$C$8-Inputs!$C$7)/240</f>
        <v>-18.5</v>
      </c>
      <c r="B85" s="9">
        <f>Inputs!$C$5+Inputs!$C$9*(A85/Inputs!$C$10)^2</f>
        <v>400.38027777777779</v>
      </c>
      <c r="C85" s="9">
        <f t="shared" si="19"/>
        <v>400.38027777777779</v>
      </c>
      <c r="D85" s="9">
        <f>SQRT((Inputs!$C$52+B85)^2+Inputs!$C$52^2-2*(Inputs!$C$52+B85)*Inputs!$C$52*COS(SQRT(A85^2+Inputs!$C$6^2)/Inputs!$C$52))</f>
        <v>401.89513306785869</v>
      </c>
      <c r="E85" s="9">
        <f t="shared" si="20"/>
        <v>1514.8552900809023</v>
      </c>
      <c r="F85" s="9">
        <f>E85/Inputs!$C$12</f>
        <v>851.04229779825971</v>
      </c>
      <c r="G85" s="9">
        <f>2*E85/Inputs!$C$21*1000000</f>
        <v>10.106026683839406</v>
      </c>
      <c r="H85" s="9">
        <f>SQRT(A85^2+Inputs!$C$6^2)</f>
        <v>31.100643080167973</v>
      </c>
      <c r="I85" s="9">
        <f t="shared" si="21"/>
        <v>4.4416886611294961</v>
      </c>
      <c r="J85" s="9">
        <f>DEGREES((2*PI()/Inputs!$C$13)*Inputs!$C$15*SIN(RADIANS(I85)))</f>
        <v>27.880008379915274</v>
      </c>
      <c r="K85" s="9">
        <f t="shared" si="22"/>
        <v>0.98500791079576167</v>
      </c>
      <c r="L85" s="9">
        <f t="shared" si="23"/>
        <v>-6.560281582438357E-2</v>
      </c>
      <c r="M85" s="9">
        <f>2*(Inputs!$C$9/(Inputs!$C$10^2))*A85</f>
        <v>-4.1111111111111112E-2</v>
      </c>
      <c r="N85" s="9">
        <f>M85*Inputs!$C$11</f>
        <v>-0.16444444444444445</v>
      </c>
      <c r="O85" s="9">
        <f>1000*(D86-D84)/(A86-A84)*Inputs!$C$11</f>
        <v>-395.29610917315949</v>
      </c>
      <c r="P85" s="9">
        <f>-2*O85/Inputs!$C$13</f>
        <v>158.1184436692638</v>
      </c>
      <c r="Q85" s="9">
        <f>-2*O85/Inputs!$C$14</f>
        <v>23.741508058448019</v>
      </c>
      <c r="R85" s="9">
        <f>F85-Inputs!$C$16/2</f>
        <v>836.04229779825971</v>
      </c>
      <c r="S85" s="9">
        <f>F85+Inputs!$C$16/2</f>
        <v>866.04229779825971</v>
      </c>
      <c r="T85" s="9">
        <f>F85-Inputs!$C$17/2</f>
        <v>701.04229779825971</v>
      </c>
      <c r="U85" s="9">
        <f>F85+Inputs!$C$17/2</f>
        <v>1001.0422977982597</v>
      </c>
      <c r="V85" s="9">
        <f t="shared" si="24"/>
        <v>158.1184436692638</v>
      </c>
      <c r="W85" s="9">
        <f t="shared" si="25"/>
        <v>23.741508058448019</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-136.66366560462208</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365.6884368087795</v>
      </c>
      <c r="Z85" s="9">
        <f t="shared" si="26"/>
        <v>400.51694144338239</v>
      </c>
      <c r="AA85" s="9">
        <f>SQRT((Inputs!$C$52+B85)^2+(Inputs!$C$52+Y85/1000)^2-2*(Inputs!$C$52+B85)*(Inputs!$C$52+Y85/1000)*COS(SQRT(A85^2+Inputs!$C$6^2)/Inputs!$C$52))</f>
        <v>401.53117884229158</v>
      </c>
      <c r="AB85" s="9">
        <f t="shared" si="27"/>
        <v>1014.237398909188</v>
      </c>
      <c r="AC85" s="9">
        <f>AB85/Inputs!$C$12</f>
        <v>569.79629152201574</v>
      </c>
      <c r="AD85" s="9">
        <f>2*AB85/Inputs!$C$21*1000000</f>
        <v>6.7662636056654097</v>
      </c>
      <c r="AE85" s="9">
        <f t="shared" si="28"/>
        <v>4.4457329275082635</v>
      </c>
      <c r="AF85" s="9">
        <f>DEGREES((2*PI()/Inputs!$C$13)*Inputs!$C$15*SIN(RADIANS(AE85)))</f>
        <v>27.905342868215158</v>
      </c>
      <c r="AG85" s="9">
        <f t="shared" si="29"/>
        <v>0.98993451977113611</v>
      </c>
      <c r="AH85" s="9">
        <f t="shared" si="30"/>
        <v>-4.3935313040349554E-2</v>
      </c>
      <c r="AI85" s="9">
        <f t="shared" si="31"/>
        <v>-281.24600627624397</v>
      </c>
      <c r="AJ85" s="9">
        <f t="shared" si="32"/>
        <v>-3.3397630781739966</v>
      </c>
      <c r="AK85" s="9">
        <f t="shared" si="33"/>
        <v>502.35210241340155</v>
      </c>
      <c r="AL85" s="9">
        <f>1000*(AA86-AA84)/(A86-A84)*Inputs!$C$11</f>
        <v>-478.5171871383227</v>
      </c>
      <c r="AM85" s="9">
        <f>-2*AL85/Inputs!$C$13</f>
        <v>191.40687485532908</v>
      </c>
      <c r="AN85" s="9">
        <f>-2*AL85/Inputs!$C$14</f>
        <v>28.739770999298663</v>
      </c>
      <c r="AO85" s="9">
        <f t="shared" si="34"/>
        <v>191.40687485532908</v>
      </c>
      <c r="AP85" s="9">
        <f t="shared" si="35"/>
        <v>28.739770999298663</v>
      </c>
      <c r="AQ85" s="9">
        <f>IF(OR(Inputs!$C$27=TRUE,Inputs!$C$27="TRUE",Inputs!$C$27=1),Inputs!$C$46/Inputs!$C$12,0)</f>
        <v>42.134831460674157</v>
      </c>
      <c r="AR85" s="9">
        <f t="shared" si="36"/>
        <v>527.66146006134159</v>
      </c>
      <c r="AS85" s="9">
        <f t="shared" si="37"/>
        <v>611.93112298268989</v>
      </c>
    </row>
    <row r="86" spans="1:45">
      <c r="A86" s="9">
        <f>Inputs!$C$7+84*(Inputs!$C$8-Inputs!$C$7)/240</f>
        <v>-18</v>
      </c>
      <c r="B86" s="9">
        <f>Inputs!$C$5+Inputs!$C$9*(A86/Inputs!$C$10)^2</f>
        <v>400.36</v>
      </c>
      <c r="C86" s="9">
        <f t="shared" si="19"/>
        <v>400.36</v>
      </c>
      <c r="D86" s="9">
        <f>SQRT((Inputs!$C$52+B86)^2+Inputs!$C$52^2-2*(Inputs!$C$52+B86)*Inputs!$C$52*COS(SQRT(A86^2+Inputs!$C$6^2)/Inputs!$C$52))</f>
        <v>401.84638655745982</v>
      </c>
      <c r="E86" s="9">
        <f t="shared" si="20"/>
        <v>1486.3865574598094</v>
      </c>
      <c r="F86" s="9">
        <f>E86/Inputs!$C$12</f>
        <v>835.04862778640972</v>
      </c>
      <c r="G86" s="9">
        <f>2*E86/Inputs!$C$21*1000000</f>
        <v>9.9161037430755474</v>
      </c>
      <c r="H86" s="9">
        <f>SQRT(A86^2+Inputs!$C$6^2)</f>
        <v>30.805843601498726</v>
      </c>
      <c r="I86" s="9">
        <f t="shared" si="21"/>
        <v>4.3999744653546005</v>
      </c>
      <c r="J86" s="9">
        <f>DEGREES((2*PI()/Inputs!$C$13)*Inputs!$C$15*SIN(RADIANS(I86)))</f>
        <v>27.618690159596383</v>
      </c>
      <c r="K86" s="9">
        <f t="shared" si="22"/>
        <v>0.98528631886637685</v>
      </c>
      <c r="L86" s="9">
        <f t="shared" si="23"/>
        <v>-6.4375475381824754E-2</v>
      </c>
      <c r="M86" s="9">
        <f>2*(Inputs!$C$9/(Inputs!$C$10^2))*A86</f>
        <v>-0.04</v>
      </c>
      <c r="N86" s="9">
        <f>M86*Inputs!$C$11</f>
        <v>-0.16</v>
      </c>
      <c r="O86" s="9">
        <f>1000*(D87-D85)/(A87-A85)*Inputs!$C$11</f>
        <v>-384.64663819468115</v>
      </c>
      <c r="P86" s="9">
        <f>-2*O86/Inputs!$C$13</f>
        <v>153.85865527787246</v>
      </c>
      <c r="Q86" s="9">
        <f>-2*O86/Inputs!$C$14</f>
        <v>23.101900191872744</v>
      </c>
      <c r="R86" s="9">
        <f>F86-Inputs!$C$16/2</f>
        <v>820.04862778640972</v>
      </c>
      <c r="S86" s="9">
        <f>F86+Inputs!$C$16/2</f>
        <v>850.04862778640972</v>
      </c>
      <c r="T86" s="9">
        <f>F86-Inputs!$C$17/2</f>
        <v>685.04862778640972</v>
      </c>
      <c r="U86" s="9">
        <f>F86+Inputs!$C$17/2</f>
        <v>985.04862778640972</v>
      </c>
      <c r="V86" s="9">
        <f t="shared" si="24"/>
        <v>153.85865527787246</v>
      </c>
      <c r="W86" s="9">
        <f t="shared" si="25"/>
        <v>23.101900191872744</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-149.12259877495586</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392.02205415360987</v>
      </c>
      <c r="Z86" s="9">
        <f t="shared" si="26"/>
        <v>400.50912259877498</v>
      </c>
      <c r="AA86" s="9">
        <f>SQRT((Inputs!$C$52+B86)^2+(Inputs!$C$52+Y86/1000)^2-2*(Inputs!$C$52+B86)*(Inputs!$C$52+Y86/1000)*COS(SQRT(A86^2+Inputs!$C$6^2)/Inputs!$C$52))</f>
        <v>401.45618896779814</v>
      </c>
      <c r="AB86" s="9">
        <f t="shared" si="27"/>
        <v>947.06636902316177</v>
      </c>
      <c r="AC86" s="9">
        <f>AB86/Inputs!$C$12</f>
        <v>532.05975787818079</v>
      </c>
      <c r="AD86" s="9">
        <f>2*AB86/Inputs!$C$21*1000000</f>
        <v>6.3181467295162026</v>
      </c>
      <c r="AE86" s="9">
        <f t="shared" si="28"/>
        <v>4.4042700683100708</v>
      </c>
      <c r="AF86" s="9">
        <f>DEGREES((2*PI()/Inputs!$C$13)*Inputs!$C$15*SIN(RADIANS(AE86)))</f>
        <v>27.645600605826974</v>
      </c>
      <c r="AG86" s="9">
        <f t="shared" si="29"/>
        <v>0.99059702794289461</v>
      </c>
      <c r="AH86" s="9">
        <f t="shared" si="30"/>
        <v>-4.1029793516821199E-2</v>
      </c>
      <c r="AI86" s="9">
        <f t="shared" si="31"/>
        <v>-302.98886990822893</v>
      </c>
      <c r="AJ86" s="9">
        <f t="shared" si="32"/>
        <v>-3.5979570135593448</v>
      </c>
      <c r="AK86" s="9">
        <f t="shared" si="33"/>
        <v>541.14465292856573</v>
      </c>
      <c r="AL86" s="9">
        <f>1000*(AA87-AA85)/(A87-A85)*Inputs!$C$11</f>
        <v>-509.85866365749644</v>
      </c>
      <c r="AM86" s="9">
        <f>-2*AL86/Inputs!$C$13</f>
        <v>203.94346546299857</v>
      </c>
      <c r="AN86" s="9">
        <f>-2*AL86/Inputs!$C$14</f>
        <v>30.622141961411199</v>
      </c>
      <c r="AO86" s="9">
        <f t="shared" si="34"/>
        <v>203.94346546299857</v>
      </c>
      <c r="AP86" s="9">
        <f t="shared" si="35"/>
        <v>30.622141961411199</v>
      </c>
      <c r="AQ86" s="9">
        <f>IF(OR(Inputs!$C$27=TRUE,Inputs!$C$27="TRUE",Inputs!$C$27=1),Inputs!$C$46/Inputs!$C$12,0)</f>
        <v>42.134831460674157</v>
      </c>
      <c r="AR86" s="9">
        <f t="shared" si="36"/>
        <v>489.92492641750664</v>
      </c>
      <c r="AS86" s="9">
        <f t="shared" si="37"/>
        <v>574.19458933885494</v>
      </c>
    </row>
    <row r="87" spans="1:45">
      <c r="A87" s="9">
        <f>Inputs!$C$7+85*(Inputs!$C$8-Inputs!$C$7)/240</f>
        <v>-17.5</v>
      </c>
      <c r="B87" s="9">
        <f>Inputs!$C$5+Inputs!$C$9*(A87/Inputs!$C$10)^2</f>
        <v>400.34027777777777</v>
      </c>
      <c r="C87" s="9">
        <f t="shared" si="19"/>
        <v>400.34027777777777</v>
      </c>
      <c r="D87" s="9">
        <f>SQRT((Inputs!$C$52+B87)^2+Inputs!$C$52^2-2*(Inputs!$C$52+B87)*Inputs!$C$52*COS(SQRT(A87^2+Inputs!$C$6^2)/Inputs!$C$52))</f>
        <v>401.79897140831002</v>
      </c>
      <c r="E87" s="9">
        <f t="shared" si="20"/>
        <v>1458.6936305322524</v>
      </c>
      <c r="F87" s="9">
        <f>E87/Inputs!$C$12</f>
        <v>819.49080366980468</v>
      </c>
      <c r="G87" s="9">
        <f>2*E87/Inputs!$C$21*1000000</f>
        <v>9.7313564207959651</v>
      </c>
      <c r="H87" s="9">
        <f>SQRT(A87^2+Inputs!$C$6^2)</f>
        <v>30.516389039334257</v>
      </c>
      <c r="I87" s="9">
        <f t="shared" si="21"/>
        <v>4.3590058781406578</v>
      </c>
      <c r="J87" s="9">
        <f>DEGREES((2*PI()/Inputs!$C$13)*Inputs!$C$15*SIN(RADIANS(I87)))</f>
        <v>27.362028547574202</v>
      </c>
      <c r="K87" s="9">
        <f t="shared" si="22"/>
        <v>0.98555726156363421</v>
      </c>
      <c r="L87" s="9">
        <f t="shared" si="23"/>
        <v>-6.3181378394721641E-2</v>
      </c>
      <c r="M87" s="9">
        <f>2*(Inputs!$C$9/(Inputs!$C$10^2))*A87</f>
        <v>-3.888888888888889E-2</v>
      </c>
      <c r="N87" s="9">
        <f>M87*Inputs!$C$11</f>
        <v>-0.15555555555555556</v>
      </c>
      <c r="O87" s="9">
        <f>1000*(D88-D86)/(A88-A86)*Inputs!$C$11</f>
        <v>-373.99436724103907</v>
      </c>
      <c r="P87" s="9">
        <f>-2*O87/Inputs!$C$13</f>
        <v>149.59774689641563</v>
      </c>
      <c r="Q87" s="9">
        <f>-2*O87/Inputs!$C$14</f>
        <v>22.462124158620966</v>
      </c>
      <c r="R87" s="9">
        <f>F87-Inputs!$C$16/2</f>
        <v>804.49080366980468</v>
      </c>
      <c r="S87" s="9">
        <f>F87+Inputs!$C$16/2</f>
        <v>834.49080366980468</v>
      </c>
      <c r="T87" s="9">
        <f>F87-Inputs!$C$17/2</f>
        <v>669.49080366980468</v>
      </c>
      <c r="U87" s="9">
        <f>F87+Inputs!$C$17/2</f>
        <v>969.49080366980468</v>
      </c>
      <c r="V87" s="9">
        <f t="shared" si="24"/>
        <v>149.59774689641563</v>
      </c>
      <c r="W87" s="9">
        <f t="shared" si="25"/>
        <v>22.462124158620966</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-139.0731304771746</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397.07097057156574</v>
      </c>
      <c r="Z87" s="9">
        <f t="shared" si="26"/>
        <v>400.47935090825496</v>
      </c>
      <c r="AA87" s="9">
        <f>SQRT((Inputs!$C$52+B87)^2+(Inputs!$C$52+Y87/1000)^2-2*(Inputs!$C$52+B87)*(Inputs!$C$52+Y87/1000)*COS(SQRT(A87^2+Inputs!$C$6^2)/Inputs!$C$52))</f>
        <v>401.40371417637721</v>
      </c>
      <c r="AB87" s="9">
        <f t="shared" si="27"/>
        <v>924.36326812224934</v>
      </c>
      <c r="AC87" s="9">
        <f>AB87/Inputs!$C$12</f>
        <v>519.30520681025246</v>
      </c>
      <c r="AD87" s="9">
        <f>2*AB87/Inputs!$C$21*1000000</f>
        <v>6.1666879433120982</v>
      </c>
      <c r="AE87" s="9">
        <f t="shared" si="28"/>
        <v>4.3633168747250819</v>
      </c>
      <c r="AF87" s="9">
        <f>DEGREES((2*PI()/Inputs!$C$13)*Inputs!$C$15*SIN(RADIANS(AE87)))</f>
        <v>27.389036908924695</v>
      </c>
      <c r="AG87" s="9">
        <f t="shared" si="29"/>
        <v>0.990820461676994</v>
      </c>
      <c r="AH87" s="9">
        <f t="shared" si="30"/>
        <v>-4.0050332714541552E-2</v>
      </c>
      <c r="AI87" s="9">
        <f t="shared" si="31"/>
        <v>-300.18559685955222</v>
      </c>
      <c r="AJ87" s="9">
        <f t="shared" si="32"/>
        <v>-3.5646684774838668</v>
      </c>
      <c r="AK87" s="9">
        <f t="shared" si="33"/>
        <v>536.14410104874037</v>
      </c>
      <c r="AL87" s="9">
        <f>1000*(AA88-AA86)/(A88-A86)*Inputs!$C$11</f>
        <v>-331.8564581766168</v>
      </c>
      <c r="AM87" s="9">
        <f>-2*AL87/Inputs!$C$13</f>
        <v>132.74258327064672</v>
      </c>
      <c r="AN87" s="9">
        <f>-2*AL87/Inputs!$C$14</f>
        <v>19.931318809406417</v>
      </c>
      <c r="AO87" s="9">
        <f t="shared" si="34"/>
        <v>132.74258327064672</v>
      </c>
      <c r="AP87" s="9">
        <f t="shared" si="35"/>
        <v>19.931318809406417</v>
      </c>
      <c r="AQ87" s="9">
        <f>IF(OR(Inputs!$C$27=TRUE,Inputs!$C$27="TRUE",Inputs!$C$27=1),Inputs!$C$46/Inputs!$C$12,0)</f>
        <v>42.134831460674157</v>
      </c>
      <c r="AR87" s="9">
        <f t="shared" si="36"/>
        <v>477.17037534957831</v>
      </c>
      <c r="AS87" s="9">
        <f t="shared" si="37"/>
        <v>561.44003827092661</v>
      </c>
    </row>
    <row r="88" spans="1:45">
      <c r="A88" s="9">
        <f>Inputs!$C$7+86*(Inputs!$C$8-Inputs!$C$7)/240</f>
        <v>-17</v>
      </c>
      <c r="B88" s="9">
        <f>Inputs!$C$5+Inputs!$C$9*(A88/Inputs!$C$10)^2</f>
        <v>400.32111111111112</v>
      </c>
      <c r="C88" s="9">
        <f t="shared" si="19"/>
        <v>400.32111111111112</v>
      </c>
      <c r="D88" s="9">
        <f>SQRT((Inputs!$C$52+B88)^2+Inputs!$C$52^2-2*(Inputs!$C$52+B88)*Inputs!$C$52*COS(SQRT(A88^2+Inputs!$C$6^2)/Inputs!$C$52))</f>
        <v>401.75288796564956</v>
      </c>
      <c r="E88" s="9">
        <f t="shared" si="20"/>
        <v>1431.7768545384411</v>
      </c>
      <c r="F88" s="9">
        <f>E88/Inputs!$C$12</f>
        <v>804.36901940361861</v>
      </c>
      <c r="G88" s="9">
        <f>2*E88/Inputs!$C$21*1000000</f>
        <v>9.5517870201954249</v>
      </c>
      <c r="H88" s="9">
        <f>SQRT(A88^2+Inputs!$C$6^2)</f>
        <v>30.232432915661949</v>
      </c>
      <c r="I88" s="9">
        <f t="shared" si="21"/>
        <v>4.3188053168235525</v>
      </c>
      <c r="J88" s="9">
        <f>DEGREES((2*PI()/Inputs!$C$13)*Inputs!$C$15*SIN(RADIANS(I88)))</f>
        <v>27.110164894856268</v>
      </c>
      <c r="K88" s="9">
        <f t="shared" si="22"/>
        <v>0.98582072549317235</v>
      </c>
      <c r="L88" s="9">
        <f t="shared" si="23"/>
        <v>-6.202055655120494E-2</v>
      </c>
      <c r="M88" s="9">
        <f>2*(Inputs!$C$9/(Inputs!$C$10^2))*A88</f>
        <v>-3.7777777777777778E-2</v>
      </c>
      <c r="N88" s="9">
        <f>M88*Inputs!$C$11</f>
        <v>-0.15111111111111111</v>
      </c>
      <c r="O88" s="9">
        <f>1000*(D89-D87)/(A89-A87)*Inputs!$C$11</f>
        <v>-363.33937246513415</v>
      </c>
      <c r="P88" s="9">
        <f>-2*O88/Inputs!$C$13</f>
        <v>145.33574898605366</v>
      </c>
      <c r="Q88" s="9">
        <f>-2*O88/Inputs!$C$14</f>
        <v>21.822184532440492</v>
      </c>
      <c r="R88" s="9">
        <f>F88-Inputs!$C$16/2</f>
        <v>789.36901940361861</v>
      </c>
      <c r="S88" s="9">
        <f>F88+Inputs!$C$16/2</f>
        <v>819.36901940361861</v>
      </c>
      <c r="T88" s="9">
        <f>F88-Inputs!$C$17/2</f>
        <v>654.36901940361861</v>
      </c>
      <c r="U88" s="9">
        <f>F88+Inputs!$C$17/2</f>
        <v>954.36901940361861</v>
      </c>
      <c r="V88" s="9">
        <f t="shared" si="24"/>
        <v>145.33574898605366</v>
      </c>
      <c r="W88" s="9">
        <f t="shared" si="25"/>
        <v>21.822184532440492</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-125.70874899839603</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381.37310246850825</v>
      </c>
      <c r="Z88" s="9">
        <f t="shared" si="26"/>
        <v>400.44681986010954</v>
      </c>
      <c r="AA88" s="9">
        <f>SQRT((Inputs!$C$52+B88)^2+(Inputs!$C$52+Y88/1000)^2-2*(Inputs!$C$52+B88)*(Inputs!$C$52+Y88/1000)*COS(SQRT(A88^2+Inputs!$C$6^2)/Inputs!$C$52))</f>
        <v>401.37322485325399</v>
      </c>
      <c r="AB88" s="9">
        <f t="shared" si="27"/>
        <v>926.40499314444469</v>
      </c>
      <c r="AC88" s="9">
        <f>AB88/Inputs!$C$12</f>
        <v>520.45224333957572</v>
      </c>
      <c r="AD88" s="9">
        <f>2*AB88/Inputs!$C$21*1000000</f>
        <v>6.1803088665055386</v>
      </c>
      <c r="AE88" s="9">
        <f t="shared" si="28"/>
        <v>4.3229080237770967</v>
      </c>
      <c r="AF88" s="9">
        <f>DEGREES((2*PI()/Inputs!$C$13)*Inputs!$C$15*SIN(RADIANS(AE88)))</f>
        <v>27.135869695802725</v>
      </c>
      <c r="AG88" s="9">
        <f t="shared" si="29"/>
        <v>0.99079955980080514</v>
      </c>
      <c r="AH88" s="9">
        <f t="shared" si="30"/>
        <v>-4.0141950374760933E-2</v>
      </c>
      <c r="AI88" s="9">
        <f t="shared" si="31"/>
        <v>-283.91677606404289</v>
      </c>
      <c r="AJ88" s="9">
        <f t="shared" si="32"/>
        <v>-3.3714781536898863</v>
      </c>
      <c r="AK88" s="9">
        <f t="shared" si="33"/>
        <v>507.08185146690425</v>
      </c>
      <c r="AL88" s="9">
        <f>1000*(AA89-AA87)/(A89-A87)*Inputs!$C$11</f>
        <v>-324.0654424416789</v>
      </c>
      <c r="AM88" s="9">
        <f>-2*AL88/Inputs!$C$13</f>
        <v>129.62617697667156</v>
      </c>
      <c r="AN88" s="9">
        <f>-2*AL88/Inputs!$C$14</f>
        <v>19.463389936437174</v>
      </c>
      <c r="AO88" s="9">
        <f t="shared" si="34"/>
        <v>129.62617697667156</v>
      </c>
      <c r="AP88" s="9">
        <f t="shared" si="35"/>
        <v>19.463389936437174</v>
      </c>
      <c r="AQ88" s="9">
        <f>IF(OR(Inputs!$C$27=TRUE,Inputs!$C$27="TRUE",Inputs!$C$27=1),Inputs!$C$46/Inputs!$C$12,0)</f>
        <v>42.134831460674157</v>
      </c>
      <c r="AR88" s="9">
        <f t="shared" si="36"/>
        <v>478.31741187890157</v>
      </c>
      <c r="AS88" s="9">
        <f t="shared" si="37"/>
        <v>562.58707480024987</v>
      </c>
    </row>
    <row r="89" spans="1:45">
      <c r="A89" s="9">
        <f>Inputs!$C$7+87*(Inputs!$C$8-Inputs!$C$7)/240</f>
        <v>-16.5</v>
      </c>
      <c r="B89" s="9">
        <f>Inputs!$C$5+Inputs!$C$9*(A89/Inputs!$C$10)^2</f>
        <v>400.30250000000001</v>
      </c>
      <c r="C89" s="9">
        <f t="shared" si="19"/>
        <v>400.30250000000001</v>
      </c>
      <c r="D89" s="9">
        <f>SQRT((Inputs!$C$52+B89)^2+Inputs!$C$52^2-2*(Inputs!$C$52+B89)*Inputs!$C$52*COS(SQRT(A89^2+Inputs!$C$6^2)/Inputs!$C$52))</f>
        <v>401.70813656519374</v>
      </c>
      <c r="E89" s="9">
        <f t="shared" si="20"/>
        <v>1405.6365651937313</v>
      </c>
      <c r="F89" s="9">
        <f>E89/Inputs!$C$12</f>
        <v>789.68346359198381</v>
      </c>
      <c r="G89" s="9">
        <f>2*E89/Inputs!$C$21*1000000</f>
        <v>9.3773977809257048</v>
      </c>
      <c r="H89" s="9">
        <f>SQRT(A89^2+Inputs!$C$6^2)</f>
        <v>29.954131601500318</v>
      </c>
      <c r="I89" s="9">
        <f t="shared" si="21"/>
        <v>4.2793956023743185</v>
      </c>
      <c r="J89" s="9">
        <f>DEGREES((2*PI()/Inputs!$C$13)*Inputs!$C$15*SIN(RADIANS(I89)))</f>
        <v>26.863243082603024</v>
      </c>
      <c r="K89" s="9">
        <f t="shared" si="22"/>
        <v>0.98607669762025285</v>
      </c>
      <c r="L89" s="9">
        <f t="shared" si="23"/>
        <v>-6.089304067098239E-2</v>
      </c>
      <c r="M89" s="9">
        <f>2*(Inputs!$C$9/(Inputs!$C$10^2))*A89</f>
        <v>-3.6666666666666667E-2</v>
      </c>
      <c r="N89" s="9">
        <f>M89*Inputs!$C$11</f>
        <v>-0.14666666666666667</v>
      </c>
      <c r="O89" s="9">
        <f>1000*(D90-D88)/(A90-A88)*Inputs!$C$11</f>
        <v>-352.68173018312154</v>
      </c>
      <c r="P89" s="9">
        <f>-2*O89/Inputs!$C$13</f>
        <v>141.07269207324862</v>
      </c>
      <c r="Q89" s="9">
        <f>-2*O89/Inputs!$C$14</f>
        <v>21.182085896884178</v>
      </c>
      <c r="R89" s="9">
        <f>F89-Inputs!$C$16/2</f>
        <v>774.68346359198381</v>
      </c>
      <c r="S89" s="9">
        <f>F89+Inputs!$C$16/2</f>
        <v>804.68346359198381</v>
      </c>
      <c r="T89" s="9">
        <f>F89-Inputs!$C$17/2</f>
        <v>639.68346359198381</v>
      </c>
      <c r="U89" s="9">
        <f>F89+Inputs!$C$17/2</f>
        <v>939.68346359198381</v>
      </c>
      <c r="V89" s="9">
        <f t="shared" si="24"/>
        <v>141.07269207324862</v>
      </c>
      <c r="W89" s="9">
        <f t="shared" si="25"/>
        <v>21.182085896884178</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-123.86861357235706</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387.14310586746348</v>
      </c>
      <c r="Z89" s="9">
        <f t="shared" si="26"/>
        <v>400.42636861357238</v>
      </c>
      <c r="AA89" s="9">
        <f>SQRT((Inputs!$C$52+B89)^2+(Inputs!$C$52+Y89/1000)^2-2*(Inputs!$C$52+B89)*(Inputs!$C$52+Y89/1000)*COS(SQRT(A89^2+Inputs!$C$6^2)/Inputs!$C$52))</f>
        <v>401.32269781576679</v>
      </c>
      <c r="AB89" s="9">
        <f t="shared" si="27"/>
        <v>896.32920219440848</v>
      </c>
      <c r="AC89" s="9">
        <f>AB89/Inputs!$C$12</f>
        <v>503.55573156989237</v>
      </c>
      <c r="AD89" s="9">
        <f>2*AB89/Inputs!$C$21*1000000</f>
        <v>5.9796647865931867</v>
      </c>
      <c r="AE89" s="9">
        <f t="shared" si="28"/>
        <v>4.2835229133307626</v>
      </c>
      <c r="AF89" s="9">
        <f>DEGREES((2*PI()/Inputs!$C$13)*Inputs!$C$15*SIN(RADIANS(AE89)))</f>
        <v>26.889103373030451</v>
      </c>
      <c r="AG89" s="9">
        <f t="shared" si="29"/>
        <v>0.99109613453056233</v>
      </c>
      <c r="AH89" s="9">
        <f t="shared" si="30"/>
        <v>-3.8842176931231154E-2</v>
      </c>
      <c r="AI89" s="9">
        <f t="shared" si="31"/>
        <v>-286.12773202209144</v>
      </c>
      <c r="AJ89" s="9">
        <f t="shared" si="32"/>
        <v>-3.3977329943325181</v>
      </c>
      <c r="AK89" s="9">
        <f t="shared" si="33"/>
        <v>511.01171943982052</v>
      </c>
      <c r="AL89" s="9">
        <f>1000*(AA90-AA88)/(A90-A88)*Inputs!$C$11</f>
        <v>-480.06397771155207</v>
      </c>
      <c r="AM89" s="9">
        <f>-2*AL89/Inputs!$C$13</f>
        <v>192.02559108462083</v>
      </c>
      <c r="AN89" s="9">
        <f>-2*AL89/Inputs!$C$14</f>
        <v>28.832671334027154</v>
      </c>
      <c r="AO89" s="9">
        <f t="shared" si="34"/>
        <v>192.02559108462083</v>
      </c>
      <c r="AP89" s="9">
        <f t="shared" si="35"/>
        <v>28.832671334027154</v>
      </c>
      <c r="AQ89" s="9">
        <f>IF(OR(Inputs!$C$27=TRUE,Inputs!$C$27="TRUE",Inputs!$C$27=1),Inputs!$C$46/Inputs!$C$12,0)</f>
        <v>42.134831460674157</v>
      </c>
      <c r="AR89" s="9">
        <f t="shared" si="36"/>
        <v>461.42090010921822</v>
      </c>
      <c r="AS89" s="9">
        <f t="shared" si="37"/>
        <v>545.69056303056652</v>
      </c>
    </row>
    <row r="90" spans="1:45">
      <c r="A90" s="9">
        <f>Inputs!$C$7+88*(Inputs!$C$8-Inputs!$C$7)/240</f>
        <v>-16</v>
      </c>
      <c r="B90" s="9">
        <f>Inputs!$C$5+Inputs!$C$9*(A90/Inputs!$C$10)^2</f>
        <v>400.28444444444443</v>
      </c>
      <c r="C90" s="9">
        <f t="shared" si="19"/>
        <v>400.28444444444443</v>
      </c>
      <c r="D90" s="9">
        <f>SQRT((Inputs!$C$52+B90)^2+Inputs!$C$52^2-2*(Inputs!$C$52+B90)*Inputs!$C$52*COS(SQRT(A90^2+Inputs!$C$6^2)/Inputs!$C$52))</f>
        <v>401.66471753310378</v>
      </c>
      <c r="E90" s="9">
        <f t="shared" si="20"/>
        <v>1380.2730886593508</v>
      </c>
      <c r="F90" s="9">
        <f>E90/Inputs!$C$12</f>
        <v>775.43431947154545</v>
      </c>
      <c r="G90" s="9">
        <f>2*E90/Inputs!$C$21*1000000</f>
        <v>9.2081908789003002</v>
      </c>
      <c r="H90" s="9">
        <f>SQRT(A90^2+Inputs!$C$6^2)</f>
        <v>29.681644159311659</v>
      </c>
      <c r="I90" s="9">
        <f t="shared" si="21"/>
        <v>4.2407999364952262</v>
      </c>
      <c r="J90" s="9">
        <f>DEGREES((2*PI()/Inputs!$C$13)*Inputs!$C$15*SIN(RADIANS(I90)))</f>
        <v>26.621409377803502</v>
      </c>
      <c r="K90" s="9">
        <f t="shared" si="22"/>
        <v>0.98632516527137304</v>
      </c>
      <c r="L90" s="9">
        <f t="shared" si="23"/>
        <v>-5.9798860702752601E-2</v>
      </c>
      <c r="M90" s="9">
        <f>2*(Inputs!$C$9/(Inputs!$C$10^2))*A90</f>
        <v>-3.5555555555555556E-2</v>
      </c>
      <c r="N90" s="9">
        <f>M90*Inputs!$C$11</f>
        <v>-0.14222222222222222</v>
      </c>
      <c r="O90" s="9">
        <f>1000*(D91-D89)/(A91-A89)*Inputs!$C$11</f>
        <v>-342.02151684144155</v>
      </c>
      <c r="P90" s="9">
        <f>-2*O90/Inputs!$C$13</f>
        <v>136.80860673657662</v>
      </c>
      <c r="Q90" s="9">
        <f>-2*O90/Inputs!$C$14</f>
        <v>20.541832843329825</v>
      </c>
      <c r="R90" s="9">
        <f>F90-Inputs!$C$16/2</f>
        <v>760.43431947154545</v>
      </c>
      <c r="S90" s="9">
        <f>F90+Inputs!$C$16/2</f>
        <v>790.43431947154545</v>
      </c>
      <c r="T90" s="9">
        <f>F90-Inputs!$C$17/2</f>
        <v>625.43431947154545</v>
      </c>
      <c r="U90" s="9">
        <f>F90+Inputs!$C$17/2</f>
        <v>925.43431947154545</v>
      </c>
      <c r="V90" s="9">
        <f t="shared" si="24"/>
        <v>136.80860673657662</v>
      </c>
      <c r="W90" s="9">
        <f t="shared" si="25"/>
        <v>20.541832843329825</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-97.48037396441562</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413.29561486427639</v>
      </c>
      <c r="Z90" s="9">
        <f t="shared" si="26"/>
        <v>400.38192481840883</v>
      </c>
      <c r="AA90" s="9">
        <f>SQRT((Inputs!$C$52+B90)^2+(Inputs!$C$52+Y90/1000)^2-2*(Inputs!$C$52+B90)*(Inputs!$C$52+Y90/1000)*COS(SQRT(A90^2+Inputs!$C$6^2)/Inputs!$C$52))</f>
        <v>401.2532088588261</v>
      </c>
      <c r="AB90" s="9">
        <f t="shared" si="27"/>
        <v>871.28404041726526</v>
      </c>
      <c r="AC90" s="9">
        <f>AB90/Inputs!$C$12</f>
        <v>489.48541596475576</v>
      </c>
      <c r="AD90" s="9">
        <f>2*AB90/Inputs!$C$21*1000000</f>
        <v>5.8125814520475041</v>
      </c>
      <c r="AE90" s="9">
        <f t="shared" si="28"/>
        <v>4.245167092933551</v>
      </c>
      <c r="AF90" s="9">
        <f>DEGREES((2*PI()/Inputs!$C$13)*Inputs!$C$15*SIN(RADIANS(AE90)))</f>
        <v>26.648773825817337</v>
      </c>
      <c r="AG90" s="9">
        <f t="shared" si="29"/>
        <v>0.99134262098163084</v>
      </c>
      <c r="AH90" s="9">
        <f t="shared" si="30"/>
        <v>-3.7762217151218337E-2</v>
      </c>
      <c r="AI90" s="9">
        <f t="shared" si="31"/>
        <v>-285.94890350678969</v>
      </c>
      <c r="AJ90" s="9">
        <f t="shared" si="32"/>
        <v>-3.3956094268527961</v>
      </c>
      <c r="AK90" s="9">
        <f t="shared" si="33"/>
        <v>510.77598882869199</v>
      </c>
      <c r="AL90" s="9">
        <f>1000*(AA91-AA89)/(A91-A89)*Inputs!$C$11</f>
        <v>-414.10085948609776</v>
      </c>
      <c r="AM90" s="9">
        <f>-2*AL90/Inputs!$C$13</f>
        <v>165.6403437944391</v>
      </c>
      <c r="AN90" s="9">
        <f>-2*AL90/Inputs!$C$14</f>
        <v>24.870922491657524</v>
      </c>
      <c r="AO90" s="9">
        <f t="shared" si="34"/>
        <v>165.6403437944391</v>
      </c>
      <c r="AP90" s="9">
        <f t="shared" si="35"/>
        <v>24.870922491657524</v>
      </c>
      <c r="AQ90" s="9">
        <f>IF(OR(Inputs!$C$27=TRUE,Inputs!$C$27="TRUE",Inputs!$C$27=1),Inputs!$C$46/Inputs!$C$12,0)</f>
        <v>42.134831460674157</v>
      </c>
      <c r="AR90" s="9">
        <f t="shared" si="36"/>
        <v>447.35058450408161</v>
      </c>
      <c r="AS90" s="9">
        <f t="shared" si="37"/>
        <v>531.62024742542997</v>
      </c>
    </row>
    <row r="91" spans="1:45">
      <c r="A91" s="9">
        <f>Inputs!$C$7+89*(Inputs!$C$8-Inputs!$C$7)/240</f>
        <v>-15.5</v>
      </c>
      <c r="B91" s="9">
        <f>Inputs!$C$5+Inputs!$C$9*(A91/Inputs!$C$10)^2</f>
        <v>400.26694444444445</v>
      </c>
      <c r="C91" s="9">
        <f t="shared" si="19"/>
        <v>400.26694444444445</v>
      </c>
      <c r="D91" s="9">
        <f>SQRT((Inputs!$C$52+B91)^2+Inputs!$C$52^2-2*(Inputs!$C$52+B91)*Inputs!$C$52*COS(SQRT(A91^2+Inputs!$C$6^2)/Inputs!$C$52))</f>
        <v>401.62263118598338</v>
      </c>
      <c r="E91" s="9">
        <f t="shared" si="20"/>
        <v>1355.686741538932</v>
      </c>
      <c r="F91" s="9">
        <f>E91/Inputs!$C$12</f>
        <v>761.62176490951231</v>
      </c>
      <c r="G91" s="9">
        <f>2*E91/Inputs!$C$21*1000000</f>
        <v>9.0441684262712965</v>
      </c>
      <c r="H91" s="9">
        <f>SQRT(A91^2+Inputs!$C$6^2)</f>
        <v>29.415132160165456</v>
      </c>
      <c r="I91" s="9">
        <f t="shared" si="21"/>
        <v>4.2030418750829472</v>
      </c>
      <c r="J91" s="9">
        <f>DEGREES((2*PI()/Inputs!$C$13)*Inputs!$C$15*SIN(RADIANS(I91)))</f>
        <v>26.384812266111606</v>
      </c>
      <c r="K91" s="9">
        <f t="shared" si="22"/>
        <v>0.98656611613558876</v>
      </c>
      <c r="L91" s="9">
        <f t="shared" si="23"/>
        <v>-5.8738045722776966E-2</v>
      </c>
      <c r="M91" s="9">
        <f>2*(Inputs!$C$9/(Inputs!$C$10^2))*A91</f>
        <v>-3.4444444444444444E-2</v>
      </c>
      <c r="N91" s="9">
        <f>M91*Inputs!$C$11</f>
        <v>-0.13777777777777778</v>
      </c>
      <c r="O91" s="9">
        <f>1000*(D92-D90)/(A92-A90)*Inputs!$C$11</f>
        <v>-331.35880898635151</v>
      </c>
      <c r="P91" s="9">
        <f>-2*O91/Inputs!$C$13</f>
        <v>132.5435235945406</v>
      </c>
      <c r="Q91" s="9">
        <f>-2*O91/Inputs!$C$14</f>
        <v>19.901429969150243</v>
      </c>
      <c r="R91" s="9">
        <f>F91-Inputs!$C$16/2</f>
        <v>746.62176490951231</v>
      </c>
      <c r="S91" s="9">
        <f>F91+Inputs!$C$16/2</f>
        <v>776.62176490951231</v>
      </c>
      <c r="T91" s="9">
        <f>F91-Inputs!$C$17/2</f>
        <v>611.62176490951231</v>
      </c>
      <c r="U91" s="9">
        <f>F91+Inputs!$C$17/2</f>
        <v>911.62176490951231</v>
      </c>
      <c r="V91" s="9">
        <f t="shared" si="24"/>
        <v>132.5435235945406</v>
      </c>
      <c r="W91" s="9">
        <f t="shared" si="25"/>
        <v>19.901429969150243</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-109.31712972071381</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405.17934846817269</v>
      </c>
      <c r="Z91" s="9">
        <f t="shared" si="26"/>
        <v>400.37626157416514</v>
      </c>
      <c r="AA91" s="9">
        <f>SQRT((Inputs!$C$52+B91)^2+(Inputs!$C$52+Y91/1000)^2-2*(Inputs!$C$52+B91)*(Inputs!$C$52+Y91/1000)*COS(SQRT(A91^2+Inputs!$C$6^2)/Inputs!$C$52))</f>
        <v>401.21917260089526</v>
      </c>
      <c r="AB91" s="9">
        <f t="shared" si="27"/>
        <v>842.91102673012119</v>
      </c>
      <c r="AC91" s="9">
        <f>AB91/Inputs!$C$12</f>
        <v>473.54552063489956</v>
      </c>
      <c r="AD91" s="9">
        <f>2*AB91/Inputs!$C$21*1000000</f>
        <v>5.6232970792755648</v>
      </c>
      <c r="AE91" s="9">
        <f t="shared" si="28"/>
        <v>4.2072855257691311</v>
      </c>
      <c r="AF91" s="9">
        <f>DEGREES((2*PI()/Inputs!$C$13)*Inputs!$C$15*SIN(RADIANS(AE91)))</f>
        <v>26.411404127822433</v>
      </c>
      <c r="AG91" s="9">
        <f t="shared" si="29"/>
        <v>0.99162294798066764</v>
      </c>
      <c r="AH91" s="9">
        <f t="shared" si="30"/>
        <v>-3.6534314140427279E-2</v>
      </c>
      <c r="AI91" s="9">
        <f t="shared" si="31"/>
        <v>-288.07624427461275</v>
      </c>
      <c r="AJ91" s="9">
        <f t="shared" si="32"/>
        <v>-3.4208713469957317</v>
      </c>
      <c r="AK91" s="9">
        <f t="shared" si="33"/>
        <v>514.4964781888865</v>
      </c>
      <c r="AL91" s="9">
        <f>1000*(AA92-AA90)/(A92-A90)*Inputs!$C$11</f>
        <v>-344.89099039433313</v>
      </c>
      <c r="AM91" s="9">
        <f>-2*AL91/Inputs!$C$13</f>
        <v>137.95639615773325</v>
      </c>
      <c r="AN91" s="9">
        <f>-2*AL91/Inputs!$C$14</f>
        <v>20.714173597257247</v>
      </c>
      <c r="AO91" s="9">
        <f t="shared" si="34"/>
        <v>137.95639615773325</v>
      </c>
      <c r="AP91" s="9">
        <f t="shared" si="35"/>
        <v>20.714173597257247</v>
      </c>
      <c r="AQ91" s="9">
        <f>IF(OR(Inputs!$C$27=TRUE,Inputs!$C$27="TRUE",Inputs!$C$27=1),Inputs!$C$46/Inputs!$C$12,0)</f>
        <v>42.134831460674157</v>
      </c>
      <c r="AR91" s="9">
        <f t="shared" si="36"/>
        <v>431.41068917422541</v>
      </c>
      <c r="AS91" s="9">
        <f t="shared" si="37"/>
        <v>515.68035209557377</v>
      </c>
    </row>
    <row r="92" spans="1:45">
      <c r="A92" s="9">
        <f>Inputs!$C$7+90*(Inputs!$C$8-Inputs!$C$7)/240</f>
        <v>-15</v>
      </c>
      <c r="B92" s="9">
        <f>Inputs!$C$5+Inputs!$C$9*(A92/Inputs!$C$10)^2</f>
        <v>400.25</v>
      </c>
      <c r="C92" s="9">
        <f t="shared" si="19"/>
        <v>400.25</v>
      </c>
      <c r="D92" s="9">
        <f>SQRT((Inputs!$C$52+B92)^2+Inputs!$C$52^2-2*(Inputs!$C$52+B92)*Inputs!$C$52*COS(SQRT(A92^2+Inputs!$C$6^2)/Inputs!$C$52))</f>
        <v>401.5818778308572</v>
      </c>
      <c r="E92" s="9">
        <f t="shared" si="20"/>
        <v>1331.877830857195</v>
      </c>
      <c r="F92" s="9">
        <f>E92/Inputs!$C$12</f>
        <v>748.24597239168259</v>
      </c>
      <c r="G92" s="9">
        <f>2*E92/Inputs!$C$21*1000000</f>
        <v>8.8853324712871533</v>
      </c>
      <c r="H92" s="9">
        <f>SQRT(A92^2+Inputs!$C$6^2)</f>
        <v>29.154759474226502</v>
      </c>
      <c r="I92" s="9">
        <f t="shared" si="21"/>
        <v>4.1661452978542997</v>
      </c>
      <c r="J92" s="9">
        <f>DEGREES((2*PI()/Inputs!$C$13)*Inputs!$C$15*SIN(RADIANS(I92)))</f>
        <v>26.15360226055801</v>
      </c>
      <c r="K92" s="9">
        <f t="shared" si="22"/>
        <v>0.98679953826597866</v>
      </c>
      <c r="L92" s="9">
        <f t="shared" si="23"/>
        <v>-5.7710623932708614E-2</v>
      </c>
      <c r="M92" s="9">
        <f>2*(Inputs!$C$9/(Inputs!$C$10^2))*A92</f>
        <v>-3.3333333333333333E-2</v>
      </c>
      <c r="N92" s="9">
        <f>M92*Inputs!$C$11</f>
        <v>-0.13333333333333333</v>
      </c>
      <c r="O92" s="9">
        <f>1000*(D93-D91)/(A93-A91)*Inputs!$C$11</f>
        <v>-320.69368331076475</v>
      </c>
      <c r="P92" s="9">
        <f>-2*O92/Inputs!$C$13</f>
        <v>128.2774733243059</v>
      </c>
      <c r="Q92" s="9">
        <f>-2*O92/Inputs!$C$14</f>
        <v>19.260881880526412</v>
      </c>
      <c r="R92" s="9">
        <f>F92-Inputs!$C$16/2</f>
        <v>733.24597239168259</v>
      </c>
      <c r="S92" s="9">
        <f>F92+Inputs!$C$16/2</f>
        <v>763.24597239168259</v>
      </c>
      <c r="T92" s="9">
        <f>F92-Inputs!$C$17/2</f>
        <v>598.24597239168259</v>
      </c>
      <c r="U92" s="9">
        <f>F92+Inputs!$C$17/2</f>
        <v>898.24597239168259</v>
      </c>
      <c r="V92" s="9">
        <f t="shared" si="24"/>
        <v>128.2774733243059</v>
      </c>
      <c r="W92" s="9">
        <f t="shared" si="25"/>
        <v>19.260881880526412</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-90.495309029444954</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416.63024006091615</v>
      </c>
      <c r="Z92" s="9">
        <f t="shared" si="26"/>
        <v>400.34049530902945</v>
      </c>
      <c r="AA92" s="9">
        <f>SQRT((Inputs!$C$52+B92)^2+(Inputs!$C$52+Y92/1000)^2-2*(Inputs!$C$52+B92)*(Inputs!$C$52+Y92/1000)*COS(SQRT(A92^2+Inputs!$C$6^2)/Inputs!$C$52))</f>
        <v>401.16698611122752</v>
      </c>
      <c r="AB92" s="9">
        <f t="shared" si="27"/>
        <v>826.49080219806592</v>
      </c>
      <c r="AC92" s="9">
        <f>AB92/Inputs!$C$12</f>
        <v>464.32067539217184</v>
      </c>
      <c r="AD92" s="9">
        <f>2*AB92/Inputs!$C$21*1000000</f>
        <v>5.5137531324958546</v>
      </c>
      <c r="AE92" s="9">
        <f t="shared" si="28"/>
        <v>4.170471152282782</v>
      </c>
      <c r="AF92" s="9">
        <f>DEGREES((2*PI()/Inputs!$C$13)*Inputs!$C$15*SIN(RADIANS(AE92)))</f>
        <v>26.180710509558438</v>
      </c>
      <c r="AG92" s="9">
        <f t="shared" si="29"/>
        <v>0.99178456640653179</v>
      </c>
      <c r="AH92" s="9">
        <f t="shared" si="30"/>
        <v>-3.5826542387291341E-2</v>
      </c>
      <c r="AI92" s="9">
        <f t="shared" si="31"/>
        <v>-283.92529699951075</v>
      </c>
      <c r="AJ92" s="9">
        <f t="shared" si="32"/>
        <v>-3.3715793387912987</v>
      </c>
      <c r="AK92" s="9">
        <f t="shared" si="33"/>
        <v>507.12554909036112</v>
      </c>
      <c r="AL92" s="9">
        <f>1000*(AA93-AA91)/(A93-A91)*Inputs!$C$11</f>
        <v>-401.13729368113127</v>
      </c>
      <c r="AM92" s="9">
        <f>-2*AL92/Inputs!$C$13</f>
        <v>160.45491747245251</v>
      </c>
      <c r="AN92" s="9">
        <f>-2*AL92/Inputs!$C$14</f>
        <v>24.092329950818698</v>
      </c>
      <c r="AO92" s="9">
        <f t="shared" si="34"/>
        <v>160.45491747245251</v>
      </c>
      <c r="AP92" s="9">
        <f t="shared" si="35"/>
        <v>24.092329950818698</v>
      </c>
      <c r="AQ92" s="9">
        <f>IF(OR(Inputs!$C$27=TRUE,Inputs!$C$27="TRUE",Inputs!$C$27=1),Inputs!$C$46/Inputs!$C$12,0)</f>
        <v>42.134831460674157</v>
      </c>
      <c r="AR92" s="9">
        <f t="shared" si="36"/>
        <v>422.18584393149769</v>
      </c>
      <c r="AS92" s="9">
        <f t="shared" si="37"/>
        <v>506.45550685284599</v>
      </c>
    </row>
    <row r="93" spans="1:45">
      <c r="A93" s="9">
        <f>Inputs!$C$7+91*(Inputs!$C$8-Inputs!$C$7)/240</f>
        <v>-14.5</v>
      </c>
      <c r="B93" s="9">
        <f>Inputs!$C$5+Inputs!$C$9*(A93/Inputs!$C$10)^2</f>
        <v>400.23361111111109</v>
      </c>
      <c r="C93" s="9">
        <f t="shared" si="19"/>
        <v>400.23361111111109</v>
      </c>
      <c r="D93" s="9">
        <f>SQRT((Inputs!$C$52+B93)^2+Inputs!$C$52^2-2*(Inputs!$C$52+B93)*Inputs!$C$52*COS(SQRT(A93^2+Inputs!$C$6^2)/Inputs!$C$52))</f>
        <v>401.54245776515569</v>
      </c>
      <c r="E93" s="9">
        <f t="shared" si="20"/>
        <v>1308.8466540446007</v>
      </c>
      <c r="F93" s="9">
        <f>E93/Inputs!$C$12</f>
        <v>735.30710901382054</v>
      </c>
      <c r="G93" s="9">
        <f>2*E93/Inputs!$C$21*1000000</f>
        <v>8.7316849981903193</v>
      </c>
      <c r="H93" s="9">
        <f>SQRT(A93^2+Inputs!$C$6^2)</f>
        <v>28.900692033236851</v>
      </c>
      <c r="I93" s="9">
        <f t="shared" si="21"/>
        <v>4.1301343739438137</v>
      </c>
      <c r="J93" s="9">
        <f>DEGREES((2*PI()/Inputs!$C$13)*Inputs!$C$15*SIN(RADIANS(I93)))</f>
        <v>25.927931684939452</v>
      </c>
      <c r="K93" s="9">
        <f t="shared" si="22"/>
        <v>0.98702542008101235</v>
      </c>
      <c r="L93" s="9">
        <f t="shared" si="23"/>
        <v>-5.6716622657724022E-2</v>
      </c>
      <c r="M93" s="9">
        <f>2*(Inputs!$C$9/(Inputs!$C$10^2))*A93</f>
        <v>-3.2222222222222222E-2</v>
      </c>
      <c r="N93" s="9">
        <f>M93*Inputs!$C$11</f>
        <v>-0.12888888888888889</v>
      </c>
      <c r="O93" s="9">
        <f>1000*(D94-D92)/(A94-A92)*Inputs!$C$11</f>
        <v>-310.026216641063</v>
      </c>
      <c r="P93" s="9">
        <f>-2*O93/Inputs!$C$13</f>
        <v>124.0104866564252</v>
      </c>
      <c r="Q93" s="9">
        <f>-2*O93/Inputs!$C$14</f>
        <v>18.620193191655439</v>
      </c>
      <c r="R93" s="9">
        <f>F93-Inputs!$C$16/2</f>
        <v>720.30710901382054</v>
      </c>
      <c r="S93" s="9">
        <f>F93+Inputs!$C$16/2</f>
        <v>750.30710901382054</v>
      </c>
      <c r="T93" s="9">
        <f>F93-Inputs!$C$17/2</f>
        <v>585.30710901382054</v>
      </c>
      <c r="U93" s="9">
        <f>F93+Inputs!$C$17/2</f>
        <v>885.30710901382054</v>
      </c>
      <c r="V93" s="9">
        <f t="shared" si="24"/>
        <v>124.0104866564252</v>
      </c>
      <c r="W93" s="9">
        <f t="shared" si="25"/>
        <v>18.620193191655439</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-86.652484826799366</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425.31373753688456</v>
      </c>
      <c r="Z93" s="9">
        <f t="shared" si="26"/>
        <v>400.32026359593789</v>
      </c>
      <c r="AA93" s="9">
        <f>SQRT((Inputs!$C$52+B93)^2+(Inputs!$C$52+Y93/1000)^2-2*(Inputs!$C$52+B93)*(Inputs!$C$52+Y93/1000)*COS(SQRT(A93^2+Inputs!$C$6^2)/Inputs!$C$52))</f>
        <v>401.11888827747498</v>
      </c>
      <c r="AB93" s="9">
        <f t="shared" si="27"/>
        <v>798.62468153709187</v>
      </c>
      <c r="AC93" s="9">
        <f>AB93/Inputs!$C$12</f>
        <v>448.66555142533252</v>
      </c>
      <c r="AD93" s="9">
        <f>2*AB93/Inputs!$C$21*1000000</f>
        <v>5.3278503859966477</v>
      </c>
      <c r="AE93" s="9">
        <f t="shared" si="28"/>
        <v>4.1345127585057444</v>
      </c>
      <c r="AF93" s="9">
        <f>DEGREES((2*PI()/Inputs!$C$13)*Inputs!$C$15*SIN(RADIANS(AE93)))</f>
        <v>25.95537036790056</v>
      </c>
      <c r="AG93" s="9">
        <f t="shared" si="29"/>
        <v>0.99205978291780406</v>
      </c>
      <c r="AH93" s="9">
        <f t="shared" si="30"/>
        <v>-3.4621558609388606E-2</v>
      </c>
      <c r="AI93" s="9">
        <f t="shared" si="31"/>
        <v>-286.64155758848801</v>
      </c>
      <c r="AJ93" s="9">
        <f t="shared" si="32"/>
        <v>-3.4038346121936716</v>
      </c>
      <c r="AK93" s="9">
        <f t="shared" si="33"/>
        <v>511.96622236368393</v>
      </c>
      <c r="AL93" s="9">
        <f>1000*(AA94-AA92)/(A94-A92)*Inputs!$C$11</f>
        <v>-327.50110079882688</v>
      </c>
      <c r="AM93" s="9">
        <f>-2*AL93/Inputs!$C$13</f>
        <v>131.00044031953075</v>
      </c>
      <c r="AN93" s="9">
        <f>-2*AL93/Inputs!$C$14</f>
        <v>19.669735783713328</v>
      </c>
      <c r="AO93" s="9">
        <f t="shared" si="34"/>
        <v>131.00044031953075</v>
      </c>
      <c r="AP93" s="9">
        <f t="shared" si="35"/>
        <v>19.669735783713328</v>
      </c>
      <c r="AQ93" s="9">
        <f>IF(OR(Inputs!$C$27=TRUE,Inputs!$C$27="TRUE",Inputs!$C$27=1),Inputs!$C$46/Inputs!$C$12,0)</f>
        <v>42.134831460674157</v>
      </c>
      <c r="AR93" s="9">
        <f t="shared" si="36"/>
        <v>406.53071996465837</v>
      </c>
      <c r="AS93" s="9">
        <f t="shared" si="37"/>
        <v>490.80038288600667</v>
      </c>
    </row>
    <row r="94" spans="1:45">
      <c r="A94" s="9">
        <f>Inputs!$C$7+92*(Inputs!$C$8-Inputs!$C$7)/240</f>
        <v>-14</v>
      </c>
      <c r="B94" s="9">
        <f>Inputs!$C$5+Inputs!$C$9*(A94/Inputs!$C$10)^2</f>
        <v>400.21777777777777</v>
      </c>
      <c r="C94" s="9">
        <f t="shared" si="19"/>
        <v>400.21777777777777</v>
      </c>
      <c r="D94" s="9">
        <f>SQRT((Inputs!$C$52+B94)^2+Inputs!$C$52^2-2*(Inputs!$C$52+B94)*Inputs!$C$52*COS(SQRT(A94^2+Inputs!$C$6^2)/Inputs!$C$52))</f>
        <v>401.50437127669693</v>
      </c>
      <c r="E94" s="9">
        <f t="shared" si="20"/>
        <v>1286.5934989191601</v>
      </c>
      <c r="F94" s="9">
        <f>E94/Inputs!$C$12</f>
        <v>722.8053364714383</v>
      </c>
      <c r="G94" s="9">
        <f>2*E94/Inputs!$C$21*1000000</f>
        <v>8.5832279270958853</v>
      </c>
      <c r="H94" s="9">
        <f>SQRT(A94^2+Inputs!$C$6^2)</f>
        <v>28.653097563788805</v>
      </c>
      <c r="I94" s="9">
        <f t="shared" si="21"/>
        <v>4.0950335233008293</v>
      </c>
      <c r="J94" s="9">
        <f>DEGREES((2*PI()/Inputs!$C$13)*Inputs!$C$15*SIN(RADIANS(I94)))</f>
        <v>25.707954430803461</v>
      </c>
      <c r="K94" s="9">
        <f t="shared" si="22"/>
        <v>0.9872437503659115</v>
      </c>
      <c r="L94" s="9">
        <f t="shared" si="23"/>
        <v>-5.5756068344563793E-2</v>
      </c>
      <c r="M94" s="9">
        <f>2*(Inputs!$C$9/(Inputs!$C$10^2))*A94</f>
        <v>-3.111111111111111E-2</v>
      </c>
      <c r="N94" s="9">
        <f>M94*Inputs!$C$11</f>
        <v>-0.12444444444444444</v>
      </c>
      <c r="O94" s="9">
        <f>1000*(D95-D93)/(A95-A93)*Inputs!$C$11</f>
        <v>-299.35648588275399</v>
      </c>
      <c r="P94" s="9">
        <f>-2*O94/Inputs!$C$13</f>
        <v>119.74259435310159</v>
      </c>
      <c r="Q94" s="9">
        <f>-2*O94/Inputs!$C$14</f>
        <v>17.979368521486727</v>
      </c>
      <c r="R94" s="9">
        <f>F94-Inputs!$C$16/2</f>
        <v>707.8053364714383</v>
      </c>
      <c r="S94" s="9">
        <f>F94+Inputs!$C$16/2</f>
        <v>737.8053364714383</v>
      </c>
      <c r="T94" s="9">
        <f>F94-Inputs!$C$17/2</f>
        <v>572.8053364714383</v>
      </c>
      <c r="U94" s="9">
        <f>F94+Inputs!$C$17/2</f>
        <v>872.8053364714383</v>
      </c>
      <c r="V94" s="9">
        <f t="shared" si="24"/>
        <v>119.74259435310159</v>
      </c>
      <c r="W94" s="9">
        <f t="shared" si="25"/>
        <v>17.979368521486727</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-84.365972581405018</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420.95759288927439</v>
      </c>
      <c r="Z94" s="9">
        <f t="shared" si="26"/>
        <v>400.30214375035916</v>
      </c>
      <c r="AA94" s="9">
        <f>SQRT((Inputs!$C$52+B94)^2+(Inputs!$C$52+Y94/1000)^2-2*(Inputs!$C$52+B94)*(Inputs!$C$52+Y94/1000)*COS(SQRT(A94^2+Inputs!$C$6^2)/Inputs!$C$52))</f>
        <v>401.08511083602781</v>
      </c>
      <c r="AB94" s="9">
        <f t="shared" si="27"/>
        <v>782.96708566864481</v>
      </c>
      <c r="AC94" s="9">
        <f>AB94/Inputs!$C$12</f>
        <v>439.86914925204763</v>
      </c>
      <c r="AD94" s="9">
        <f>2*AB94/Inputs!$C$21*1000000</f>
        <v>5.2233941500199101</v>
      </c>
      <c r="AE94" s="9">
        <f t="shared" si="28"/>
        <v>4.0993306103383205</v>
      </c>
      <c r="AF94" s="9">
        <f>DEGREES((2*PI()/Inputs!$C$13)*Inputs!$C$15*SIN(RADIANS(AE94)))</f>
        <v>25.734884822532621</v>
      </c>
      <c r="AG94" s="9">
        <f t="shared" si="29"/>
        <v>0.99221434677202014</v>
      </c>
      <c r="AH94" s="9">
        <f t="shared" si="30"/>
        <v>-3.3944976396083223E-2</v>
      </c>
      <c r="AI94" s="9">
        <f t="shared" si="31"/>
        <v>-282.93618721939066</v>
      </c>
      <c r="AJ94" s="9">
        <f t="shared" si="32"/>
        <v>-3.3598337770759752</v>
      </c>
      <c r="AK94" s="9">
        <f t="shared" si="33"/>
        <v>505.3235654706794</v>
      </c>
      <c r="AL94" s="9">
        <f>1000*(AA95-AA93)/(A95-A93)*Inputs!$C$11</f>
        <v>-273.5175129585059</v>
      </c>
      <c r="AM94" s="9">
        <f>-2*AL94/Inputs!$C$13</f>
        <v>109.40700518340236</v>
      </c>
      <c r="AN94" s="9">
        <f>-2*AL94/Inputs!$C$14</f>
        <v>16.427478255766122</v>
      </c>
      <c r="AO94" s="9">
        <f t="shared" si="34"/>
        <v>109.40700518340236</v>
      </c>
      <c r="AP94" s="9">
        <f t="shared" si="35"/>
        <v>16.427478255766122</v>
      </c>
      <c r="AQ94" s="9">
        <f>IF(OR(Inputs!$C$27=TRUE,Inputs!$C$27="TRUE",Inputs!$C$27=1),Inputs!$C$46/Inputs!$C$12,0)</f>
        <v>42.134831460674157</v>
      </c>
      <c r="AR94" s="9">
        <f t="shared" si="36"/>
        <v>397.73431779137348</v>
      </c>
      <c r="AS94" s="9">
        <f t="shared" si="37"/>
        <v>482.00398071272178</v>
      </c>
    </row>
    <row r="95" spans="1:45">
      <c r="A95" s="9">
        <f>Inputs!$C$7+93*(Inputs!$C$8-Inputs!$C$7)/240</f>
        <v>-13.5</v>
      </c>
      <c r="B95" s="9">
        <f>Inputs!$C$5+Inputs!$C$9*(A95/Inputs!$C$10)^2</f>
        <v>400.20249999999999</v>
      </c>
      <c r="C95" s="9">
        <f t="shared" si="19"/>
        <v>400.20249999999999</v>
      </c>
      <c r="D95" s="9">
        <f>SQRT((Inputs!$C$52+B95)^2+Inputs!$C$52^2-2*(Inputs!$C$52+B95)*Inputs!$C$52*COS(SQRT(A95^2+Inputs!$C$6^2)/Inputs!$C$52))</f>
        <v>401.467618643685</v>
      </c>
      <c r="E95" s="9">
        <f t="shared" si="20"/>
        <v>1265.1186436850139</v>
      </c>
      <c r="F95" s="9">
        <f>E95/Inputs!$C$12</f>
        <v>710.74081105899654</v>
      </c>
      <c r="G95" s="9">
        <f>2*E95/Inputs!$C$21*1000000</f>
        <v>8.439963113982099</v>
      </c>
      <c r="H95" s="9">
        <f>SQRT(A95^2+Inputs!$C$6^2)</f>
        <v>28.412145290350743</v>
      </c>
      <c r="I95" s="9">
        <f t="shared" si="21"/>
        <v>4.0608673737375272</v>
      </c>
      <c r="J95" s="9">
        <f>DEGREES((2*PI()/Inputs!$C$13)*Inputs!$C$15*SIN(RADIANS(I95)))</f>
        <v>25.493825687095161</v>
      </c>
      <c r="K95" s="9">
        <f t="shared" si="22"/>
        <v>0.98745451827381159</v>
      </c>
      <c r="L95" s="9">
        <f t="shared" si="23"/>
        <v>-5.4828986560327947E-2</v>
      </c>
      <c r="M95" s="9">
        <f>2*(Inputs!$C$9/(Inputs!$C$10^2))*A95</f>
        <v>-0.03</v>
      </c>
      <c r="N95" s="9">
        <f>M95*Inputs!$C$11</f>
        <v>-0.12</v>
      </c>
      <c r="O95" s="9">
        <f>1000*(D96-D94)/(A96-A94)*Inputs!$C$11</f>
        <v>-288.68456805867027</v>
      </c>
      <c r="P95" s="9">
        <f>-2*O95/Inputs!$C$13</f>
        <v>115.47382722346811</v>
      </c>
      <c r="Q95" s="9">
        <f>-2*O95/Inputs!$C$14</f>
        <v>17.338412496016232</v>
      </c>
      <c r="R95" s="9">
        <f>F95-Inputs!$C$16/2</f>
        <v>695.74081105899654</v>
      </c>
      <c r="S95" s="9">
        <f>F95+Inputs!$C$16/2</f>
        <v>725.74081105899654</v>
      </c>
      <c r="T95" s="9">
        <f>F95-Inputs!$C$17/2</f>
        <v>560.74081105899654</v>
      </c>
      <c r="U95" s="9">
        <f>F95+Inputs!$C$17/2</f>
        <v>860.74081105899654</v>
      </c>
      <c r="V95" s="9">
        <f t="shared" si="24"/>
        <v>115.47382722346811</v>
      </c>
      <c r="W95" s="9">
        <f t="shared" si="25"/>
        <v>17.338412496016232</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-61.032054933534482</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418.77001789703809</v>
      </c>
      <c r="Z95" s="9">
        <f t="shared" si="26"/>
        <v>400.26353205493353</v>
      </c>
      <c r="AA95" s="9">
        <f>SQRT((Inputs!$C$52+B95)^2+(Inputs!$C$52+Y95/1000)^2-2*(Inputs!$C$52+B95)*(Inputs!$C$52+Y95/1000)*COS(SQRT(A95^2+Inputs!$C$6^2)/Inputs!$C$52))</f>
        <v>401.05050889923535</v>
      </c>
      <c r="AB95" s="9">
        <f t="shared" si="27"/>
        <v>786.9768443018188</v>
      </c>
      <c r="AC95" s="9">
        <f>AB95/Inputs!$C$12</f>
        <v>442.12182264147123</v>
      </c>
      <c r="AD95" s="9">
        <f>2*AB95/Inputs!$C$21*1000000</f>
        <v>5.2501443802286634</v>
      </c>
      <c r="AE95" s="9">
        <f t="shared" si="28"/>
        <v>4.0651068441442169</v>
      </c>
      <c r="AF95" s="9">
        <f>DEGREES((2*PI()/Inputs!$C$13)*Inputs!$C$15*SIN(RADIANS(AE95)))</f>
        <v>25.520396119185659</v>
      </c>
      <c r="AG95" s="9">
        <f t="shared" si="29"/>
        <v>0.9921739188239348</v>
      </c>
      <c r="AH95" s="9">
        <f t="shared" si="30"/>
        <v>-3.4121934051749375E-2</v>
      </c>
      <c r="AI95" s="9">
        <f t="shared" si="31"/>
        <v>-268.61898841752532</v>
      </c>
      <c r="AJ95" s="9">
        <f t="shared" si="32"/>
        <v>-3.1898187337534356</v>
      </c>
      <c r="AK95" s="9">
        <f t="shared" si="33"/>
        <v>479.80207283057257</v>
      </c>
      <c r="AL95" s="9">
        <f>1000*(AA96-AA94)/(A96-A94)*Inputs!$C$11</f>
        <v>-336.4272171961602</v>
      </c>
      <c r="AM95" s="9">
        <f>-2*AL95/Inputs!$C$13</f>
        <v>134.57088687846408</v>
      </c>
      <c r="AN95" s="9">
        <f>-2*AL95/Inputs!$C$14</f>
        <v>20.205838870640253</v>
      </c>
      <c r="AO95" s="9">
        <f t="shared" si="34"/>
        <v>134.57088687846408</v>
      </c>
      <c r="AP95" s="9">
        <f t="shared" si="35"/>
        <v>20.205838870640253</v>
      </c>
      <c r="AQ95" s="9">
        <f>IF(OR(Inputs!$C$27=TRUE,Inputs!$C$27="TRUE",Inputs!$C$27=1),Inputs!$C$46/Inputs!$C$12,0)</f>
        <v>42.134831460674157</v>
      </c>
      <c r="AR95" s="9">
        <f t="shared" si="36"/>
        <v>399.98699118079708</v>
      </c>
      <c r="AS95" s="9">
        <f t="shared" si="37"/>
        <v>484.25665410214538</v>
      </c>
    </row>
    <row r="96" spans="1:45">
      <c r="A96" s="9">
        <f>Inputs!$C$7+94*(Inputs!$C$8-Inputs!$C$7)/240</f>
        <v>-13</v>
      </c>
      <c r="B96" s="9">
        <f>Inputs!$C$5+Inputs!$C$9*(A96/Inputs!$C$10)^2</f>
        <v>400.1877777777778</v>
      </c>
      <c r="C96" s="9">
        <f t="shared" si="19"/>
        <v>400.1877777777778</v>
      </c>
      <c r="D96" s="9">
        <f>SQRT((Inputs!$C$52+B96)^2+Inputs!$C$52^2-2*(Inputs!$C$52+B96)*Inputs!$C$52*COS(SQRT(A96^2+Inputs!$C$6^2)/Inputs!$C$52))</f>
        <v>401.43220013468226</v>
      </c>
      <c r="E96" s="9">
        <f t="shared" si="20"/>
        <v>1244.4223569044652</v>
      </c>
      <c r="F96" s="9">
        <f>E96/Inputs!$C$12</f>
        <v>699.11368365419389</v>
      </c>
      <c r="G96" s="9">
        <f>2*E96/Inputs!$C$21*1000000</f>
        <v>8.3018923505037954</v>
      </c>
      <c r="H96" s="9">
        <f>SQRT(A96^2+Inputs!$C$6^2)</f>
        <v>28.178005607210743</v>
      </c>
      <c r="I96" s="9">
        <f t="shared" si="21"/>
        <v>4.0276607135085563</v>
      </c>
      <c r="J96" s="9">
        <f>DEGREES((2*PI()/Inputs!$C$13)*Inputs!$C$15*SIN(RADIANS(I96)))</f>
        <v>25.285701641717207</v>
      </c>
      <c r="K96" s="9">
        <f t="shared" si="22"/>
        <v>0.98765771332714303</v>
      </c>
      <c r="L96" s="9">
        <f t="shared" si="23"/>
        <v>-5.3935401990182485E-2</v>
      </c>
      <c r="M96" s="9">
        <f>2*(Inputs!$C$9/(Inputs!$C$10^2))*A96</f>
        <v>-2.8888888888888888E-2</v>
      </c>
      <c r="N96" s="9">
        <f>M96*Inputs!$C$11</f>
        <v>-0.11555555555555555</v>
      </c>
      <c r="O96" s="9">
        <f>1000*(D97-D95)/(A97-A95)*Inputs!$C$11</f>
        <v>-278.01054033716355</v>
      </c>
      <c r="P96" s="9">
        <f>-2*O96/Inputs!$C$13</f>
        <v>111.20421613486542</v>
      </c>
      <c r="Q96" s="9">
        <f>-2*O96/Inputs!$C$14</f>
        <v>16.697329749979794</v>
      </c>
      <c r="R96" s="9">
        <f>F96-Inputs!$C$16/2</f>
        <v>684.11368365419389</v>
      </c>
      <c r="S96" s="9">
        <f>F96+Inputs!$C$16/2</f>
        <v>714.11368365419389</v>
      </c>
      <c r="T96" s="9">
        <f>F96-Inputs!$C$17/2</f>
        <v>549.11368365419389</v>
      </c>
      <c r="U96" s="9">
        <f>F96+Inputs!$C$17/2</f>
        <v>849.11368365419389</v>
      </c>
      <c r="V96" s="9">
        <f t="shared" si="24"/>
        <v>111.20421613486542</v>
      </c>
      <c r="W96" s="9">
        <f t="shared" si="25"/>
        <v>16.697329749979794</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-64.092434824295424</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432.88444582509743</v>
      </c>
      <c r="Z96" s="9">
        <f t="shared" si="26"/>
        <v>400.25187021260211</v>
      </c>
      <c r="AA96" s="9">
        <f>SQRT((Inputs!$C$52+B96)^2+(Inputs!$C$52+Y96/1000)^2-2*(Inputs!$C$52+B96)*(Inputs!$C$52+Y96/1000)*COS(SQRT(A96^2+Inputs!$C$6^2)/Inputs!$C$52))</f>
        <v>401.00100403172877</v>
      </c>
      <c r="AB96" s="9">
        <f t="shared" si="27"/>
        <v>749.133819126655</v>
      </c>
      <c r="AC96" s="9">
        <f>AB96/Inputs!$C$12</f>
        <v>420.86169613857021</v>
      </c>
      <c r="AD96" s="9">
        <f>2*AB96/Inputs!$C$21*1000000</f>
        <v>4.9976828911863755</v>
      </c>
      <c r="AE96" s="9">
        <f t="shared" si="28"/>
        <v>4.0320077880807439</v>
      </c>
      <c r="AF96" s="9">
        <f>DEGREES((2*PI()/Inputs!$C$13)*Inputs!$C$15*SIN(RADIANS(AE96)))</f>
        <v>25.31294758674893</v>
      </c>
      <c r="AG96" s="9">
        <f t="shared" si="29"/>
        <v>0.99254827621137953</v>
      </c>
      <c r="AH96" s="9">
        <f t="shared" si="30"/>
        <v>-3.2483605524344122E-2</v>
      </c>
      <c r="AI96" s="9">
        <f t="shared" si="31"/>
        <v>-278.25198751562368</v>
      </c>
      <c r="AJ96" s="9">
        <f t="shared" si="32"/>
        <v>-3.3042094593174198</v>
      </c>
      <c r="AK96" s="9">
        <f t="shared" si="33"/>
        <v>496.97688064939285</v>
      </c>
      <c r="AL96" s="9">
        <f>1000*(AA97-AA95)/(A97-A95)*Inputs!$C$11</f>
        <v>-398.15339940651029</v>
      </c>
      <c r="AM96" s="9">
        <f>-2*AL96/Inputs!$C$13</f>
        <v>159.26135976260412</v>
      </c>
      <c r="AN96" s="9">
        <f>-2*AL96/Inputs!$C$14</f>
        <v>23.913117081472091</v>
      </c>
      <c r="AO96" s="9">
        <f t="shared" si="34"/>
        <v>159.26135976260412</v>
      </c>
      <c r="AP96" s="9">
        <f t="shared" si="35"/>
        <v>23.913117081472091</v>
      </c>
      <c r="AQ96" s="9">
        <f>IF(OR(Inputs!$C$27=TRUE,Inputs!$C$27="TRUE",Inputs!$C$27=1),Inputs!$C$46/Inputs!$C$12,0)</f>
        <v>42.134831460674157</v>
      </c>
      <c r="AR96" s="9">
        <f t="shared" si="36"/>
        <v>378.72686467789606</v>
      </c>
      <c r="AS96" s="9">
        <f t="shared" si="37"/>
        <v>462.99652759924436</v>
      </c>
    </row>
    <row r="97" spans="1:45">
      <c r="A97" s="9">
        <f>Inputs!$C$7+95*(Inputs!$C$8-Inputs!$C$7)/240</f>
        <v>-12.5</v>
      </c>
      <c r="B97" s="9">
        <f>Inputs!$C$5+Inputs!$C$9*(A97/Inputs!$C$10)^2</f>
        <v>400.17361111111109</v>
      </c>
      <c r="C97" s="9">
        <f t="shared" si="19"/>
        <v>400.17361111111109</v>
      </c>
      <c r="D97" s="9">
        <f>SQRT((Inputs!$C$52+B97)^2+Inputs!$C$52^2-2*(Inputs!$C$52+B97)*Inputs!$C$52*COS(SQRT(A97^2+Inputs!$C$6^2)/Inputs!$C$52))</f>
        <v>401.39811600860071</v>
      </c>
      <c r="E97" s="9">
        <f t="shared" si="20"/>
        <v>1224.5048974896235</v>
      </c>
      <c r="F97" s="9">
        <f>E97/Inputs!$C$12</f>
        <v>687.92409971327163</v>
      </c>
      <c r="G97" s="9">
        <f>2*E97/Inputs!$C$21*1000000</f>
        <v>8.1690173639366446</v>
      </c>
      <c r="H97" s="9">
        <f>SQRT(A97^2+Inputs!$C$6^2)</f>
        <v>27.950849718747371</v>
      </c>
      <c r="I97" s="9">
        <f t="shared" si="21"/>
        <v>3.9954384393380811</v>
      </c>
      <c r="J97" s="9">
        <f>DEGREES((2*PI()/Inputs!$C$13)*Inputs!$C$15*SIN(RADIANS(I97)))</f>
        <v>25.083739154474607</v>
      </c>
      <c r="K97" s="9">
        <f t="shared" si="22"/>
        <v>0.98785332541878812</v>
      </c>
      <c r="L97" s="9">
        <f t="shared" si="23"/>
        <v>-5.3075338435927766E-2</v>
      </c>
      <c r="M97" s="9">
        <f>2*(Inputs!$C$9/(Inputs!$C$10^2))*A97</f>
        <v>-2.7777777777777776E-2</v>
      </c>
      <c r="N97" s="9">
        <f>M97*Inputs!$C$11</f>
        <v>-0.1111111111111111</v>
      </c>
      <c r="O97" s="9">
        <f>1000*(D98-D96)/(A98-A96)*Inputs!$C$11</f>
        <v>-267.334479958663</v>
      </c>
      <c r="P97" s="9">
        <f>-2*O97/Inputs!$C$13</f>
        <v>106.9337919834652</v>
      </c>
      <c r="Q97" s="9">
        <f>-2*O97/Inputs!$C$14</f>
        <v>16.056124922442223</v>
      </c>
      <c r="R97" s="9">
        <f>F97-Inputs!$C$16/2</f>
        <v>672.92409971327163</v>
      </c>
      <c r="S97" s="9">
        <f>F97+Inputs!$C$16/2</f>
        <v>702.92409971327163</v>
      </c>
      <c r="T97" s="9">
        <f>F97-Inputs!$C$17/2</f>
        <v>537.92409971327163</v>
      </c>
      <c r="U97" s="9">
        <f>F97+Inputs!$C$17/2</f>
        <v>837.92409971327163</v>
      </c>
      <c r="V97" s="9">
        <f t="shared" si="24"/>
        <v>106.9337919834652</v>
      </c>
      <c r="W97" s="9">
        <f t="shared" si="25"/>
        <v>16.056124922442223</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-70.183922281311382</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448.86831612559951</v>
      </c>
      <c r="Z97" s="9">
        <f t="shared" si="26"/>
        <v>400.24379503339242</v>
      </c>
      <c r="AA97" s="9">
        <f>SQRT((Inputs!$C$52+B97)^2+(Inputs!$C$52+Y97/1000)^2-2*(Inputs!$C$52+B97)*(Inputs!$C$52+Y97/1000)*COS(SQRT(A97^2+Inputs!$C$6^2)/Inputs!$C$52))</f>
        <v>400.95097054938373</v>
      </c>
      <c r="AB97" s="9">
        <f t="shared" si="27"/>
        <v>707.17551599130957</v>
      </c>
      <c r="AC97" s="9">
        <f>AB97/Inputs!$C$12</f>
        <v>397.28961572545478</v>
      </c>
      <c r="AD97" s="9">
        <f>2*AB97/Inputs!$C$21*1000000</f>
        <v>4.7177672227585497</v>
      </c>
      <c r="AE97" s="9">
        <f t="shared" si="28"/>
        <v>3.9999105358231075</v>
      </c>
      <c r="AF97" s="9">
        <f>DEGREES((2*PI()/Inputs!$C$13)*Inputs!$C$15*SIN(RADIANS(AE97)))</f>
        <v>25.111769797148796</v>
      </c>
      <c r="AG97" s="9">
        <f t="shared" si="29"/>
        <v>0.99296366039605455</v>
      </c>
      <c r="AH97" s="9">
        <f t="shared" si="30"/>
        <v>-3.0666451383086504E-2</v>
      </c>
      <c r="AI97" s="9">
        <f t="shared" si="31"/>
        <v>-290.63448398781685</v>
      </c>
      <c r="AJ97" s="9">
        <f t="shared" si="32"/>
        <v>-3.4512501411780949</v>
      </c>
      <c r="AK97" s="9">
        <f t="shared" si="33"/>
        <v>519.05223840691087</v>
      </c>
      <c r="AL97" s="9">
        <f>1000*(AA98-AA96)/(A98-A96)*Inputs!$C$11</f>
        <v>-287.89803836184547</v>
      </c>
      <c r="AM97" s="9">
        <f>-2*AL97/Inputs!$C$13</f>
        <v>115.15921534473819</v>
      </c>
      <c r="AN97" s="9">
        <f>-2*AL97/Inputs!$C$14</f>
        <v>17.291173475185914</v>
      </c>
      <c r="AO97" s="9">
        <f t="shared" si="34"/>
        <v>115.15921534473819</v>
      </c>
      <c r="AP97" s="9">
        <f t="shared" si="35"/>
        <v>17.291173475185914</v>
      </c>
      <c r="AQ97" s="9">
        <f>IF(OR(Inputs!$C$27=TRUE,Inputs!$C$27="TRUE",Inputs!$C$27=1),Inputs!$C$46/Inputs!$C$12,0)</f>
        <v>42.134831460674157</v>
      </c>
      <c r="AR97" s="9">
        <f t="shared" si="36"/>
        <v>355.15478426478063</v>
      </c>
      <c r="AS97" s="9">
        <f t="shared" si="37"/>
        <v>439.42444718612893</v>
      </c>
    </row>
    <row r="98" spans="1:45">
      <c r="A98" s="9">
        <f>Inputs!$C$7+96*(Inputs!$C$8-Inputs!$C$7)/240</f>
        <v>-12</v>
      </c>
      <c r="B98" s="9">
        <f>Inputs!$C$5+Inputs!$C$9*(A98/Inputs!$C$10)^2</f>
        <v>400.16</v>
      </c>
      <c r="C98" s="9">
        <f t="shared" si="19"/>
        <v>400.16</v>
      </c>
      <c r="D98" s="9">
        <f>SQRT((Inputs!$C$52+B98)^2+Inputs!$C$52^2-2*(Inputs!$C$52+B98)*Inputs!$C$52*COS(SQRT(A98^2+Inputs!$C$6^2)/Inputs!$C$52))</f>
        <v>401.3653665146926</v>
      </c>
      <c r="E98" s="9">
        <f t="shared" si="20"/>
        <v>1205.3665146925709</v>
      </c>
      <c r="F98" s="9">
        <f>E98/Inputs!$C$12</f>
        <v>677.17219926548933</v>
      </c>
      <c r="G98" s="9">
        <f>2*E98/Inputs!$C$21*1000000</f>
        <v>8.0413398171115489</v>
      </c>
      <c r="H98" s="9">
        <f>SQRT(A98^2+Inputs!$C$6^2)</f>
        <v>27.730849247724095</v>
      </c>
      <c r="I98" s="9">
        <f t="shared" si="21"/>
        <v>3.9642254998513842</v>
      </c>
      <c r="J98" s="9">
        <f>DEGREES((2*PI()/Inputs!$C$13)*Inputs!$C$15*SIN(RADIANS(I98)))</f>
        <v>24.888095401136177</v>
      </c>
      <c r="K98" s="9">
        <f t="shared" si="22"/>
        <v>0.98804134481321326</v>
      </c>
      <c r="L98" s="9">
        <f t="shared" si="23"/>
        <v>-5.224881881455036E-2</v>
      </c>
      <c r="M98" s="9">
        <f>2*(Inputs!$C$9/(Inputs!$C$10^2))*A98</f>
        <v>-2.6666666666666665E-2</v>
      </c>
      <c r="N98" s="9">
        <f>M98*Inputs!$C$11</f>
        <v>-0.10666666666666666</v>
      </c>
      <c r="O98" s="9">
        <f>1000*(D99-D97)/(A99-A97)*Inputs!$C$11</f>
        <v>-256.65646427364663</v>
      </c>
      <c r="P98" s="9">
        <f>-2*O98/Inputs!$C$13</f>
        <v>102.66258570945865</v>
      </c>
      <c r="Q98" s="9">
        <f>-2*O98/Inputs!$C$14</f>
        <v>15.414802659077877</v>
      </c>
      <c r="R98" s="9">
        <f>F98-Inputs!$C$16/2</f>
        <v>662.17219926548933</v>
      </c>
      <c r="S98" s="9">
        <f>F98+Inputs!$C$16/2</f>
        <v>692.17219926548933</v>
      </c>
      <c r="T98" s="9">
        <f>F98-Inputs!$C$17/2</f>
        <v>527.17219926548933</v>
      </c>
      <c r="U98" s="9">
        <f>F98+Inputs!$C$17/2</f>
        <v>827.17219926548933</v>
      </c>
      <c r="V98" s="9">
        <f t="shared" si="24"/>
        <v>102.66258570945865</v>
      </c>
      <c r="W98" s="9">
        <f t="shared" si="25"/>
        <v>15.414802659077877</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-47.557945529629748</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437.99189931001791</v>
      </c>
      <c r="Z98" s="9">
        <f t="shared" si="26"/>
        <v>400.20755794552963</v>
      </c>
      <c r="AA98" s="9">
        <f>SQRT((Inputs!$C$52+B98)^2+(Inputs!$C$52+Y98/1000)^2-2*(Inputs!$C$52+B98)*(Inputs!$C$52+Y98/1000)*COS(SQRT(A98^2+Inputs!$C$6^2)/Inputs!$C$52))</f>
        <v>400.92902952213831</v>
      </c>
      <c r="AB98" s="9">
        <f t="shared" si="27"/>
        <v>721.47157660867833</v>
      </c>
      <c r="AC98" s="9">
        <f>AB98/Inputs!$C$12</f>
        <v>405.32111045431367</v>
      </c>
      <c r="AD98" s="9">
        <f>2*AB98/Inputs!$C$21*1000000</f>
        <v>4.8131402732531612</v>
      </c>
      <c r="AE98" s="9">
        <f t="shared" si="28"/>
        <v>3.9685553932433759</v>
      </c>
      <c r="AF98" s="9">
        <f>DEGREES((2*PI()/Inputs!$C$13)*Inputs!$C$15*SIN(RADIANS(AE98)))</f>
        <v>24.915235760938838</v>
      </c>
      <c r="AG98" s="9">
        <f t="shared" si="29"/>
        <v>0.99282140800727314</v>
      </c>
      <c r="AH98" s="9">
        <f t="shared" si="30"/>
        <v>-3.1288668042623285E-2</v>
      </c>
      <c r="AI98" s="9">
        <f t="shared" si="31"/>
        <v>-271.85108881117566</v>
      </c>
      <c r="AJ98" s="9">
        <f t="shared" si="32"/>
        <v>-3.2281995438583877</v>
      </c>
      <c r="AK98" s="9">
        <f t="shared" si="33"/>
        <v>485.54984483964768</v>
      </c>
      <c r="AL98" s="9">
        <f>1000*(AA99-AA97)/(A99-A97)*Inputs!$C$11</f>
        <v>-296.88723128629135</v>
      </c>
      <c r="AM98" s="9">
        <f>-2*AL98/Inputs!$C$13</f>
        <v>118.75489251451654</v>
      </c>
      <c r="AN98" s="9">
        <f>-2*AL98/Inputs!$C$14</f>
        <v>17.831064942119603</v>
      </c>
      <c r="AO98" s="9">
        <f t="shared" si="34"/>
        <v>118.75489251451654</v>
      </c>
      <c r="AP98" s="9">
        <f t="shared" si="35"/>
        <v>17.831064942119603</v>
      </c>
      <c r="AQ98" s="9">
        <f>IF(OR(Inputs!$C$27=TRUE,Inputs!$C$27="TRUE",Inputs!$C$27=1),Inputs!$C$46/Inputs!$C$12,0)</f>
        <v>42.134831460674157</v>
      </c>
      <c r="AR98" s="9">
        <f t="shared" si="36"/>
        <v>363.18627899363952</v>
      </c>
      <c r="AS98" s="9">
        <f t="shared" si="37"/>
        <v>447.45594191498782</v>
      </c>
    </row>
    <row r="99" spans="1:45">
      <c r="A99" s="9">
        <f>Inputs!$C$7+97*(Inputs!$C$8-Inputs!$C$7)/240</f>
        <v>-11.5</v>
      </c>
      <c r="B99" s="9">
        <f>Inputs!$C$5+Inputs!$C$9*(A99/Inputs!$C$10)^2</f>
        <v>400.14694444444444</v>
      </c>
      <c r="C99" s="9">
        <f t="shared" si="19"/>
        <v>400.14694444444444</v>
      </c>
      <c r="D99" s="9">
        <f>SQRT((Inputs!$C$52+B99)^2+Inputs!$C$52^2-2*(Inputs!$C$52+B99)*Inputs!$C$52*COS(SQRT(A99^2+Inputs!$C$6^2)/Inputs!$C$52))</f>
        <v>401.3339518925323</v>
      </c>
      <c r="E99" s="9">
        <f t="shared" si="20"/>
        <v>1187.0074480878543</v>
      </c>
      <c r="F99" s="9">
        <f>E99/Inputs!$C$12</f>
        <v>666.85811690328887</v>
      </c>
      <c r="G99" s="9">
        <f>2*E99/Inputs!$C$21*1000000</f>
        <v>7.918861308297851</v>
      </c>
      <c r="H99" s="9">
        <f>SQRT(A99^2+Inputs!$C$6^2)</f>
        <v>27.518175811634027</v>
      </c>
      <c r="I99" s="9">
        <f t="shared" si="21"/>
        <v>3.934046834415676</v>
      </c>
      <c r="J99" s="9">
        <f>DEGREES((2*PI()/Inputs!$C$13)*Inputs!$C$15*SIN(RADIANS(I99)))</f>
        <v>24.698927488642891</v>
      </c>
      <c r="K99" s="9">
        <f t="shared" si="22"/>
        <v>0.9882217621476409</v>
      </c>
      <c r="L99" s="9">
        <f t="shared" si="23"/>
        <v>-5.1455865156474059E-2</v>
      </c>
      <c r="M99" s="9">
        <f>2*(Inputs!$C$9/(Inputs!$C$10^2))*A99</f>
        <v>-2.5555555555555557E-2</v>
      </c>
      <c r="N99" s="9">
        <f>M99*Inputs!$C$11</f>
        <v>-0.10222222222222223</v>
      </c>
      <c r="O99" s="9">
        <f>1000*(D100-D98)/(A100-A98)*Inputs!$C$11</f>
        <v>-245.97657072126822</v>
      </c>
      <c r="P99" s="9">
        <f>-2*O99/Inputs!$C$13</f>
        <v>98.390628288507287</v>
      </c>
      <c r="Q99" s="9">
        <f>-2*O99/Inputs!$C$14</f>
        <v>14.77336761088698</v>
      </c>
      <c r="R99" s="9">
        <f>F99-Inputs!$C$16/2</f>
        <v>651.85811690328887</v>
      </c>
      <c r="S99" s="9">
        <f>F99+Inputs!$C$16/2</f>
        <v>681.85811690328887</v>
      </c>
      <c r="T99" s="9">
        <f>F99-Inputs!$C$17/2</f>
        <v>516.85811690328887</v>
      </c>
      <c r="U99" s="9">
        <f>F99+Inputs!$C$17/2</f>
        <v>816.85811690328887</v>
      </c>
      <c r="V99" s="9">
        <f t="shared" si="24"/>
        <v>98.390628288507287</v>
      </c>
      <c r="W99" s="9">
        <f t="shared" si="25"/>
        <v>14.77336761088698</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-48.067808115448663</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458.91089147275255</v>
      </c>
      <c r="Z99" s="9">
        <f t="shared" si="26"/>
        <v>400.19501225255988</v>
      </c>
      <c r="AA99" s="9">
        <f>SQRT((Inputs!$C$52+B99)^2+(Inputs!$C$52+Y99/1000)^2-2*(Inputs!$C$52+B99)*(Inputs!$C$52+Y99/1000)*COS(SQRT(A99^2+Inputs!$C$6^2)/Inputs!$C$52))</f>
        <v>400.87674874156215</v>
      </c>
      <c r="AB99" s="9">
        <f t="shared" si="27"/>
        <v>681.7364890022759</v>
      </c>
      <c r="AC99" s="9">
        <f>AB99/Inputs!$C$12</f>
        <v>382.99802752936847</v>
      </c>
      <c r="AD99" s="9">
        <f>2*AB99/Inputs!$C$21*1000000</f>
        <v>4.5480563023521814</v>
      </c>
      <c r="AE99" s="9">
        <f t="shared" si="28"/>
        <v>3.9385495918937536</v>
      </c>
      <c r="AF99" s="9">
        <f>DEGREES((2*PI()/Inputs!$C$13)*Inputs!$C$15*SIN(RADIANS(AE99)))</f>
        <v>24.72715240793741</v>
      </c>
      <c r="AG99" s="9">
        <f t="shared" si="29"/>
        <v>0.9932148780758645</v>
      </c>
      <c r="AH99" s="9">
        <f t="shared" si="30"/>
        <v>-2.9567834611567614E-2</v>
      </c>
      <c r="AI99" s="9">
        <f t="shared" si="31"/>
        <v>-283.8600893739204</v>
      </c>
      <c r="AJ99" s="9">
        <f t="shared" si="32"/>
        <v>-3.3708050059456696</v>
      </c>
      <c r="AK99" s="9">
        <f t="shared" si="33"/>
        <v>506.97869958820121</v>
      </c>
      <c r="AL99" s="9">
        <f>1000*(AA100-AA98)/(A100-A98)*Inputs!$C$11</f>
        <v>-344.01006676966972</v>
      </c>
      <c r="AM99" s="9">
        <f>-2*AL99/Inputs!$C$13</f>
        <v>137.60402670786789</v>
      </c>
      <c r="AN99" s="9">
        <f>-2*AL99/Inputs!$C$14</f>
        <v>20.661265271451636</v>
      </c>
      <c r="AO99" s="9">
        <f t="shared" si="34"/>
        <v>137.60402670786789</v>
      </c>
      <c r="AP99" s="9">
        <f t="shared" si="35"/>
        <v>20.661265271451636</v>
      </c>
      <c r="AQ99" s="9">
        <f>IF(OR(Inputs!$C$27=TRUE,Inputs!$C$27="TRUE",Inputs!$C$27=1),Inputs!$C$46/Inputs!$C$12,0)</f>
        <v>42.134831460674157</v>
      </c>
      <c r="AR99" s="9">
        <f t="shared" si="36"/>
        <v>340.86319606869432</v>
      </c>
      <c r="AS99" s="9">
        <f t="shared" si="37"/>
        <v>425.13285899004262</v>
      </c>
    </row>
    <row r="100" spans="1:45">
      <c r="A100" s="9">
        <f>Inputs!$C$7+98*(Inputs!$C$8-Inputs!$C$7)/240</f>
        <v>-11</v>
      </c>
      <c r="B100" s="9">
        <f>Inputs!$C$5+Inputs!$C$9*(A100/Inputs!$C$10)^2</f>
        <v>400.13444444444445</v>
      </c>
      <c r="C100" s="9">
        <f t="shared" si="19"/>
        <v>400.13444444444445</v>
      </c>
      <c r="D100" s="9">
        <f>SQRT((Inputs!$C$52+B100)^2+Inputs!$C$52^2-2*(Inputs!$C$52+B100)*Inputs!$C$52*COS(SQRT(A100^2+Inputs!$C$6^2)/Inputs!$C$52))</f>
        <v>401.30387237201228</v>
      </c>
      <c r="E100" s="9">
        <f t="shared" si="20"/>
        <v>1169.4279275678241</v>
      </c>
      <c r="F100" s="9">
        <f>E100/Inputs!$C$12</f>
        <v>656.9819817796764</v>
      </c>
      <c r="G100" s="9">
        <f>2*E100/Inputs!$C$21*1000000</f>
        <v>7.8015833711722262</v>
      </c>
      <c r="H100" s="9">
        <f>SQRT(A100^2+Inputs!$C$6^2)</f>
        <v>27.313000567495326</v>
      </c>
      <c r="I100" s="9">
        <f t="shared" si="21"/>
        <v>3.9049273074484554</v>
      </c>
      <c r="J100" s="9">
        <f>DEGREES((2*PI()/Inputs!$C$13)*Inputs!$C$15*SIN(RADIANS(I100)))</f>
        <v>24.516392041831022</v>
      </c>
      <c r="K100" s="9">
        <f t="shared" si="22"/>
        <v>0.98839456843305284</v>
      </c>
      <c r="L100" s="9">
        <f t="shared" si="23"/>
        <v>-5.0696498604425384E-2</v>
      </c>
      <c r="M100" s="9">
        <f>2*(Inputs!$C$9/(Inputs!$C$10^2))*A100</f>
        <v>-2.4444444444444446E-2</v>
      </c>
      <c r="N100" s="9">
        <f>M100*Inputs!$C$11</f>
        <v>-9.7777777777777783E-2</v>
      </c>
      <c r="O100" s="9">
        <f>1000*(D101-D99)/(A101-A99)*Inputs!$C$11</f>
        <v>-235.2948768477745</v>
      </c>
      <c r="P100" s="9">
        <f>-2*O100/Inputs!$C$13</f>
        <v>94.117950739109801</v>
      </c>
      <c r="Q100" s="9">
        <f>-2*O100/Inputs!$C$14</f>
        <v>14.131824435301773</v>
      </c>
      <c r="R100" s="9">
        <f>F100-Inputs!$C$16/2</f>
        <v>641.9819817796764</v>
      </c>
      <c r="S100" s="9">
        <f>F100+Inputs!$C$16/2</f>
        <v>671.9819817796764</v>
      </c>
      <c r="T100" s="9">
        <f>F100-Inputs!$C$17/2</f>
        <v>506.9819817796764</v>
      </c>
      <c r="U100" s="9">
        <f>F100+Inputs!$C$17/2</f>
        <v>806.9819817796764</v>
      </c>
      <c r="V100" s="9">
        <f t="shared" si="24"/>
        <v>94.117950739109801</v>
      </c>
      <c r="W100" s="9">
        <f t="shared" si="25"/>
        <v>14.131824435301773</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-43.289835573332148</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462.54124928234683</v>
      </c>
      <c r="Z100" s="9">
        <f t="shared" si="26"/>
        <v>400.17773428001777</v>
      </c>
      <c r="AA100" s="9">
        <f>SQRT((Inputs!$C$52+B100)^2+(Inputs!$C$52+Y100/1000)^2-2*(Inputs!$C$52+B100)*(Inputs!$C$52+Y100/1000)*COS(SQRT(A100^2+Inputs!$C$6^2)/Inputs!$C$52))</f>
        <v>400.84302700544589</v>
      </c>
      <c r="AB100" s="9">
        <f t="shared" si="27"/>
        <v>665.29272542811668</v>
      </c>
      <c r="AC100" s="9">
        <f>AB100/Inputs!$C$12</f>
        <v>373.75995810568355</v>
      </c>
      <c r="AD100" s="9">
        <f>2*AB100/Inputs!$C$21*1000000</f>
        <v>4.4383553199868464</v>
      </c>
      <c r="AE100" s="9">
        <f t="shared" si="28"/>
        <v>3.9094324837280885</v>
      </c>
      <c r="AF100" s="9">
        <f>DEGREES((2*PI()/Inputs!$C$13)*Inputs!$C$15*SIN(RADIANS(AE100)))</f>
        <v>24.544633106954993</v>
      </c>
      <c r="AG100" s="9">
        <f t="shared" si="29"/>
        <v>0.99337757476715205</v>
      </c>
      <c r="AH100" s="9">
        <f t="shared" si="30"/>
        <v>-2.8856483118140253E-2</v>
      </c>
      <c r="AI100" s="9">
        <f t="shared" si="31"/>
        <v>-283.22202367399285</v>
      </c>
      <c r="AJ100" s="9">
        <f t="shared" si="32"/>
        <v>-3.3632280511853798</v>
      </c>
      <c r="AK100" s="9">
        <f t="shared" si="33"/>
        <v>505.83108485567897</v>
      </c>
      <c r="AL100" s="9">
        <f>1000*(AA101-AA99)/(A101-A99)*Inputs!$C$11</f>
        <v>-280.0928895742345</v>
      </c>
      <c r="AM100" s="9">
        <f>-2*AL100/Inputs!$C$13</f>
        <v>112.0371558296938</v>
      </c>
      <c r="AN100" s="9">
        <f>-2*AL100/Inputs!$C$14</f>
        <v>16.822395770224297</v>
      </c>
      <c r="AO100" s="9">
        <f t="shared" si="34"/>
        <v>112.0371558296938</v>
      </c>
      <c r="AP100" s="9">
        <f t="shared" si="35"/>
        <v>16.822395770224297</v>
      </c>
      <c r="AQ100" s="9">
        <f>IF(OR(Inputs!$C$27=TRUE,Inputs!$C$27="TRUE",Inputs!$C$27=1),Inputs!$C$46/Inputs!$C$12,0)</f>
        <v>42.134831460674157</v>
      </c>
      <c r="AR100" s="9">
        <f t="shared" si="36"/>
        <v>331.6251266450094</v>
      </c>
      <c r="AS100" s="9">
        <f t="shared" si="37"/>
        <v>415.8947895663577</v>
      </c>
    </row>
    <row r="101" spans="1:45">
      <c r="A101" s="9">
        <f>Inputs!$C$7+99*(Inputs!$C$8-Inputs!$C$7)/240</f>
        <v>-10.5</v>
      </c>
      <c r="B101" s="9">
        <f>Inputs!$C$5+Inputs!$C$9*(A101/Inputs!$C$10)^2</f>
        <v>400.1225</v>
      </c>
      <c r="C101" s="9">
        <f t="shared" si="19"/>
        <v>400.1225</v>
      </c>
      <c r="D101" s="9">
        <f>SQRT((Inputs!$C$52+B101)^2+Inputs!$C$52^2-2*(Inputs!$C$52+B101)*Inputs!$C$52*COS(SQRT(A101^2+Inputs!$C$6^2)/Inputs!$C$52))</f>
        <v>401.27512817332035</v>
      </c>
      <c r="E101" s="9">
        <f t="shared" si="20"/>
        <v>1152.6281733203518</v>
      </c>
      <c r="F101" s="9">
        <f>E101/Inputs!$C$12</f>
        <v>647.54391759570331</v>
      </c>
      <c r="G101" s="9">
        <f>2*E101/Inputs!$C$21*1000000</f>
        <v>7.6895074746700391</v>
      </c>
      <c r="H101" s="9">
        <f>SQRT(A101^2+Inputs!$C$6^2)</f>
        <v>27.115493725912497</v>
      </c>
      <c r="I101" s="9">
        <f t="shared" si="21"/>
        <v>3.8768916383114718</v>
      </c>
      <c r="J101" s="9">
        <f>DEGREES((2*PI()/Inputs!$C$13)*Inputs!$C$15*SIN(RADIANS(I101)))</f>
        <v>24.340644762413291</v>
      </c>
      <c r="K101" s="9">
        <f t="shared" si="22"/>
        <v>0.988559755055337</v>
      </c>
      <c r="L101" s="9">
        <f t="shared" si="23"/>
        <v>-4.9970739411541142E-2</v>
      </c>
      <c r="M101" s="9">
        <f>2*(Inputs!$C$9/(Inputs!$C$10^2))*A101</f>
        <v>-2.3333333333333334E-2</v>
      </c>
      <c r="N101" s="9">
        <f>M101*Inputs!$C$11</f>
        <v>-9.3333333333333338E-2</v>
      </c>
      <c r="O101" s="9">
        <f>1000*(D102-D100)/(A102-A100)*Inputs!$C$11</f>
        <v>-224.61146028399526</v>
      </c>
      <c r="P101" s="9">
        <f>-2*O101/Inputs!$C$13</f>
        <v>89.844584113598103</v>
      </c>
      <c r="Q101" s="9">
        <f>-2*O101/Inputs!$C$14</f>
        <v>13.490177794834551</v>
      </c>
      <c r="R101" s="9">
        <f>F101-Inputs!$C$16/2</f>
        <v>632.54391759570331</v>
      </c>
      <c r="S101" s="9">
        <f>F101+Inputs!$C$16/2</f>
        <v>662.54391759570331</v>
      </c>
      <c r="T101" s="9">
        <f>F101-Inputs!$C$17/2</f>
        <v>497.54391759570331</v>
      </c>
      <c r="U101" s="9">
        <f>F101+Inputs!$C$17/2</f>
        <v>797.54391759570331</v>
      </c>
      <c r="V101" s="9">
        <f t="shared" si="24"/>
        <v>89.844584113598103</v>
      </c>
      <c r="W101" s="9">
        <f t="shared" si="25"/>
        <v>13.490177794834551</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-52.096314636551988</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470.10163194835405</v>
      </c>
      <c r="Z101" s="9">
        <f t="shared" si="26"/>
        <v>400.17459631463657</v>
      </c>
      <c r="AA101" s="9">
        <f>SQRT((Inputs!$C$52+B101)^2+(Inputs!$C$52+Y101/1000)^2-2*(Inputs!$C$52+B101)*(Inputs!$C$52+Y101/1000)*COS(SQRT(A101^2+Inputs!$C$6^2)/Inputs!$C$52))</f>
        <v>400.80672551916859</v>
      </c>
      <c r="AB101" s="9">
        <f t="shared" si="27"/>
        <v>632.12920453202059</v>
      </c>
      <c r="AC101" s="9">
        <f>AB101/Inputs!$C$12</f>
        <v>355.12876659102278</v>
      </c>
      <c r="AD101" s="9">
        <f>2*AB101/Inputs!$C$21*1000000</f>
        <v>4.2171121231610211</v>
      </c>
      <c r="AE101" s="9">
        <f t="shared" si="28"/>
        <v>3.8814380027204494</v>
      </c>
      <c r="AF101" s="9">
        <f>DEGREES((2*PI()/Inputs!$C$13)*Inputs!$C$15*SIN(RADIANS(AE101)))</f>
        <v>24.369144967017967</v>
      </c>
      <c r="AG101" s="9">
        <f t="shared" si="29"/>
        <v>0.99370633974303701</v>
      </c>
      <c r="AH101" s="9">
        <f t="shared" si="30"/>
        <v>-2.741939417458731E-2</v>
      </c>
      <c r="AI101" s="9">
        <f t="shared" si="31"/>
        <v>-292.41515100468052</v>
      </c>
      <c r="AJ101" s="9">
        <f t="shared" si="32"/>
        <v>-3.472395351509018</v>
      </c>
      <c r="AK101" s="9">
        <f t="shared" si="33"/>
        <v>522.19794658490605</v>
      </c>
      <c r="AL101" s="9">
        <f>1000*(AA102-AA100)/(A102-A100)*Inputs!$C$11</f>
        <v>-260.56591743986246</v>
      </c>
      <c r="AM101" s="9">
        <f>-2*AL101/Inputs!$C$13</f>
        <v>104.22636697594498</v>
      </c>
      <c r="AN101" s="9">
        <f>-2*AL101/Inputs!$C$14</f>
        <v>15.649604651042791</v>
      </c>
      <c r="AO101" s="9">
        <f t="shared" si="34"/>
        <v>104.22636697594498</v>
      </c>
      <c r="AP101" s="9">
        <f t="shared" si="35"/>
        <v>15.649604651042791</v>
      </c>
      <c r="AQ101" s="9">
        <f>IF(OR(Inputs!$C$27=TRUE,Inputs!$C$27="TRUE",Inputs!$C$27=1),Inputs!$C$46/Inputs!$C$12,0)</f>
        <v>42.134831460674157</v>
      </c>
      <c r="AR101" s="9">
        <f t="shared" si="36"/>
        <v>312.99393513034863</v>
      </c>
      <c r="AS101" s="9">
        <f t="shared" si="37"/>
        <v>397.26359805169693</v>
      </c>
    </row>
    <row r="102" spans="1:45">
      <c r="A102" s="9">
        <f>Inputs!$C$7+100*(Inputs!$C$8-Inputs!$C$7)/240</f>
        <v>-10</v>
      </c>
      <c r="B102" s="9">
        <f>Inputs!$C$5+Inputs!$C$9*(A102/Inputs!$C$10)^2</f>
        <v>400.11111111111109</v>
      </c>
      <c r="C102" s="9">
        <f t="shared" si="19"/>
        <v>400.11111111111109</v>
      </c>
      <c r="D102" s="9">
        <f>SQRT((Inputs!$C$52+B102)^2+Inputs!$C$52^2-2*(Inputs!$C$52+B102)*Inputs!$C$52*COS(SQRT(A102^2+Inputs!$C$6^2)/Inputs!$C$52))</f>
        <v>401.24771950694128</v>
      </c>
      <c r="E102" s="9">
        <f t="shared" si="20"/>
        <v>1136.6083958301942</v>
      </c>
      <c r="F102" s="9">
        <f>E102/Inputs!$C$12</f>
        <v>638.54404260123272</v>
      </c>
      <c r="G102" s="9">
        <f>2*E102/Inputs!$C$21*1000000</f>
        <v>7.5826350229944355</v>
      </c>
      <c r="H102" s="9">
        <f>SQRT(A102^2+Inputs!$C$6^2)</f>
        <v>26.92582403567252</v>
      </c>
      <c r="I102" s="9">
        <f t="shared" si="21"/>
        <v>3.8499643269735215</v>
      </c>
      <c r="J102" s="9">
        <f>DEGREES((2*PI()/Inputs!$C$13)*Inputs!$C$15*SIN(RADIANS(I102)))</f>
        <v>24.171839961370843</v>
      </c>
      <c r="K102" s="9">
        <f t="shared" si="22"/>
        <v>0.98871731377615735</v>
      </c>
      <c r="L102" s="9">
        <f t="shared" si="23"/>
        <v>-4.9278606940563963E-2</v>
      </c>
      <c r="M102" s="9">
        <f>2*(Inputs!$C$9/(Inputs!$C$10^2))*A102</f>
        <v>-2.2222222222222223E-2</v>
      </c>
      <c r="N102" s="9">
        <f>M102*Inputs!$C$11</f>
        <v>-8.8888888888888892E-2</v>
      </c>
      <c r="O102" s="9">
        <f>1000*(D103-D101)/(A103-A101)*Inputs!$C$11</f>
        <v>-213.92639874261477</v>
      </c>
      <c r="P102" s="9">
        <f>-2*O102/Inputs!$C$13</f>
        <v>85.570559497045906</v>
      </c>
      <c r="Q102" s="9">
        <f>-2*O102/Inputs!$C$14</f>
        <v>12.848432356913801</v>
      </c>
      <c r="R102" s="9">
        <f>F102-Inputs!$C$16/2</f>
        <v>623.54404260123272</v>
      </c>
      <c r="S102" s="9">
        <f>F102+Inputs!$C$16/2</f>
        <v>653.54404260123272</v>
      </c>
      <c r="T102" s="9">
        <f>F102-Inputs!$C$17/2</f>
        <v>488.54404260123272</v>
      </c>
      <c r="U102" s="9">
        <f>F102+Inputs!$C$17/2</f>
        <v>788.54404260123272</v>
      </c>
      <c r="V102" s="9">
        <f t="shared" si="24"/>
        <v>85.570559497045906</v>
      </c>
      <c r="W102" s="9">
        <f t="shared" si="25"/>
        <v>12.848432356913801</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-49.423131521111884</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471.51448488312155</v>
      </c>
      <c r="Z102" s="9">
        <f t="shared" si="26"/>
        <v>400.1605342426322</v>
      </c>
      <c r="AA102" s="9">
        <f>SQRT((Inputs!$C$52+B102)^2+(Inputs!$C$52+Y102/1000)^2-2*(Inputs!$C$52+B102)*(Inputs!$C$52+Y102/1000)*COS(SQRT(A102^2+Inputs!$C$6^2)/Inputs!$C$52))</f>
        <v>400.77788552608592</v>
      </c>
      <c r="AB102" s="9">
        <f t="shared" si="27"/>
        <v>617.35128345372914</v>
      </c>
      <c r="AC102" s="9">
        <f>AB102/Inputs!$C$12</f>
        <v>346.82656373805008</v>
      </c>
      <c r="AD102" s="9">
        <f>2*AB102/Inputs!$C$21*1000000</f>
        <v>4.1185244456932208</v>
      </c>
      <c r="AE102" s="9">
        <f t="shared" si="28"/>
        <v>3.8544930199199281</v>
      </c>
      <c r="AF102" s="9">
        <f>DEGREES((2*PI()/Inputs!$C$13)*Inputs!$C$15*SIN(RADIANS(AE102)))</f>
        <v>24.200230289148678</v>
      </c>
      <c r="AG102" s="9">
        <f t="shared" si="29"/>
        <v>0.99385269163590273</v>
      </c>
      <c r="AH102" s="9">
        <f t="shared" si="30"/>
        <v>-2.6779817501904016E-2</v>
      </c>
      <c r="AI102" s="9">
        <f t="shared" si="31"/>
        <v>-291.71747886318263</v>
      </c>
      <c r="AJ102" s="9">
        <f t="shared" si="32"/>
        <v>-3.4641105773012146</v>
      </c>
      <c r="AK102" s="9">
        <f t="shared" si="33"/>
        <v>520.93761640423349</v>
      </c>
      <c r="AL102" s="9">
        <f>1000*(AA103-AA101)/(A103-A101)*Inputs!$C$11</f>
        <v>-216.02295813136152</v>
      </c>
      <c r="AM102" s="9">
        <f>-2*AL102/Inputs!$C$13</f>
        <v>86.409183252544608</v>
      </c>
      <c r="AN102" s="9">
        <f>-2*AL102/Inputs!$C$14</f>
        <v>12.974351839721415</v>
      </c>
      <c r="AO102" s="9">
        <f t="shared" si="34"/>
        <v>86.409183252544608</v>
      </c>
      <c r="AP102" s="9">
        <f t="shared" si="35"/>
        <v>12.974351839721415</v>
      </c>
      <c r="AQ102" s="9">
        <f>IF(OR(Inputs!$C$27=TRUE,Inputs!$C$27="TRUE",Inputs!$C$27=1),Inputs!$C$46/Inputs!$C$12,0)</f>
        <v>42.134831460674157</v>
      </c>
      <c r="AR102" s="9">
        <f t="shared" si="36"/>
        <v>304.69173227737593</v>
      </c>
      <c r="AS102" s="9">
        <f t="shared" si="37"/>
        <v>388.96139519872423</v>
      </c>
    </row>
    <row r="103" spans="1:45">
      <c r="A103" s="9">
        <f>Inputs!$C$7+101*(Inputs!$C$8-Inputs!$C$7)/240</f>
        <v>-9.5</v>
      </c>
      <c r="B103" s="9">
        <f>Inputs!$C$5+Inputs!$C$9*(A103/Inputs!$C$10)^2</f>
        <v>400.10027777777776</v>
      </c>
      <c r="C103" s="9">
        <f t="shared" si="19"/>
        <v>400.10027777777776</v>
      </c>
      <c r="D103" s="9">
        <f>SQRT((Inputs!$C$52+B103)^2+Inputs!$C$52^2-2*(Inputs!$C$52+B103)*Inputs!$C$52*COS(SQRT(A103^2+Inputs!$C$6^2)/Inputs!$C$52))</f>
        <v>401.2216465736347</v>
      </c>
      <c r="E103" s="9">
        <f t="shared" si="20"/>
        <v>1121.368795856938</v>
      </c>
      <c r="F103" s="9">
        <f>E103/Inputs!$C$12</f>
        <v>629.98246958254947</v>
      </c>
      <c r="G103" s="9">
        <f>2*E103/Inputs!$C$21*1000000</f>
        <v>7.4809673554692155</v>
      </c>
      <c r="H103" s="9">
        <f>SQRT(A103^2+Inputs!$C$6^2)</f>
        <v>26.744158240632665</v>
      </c>
      <c r="I103" s="9">
        <f t="shared" si="21"/>
        <v>3.8241695756954894</v>
      </c>
      <c r="J103" s="9">
        <f>DEGREES((2*PI()/Inputs!$C$13)*Inputs!$C$15*SIN(RADIANS(I103)))</f>
        <v>24.010130066350158</v>
      </c>
      <c r="K103" s="9">
        <f t="shared" si="22"/>
        <v>0.98886723673401933</v>
      </c>
      <c r="L103" s="9">
        <f t="shared" si="23"/>
        <v>-4.8620119662050265E-2</v>
      </c>
      <c r="M103" s="9">
        <f>2*(Inputs!$C$9/(Inputs!$C$10^2))*A103</f>
        <v>-2.1111111111111112E-2</v>
      </c>
      <c r="N103" s="9">
        <f>M103*Inputs!$C$11</f>
        <v>-8.4444444444444447E-2</v>
      </c>
      <c r="O103" s="9">
        <f>1000*(D104-D102)/(A104-A102)*Inputs!$C$11</f>
        <v>-203.23977003636173</v>
      </c>
      <c r="P103" s="9">
        <f>-2*O103/Inputs!$C$13</f>
        <v>81.295908014544693</v>
      </c>
      <c r="Q103" s="9">
        <f>-2*O103/Inputs!$C$14</f>
        <v>12.206592794976682</v>
      </c>
      <c r="R103" s="9">
        <f>F103-Inputs!$C$16/2</f>
        <v>614.98246958254947</v>
      </c>
      <c r="S103" s="9">
        <f>F103+Inputs!$C$16/2</f>
        <v>644.98246958254947</v>
      </c>
      <c r="T103" s="9">
        <f>F103-Inputs!$C$17/2</f>
        <v>479.98246958254947</v>
      </c>
      <c r="U103" s="9">
        <f>F103+Inputs!$C$17/2</f>
        <v>779.98246958254947</v>
      </c>
      <c r="V103" s="9">
        <f t="shared" si="24"/>
        <v>81.295908014544693</v>
      </c>
      <c r="W103" s="9">
        <f t="shared" si="25"/>
        <v>12.206592794976682</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-32.277557975083496</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470.58157381705621</v>
      </c>
      <c r="Z103" s="9">
        <f t="shared" si="26"/>
        <v>400.13255533575284</v>
      </c>
      <c r="AA103" s="9">
        <f>SQRT((Inputs!$C$52+B103)^2+(Inputs!$C$52+Y103/1000)^2-2*(Inputs!$C$52+B103)*(Inputs!$C$52+Y103/1000)*COS(SQRT(A103^2+Inputs!$C$6^2)/Inputs!$C$52))</f>
        <v>400.75271977963575</v>
      </c>
      <c r="AB103" s="9">
        <f t="shared" si="27"/>
        <v>620.16444388291347</v>
      </c>
      <c r="AC103" s="9">
        <f>AB103/Inputs!$C$12</f>
        <v>348.40699094545698</v>
      </c>
      <c r="AD103" s="9">
        <f>2*AB103/Inputs!$C$21*1000000</f>
        <v>4.1372918319573833</v>
      </c>
      <c r="AE103" s="9">
        <f t="shared" si="28"/>
        <v>3.8286593185218871</v>
      </c>
      <c r="AF103" s="9">
        <f>DEGREES((2*PI()/Inputs!$C$13)*Inputs!$C$15*SIN(RADIANS(AE103)))</f>
        <v>24.038277067270709</v>
      </c>
      <c r="AG103" s="9">
        <f t="shared" si="29"/>
        <v>0.99382435759408705</v>
      </c>
      <c r="AH103" s="9">
        <f t="shared" si="30"/>
        <v>-2.6903633571684227E-2</v>
      </c>
      <c r="AI103" s="9">
        <f t="shared" si="31"/>
        <v>-281.57547863709249</v>
      </c>
      <c r="AJ103" s="9">
        <f t="shared" si="32"/>
        <v>-3.3436755235118323</v>
      </c>
      <c r="AK103" s="9">
        <f t="shared" si="33"/>
        <v>502.85913179213969</v>
      </c>
      <c r="AL103" s="9">
        <f>1000*(AA104-AA102)/(A104-A102)*Inputs!$C$11</f>
        <v>-239.70334503337654</v>
      </c>
      <c r="AM103" s="9">
        <f>-2*AL103/Inputs!$C$13</f>
        <v>95.881338013350614</v>
      </c>
      <c r="AN103" s="9">
        <f>-2*AL103/Inputs!$C$14</f>
        <v>14.396597299301895</v>
      </c>
      <c r="AO103" s="9">
        <f t="shared" si="34"/>
        <v>95.881338013350614</v>
      </c>
      <c r="AP103" s="9">
        <f t="shared" si="35"/>
        <v>14.396597299301895</v>
      </c>
      <c r="AQ103" s="9">
        <f>IF(OR(Inputs!$C$27=TRUE,Inputs!$C$27="TRUE",Inputs!$C$27=1),Inputs!$C$46/Inputs!$C$12,0)</f>
        <v>42.134831460674157</v>
      </c>
      <c r="AR103" s="9">
        <f t="shared" si="36"/>
        <v>306.27215948478283</v>
      </c>
      <c r="AS103" s="9">
        <f t="shared" si="37"/>
        <v>390.54182240613113</v>
      </c>
    </row>
    <row r="104" spans="1:45">
      <c r="A104" s="9">
        <f>Inputs!$C$7+102*(Inputs!$C$8-Inputs!$C$7)/240</f>
        <v>-9</v>
      </c>
      <c r="B104" s="9">
        <f>Inputs!$C$5+Inputs!$C$9*(A104/Inputs!$C$10)^2</f>
        <v>400.09</v>
      </c>
      <c r="C104" s="9">
        <f t="shared" si="19"/>
        <v>400.09</v>
      </c>
      <c r="D104" s="9">
        <f>SQRT((Inputs!$C$52+B104)^2+Inputs!$C$52^2-2*(Inputs!$C$52+B104)*Inputs!$C$52*COS(SQRT(A104^2+Inputs!$C$6^2)/Inputs!$C$52))</f>
        <v>401.19690956443219</v>
      </c>
      <c r="E104" s="9">
        <f t="shared" si="20"/>
        <v>1106.9095644322147</v>
      </c>
      <c r="F104" s="9">
        <f>E104/Inputs!$C$12</f>
        <v>621.85930586079473</v>
      </c>
      <c r="G104" s="9">
        <f>2*E104/Inputs!$C$21*1000000</f>
        <v>7.3845057465202455</v>
      </c>
      <c r="H104" s="9">
        <f>SQRT(A104^2+Inputs!$C$6^2)</f>
        <v>26.570660511172846</v>
      </c>
      <c r="I104" s="9">
        <f t="shared" si="21"/>
        <v>3.7995312070651801</v>
      </c>
      <c r="J104" s="9">
        <f>DEGREES((2*PI()/Inputs!$C$13)*Inputs!$C$15*SIN(RADIANS(I104)))</f>
        <v>23.855665106124771</v>
      </c>
      <c r="K104" s="9">
        <f t="shared" si="22"/>
        <v>0.98900951644510726</v>
      </c>
      <c r="L104" s="9">
        <f t="shared" si="23"/>
        <v>-4.7995295153449892E-2</v>
      </c>
      <c r="M104" s="9">
        <f>2*(Inputs!$C$9/(Inputs!$C$10^2))*A104</f>
        <v>-0.02</v>
      </c>
      <c r="N104" s="9">
        <f>M104*Inputs!$C$11</f>
        <v>-0.08</v>
      </c>
      <c r="O104" s="9">
        <f>1000*(D105-D103)/(A105-A103)*Inputs!$C$11</f>
        <v>-192.55165201866475</v>
      </c>
      <c r="P104" s="9">
        <f>-2*O104/Inputs!$C$13</f>
        <v>77.020660807465902</v>
      </c>
      <c r="Q104" s="9">
        <f>-2*O104/Inputs!$C$14</f>
        <v>11.564663784904791</v>
      </c>
      <c r="R104" s="9">
        <f>F104-Inputs!$C$16/2</f>
        <v>606.85930586079473</v>
      </c>
      <c r="S104" s="9">
        <f>F104+Inputs!$C$16/2</f>
        <v>636.85930586079473</v>
      </c>
      <c r="T104" s="9">
        <f>F104-Inputs!$C$17/2</f>
        <v>471.85930586079473</v>
      </c>
      <c r="U104" s="9">
        <f>F104+Inputs!$C$17/2</f>
        <v>771.85930586079473</v>
      </c>
      <c r="V104" s="9">
        <f t="shared" si="24"/>
        <v>77.020660807465902</v>
      </c>
      <c r="W104" s="9">
        <f t="shared" si="25"/>
        <v>11.564663784904791</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-47.421474838397501</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480.61828567521798</v>
      </c>
      <c r="Z104" s="9">
        <f t="shared" si="26"/>
        <v>400.13742147483839</v>
      </c>
      <c r="AA104" s="9">
        <f>SQRT((Inputs!$C$52+B104)^2+(Inputs!$C$52+Y104/1000)^2-2*(Inputs!$C$52+B104)*(Inputs!$C$52+Y104/1000)*COS(SQRT(A104^2+Inputs!$C$6^2)/Inputs!$C$52))</f>
        <v>400.71795968982758</v>
      </c>
      <c r="AB104" s="9">
        <f t="shared" si="27"/>
        <v>580.53821498918978</v>
      </c>
      <c r="AC104" s="9">
        <f>AB104/Inputs!$C$12</f>
        <v>326.14506460066843</v>
      </c>
      <c r="AD104" s="9">
        <f>2*AB104/Inputs!$C$21*1000000</f>
        <v>3.872934088216387</v>
      </c>
      <c r="AE104" s="9">
        <f t="shared" si="28"/>
        <v>3.8040875704738526</v>
      </c>
      <c r="AF104" s="9">
        <f>DEGREES((2*PI()/Inputs!$C$13)*Inputs!$C$15*SIN(RADIANS(AE104)))</f>
        <v>23.884230581198139</v>
      </c>
      <c r="AG104" s="9">
        <f t="shared" si="29"/>
        <v>0.99421760027376926</v>
      </c>
      <c r="AH104" s="9">
        <f t="shared" si="30"/>
        <v>-2.5185529711890704E-2</v>
      </c>
      <c r="AI104" s="9">
        <f t="shared" si="31"/>
        <v>-295.7142412601263</v>
      </c>
      <c r="AJ104" s="9">
        <f t="shared" si="32"/>
        <v>-3.5115716583038585</v>
      </c>
      <c r="AK104" s="9">
        <f t="shared" si="33"/>
        <v>528.03976051361542</v>
      </c>
      <c r="AL104" s="9">
        <f>1000*(AA105-AA103)/(A105-A103)*Inputs!$C$11</f>
        <v>-153.00999080704969</v>
      </c>
      <c r="AM104" s="9">
        <f>-2*AL104/Inputs!$C$13</f>
        <v>61.203996322819876</v>
      </c>
      <c r="AN104" s="9">
        <f>-2*AL104/Inputs!$C$14</f>
        <v>9.1897892376606425</v>
      </c>
      <c r="AO104" s="9">
        <f t="shared" si="34"/>
        <v>61.203996322819876</v>
      </c>
      <c r="AP104" s="9">
        <f t="shared" si="35"/>
        <v>9.1897892376606425</v>
      </c>
      <c r="AQ104" s="9">
        <f>IF(OR(Inputs!$C$27=TRUE,Inputs!$C$27="TRUE",Inputs!$C$27=1),Inputs!$C$46/Inputs!$C$12,0)</f>
        <v>42.134831460674157</v>
      </c>
      <c r="AR104" s="9">
        <f t="shared" si="36"/>
        <v>284.01023313999428</v>
      </c>
      <c r="AS104" s="9">
        <f t="shared" si="37"/>
        <v>368.27989606134258</v>
      </c>
    </row>
    <row r="105" spans="1:45">
      <c r="A105" s="9">
        <f>Inputs!$C$7+103*(Inputs!$C$8-Inputs!$C$7)/240</f>
        <v>-8.5</v>
      </c>
      <c r="B105" s="9">
        <f>Inputs!$C$5+Inputs!$C$9*(A105/Inputs!$C$10)^2</f>
        <v>400.08027777777778</v>
      </c>
      <c r="C105" s="9">
        <f t="shared" si="19"/>
        <v>400.08027777777778</v>
      </c>
      <c r="D105" s="9">
        <f>SQRT((Inputs!$C$52+B105)^2+Inputs!$C$52^2-2*(Inputs!$C$52+B105)*Inputs!$C$52*COS(SQRT(A105^2+Inputs!$C$6^2)/Inputs!$C$52))</f>
        <v>401.17350866063003</v>
      </c>
      <c r="E105" s="9">
        <f t="shared" si="20"/>
        <v>1093.2308828522537</v>
      </c>
      <c r="F105" s="9">
        <f>E105/Inputs!$C$12</f>
        <v>614.17465328778292</v>
      </c>
      <c r="G105" s="9">
        <f>2*E105/Inputs!$C$21*1000000</f>
        <v>7.2932514056257798</v>
      </c>
      <c r="H105" s="9">
        <f>SQRT(A105^2+Inputs!$C$6^2)</f>
        <v>26.405491853021786</v>
      </c>
      <c r="I105" s="9">
        <f t="shared" si="21"/>
        <v>3.7760725787865743</v>
      </c>
      <c r="J105" s="9">
        <f>DEGREES((2*PI()/Inputs!$C$13)*Inputs!$C$15*SIN(RADIANS(I105)))</f>
        <v>23.708592174666432</v>
      </c>
      <c r="K105" s="9">
        <f t="shared" si="22"/>
        <v>0.98914414580412702</v>
      </c>
      <c r="L105" s="9">
        <f t="shared" si="23"/>
        <v>-4.7404150098032463E-2</v>
      </c>
      <c r="M105" s="9">
        <f>2*(Inputs!$C$9/(Inputs!$C$10^2))*A105</f>
        <v>-1.8888888888888889E-2</v>
      </c>
      <c r="N105" s="9">
        <f>M105*Inputs!$C$11</f>
        <v>-7.5555555555555556E-2</v>
      </c>
      <c r="O105" s="9">
        <f>1000*(D106-D104)/(A106-A104)*Inputs!$C$11</f>
        <v>-181.8621226407231</v>
      </c>
      <c r="P105" s="9">
        <f>-2*O105/Inputs!$C$13</f>
        <v>72.74484905628924</v>
      </c>
      <c r="Q105" s="9">
        <f>-2*O105/Inputs!$C$14</f>
        <v>10.922650008451839</v>
      </c>
      <c r="R105" s="9">
        <f>F105-Inputs!$C$16/2</f>
        <v>599.17465328778292</v>
      </c>
      <c r="S105" s="9">
        <f>F105+Inputs!$C$16/2</f>
        <v>629.17465328778292</v>
      </c>
      <c r="T105" s="9">
        <f>F105-Inputs!$C$17/2</f>
        <v>464.17465328778292</v>
      </c>
      <c r="U105" s="9">
        <f>F105+Inputs!$C$17/2</f>
        <v>764.17465328778292</v>
      </c>
      <c r="V105" s="9">
        <f t="shared" si="24"/>
        <v>72.74484905628924</v>
      </c>
      <c r="W105" s="9">
        <f t="shared" si="25"/>
        <v>10.922650008451839</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-61.848322891668573</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460.62061079043809</v>
      </c>
      <c r="Z105" s="9">
        <f t="shared" si="26"/>
        <v>400.14212610066943</v>
      </c>
      <c r="AA105" s="9">
        <f>SQRT((Inputs!$C$52+B105)^2+(Inputs!$C$52+Y105/1000)^2-2*(Inputs!$C$52+B105)*(Inputs!$C$52+Y105/1000)*COS(SQRT(A105^2+Inputs!$C$6^2)/Inputs!$C$52))</f>
        <v>400.71446728193399</v>
      </c>
      <c r="AB105" s="9">
        <f t="shared" si="27"/>
        <v>572.34118126456224</v>
      </c>
      <c r="AC105" s="9">
        <f>AB105/Inputs!$C$12</f>
        <v>321.53998947447315</v>
      </c>
      <c r="AD105" s="9">
        <f>2*AB105/Inputs!$C$21*1000000</f>
        <v>3.8182493654631044</v>
      </c>
      <c r="AE105" s="9">
        <f t="shared" si="28"/>
        <v>3.7804124455522796</v>
      </c>
      <c r="AF105" s="9">
        <f>DEGREES((2*PI()/Inputs!$C$13)*Inputs!$C$15*SIN(RADIANS(AE105)))</f>
        <v>23.735801096075647</v>
      </c>
      <c r="AG105" s="9">
        <f t="shared" si="29"/>
        <v>0.99429902156072436</v>
      </c>
      <c r="AH105" s="9">
        <f t="shared" si="30"/>
        <v>-2.4829879522543036E-2</v>
      </c>
      <c r="AI105" s="9">
        <f t="shared" si="31"/>
        <v>-292.63466381330977</v>
      </c>
      <c r="AJ105" s="9">
        <f t="shared" si="32"/>
        <v>-3.4750020401626753</v>
      </c>
      <c r="AK105" s="9">
        <f t="shared" si="33"/>
        <v>522.46893368210669</v>
      </c>
      <c r="AL105" s="9">
        <f>1000*(AA106-AA104)/(A106-A104)*Inputs!$C$11</f>
        <v>-162.27947085280903</v>
      </c>
      <c r="AM105" s="9">
        <f>-2*AL105/Inputs!$C$13</f>
        <v>64.911788341123611</v>
      </c>
      <c r="AN105" s="9">
        <f>-2*AL105/Inputs!$C$14</f>
        <v>9.7465147659344762</v>
      </c>
      <c r="AO105" s="9">
        <f t="shared" si="34"/>
        <v>64.911788341123611</v>
      </c>
      <c r="AP105" s="9">
        <f t="shared" si="35"/>
        <v>9.7465147659344762</v>
      </c>
      <c r="AQ105" s="9">
        <f>IF(OR(Inputs!$C$27=TRUE,Inputs!$C$27="TRUE",Inputs!$C$27=1),Inputs!$C$46/Inputs!$C$12,0)</f>
        <v>42.134831460674157</v>
      </c>
      <c r="AR105" s="9">
        <f t="shared" si="36"/>
        <v>279.405158013799</v>
      </c>
      <c r="AS105" s="9">
        <f t="shared" si="37"/>
        <v>363.6748209351473</v>
      </c>
    </row>
    <row r="106" spans="1:45">
      <c r="A106" s="9">
        <f>Inputs!$C$7+104*(Inputs!$C$8-Inputs!$C$7)/240</f>
        <v>-8</v>
      </c>
      <c r="B106" s="9">
        <f>Inputs!$C$5+Inputs!$C$9*(A106/Inputs!$C$10)^2</f>
        <v>400.07111111111112</v>
      </c>
      <c r="C106" s="9">
        <f t="shared" si="19"/>
        <v>400.07111111111112</v>
      </c>
      <c r="D106" s="9">
        <f>SQRT((Inputs!$C$52+B106)^2+Inputs!$C$52^2-2*(Inputs!$C$52+B106)*Inputs!$C$52*COS(SQRT(A106^2+Inputs!$C$6^2)/Inputs!$C$52))</f>
        <v>401.15144403377201</v>
      </c>
      <c r="E106" s="9">
        <f t="shared" si="20"/>
        <v>1080.3329226608867</v>
      </c>
      <c r="F106" s="9">
        <f>E106/Inputs!$C$12</f>
        <v>606.92860823645321</v>
      </c>
      <c r="G106" s="9">
        <f>2*E106/Inputs!$C$21*1000000</f>
        <v>7.2072054772030762</v>
      </c>
      <c r="H106" s="9">
        <f>SQRT(A106^2+Inputs!$C$6^2)</f>
        <v>26.248809496813376</v>
      </c>
      <c r="I106" s="9">
        <f t="shared" si="21"/>
        <v>3.7538164957068103</v>
      </c>
      <c r="J106" s="9">
        <f>DEGREES((2*PI()/Inputs!$C$13)*Inputs!$C$15*SIN(RADIANS(I106)))</f>
        <v>23.56905487786457</v>
      </c>
      <c r="K106" s="9">
        <f t="shared" si="22"/>
        <v>0.98927111808520884</v>
      </c>
      <c r="L106" s="9">
        <f t="shared" si="23"/>
        <v>-4.6846700283418599E-2</v>
      </c>
      <c r="M106" s="9">
        <f>2*(Inputs!$C$9/(Inputs!$C$10^2))*A106</f>
        <v>-1.7777777777777778E-2</v>
      </c>
      <c r="N106" s="9">
        <f>M106*Inputs!$C$11</f>
        <v>-7.1111111111111111E-2</v>
      </c>
      <c r="O106" s="9">
        <f>1000*(D107-D105)/(A107-A105)*Inputs!$C$11</f>
        <v>-171.17125992922411</v>
      </c>
      <c r="P106" s="9">
        <f>-2*O106/Inputs!$C$13</f>
        <v>68.468503971689643</v>
      </c>
      <c r="Q106" s="9">
        <f>-2*O106/Inputs!$C$14</f>
        <v>10.280556151905353</v>
      </c>
      <c r="R106" s="9">
        <f>F106-Inputs!$C$16/2</f>
        <v>591.92860823645321</v>
      </c>
      <c r="S106" s="9">
        <f>F106+Inputs!$C$16/2</f>
        <v>621.92860823645321</v>
      </c>
      <c r="T106" s="9">
        <f>F106-Inputs!$C$17/2</f>
        <v>456.92860823645321</v>
      </c>
      <c r="U106" s="9">
        <f>F106+Inputs!$C$17/2</f>
        <v>756.92860823645321</v>
      </c>
      <c r="V106" s="9">
        <f t="shared" si="24"/>
        <v>68.468503971689643</v>
      </c>
      <c r="W106" s="9">
        <f t="shared" si="25"/>
        <v>10.280556151905353</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-39.340995770370029</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475.66592239631382</v>
      </c>
      <c r="Z106" s="9">
        <f t="shared" si="26"/>
        <v>400.1104521068815</v>
      </c>
      <c r="AA106" s="9">
        <f>SQRT((Inputs!$C$52+B106)^2+(Inputs!$C$52+Y106/1000)^2-2*(Inputs!$C$52+B106)*(Inputs!$C$52+Y106/1000)*COS(SQRT(A106^2+Inputs!$C$6^2)/Inputs!$C$52))</f>
        <v>400.67738982211438</v>
      </c>
      <c r="AB106" s="9">
        <f t="shared" si="27"/>
        <v>566.93771523288206</v>
      </c>
      <c r="AC106" s="9">
        <f>AB106/Inputs!$C$12</f>
        <v>318.50433440049551</v>
      </c>
      <c r="AD106" s="9">
        <f>2*AB106/Inputs!$C$21*1000000</f>
        <v>3.7822013203072777</v>
      </c>
      <c r="AE106" s="9">
        <f t="shared" si="28"/>
        <v>3.758272122844037</v>
      </c>
      <c r="AF106" s="9">
        <f>DEGREES((2*PI()/Inputs!$C$13)*Inputs!$C$15*SIN(RADIANS(AE106)))</f>
        <v>23.596990274926846</v>
      </c>
      <c r="AG106" s="9">
        <f t="shared" si="29"/>
        <v>0.99435220870372942</v>
      </c>
      <c r="AH106" s="9">
        <f t="shared" si="30"/>
        <v>-2.4597572495858082E-2</v>
      </c>
      <c r="AI106" s="9">
        <f t="shared" si="31"/>
        <v>-288.42427383595771</v>
      </c>
      <c r="AJ106" s="9">
        <f t="shared" si="32"/>
        <v>-3.4250041568957985</v>
      </c>
      <c r="AK106" s="9">
        <f t="shared" si="33"/>
        <v>515.00691816668382</v>
      </c>
      <c r="AL106" s="9">
        <f>1000*(AA107-AA105)/(A107-A105)*Inputs!$C$11</f>
        <v>-209.75978813908114</v>
      </c>
      <c r="AM106" s="9">
        <f>-2*AL106/Inputs!$C$13</f>
        <v>83.903915255632455</v>
      </c>
      <c r="AN106" s="9">
        <f>-2*AL106/Inputs!$C$14</f>
        <v>12.598185473818688</v>
      </c>
      <c r="AO106" s="9">
        <f t="shared" si="34"/>
        <v>83.903915255632455</v>
      </c>
      <c r="AP106" s="9">
        <f t="shared" si="35"/>
        <v>12.598185473818688</v>
      </c>
      <c r="AQ106" s="9">
        <f>IF(OR(Inputs!$C$27=TRUE,Inputs!$C$27="TRUE",Inputs!$C$27=1),Inputs!$C$46/Inputs!$C$12,0)</f>
        <v>42.134831460674157</v>
      </c>
      <c r="AR106" s="9">
        <f t="shared" si="36"/>
        <v>276.36950293982136</v>
      </c>
      <c r="AS106" s="9">
        <f t="shared" si="37"/>
        <v>360.63916586116966</v>
      </c>
    </row>
    <row r="107" spans="1:45">
      <c r="A107" s="9">
        <f>Inputs!$C$7+105*(Inputs!$C$8-Inputs!$C$7)/240</f>
        <v>-7.5</v>
      </c>
      <c r="B107" s="9">
        <f>Inputs!$C$5+Inputs!$C$9*(A107/Inputs!$C$10)^2</f>
        <v>400.0625</v>
      </c>
      <c r="C107" s="9">
        <f t="shared" si="19"/>
        <v>400.0625</v>
      </c>
      <c r="D107" s="9">
        <f>SQRT((Inputs!$C$52+B107)^2+Inputs!$C$52^2-2*(Inputs!$C$52+B107)*Inputs!$C$52*COS(SQRT(A107^2+Inputs!$C$6^2)/Inputs!$C$52))</f>
        <v>401.13071584564773</v>
      </c>
      <c r="E107" s="9">
        <f t="shared" si="20"/>
        <v>1068.2158456477282</v>
      </c>
      <c r="F107" s="9">
        <f>E107/Inputs!$C$12</f>
        <v>600.12126159984734</v>
      </c>
      <c r="G107" s="9">
        <f>2*E107/Inputs!$C$21*1000000</f>
        <v>7.1263690405962663</v>
      </c>
      <c r="H107" s="9">
        <f>SQRT(A107^2+Inputs!$C$6^2)</f>
        <v>26.100766272276374</v>
      </c>
      <c r="I107" s="9">
        <f t="shared" si="21"/>
        <v>3.7327851196426791</v>
      </c>
      <c r="J107" s="9">
        <f>DEGREES((2*PI()/Inputs!$C$13)*Inputs!$C$15*SIN(RADIANS(I107)))</f>
        <v>23.437192766426364</v>
      </c>
      <c r="K107" s="9">
        <f t="shared" si="22"/>
        <v>0.98939042694261548</v>
      </c>
      <c r="L107" s="9">
        <f t="shared" si="23"/>
        <v>-4.6322960600834844E-2</v>
      </c>
      <c r="M107" s="9">
        <f>2*(Inputs!$C$9/(Inputs!$C$10^2))*A107</f>
        <v>-1.6666666666666666E-2</v>
      </c>
      <c r="N107" s="9">
        <f>M107*Inputs!$C$11</f>
        <v>-6.6666666666666666E-2</v>
      </c>
      <c r="O107" s="9">
        <f>1000*(D108-D106)/(A108-A106)*Inputs!$C$11</f>
        <v>-160.4791419626963</v>
      </c>
      <c r="P107" s="9">
        <f>-2*O107/Inputs!$C$13</f>
        <v>64.191656785078521</v>
      </c>
      <c r="Q107" s="9">
        <f>-2*O107/Inputs!$C$14</f>
        <v>9.6383869046664454</v>
      </c>
      <c r="R107" s="9">
        <f>F107-Inputs!$C$16/2</f>
        <v>585.12126159984734</v>
      </c>
      <c r="S107" s="9">
        <f>F107+Inputs!$C$16/2</f>
        <v>615.12126159984734</v>
      </c>
      <c r="T107" s="9">
        <f>F107-Inputs!$C$17/2</f>
        <v>450.12126159984734</v>
      </c>
      <c r="U107" s="9">
        <f>F107+Inputs!$C$17/2</f>
        <v>750.12126159984734</v>
      </c>
      <c r="V107" s="9">
        <f t="shared" si="24"/>
        <v>64.191656785078521</v>
      </c>
      <c r="W107" s="9">
        <f t="shared" si="25"/>
        <v>9.6383869046664454</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-43.223811451652651</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470.26409514391321</v>
      </c>
      <c r="Z107" s="9">
        <f t="shared" si="26"/>
        <v>400.10572381145164</v>
      </c>
      <c r="AA107" s="9">
        <f>SQRT((Inputs!$C$52+B107)^2+(Inputs!$C$52+Y107/1000)^2-2*(Inputs!$C$52+B107)*(Inputs!$C$52+Y107/1000)*COS(SQRT(A107^2+Inputs!$C$6^2)/Inputs!$C$52))</f>
        <v>400.66202733489922</v>
      </c>
      <c r="AB107" s="9">
        <f t="shared" si="27"/>
        <v>556.30352344758194</v>
      </c>
      <c r="AC107" s="9">
        <f>AB107/Inputs!$C$12</f>
        <v>312.53006935257412</v>
      </c>
      <c r="AD107" s="9">
        <f>2*AB107/Inputs!$C$21*1000000</f>
        <v>3.7112576290867327</v>
      </c>
      <c r="AE107" s="9">
        <f t="shared" si="28"/>
        <v>3.7371656431463349</v>
      </c>
      <c r="AF107" s="9">
        <f>DEGREES((2*PI()/Inputs!$C$13)*Inputs!$C$15*SIN(RADIANS(AE107)))</f>
        <v>23.464657948210341</v>
      </c>
      <c r="AG107" s="9">
        <f t="shared" si="29"/>
        <v>0.99445771299305896</v>
      </c>
      <c r="AH107" s="9">
        <f t="shared" si="30"/>
        <v>-2.4136795121247716E-2</v>
      </c>
      <c r="AI107" s="9">
        <f t="shared" si="31"/>
        <v>-287.59119224727323</v>
      </c>
      <c r="AJ107" s="9">
        <f t="shared" si="32"/>
        <v>-3.4151114115095336</v>
      </c>
      <c r="AK107" s="9">
        <f t="shared" si="33"/>
        <v>513.48790659556585</v>
      </c>
      <c r="AL107" s="9">
        <f>1000*(AA108-AA106)/(A108-A106)*Inputs!$C$11</f>
        <v>-30.217397867318141</v>
      </c>
      <c r="AM107" s="9">
        <f>-2*AL107/Inputs!$C$13</f>
        <v>12.086959146927256</v>
      </c>
      <c r="AN107" s="9">
        <f>-2*AL107/Inputs!$C$14</f>
        <v>1.8148587307698585</v>
      </c>
      <c r="AO107" s="9">
        <f t="shared" si="34"/>
        <v>12.086959146927256</v>
      </c>
      <c r="AP107" s="9">
        <f t="shared" si="35"/>
        <v>1.8148587307698585</v>
      </c>
      <c r="AQ107" s="9">
        <f>IF(OR(Inputs!$C$27=TRUE,Inputs!$C$27="TRUE",Inputs!$C$27=1),Inputs!$C$46/Inputs!$C$12,0)</f>
        <v>42.134831460674157</v>
      </c>
      <c r="AR107" s="9">
        <f t="shared" si="36"/>
        <v>270.39523789189997</v>
      </c>
      <c r="AS107" s="9">
        <f t="shared" si="37"/>
        <v>354.66490081324827</v>
      </c>
    </row>
    <row r="108" spans="1:45">
      <c r="A108" s="9">
        <f>Inputs!$C$7+106*(Inputs!$C$8-Inputs!$C$7)/240</f>
        <v>-7</v>
      </c>
      <c r="B108" s="9">
        <f>Inputs!$C$5+Inputs!$C$9*(A108/Inputs!$C$10)^2</f>
        <v>400.05444444444447</v>
      </c>
      <c r="C108" s="9">
        <f t="shared" si="19"/>
        <v>400.05444444444447</v>
      </c>
      <c r="D108" s="9">
        <f>SQRT((Inputs!$C$52+B108)^2+Inputs!$C$52^2-2*(Inputs!$C$52+B108)*Inputs!$C$52*COS(SQRT(A108^2+Inputs!$C$6^2)/Inputs!$C$52))</f>
        <v>401.11132424828133</v>
      </c>
      <c r="E108" s="9">
        <f t="shared" si="20"/>
        <v>1056.8798038368641</v>
      </c>
      <c r="F108" s="9">
        <f>E108/Inputs!$C$12</f>
        <v>593.75269878475513</v>
      </c>
      <c r="G108" s="9">
        <f>2*E108/Inputs!$C$21*1000000</f>
        <v>7.0507431100008802</v>
      </c>
      <c r="H108" s="9">
        <f>SQRT(A108^2+Inputs!$C$6^2)</f>
        <v>25.96150997149434</v>
      </c>
      <c r="I108" s="9">
        <f t="shared" si="21"/>
        <v>3.7129998776451707</v>
      </c>
      <c r="J108" s="9">
        <f>DEGREES((2*PI()/Inputs!$C$13)*Inputs!$C$15*SIN(RADIANS(I108)))</f>
        <v>23.31314075897189</v>
      </c>
      <c r="K108" s="9">
        <f t="shared" si="22"/>
        <v>0.9895020664115125</v>
      </c>
      <c r="L108" s="9">
        <f t="shared" si="23"/>
        <v>-4.5832945043962958E-2</v>
      </c>
      <c r="M108" s="9">
        <f>2*(Inputs!$C$9/(Inputs!$C$10^2))*A108</f>
        <v>-1.5555555555555555E-2</v>
      </c>
      <c r="N108" s="9">
        <f>M108*Inputs!$C$11</f>
        <v>-6.222222222222222E-2</v>
      </c>
      <c r="O108" s="9">
        <f>1000*(D109-D107)/(A109-A107)*Inputs!$C$11</f>
        <v>-149.78584691539254</v>
      </c>
      <c r="P108" s="9">
        <f>-2*O108/Inputs!$C$13</f>
        <v>59.914338766157016</v>
      </c>
      <c r="Q108" s="9">
        <f>-2*O108/Inputs!$C$14</f>
        <v>8.9961469618854384</v>
      </c>
      <c r="R108" s="9">
        <f>F108-Inputs!$C$16/2</f>
        <v>578.75269878475513</v>
      </c>
      <c r="S108" s="9">
        <f>F108+Inputs!$C$16/2</f>
        <v>608.75269878475513</v>
      </c>
      <c r="T108" s="9">
        <f>F108-Inputs!$C$17/2</f>
        <v>443.75269878475513</v>
      </c>
      <c r="U108" s="9">
        <f>F108+Inputs!$C$17/2</f>
        <v>743.75269878475513</v>
      </c>
      <c r="V108" s="9">
        <f t="shared" si="24"/>
        <v>59.914338766157016</v>
      </c>
      <c r="W108" s="9">
        <f t="shared" si="25"/>
        <v>8.9961469618854384</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-48.04634011268098</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442.95708145426426</v>
      </c>
      <c r="Z108" s="9">
        <f t="shared" si="26"/>
        <v>400.10249078455718</v>
      </c>
      <c r="AA108" s="9">
        <f>SQRT((Inputs!$C$52+B108)^2+(Inputs!$C$52+Y108/1000)^2-2*(Inputs!$C$52+B108)*(Inputs!$C$52+Y108/1000)*COS(SQRT(A108^2+Inputs!$C$6^2)/Inputs!$C$52))</f>
        <v>400.66983547264755</v>
      </c>
      <c r="AB108" s="9">
        <f t="shared" si="27"/>
        <v>567.34468809037253</v>
      </c>
      <c r="AC108" s="9">
        <f>AB108/Inputs!$C$12</f>
        <v>318.73297083728795</v>
      </c>
      <c r="AD108" s="9">
        <f>2*AB108/Inputs!$C$21*1000000</f>
        <v>3.7849163509668582</v>
      </c>
      <c r="AE108" s="9">
        <f t="shared" si="28"/>
        <v>3.7171040918511129</v>
      </c>
      <c r="AF108" s="9">
        <f>DEGREES((2*PI()/Inputs!$C$13)*Inputs!$C$15*SIN(RADIANS(AE108)))</f>
        <v>23.338874108222917</v>
      </c>
      <c r="AG108" s="9">
        <f t="shared" si="29"/>
        <v>0.99434805674838111</v>
      </c>
      <c r="AH108" s="9">
        <f t="shared" si="30"/>
        <v>-2.4615706664472693E-2</v>
      </c>
      <c r="AI108" s="9">
        <f t="shared" si="31"/>
        <v>-275.01972794746717</v>
      </c>
      <c r="AJ108" s="9">
        <f t="shared" si="32"/>
        <v>-3.265826759034022</v>
      </c>
      <c r="AK108" s="9">
        <f t="shared" si="33"/>
        <v>491.00342156694524</v>
      </c>
      <c r="AL108" s="9">
        <f>1000*(AA109-AA107)/(A109-A107)*Inputs!$C$11</f>
        <v>-92.288287275550829</v>
      </c>
      <c r="AM108" s="9">
        <f>-2*AL108/Inputs!$C$13</f>
        <v>36.915314910220332</v>
      </c>
      <c r="AN108" s="9">
        <f>-2*AL108/Inputs!$C$14</f>
        <v>5.5428400766096599</v>
      </c>
      <c r="AO108" s="9">
        <f t="shared" si="34"/>
        <v>36.915314910220332</v>
      </c>
      <c r="AP108" s="9">
        <f t="shared" si="35"/>
        <v>5.5428400766096599</v>
      </c>
      <c r="AQ108" s="9">
        <f>IF(OR(Inputs!$C$27=TRUE,Inputs!$C$27="TRUE",Inputs!$C$27=1),Inputs!$C$46/Inputs!$C$12,0)</f>
        <v>42.134831460674157</v>
      </c>
      <c r="AR108" s="9">
        <f t="shared" si="36"/>
        <v>276.5981393766138</v>
      </c>
      <c r="AS108" s="9">
        <f t="shared" si="37"/>
        <v>360.8678022979621</v>
      </c>
    </row>
    <row r="109" spans="1:45">
      <c r="A109" s="9">
        <f>Inputs!$C$7+107*(Inputs!$C$8-Inputs!$C$7)/240</f>
        <v>-6.5</v>
      </c>
      <c r="B109" s="9">
        <f>Inputs!$C$5+Inputs!$C$9*(A109/Inputs!$C$10)^2</f>
        <v>400.04694444444442</v>
      </c>
      <c r="C109" s="9">
        <f t="shared" si="19"/>
        <v>400.04694444444442</v>
      </c>
      <c r="D109" s="9">
        <f>SQRT((Inputs!$C$52+B109)^2+Inputs!$C$52^2-2*(Inputs!$C$52+B109)*Inputs!$C$52*COS(SQRT(A109^2+Inputs!$C$6^2)/Inputs!$C$52))</f>
        <v>401.09326938391888</v>
      </c>
      <c r="E109" s="9">
        <f t="shared" si="20"/>
        <v>1046.3249394744594</v>
      </c>
      <c r="F109" s="9">
        <f>E109/Inputs!$C$12</f>
        <v>587.82299970475242</v>
      </c>
      <c r="G109" s="9">
        <f>2*E109/Inputs!$C$21*1000000</f>
        <v>6.9803286343811841</v>
      </c>
      <c r="H109" s="9">
        <f>SQRT(A109^2+Inputs!$C$6^2)</f>
        <v>25.831182706178978</v>
      </c>
      <c r="I109" s="9">
        <f t="shared" si="21"/>
        <v>3.6944813694132979</v>
      </c>
      <c r="J109" s="9">
        <f>DEGREES((2*PI()/Inputs!$C$13)*Inputs!$C$15*SIN(RADIANS(I109)))</f>
        <v>23.197028559795985</v>
      </c>
      <c r="K109" s="9">
        <f t="shared" si="22"/>
        <v>0.98960603090870347</v>
      </c>
      <c r="L109" s="9">
        <f t="shared" si="23"/>
        <v>-4.537666670781193E-2</v>
      </c>
      <c r="M109" s="9">
        <f>2*(Inputs!$C$9/(Inputs!$C$10^2))*A109</f>
        <v>-1.4444444444444444E-2</v>
      </c>
      <c r="N109" s="9">
        <f>M109*Inputs!$C$11</f>
        <v>-5.7777777777777775E-2</v>
      </c>
      <c r="O109" s="9">
        <f>1000*(D110-D108)/(A110-A108)*Inputs!$C$11</f>
        <v>-139.0914529733891</v>
      </c>
      <c r="P109" s="9">
        <f>-2*O109/Inputs!$C$13</f>
        <v>55.636581189355638</v>
      </c>
      <c r="Q109" s="9">
        <f>-2*O109/Inputs!$C$14</f>
        <v>8.3538410194227684</v>
      </c>
      <c r="R109" s="9">
        <f>F109-Inputs!$C$16/2</f>
        <v>572.82299970475242</v>
      </c>
      <c r="S109" s="9">
        <f>F109+Inputs!$C$16/2</f>
        <v>602.82299970475242</v>
      </c>
      <c r="T109" s="9">
        <f>F109-Inputs!$C$17/2</f>
        <v>437.82299970475242</v>
      </c>
      <c r="U109" s="9">
        <f>F109+Inputs!$C$17/2</f>
        <v>737.82299970475242</v>
      </c>
      <c r="V109" s="9">
        <f t="shared" si="24"/>
        <v>55.636581189355638</v>
      </c>
      <c r="W109" s="9">
        <f t="shared" si="25"/>
        <v>8.3538410194227684</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-59.466303655605586</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455.81004784744528</v>
      </c>
      <c r="Z109" s="9">
        <f t="shared" si="26"/>
        <v>400.10641074810002</v>
      </c>
      <c r="AA109" s="9">
        <f>SQRT((Inputs!$C$52+B109)^2+(Inputs!$C$52+Y109/1000)^2-2*(Inputs!$C$52+B109)*(Inputs!$C$52+Y109/1000)*COS(SQRT(A109^2+Inputs!$C$6^2)/Inputs!$C$52))</f>
        <v>400.63895526308033</v>
      </c>
      <c r="AB109" s="9">
        <f t="shared" si="27"/>
        <v>532.54451498031585</v>
      </c>
      <c r="AC109" s="9">
        <f>AB109/Inputs!$C$12</f>
        <v>299.1823117866943</v>
      </c>
      <c r="AD109" s="9">
        <f>2*AB109/Inputs!$C$21*1000000</f>
        <v>3.5527545858429557</v>
      </c>
      <c r="AE109" s="9">
        <f t="shared" si="28"/>
        <v>3.6986839398815357</v>
      </c>
      <c r="AF109" s="9">
        <f>DEGREES((2*PI()/Inputs!$C$13)*Inputs!$C$15*SIN(RADIANS(AE109)))</f>
        <v>23.223379151193264</v>
      </c>
      <c r="AG109" s="9">
        <f t="shared" si="29"/>
        <v>0.99469363993657867</v>
      </c>
      <c r="AH109" s="9">
        <f t="shared" si="30"/>
        <v>-2.3106589249457573E-2</v>
      </c>
      <c r="AI109" s="9">
        <f t="shared" si="31"/>
        <v>-288.64068791805812</v>
      </c>
      <c r="AJ109" s="9">
        <f t="shared" si="32"/>
        <v>-3.4275740485382284</v>
      </c>
      <c r="AK109" s="9">
        <f t="shared" si="33"/>
        <v>515.27635150305082</v>
      </c>
      <c r="AL109" s="9">
        <f>1000*(AA110-AA108)/(A110-A108)*Inputs!$C$11</f>
        <v>-158.32699134693939</v>
      </c>
      <c r="AM109" s="9">
        <f>-2*AL109/Inputs!$C$13</f>
        <v>63.330796538775758</v>
      </c>
      <c r="AN109" s="9">
        <f>-2*AL109/Inputs!$C$14</f>
        <v>9.5091286094257903</v>
      </c>
      <c r="AO109" s="9">
        <f t="shared" si="34"/>
        <v>63.330796538775758</v>
      </c>
      <c r="AP109" s="9">
        <f t="shared" si="35"/>
        <v>9.5091286094257903</v>
      </c>
      <c r="AQ109" s="9">
        <f>IF(OR(Inputs!$C$27=TRUE,Inputs!$C$27="TRUE",Inputs!$C$27=1),Inputs!$C$46/Inputs!$C$12,0)</f>
        <v>42.134831460674157</v>
      </c>
      <c r="AR109" s="9">
        <f t="shared" si="36"/>
        <v>257.04748032602015</v>
      </c>
      <c r="AS109" s="9">
        <f t="shared" si="37"/>
        <v>341.31714324736845</v>
      </c>
    </row>
    <row r="110" spans="1:45">
      <c r="A110" s="9">
        <f>Inputs!$C$7+108*(Inputs!$C$8-Inputs!$C$7)/240</f>
        <v>-6</v>
      </c>
      <c r="B110" s="9">
        <f>Inputs!$C$5+Inputs!$C$9*(A110/Inputs!$C$10)^2</f>
        <v>400.04</v>
      </c>
      <c r="C110" s="9">
        <f t="shared" si="19"/>
        <v>400.04</v>
      </c>
      <c r="D110" s="9">
        <f>SQRT((Inputs!$C$52+B110)^2+Inputs!$C$52^2-2*(Inputs!$C$52+B110)*Inputs!$C$52*COS(SQRT(A110^2+Inputs!$C$6^2)/Inputs!$C$52))</f>
        <v>401.07655138503799</v>
      </c>
      <c r="E110" s="9">
        <f t="shared" si="20"/>
        <v>1036.5513850379671</v>
      </c>
      <c r="F110" s="9">
        <f>E110/Inputs!$C$12</f>
        <v>582.33223878537478</v>
      </c>
      <c r="G110" s="9">
        <f>2*E110/Inputs!$C$21*1000000</f>
        <v>6.9151264975316167</v>
      </c>
      <c r="H110" s="9">
        <f>SQRT(A110^2+Inputs!$C$6^2)</f>
        <v>25.709920264364882</v>
      </c>
      <c r="I110" s="9">
        <f t="shared" si="21"/>
        <v>3.6772492746351846</v>
      </c>
      <c r="J110" s="9">
        <f>DEGREES((2*PI()/Inputs!$C$13)*Inputs!$C$15*SIN(RADIANS(I110)))</f>
        <v>23.088980076187603</v>
      </c>
      <c r="K110" s="9">
        <f t="shared" si="22"/>
        <v>0.98970231523311669</v>
      </c>
      <c r="L110" s="9">
        <f t="shared" si="23"/>
        <v>-4.4954137788546386E-2</v>
      </c>
      <c r="M110" s="9">
        <f>2*(Inputs!$C$9/(Inputs!$C$10^2))*A110</f>
        <v>-1.3333333333333332E-2</v>
      </c>
      <c r="N110" s="9">
        <f>M110*Inputs!$C$11</f>
        <v>-5.333333333333333E-2</v>
      </c>
      <c r="O110" s="9">
        <f>1000*(D111-D109)/(A111-A109)*Inputs!$C$11</f>
        <v>-128.3960383966587</v>
      </c>
      <c r="P110" s="9">
        <f>-2*O110/Inputs!$C$13</f>
        <v>51.358415358663478</v>
      </c>
      <c r="Q110" s="9">
        <f>-2*O110/Inputs!$C$14</f>
        <v>7.7114737775770994</v>
      </c>
      <c r="R110" s="9">
        <f>F110-Inputs!$C$16/2</f>
        <v>567.33223878537478</v>
      </c>
      <c r="S110" s="9">
        <f>F110+Inputs!$C$16/2</f>
        <v>597.33223878537478</v>
      </c>
      <c r="T110" s="9">
        <f>F110-Inputs!$C$17/2</f>
        <v>432.33223878537478</v>
      </c>
      <c r="U110" s="9">
        <f>F110+Inputs!$C$17/2</f>
        <v>732.33223878537478</v>
      </c>
      <c r="V110" s="9">
        <f t="shared" si="24"/>
        <v>51.358415358663478</v>
      </c>
      <c r="W110" s="9">
        <f t="shared" si="25"/>
        <v>7.7114737775770994</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-61.098645360716475</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447.75344272198197</v>
      </c>
      <c r="Z110" s="9">
        <f t="shared" si="26"/>
        <v>400.10109864536076</v>
      </c>
      <c r="AA110" s="9">
        <f>SQRT((Inputs!$C$52+B110)^2+(Inputs!$C$52+Y110/1000)^2-2*(Inputs!$C$52+B110)*(Inputs!$C$52+Y110/1000)*COS(SQRT(A110^2+Inputs!$C$6^2)/Inputs!$C$52))</f>
        <v>400.63025372481081</v>
      </c>
      <c r="AB110" s="9">
        <f t="shared" si="27"/>
        <v>529.15507945004947</v>
      </c>
      <c r="AC110" s="9">
        <f>AB110/Inputs!$C$12</f>
        <v>297.27813452249967</v>
      </c>
      <c r="AD110" s="9">
        <f>2*AB110/Inputs!$C$21*1000000</f>
        <v>3.5301427059252406</v>
      </c>
      <c r="AE110" s="9">
        <f t="shared" si="28"/>
        <v>3.6813584028841206</v>
      </c>
      <c r="AF110" s="9">
        <f>DEGREES((2*PI()/Inputs!$C$13)*Inputs!$C$15*SIN(RADIANS(AE110)))</f>
        <v>23.114745275139509</v>
      </c>
      <c r="AG110" s="9">
        <f t="shared" si="29"/>
        <v>0.99472723160482568</v>
      </c>
      <c r="AH110" s="9">
        <f t="shared" si="30"/>
        <v>-2.2959926706928951E-2</v>
      </c>
      <c r="AI110" s="9">
        <f t="shared" si="31"/>
        <v>-285.05410426287511</v>
      </c>
      <c r="AJ110" s="9">
        <f t="shared" si="32"/>
        <v>-3.3849837916063761</v>
      </c>
      <c r="AK110" s="9">
        <f t="shared" si="33"/>
        <v>508.85208808269846</v>
      </c>
      <c r="AL110" s="9">
        <f>1000*(AA111-AA109)/(A111-A109)*Inputs!$C$11</f>
        <v>-54.430678362223262</v>
      </c>
      <c r="AM110" s="9">
        <f>-2*AL110/Inputs!$C$13</f>
        <v>21.772271344889305</v>
      </c>
      <c r="AN110" s="9">
        <f>-2*AL110/Inputs!$C$14</f>
        <v>3.2691098115449408</v>
      </c>
      <c r="AO110" s="9">
        <f t="shared" si="34"/>
        <v>21.772271344889305</v>
      </c>
      <c r="AP110" s="9">
        <f t="shared" si="35"/>
        <v>3.2691098115449408</v>
      </c>
      <c r="AQ110" s="9">
        <f>IF(OR(Inputs!$C$27=TRUE,Inputs!$C$27="TRUE",Inputs!$C$27=1),Inputs!$C$46/Inputs!$C$12,0)</f>
        <v>42.134831460674157</v>
      </c>
      <c r="AR110" s="9">
        <f t="shared" si="36"/>
        <v>255.14330306182552</v>
      </c>
      <c r="AS110" s="9">
        <f t="shared" si="37"/>
        <v>339.41296598317382</v>
      </c>
    </row>
    <row r="111" spans="1:45">
      <c r="A111" s="9">
        <f>Inputs!$C$7+109*(Inputs!$C$8-Inputs!$C$7)/240</f>
        <v>-5.5</v>
      </c>
      <c r="B111" s="9">
        <f>Inputs!$C$5+Inputs!$C$9*(A111/Inputs!$C$10)^2</f>
        <v>400.0336111111111</v>
      </c>
      <c r="C111" s="9">
        <f t="shared" si="19"/>
        <v>400.0336111111111</v>
      </c>
      <c r="D111" s="9">
        <f>SQRT((Inputs!$C$52+B111)^2+Inputs!$C$52^2-2*(Inputs!$C$52+B111)*Inputs!$C$52*COS(SQRT(A111^2+Inputs!$C$6^2)/Inputs!$C$52))</f>
        <v>401.06117037431972</v>
      </c>
      <c r="E111" s="9">
        <f t="shared" si="20"/>
        <v>1027.5592632086159</v>
      </c>
      <c r="F111" s="9">
        <f>E111/Inputs!$C$12</f>
        <v>577.28048494866061</v>
      </c>
      <c r="G111" s="9">
        <f>2*E111/Inputs!$C$21*1000000</f>
        <v>6.855137517893235</v>
      </c>
      <c r="H111" s="9">
        <f>SQRT(A111^2+Inputs!$C$6^2)</f>
        <v>25.597851472340409</v>
      </c>
      <c r="I111" s="9">
        <f t="shared" si="21"/>
        <v>3.6613222610928524</v>
      </c>
      <c r="J111" s="9">
        <f>DEGREES((2*PI()/Inputs!$C$13)*Inputs!$C$15*SIN(RADIANS(I111)))</f>
        <v>22.989112840565028</v>
      </c>
      <c r="K111" s="9">
        <f t="shared" si="22"/>
        <v>0.98979091456661594</v>
      </c>
      <c r="L111" s="9">
        <f t="shared" si="23"/>
        <v>-4.4565369581760272E-2</v>
      </c>
      <c r="M111" s="9">
        <f>2*(Inputs!$C$9/(Inputs!$C$10^2))*A111</f>
        <v>-1.2222222222222223E-2</v>
      </c>
      <c r="N111" s="9">
        <f>M111*Inputs!$C$11</f>
        <v>-4.8888888888888891E-2</v>
      </c>
      <c r="O111" s="9">
        <f>1000*(D112-D110)/(A112-A110)*Inputs!$C$11</f>
        <v>-117.69968152384536</v>
      </c>
      <c r="P111" s="9">
        <f>-2*O111/Inputs!$C$13</f>
        <v>47.079872609538143</v>
      </c>
      <c r="Q111" s="9">
        <f>-2*O111/Inputs!$C$14</f>
        <v>7.0690499413720937</v>
      </c>
      <c r="R111" s="9">
        <f>F111-Inputs!$C$16/2</f>
        <v>562.28048494866061</v>
      </c>
      <c r="S111" s="9">
        <f>F111+Inputs!$C$16/2</f>
        <v>592.28048494866061</v>
      </c>
      <c r="T111" s="9">
        <f>F111-Inputs!$C$17/2</f>
        <v>427.28048494866061</v>
      </c>
      <c r="U111" s="9">
        <f>F111+Inputs!$C$17/2</f>
        <v>727.28048494866061</v>
      </c>
      <c r="V111" s="9">
        <f t="shared" si="24"/>
        <v>47.079872609538143</v>
      </c>
      <c r="W111" s="9">
        <f t="shared" si="25"/>
        <v>7.0690499413720937</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-63.59054434613801</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437.23203216912464</v>
      </c>
      <c r="Z111" s="9">
        <f t="shared" si="26"/>
        <v>400.09720165545724</v>
      </c>
      <c r="AA111" s="9">
        <f>SQRT((Inputs!$C$52+B111)^2+(Inputs!$C$52+Y111/1000)^2-2*(Inputs!$C$52+B111)*(Inputs!$C$52+Y111/1000)*COS(SQRT(A111^2+Inputs!$C$6^2)/Inputs!$C$52))</f>
        <v>400.62534759348978</v>
      </c>
      <c r="AB111" s="9">
        <f t="shared" si="27"/>
        <v>528.14593803253729</v>
      </c>
      <c r="AC111" s="9">
        <f>AB111/Inputs!$C$12</f>
        <v>296.71120114187488</v>
      </c>
      <c r="AD111" s="9">
        <f>2*AB111/Inputs!$C$21*1000000</f>
        <v>3.5234104390480518</v>
      </c>
      <c r="AE111" s="9">
        <f t="shared" si="28"/>
        <v>3.6653175069632837</v>
      </c>
      <c r="AF111" s="9">
        <f>DEGREES((2*PI()/Inputs!$C$13)*Inputs!$C$15*SIN(RADIANS(AE111)))</f>
        <v>23.014164418685684</v>
      </c>
      <c r="AG111" s="9">
        <f t="shared" si="29"/>
        <v>0.99473720298988244</v>
      </c>
      <c r="AH111" s="9">
        <f t="shared" si="30"/>
        <v>-2.2916392201543304E-2</v>
      </c>
      <c r="AI111" s="9">
        <f t="shared" si="31"/>
        <v>-280.56928380678573</v>
      </c>
      <c r="AJ111" s="9">
        <f t="shared" si="32"/>
        <v>-3.3317270788451832</v>
      </c>
      <c r="AK111" s="9">
        <f t="shared" si="33"/>
        <v>500.82257651526265</v>
      </c>
      <c r="AL111" s="9">
        <f>1000*(AA112-AA110)/(A112-A110)*Inputs!$C$11</f>
        <v>-33.03477638928598</v>
      </c>
      <c r="AM111" s="9">
        <f>-2*AL111/Inputs!$C$13</f>
        <v>13.213910555714392</v>
      </c>
      <c r="AN111" s="9">
        <f>-2*AL111/Inputs!$C$14</f>
        <v>1.9840706540111701</v>
      </c>
      <c r="AO111" s="9">
        <f t="shared" si="34"/>
        <v>13.213910555714392</v>
      </c>
      <c r="AP111" s="9">
        <f t="shared" si="35"/>
        <v>1.9840706540111701</v>
      </c>
      <c r="AQ111" s="9">
        <f>IF(OR(Inputs!$C$27=TRUE,Inputs!$C$27="TRUE",Inputs!$C$27=1),Inputs!$C$46/Inputs!$C$12,0)</f>
        <v>42.134831460674157</v>
      </c>
      <c r="AR111" s="9">
        <f t="shared" si="36"/>
        <v>254.57636968120073</v>
      </c>
      <c r="AS111" s="9">
        <f t="shared" si="37"/>
        <v>338.84603260254903</v>
      </c>
    </row>
    <row r="112" spans="1:45">
      <c r="A112" s="9">
        <f>Inputs!$C$7+110*(Inputs!$C$8-Inputs!$C$7)/240</f>
        <v>-5</v>
      </c>
      <c r="B112" s="9">
        <f>Inputs!$C$5+Inputs!$C$9*(A112/Inputs!$C$10)^2</f>
        <v>400.02777777777777</v>
      </c>
      <c r="C112" s="9">
        <f t="shared" si="19"/>
        <v>400.02777777777777</v>
      </c>
      <c r="D112" s="9">
        <f>SQRT((Inputs!$C$52+B112)^2+Inputs!$C$52^2-2*(Inputs!$C$52+B112)*Inputs!$C$52*COS(SQRT(A112^2+Inputs!$C$6^2)/Inputs!$C$52))</f>
        <v>401.04712646465703</v>
      </c>
      <c r="E112" s="9">
        <f t="shared" si="20"/>
        <v>1019.3486868792547</v>
      </c>
      <c r="F112" s="9">
        <f>E112/Inputs!$C$12</f>
        <v>572.66780161755878</v>
      </c>
      <c r="G112" s="9">
        <f>2*E112/Inputs!$C$21*1000000</f>
        <v>6.8003624486060597</v>
      </c>
      <c r="H112" s="9">
        <f>SQRT(A112^2+Inputs!$C$6^2)</f>
        <v>25.495097567963924</v>
      </c>
      <c r="I112" s="9">
        <f t="shared" si="21"/>
        <v>3.6467178944150929</v>
      </c>
      <c r="J112" s="9">
        <f>DEGREES((2*PI()/Inputs!$C$13)*Inputs!$C$15*SIN(RADIANS(I112)))</f>
        <v>22.897537442986597</v>
      </c>
      <c r="K112" s="9">
        <f t="shared" si="22"/>
        <v>0.98987182447441868</v>
      </c>
      <c r="L112" s="9">
        <f t="shared" si="23"/>
        <v>-4.4210372482339007E-2</v>
      </c>
      <c r="M112" s="9">
        <f>2*(Inputs!$C$9/(Inputs!$C$10^2))*A112</f>
        <v>-1.1111111111111112E-2</v>
      </c>
      <c r="N112" s="9">
        <f>M112*Inputs!$C$11</f>
        <v>-4.4444444444444446E-2</v>
      </c>
      <c r="O112" s="9">
        <f>1000*(D113-D111)/(A113-A111)*Inputs!$C$11</f>
        <v>-107.00246068472552</v>
      </c>
      <c r="P112" s="9">
        <f>-2*O112/Inputs!$C$13</f>
        <v>42.800984273890208</v>
      </c>
      <c r="Q112" s="9">
        <f>-2*O112/Inputs!$C$14</f>
        <v>6.4265742152988308</v>
      </c>
      <c r="R112" s="9">
        <f>F112-Inputs!$C$16/2</f>
        <v>557.66780161755878</v>
      </c>
      <c r="S112" s="9">
        <f>F112+Inputs!$C$16/2</f>
        <v>587.66780161755878</v>
      </c>
      <c r="T112" s="9">
        <f>F112-Inputs!$C$17/2</f>
        <v>422.66780161755878</v>
      </c>
      <c r="U112" s="9">
        <f>F112+Inputs!$C$17/2</f>
        <v>722.66780161755878</v>
      </c>
      <c r="V112" s="9">
        <f t="shared" si="24"/>
        <v>42.800984273890208</v>
      </c>
      <c r="W112" s="9">
        <f t="shared" si="25"/>
        <v>6.4265742152988308</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-73.645604458171718</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426.49509936551561</v>
      </c>
      <c r="Z112" s="9">
        <f t="shared" si="26"/>
        <v>400.10142338223596</v>
      </c>
      <c r="AA112" s="9">
        <f>SQRT((Inputs!$C$52+B112)^2+(Inputs!$C$52+Y112/1000)^2-2*(Inputs!$C$52+B112)*(Inputs!$C$52+Y112/1000)*COS(SQRT(A112^2+Inputs!$C$6^2)/Inputs!$C$52))</f>
        <v>400.62199503071349</v>
      </c>
      <c r="AB112" s="9">
        <f t="shared" si="27"/>
        <v>520.57164847752802</v>
      </c>
      <c r="AC112" s="9">
        <f>AB112/Inputs!$C$12</f>
        <v>292.45598229074608</v>
      </c>
      <c r="AD112" s="9">
        <f>2*AB112/Inputs!$C$21*1000000</f>
        <v>3.4728802182043417</v>
      </c>
      <c r="AE112" s="9">
        <f t="shared" si="28"/>
        <v>3.6505995227884935</v>
      </c>
      <c r="AF112" s="9">
        <f>DEGREES((2*PI()/Inputs!$C$13)*Inputs!$C$15*SIN(RADIANS(AE112)))</f>
        <v>22.921876997920332</v>
      </c>
      <c r="AG112" s="9">
        <f t="shared" si="29"/>
        <v>0.99481248777430642</v>
      </c>
      <c r="AH112" s="9">
        <f t="shared" si="30"/>
        <v>-2.2587717159004841E-2</v>
      </c>
      <c r="AI112" s="9">
        <f t="shared" si="31"/>
        <v>-280.2118193268127</v>
      </c>
      <c r="AJ112" s="9">
        <f t="shared" si="32"/>
        <v>-3.327482230401718</v>
      </c>
      <c r="AK112" s="9">
        <f t="shared" si="33"/>
        <v>500.14070382368732</v>
      </c>
      <c r="AL112" s="9">
        <f>1000*(AA113-AA111)/(A113-A111)*Inputs!$C$11</f>
        <v>-51.559541018150412</v>
      </c>
      <c r="AM112" s="9">
        <f>-2*AL112/Inputs!$C$13</f>
        <v>20.623816407260165</v>
      </c>
      <c r="AN112" s="9">
        <f>-2*AL112/Inputs!$C$14</f>
        <v>3.0966691302192442</v>
      </c>
      <c r="AO112" s="9">
        <f t="shared" si="34"/>
        <v>20.623816407260165</v>
      </c>
      <c r="AP112" s="9">
        <f t="shared" si="35"/>
        <v>3.0966691302192442</v>
      </c>
      <c r="AQ112" s="9">
        <f>IF(OR(Inputs!$C$27=TRUE,Inputs!$C$27="TRUE",Inputs!$C$27=1),Inputs!$C$46/Inputs!$C$12,0)</f>
        <v>42.134831460674157</v>
      </c>
      <c r="AR112" s="9">
        <f t="shared" si="36"/>
        <v>250.32115083007193</v>
      </c>
      <c r="AS112" s="9">
        <f t="shared" si="37"/>
        <v>334.59081375142023</v>
      </c>
    </row>
    <row r="113" spans="1:45">
      <c r="A113" s="9">
        <f>Inputs!$C$7+111*(Inputs!$C$8-Inputs!$C$7)/240</f>
        <v>-4.5</v>
      </c>
      <c r="B113" s="9">
        <f>Inputs!$C$5+Inputs!$C$9*(A113/Inputs!$C$10)^2</f>
        <v>400.02249999999998</v>
      </c>
      <c r="C113" s="9">
        <f t="shared" si="19"/>
        <v>400.02249999999998</v>
      </c>
      <c r="D113" s="9">
        <f>SQRT((Inputs!$C$52+B113)^2+Inputs!$C$52^2-2*(Inputs!$C$52+B113)*Inputs!$C$52*COS(SQRT(A113^2+Inputs!$C$6^2)/Inputs!$C$52))</f>
        <v>401.03441975914853</v>
      </c>
      <c r="E113" s="9">
        <f t="shared" si="20"/>
        <v>1011.9197591485545</v>
      </c>
      <c r="F113" s="9">
        <f>E113/Inputs!$C$12</f>
        <v>568.49424671267104</v>
      </c>
      <c r="G113" s="9">
        <f>2*E113/Inputs!$C$21*1000000</f>
        <v>6.75080197747039</v>
      </c>
      <c r="H113" s="9">
        <f>SQRT(A113^2+Inputs!$C$6^2)</f>
        <v>25.401771591761076</v>
      </c>
      <c r="I113" s="9">
        <f t="shared" si="21"/>
        <v>3.6334525503982564</v>
      </c>
      <c r="J113" s="9">
        <f>DEGREES((2*PI()/Inputs!$C$13)*Inputs!$C$15*SIN(RADIANS(I113)))</f>
        <v>22.814356979819124</v>
      </c>
      <c r="K113" s="9">
        <f t="shared" si="22"/>
        <v>0.98994504090561397</v>
      </c>
      <c r="L113" s="9">
        <f t="shared" si="23"/>
        <v>-4.3889155983749824E-2</v>
      </c>
      <c r="M113" s="9">
        <f>2*(Inputs!$C$9/(Inputs!$C$10^2))*A113</f>
        <v>-0.01</v>
      </c>
      <c r="N113" s="9">
        <f>M113*Inputs!$C$11</f>
        <v>-0.04</v>
      </c>
      <c r="O113" s="9">
        <f>1000*(D114-D112)/(A114-A112)*Inputs!$C$11</f>
        <v>-96.304454280698337</v>
      </c>
      <c r="P113" s="9">
        <f>-2*O113/Inputs!$C$13</f>
        <v>38.521781712279335</v>
      </c>
      <c r="Q113" s="9">
        <f>-2*O113/Inputs!$C$14</f>
        <v>5.7840513081500511</v>
      </c>
      <c r="R113" s="9">
        <f>F113-Inputs!$C$16/2</f>
        <v>553.49424671267104</v>
      </c>
      <c r="S113" s="9">
        <f>F113+Inputs!$C$16/2</f>
        <v>583.49424671267104</v>
      </c>
      <c r="T113" s="9">
        <f>F113-Inputs!$C$17/2</f>
        <v>418.49424671267104</v>
      </c>
      <c r="U113" s="9">
        <f>F113+Inputs!$C$17/2</f>
        <v>718.49424671267104</v>
      </c>
      <c r="V113" s="9">
        <f t="shared" si="24"/>
        <v>38.521781712279335</v>
      </c>
      <c r="W113" s="9">
        <f t="shared" si="25"/>
        <v>5.7840513081500511</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-73.089350881891278</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423.30568039506915</v>
      </c>
      <c r="Z113" s="9">
        <f t="shared" si="26"/>
        <v>400.09558935088188</v>
      </c>
      <c r="AA113" s="9">
        <f>SQRT((Inputs!$C$52+B113)^2+(Inputs!$C$52+Y113/1000)^2-2*(Inputs!$C$52+B113)*(Inputs!$C$52+Y113/1000)*COS(SQRT(A113^2+Inputs!$C$6^2)/Inputs!$C$52))</f>
        <v>400.61245770823524</v>
      </c>
      <c r="AB113" s="9">
        <f t="shared" si="27"/>
        <v>516.8683573533599</v>
      </c>
      <c r="AC113" s="9">
        <f>AB113/Inputs!$C$12</f>
        <v>290.37548165919094</v>
      </c>
      <c r="AD113" s="9">
        <f>2*AB113/Inputs!$C$21*1000000</f>
        <v>3.4481745191425723</v>
      </c>
      <c r="AE113" s="9">
        <f t="shared" si="28"/>
        <v>3.6372912325514273</v>
      </c>
      <c r="AF113" s="9">
        <f>DEGREES((2*PI()/Inputs!$C$13)*Inputs!$C$15*SIN(RADIANS(AE113)))</f>
        <v>22.838427597938392</v>
      </c>
      <c r="AG113" s="9">
        <f t="shared" si="29"/>
        <v>0.99484919736516841</v>
      </c>
      <c r="AH113" s="9">
        <f t="shared" si="30"/>
        <v>-2.2427461042448207E-2</v>
      </c>
      <c r="AI113" s="9">
        <f t="shared" si="31"/>
        <v>-278.1187650534801</v>
      </c>
      <c r="AJ113" s="9">
        <f t="shared" si="32"/>
        <v>-3.3026274583278177</v>
      </c>
      <c r="AK113" s="9">
        <f t="shared" si="33"/>
        <v>496.39503127696042</v>
      </c>
      <c r="AL113" s="9">
        <f>1000*(AA114-AA112)/(A114-A112)*Inputs!$C$11</f>
        <v>-94.464155578634745</v>
      </c>
      <c r="AM113" s="9">
        <f>-2*AL113/Inputs!$C$13</f>
        <v>37.785662231453898</v>
      </c>
      <c r="AN113" s="9">
        <f>-2*AL113/Inputs!$C$14</f>
        <v>5.6735228575756604</v>
      </c>
      <c r="AO113" s="9">
        <f t="shared" si="34"/>
        <v>37.785662231453898</v>
      </c>
      <c r="AP113" s="9">
        <f t="shared" si="35"/>
        <v>5.6735228575756604</v>
      </c>
      <c r="AQ113" s="9">
        <f>IF(OR(Inputs!$C$27=TRUE,Inputs!$C$27="TRUE",Inputs!$C$27=1),Inputs!$C$46/Inputs!$C$12,0)</f>
        <v>42.134831460674157</v>
      </c>
      <c r="AR113" s="9">
        <f t="shared" si="36"/>
        <v>248.24065019851679</v>
      </c>
      <c r="AS113" s="9">
        <f t="shared" si="37"/>
        <v>332.51031311986509</v>
      </c>
    </row>
    <row r="114" spans="1:45">
      <c r="A114" s="9">
        <f>Inputs!$C$7+112*(Inputs!$C$8-Inputs!$C$7)/240</f>
        <v>-4</v>
      </c>
      <c r="B114" s="9">
        <f>Inputs!$C$5+Inputs!$C$9*(A114/Inputs!$C$10)^2</f>
        <v>400.01777777777778</v>
      </c>
      <c r="C114" s="9">
        <f t="shared" si="19"/>
        <v>400.01777777777778</v>
      </c>
      <c r="D114" s="9">
        <f>SQRT((Inputs!$C$52+B114)^2+Inputs!$C$52^2-2*(Inputs!$C$52+B114)*Inputs!$C$52*COS(SQRT(A114^2+Inputs!$C$6^2)/Inputs!$C$52))</f>
        <v>401.02305035108685</v>
      </c>
      <c r="E114" s="9">
        <f t="shared" si="20"/>
        <v>1005.272573309071</v>
      </c>
      <c r="F114" s="9">
        <f>E114/Inputs!$C$12</f>
        <v>564.75987264554556</v>
      </c>
      <c r="G114" s="9">
        <f>2*E114/Inputs!$C$21*1000000</f>
        <v>6.7064567268671649</v>
      </c>
      <c r="H114" s="9">
        <f>SQRT(A114^2+Inputs!$C$6^2)</f>
        <v>25.317977802344327</v>
      </c>
      <c r="I114" s="9">
        <f t="shared" si="21"/>
        <v>3.62154133083556</v>
      </c>
      <c r="J114" s="9">
        <f>DEGREES((2*PI()/Inputs!$C$13)*Inputs!$C$15*SIN(RADIANS(I114)))</f>
        <v>22.739666524476899</v>
      </c>
      <c r="K114" s="9">
        <f t="shared" si="22"/>
        <v>0.99001056019369926</v>
      </c>
      <c r="L114" s="9">
        <f t="shared" si="23"/>
        <v>-4.3601728677114676E-2</v>
      </c>
      <c r="M114" s="9">
        <f>2*(Inputs!$C$9/(Inputs!$C$10^2))*A114</f>
        <v>-8.8888888888888889E-3</v>
      </c>
      <c r="N114" s="9">
        <f>M114*Inputs!$C$11</f>
        <v>-3.5555555555555556E-2</v>
      </c>
      <c r="O114" s="9">
        <f>1000*(D115-D113)/(A115-A113)*Inputs!$C$11</f>
        <v>-85.605740788878393</v>
      </c>
      <c r="P114" s="9">
        <f>-2*O114/Inputs!$C$13</f>
        <v>34.242296315551357</v>
      </c>
      <c r="Q114" s="9">
        <f>-2*O114/Inputs!$C$14</f>
        <v>5.1414859332659697</v>
      </c>
      <c r="R114" s="9">
        <f>F114-Inputs!$C$16/2</f>
        <v>549.75987264554556</v>
      </c>
      <c r="S114" s="9">
        <f>F114+Inputs!$C$16/2</f>
        <v>579.75987264554556</v>
      </c>
      <c r="T114" s="9">
        <f>F114-Inputs!$C$17/2</f>
        <v>414.75987264554556</v>
      </c>
      <c r="U114" s="9">
        <f>F114+Inputs!$C$17/2</f>
        <v>714.75987264554556</v>
      </c>
      <c r="V114" s="9">
        <f t="shared" si="24"/>
        <v>34.242296315551357</v>
      </c>
      <c r="W114" s="9">
        <f t="shared" si="25"/>
        <v>5.1414859332659697</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-74.236730975515414</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426.01474675634427</v>
      </c>
      <c r="Z114" s="9">
        <f t="shared" si="26"/>
        <v>400.09201450875332</v>
      </c>
      <c r="AA114" s="9">
        <f>SQRT((Inputs!$C$52+B114)^2+(Inputs!$C$52+Y114/1000)^2-2*(Inputs!$C$52+B114)*(Inputs!$C$52+Y114/1000)*COS(SQRT(A114^2+Inputs!$C$6^2)/Inputs!$C$52))</f>
        <v>400.59837899181883</v>
      </c>
      <c r="AB114" s="9">
        <f t="shared" si="27"/>
        <v>506.36448306551074</v>
      </c>
      <c r="AC114" s="9">
        <f>AB114/Inputs!$C$12</f>
        <v>284.47442868848918</v>
      </c>
      <c r="AD114" s="9">
        <f>2*AB114/Inputs!$C$21*1000000</f>
        <v>3.3781002126845414</v>
      </c>
      <c r="AE114" s="9">
        <f t="shared" si="28"/>
        <v>3.6253920544596827</v>
      </c>
      <c r="AF114" s="9">
        <f>DEGREES((2*PI()/Inputs!$C$13)*Inputs!$C$15*SIN(RADIANS(AE114)))</f>
        <v>22.76381296739094</v>
      </c>
      <c r="AG114" s="9">
        <f t="shared" si="29"/>
        <v>0.99495349720939097</v>
      </c>
      <c r="AH114" s="9">
        <f t="shared" si="30"/>
        <v>-2.1972171209197734E-2</v>
      </c>
      <c r="AI114" s="9">
        <f t="shared" si="31"/>
        <v>-280.28544395705637</v>
      </c>
      <c r="AJ114" s="9">
        <f t="shared" si="32"/>
        <v>-3.3283565141826235</v>
      </c>
      <c r="AK114" s="9">
        <f t="shared" si="33"/>
        <v>500.25147773185967</v>
      </c>
      <c r="AL114" s="9">
        <f>1000*(AA115-AA113)/(A115-A113)*Inputs!$C$11</f>
        <v>-12.539654394913669</v>
      </c>
      <c r="AM114" s="9">
        <f>-2*AL114/Inputs!$C$13</f>
        <v>5.0158617579654674</v>
      </c>
      <c r="AN114" s="9">
        <f>-2*AL114/Inputs!$C$14</f>
        <v>0.75313239609091109</v>
      </c>
      <c r="AO114" s="9">
        <f t="shared" si="34"/>
        <v>5.0158617579654674</v>
      </c>
      <c r="AP114" s="9">
        <f t="shared" si="35"/>
        <v>0.75313239609091109</v>
      </c>
      <c r="AQ114" s="9">
        <f>IF(OR(Inputs!$C$27=TRUE,Inputs!$C$27="TRUE",Inputs!$C$27=1),Inputs!$C$46/Inputs!$C$12,0)</f>
        <v>42.134831460674157</v>
      </c>
      <c r="AR114" s="9">
        <f t="shared" si="36"/>
        <v>242.33959722781503</v>
      </c>
      <c r="AS114" s="9">
        <f t="shared" si="37"/>
        <v>326.60926014916333</v>
      </c>
    </row>
    <row r="115" spans="1:45">
      <c r="A115" s="9">
        <f>Inputs!$C$7+113*(Inputs!$C$8-Inputs!$C$7)/240</f>
        <v>-3.5</v>
      </c>
      <c r="B115" s="9">
        <f>Inputs!$C$5+Inputs!$C$9*(A115/Inputs!$C$10)^2</f>
        <v>400.01361111111112</v>
      </c>
      <c r="C115" s="9">
        <f t="shared" si="19"/>
        <v>400.01361111111112</v>
      </c>
      <c r="D115" s="9">
        <f>SQRT((Inputs!$C$52+B115)^2+Inputs!$C$52^2-2*(Inputs!$C$52+B115)*Inputs!$C$52*COS(SQRT(A115^2+Inputs!$C$6^2)/Inputs!$C$52))</f>
        <v>401.01301832395131</v>
      </c>
      <c r="E115" s="9">
        <f t="shared" si="20"/>
        <v>999.40721284019673</v>
      </c>
      <c r="F115" s="9">
        <f>E115/Inputs!$C$12</f>
        <v>561.46472631471727</v>
      </c>
      <c r="G115" s="9">
        <f>2*E115/Inputs!$C$21*1000000</f>
        <v>6.667327253710944</v>
      </c>
      <c r="H115" s="9">
        <f>SQRT(A115^2+Inputs!$C$6^2)</f>
        <v>25.243811122728676</v>
      </c>
      <c r="I115" s="9">
        <f t="shared" si="21"/>
        <v>3.6109979838002473</v>
      </c>
      <c r="J115" s="9">
        <f>DEGREES((2*PI()/Inputs!$C$13)*Inputs!$C$15*SIN(RADIANS(I115)))</f>
        <v>22.673552626173684</v>
      </c>
      <c r="K115" s="9">
        <f t="shared" si="22"/>
        <v>0.9900683790570276</v>
      </c>
      <c r="L115" s="9">
        <f t="shared" si="23"/>
        <v>-4.3348098250541325E-2</v>
      </c>
      <c r="M115" s="9">
        <f>2*(Inputs!$C$9/(Inputs!$C$10^2))*A115</f>
        <v>-7.7777777777777776E-3</v>
      </c>
      <c r="N115" s="9">
        <f>M115*Inputs!$C$11</f>
        <v>-3.111111111111111E-2</v>
      </c>
      <c r="O115" s="9">
        <f>1000*(D116-D114)/(A116-A114)*Inputs!$C$11</f>
        <v>-74.906398671373609</v>
      </c>
      <c r="P115" s="9">
        <f>-2*O115/Inputs!$C$13</f>
        <v>29.962559468549443</v>
      </c>
      <c r="Q115" s="9">
        <f>-2*O115/Inputs!$C$14</f>
        <v>4.4988828030855021</v>
      </c>
      <c r="R115" s="9">
        <f>F115-Inputs!$C$16/2</f>
        <v>546.46472631471727</v>
      </c>
      <c r="S115" s="9">
        <f>F115+Inputs!$C$16/2</f>
        <v>576.46472631471727</v>
      </c>
      <c r="T115" s="9">
        <f>F115-Inputs!$C$17/2</f>
        <v>411.46472631471727</v>
      </c>
      <c r="U115" s="9">
        <f>F115+Inputs!$C$17/2</f>
        <v>711.46472631471727</v>
      </c>
      <c r="V115" s="9">
        <f t="shared" si="24"/>
        <v>29.962559468549443</v>
      </c>
      <c r="W115" s="9">
        <f t="shared" si="25"/>
        <v>4.4988828030855021</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-78.649068093608037</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404.9650488224043</v>
      </c>
      <c r="Z115" s="9">
        <f t="shared" si="26"/>
        <v>400.09226017920474</v>
      </c>
      <c r="AA115" s="9">
        <f>SQRT((Inputs!$C$52+B115)^2+(Inputs!$C$52+Y115/1000)^2-2*(Inputs!$C$52+B115)*(Inputs!$C$52+Y115/1000)*COS(SQRT(A115^2+Inputs!$C$6^2)/Inputs!$C$52))</f>
        <v>400.60932279463651</v>
      </c>
      <c r="AB115" s="9">
        <f t="shared" si="27"/>
        <v>517.06261543176879</v>
      </c>
      <c r="AC115" s="9">
        <f>AB115/Inputs!$C$12</f>
        <v>290.48461541110606</v>
      </c>
      <c r="AD115" s="9">
        <f>2*AB115/Inputs!$C$21*1000000</f>
        <v>3.4494704695457603</v>
      </c>
      <c r="AE115" s="9">
        <f t="shared" si="28"/>
        <v>3.6146476869659181</v>
      </c>
      <c r="AF115" s="9">
        <f>DEGREES((2*PI()/Inputs!$C$13)*Inputs!$C$15*SIN(RADIANS(AE115)))</f>
        <v>22.696438814060098</v>
      </c>
      <c r="AG115" s="9">
        <f t="shared" si="29"/>
        <v>0.99484722500942391</v>
      </c>
      <c r="AH115" s="9">
        <f t="shared" si="30"/>
        <v>-2.2436071232490841E-2</v>
      </c>
      <c r="AI115" s="9">
        <f t="shared" si="31"/>
        <v>-270.98011090361121</v>
      </c>
      <c r="AJ115" s="9">
        <f t="shared" si="32"/>
        <v>-3.2178567841651837</v>
      </c>
      <c r="AK115" s="9">
        <f t="shared" si="33"/>
        <v>483.61411691601234</v>
      </c>
      <c r="AL115" s="9">
        <f>1000*(AA116-AA114)/(A116-A114)*Inputs!$C$11</f>
        <v>-51.568681533808558</v>
      </c>
      <c r="AM115" s="9">
        <f>-2*AL115/Inputs!$C$13</f>
        <v>20.627472613523423</v>
      </c>
      <c r="AN115" s="9">
        <f>-2*AL115/Inputs!$C$14</f>
        <v>3.0972181101386522</v>
      </c>
      <c r="AO115" s="9">
        <f t="shared" si="34"/>
        <v>20.627472613523423</v>
      </c>
      <c r="AP115" s="9">
        <f t="shared" si="35"/>
        <v>3.0972181101386522</v>
      </c>
      <c r="AQ115" s="9">
        <f>IF(OR(Inputs!$C$27=TRUE,Inputs!$C$27="TRUE",Inputs!$C$27=1),Inputs!$C$46/Inputs!$C$12,0)</f>
        <v>42.134831460674157</v>
      </c>
      <c r="AR115" s="9">
        <f t="shared" si="36"/>
        <v>248.34978395043191</v>
      </c>
      <c r="AS115" s="9">
        <f t="shared" si="37"/>
        <v>332.61944687178021</v>
      </c>
    </row>
    <row r="116" spans="1:45">
      <c r="A116" s="9">
        <f>Inputs!$C$7+114*(Inputs!$C$8-Inputs!$C$7)/240</f>
        <v>-3</v>
      </c>
      <c r="B116" s="9">
        <f>Inputs!$C$5+Inputs!$C$9*(A116/Inputs!$C$10)^2</f>
        <v>400.01</v>
      </c>
      <c r="C116" s="9">
        <f t="shared" si="19"/>
        <v>400.01</v>
      </c>
      <c r="D116" s="9">
        <f>SQRT((Inputs!$C$52+B116)^2+Inputs!$C$52^2-2*(Inputs!$C$52+B116)*Inputs!$C$52*COS(SQRT(A116^2+Inputs!$C$6^2)/Inputs!$C$52))</f>
        <v>401.00432375141901</v>
      </c>
      <c r="E116" s="9">
        <f t="shared" si="20"/>
        <v>994.3237514190173</v>
      </c>
      <c r="F116" s="9">
        <f>E116/Inputs!$C$12</f>
        <v>558.60884911180744</v>
      </c>
      <c r="G116" s="9">
        <f>2*E116/Inputs!$C$21*1000000</f>
        <v>6.6334140495223348</v>
      </c>
      <c r="H116" s="9">
        <f>SQRT(A116^2+Inputs!$C$6^2)</f>
        <v>25.179356624028344</v>
      </c>
      <c r="I116" s="9">
        <f t="shared" si="21"/>
        <v>3.6018348293149773</v>
      </c>
      <c r="J116" s="9">
        <f>DEGREES((2*PI()/Inputs!$C$13)*Inputs!$C$15*SIN(RADIANS(I116)))</f>
        <v>22.616092842548554</v>
      </c>
      <c r="K116" s="9">
        <f t="shared" si="22"/>
        <v>0.99011849459904366</v>
      </c>
      <c r="L116" s="9">
        <f t="shared" si="23"/>
        <v>-4.3128271489245543E-2</v>
      </c>
      <c r="M116" s="9">
        <f>2*(Inputs!$C$9/(Inputs!$C$10^2))*A116</f>
        <v>-6.6666666666666662E-3</v>
      </c>
      <c r="N116" s="9">
        <f>M116*Inputs!$C$11</f>
        <v>-2.6666666666666665E-2</v>
      </c>
      <c r="O116" s="9">
        <f>1000*(D117-D115)/(A117-A115)*Inputs!$C$11</f>
        <v>-64.206506425989573</v>
      </c>
      <c r="P116" s="9">
        <f>-2*O116/Inputs!$C$13</f>
        <v>25.682602570395829</v>
      </c>
      <c r="Q116" s="9">
        <f>-2*O116/Inputs!$C$14</f>
        <v>3.8562466321915663</v>
      </c>
      <c r="R116" s="9">
        <f>F116-Inputs!$C$16/2</f>
        <v>543.60884911180744</v>
      </c>
      <c r="S116" s="9">
        <f>F116+Inputs!$C$16/2</f>
        <v>573.60884911180744</v>
      </c>
      <c r="T116" s="9">
        <f>F116-Inputs!$C$17/2</f>
        <v>408.60884911180744</v>
      </c>
      <c r="U116" s="9">
        <f>F116+Inputs!$C$17/2</f>
        <v>708.60884911180744</v>
      </c>
      <c r="V116" s="9">
        <f t="shared" si="24"/>
        <v>25.682602570395829</v>
      </c>
      <c r="W116" s="9">
        <f t="shared" si="25"/>
        <v>3.8562466321915663</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-67.681977394603621</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420.14741895597808</v>
      </c>
      <c r="Z116" s="9">
        <f t="shared" si="26"/>
        <v>400.0776819773946</v>
      </c>
      <c r="AA116" s="9">
        <f>SQRT((Inputs!$C$52+B116)^2+(Inputs!$C$52+Y116/1000)^2-2*(Inputs!$C$52+B116)*(Inputs!$C$52+Y116/1000)*COS(SQRT(A116^2+Inputs!$C$6^2)/Inputs!$C$52))</f>
        <v>400.58548682143538</v>
      </c>
      <c r="AB116" s="9">
        <f t="shared" si="27"/>
        <v>507.80484404077697</v>
      </c>
      <c r="AC116" s="9">
        <f>AB116/Inputs!$C$12</f>
        <v>285.28362024762748</v>
      </c>
      <c r="AD116" s="9">
        <f>2*AB116/Inputs!$C$21*1000000</f>
        <v>3.3877092667940096</v>
      </c>
      <c r="AE116" s="9">
        <f t="shared" si="28"/>
        <v>3.6056119812389578</v>
      </c>
      <c r="AF116" s="9">
        <f>DEGREES((2*PI()/Inputs!$C$13)*Inputs!$C$15*SIN(RADIANS(AE116)))</f>
        <v>22.639778460368397</v>
      </c>
      <c r="AG116" s="9">
        <f t="shared" si="29"/>
        <v>0.99493900709619243</v>
      </c>
      <c r="AH116" s="9">
        <f t="shared" si="30"/>
        <v>-2.2035420617804221E-2</v>
      </c>
      <c r="AI116" s="9">
        <f t="shared" si="31"/>
        <v>-273.32522886417996</v>
      </c>
      <c r="AJ116" s="9">
        <f t="shared" si="32"/>
        <v>-3.2457047827283252</v>
      </c>
      <c r="AK116" s="9">
        <f t="shared" si="33"/>
        <v>487.8293963505817</v>
      </c>
      <c r="AL116" s="9">
        <f>1000*(AA117-AA115)/(A117-A115)*Inputs!$C$11</f>
        <v>-128.09968960073093</v>
      </c>
      <c r="AM116" s="9">
        <f>-2*AL116/Inputs!$C$13</f>
        <v>51.23987584029237</v>
      </c>
      <c r="AN116" s="9">
        <f>-2*AL116/Inputs!$C$14</f>
        <v>7.6936750510949512</v>
      </c>
      <c r="AO116" s="9">
        <f t="shared" si="34"/>
        <v>51.23987584029237</v>
      </c>
      <c r="AP116" s="9">
        <f t="shared" si="35"/>
        <v>7.6936750510949512</v>
      </c>
      <c r="AQ116" s="9">
        <f>IF(OR(Inputs!$C$27=TRUE,Inputs!$C$27="TRUE",Inputs!$C$27=1),Inputs!$C$46/Inputs!$C$12,0)</f>
        <v>42.134831460674157</v>
      </c>
      <c r="AR116" s="9">
        <f t="shared" si="36"/>
        <v>243.14878878695333</v>
      </c>
      <c r="AS116" s="9">
        <f t="shared" si="37"/>
        <v>327.41845170830163</v>
      </c>
    </row>
    <row r="117" spans="1:45">
      <c r="A117" s="9">
        <f>Inputs!$C$7+115*(Inputs!$C$8-Inputs!$C$7)/240</f>
        <v>-2.5</v>
      </c>
      <c r="B117" s="9">
        <f>Inputs!$C$5+Inputs!$C$9*(A117/Inputs!$C$10)^2</f>
        <v>400.00694444444446</v>
      </c>
      <c r="C117" s="9">
        <f t="shared" si="19"/>
        <v>400.00694444444446</v>
      </c>
      <c r="D117" s="9">
        <f>SQRT((Inputs!$C$52+B117)^2+Inputs!$C$52^2-2*(Inputs!$C$52+B117)*Inputs!$C$52*COS(SQRT(A117^2+Inputs!$C$6^2)/Inputs!$C$52))</f>
        <v>400.99696669734482</v>
      </c>
      <c r="E117" s="9">
        <f t="shared" si="20"/>
        <v>990.02225290035994</v>
      </c>
      <c r="F117" s="9">
        <f>E117/Inputs!$C$12</f>
        <v>556.1922769103146</v>
      </c>
      <c r="G117" s="9">
        <f>2*E117/Inputs!$C$21*1000000</f>
        <v>6.6047175402948932</v>
      </c>
      <c r="H117" s="9">
        <f>SQRT(A117^2+Inputs!$C$6^2)</f>
        <v>25.124689052802225</v>
      </c>
      <c r="I117" s="9">
        <f t="shared" si="21"/>
        <v>3.5940626913086393</v>
      </c>
      <c r="J117" s="9">
        <f>DEGREES((2*PI()/Inputs!$C$13)*Inputs!$C$15*SIN(RADIANS(I117)))</f>
        <v>22.567355311830532</v>
      </c>
      <c r="K117" s="9">
        <f t="shared" si="22"/>
        <v>0.99016090430877812</v>
      </c>
      <c r="L117" s="9">
        <f t="shared" si="23"/>
        <v>-4.2942254274404359E-2</v>
      </c>
      <c r="M117" s="9">
        <f>2*(Inputs!$C$9/(Inputs!$C$10^2))*A117</f>
        <v>-5.5555555555555558E-3</v>
      </c>
      <c r="N117" s="9">
        <f>M117*Inputs!$C$11</f>
        <v>-2.2222222222222223E-2</v>
      </c>
      <c r="O117" s="9">
        <f>1000*(D118-D116)/(A118-A116)*Inputs!$C$11</f>
        <v>-53.506142605556306</v>
      </c>
      <c r="P117" s="9">
        <f>-2*O117/Inputs!$C$13</f>
        <v>21.402457042222522</v>
      </c>
      <c r="Q117" s="9">
        <f>-2*O117/Inputs!$C$14</f>
        <v>3.2135821384718506</v>
      </c>
      <c r="R117" s="9">
        <f>F117-Inputs!$C$16/2</f>
        <v>541.1922769103146</v>
      </c>
      <c r="S117" s="9">
        <f>F117+Inputs!$C$16/2</f>
        <v>571.1922769103146</v>
      </c>
      <c r="T117" s="9">
        <f>F117-Inputs!$C$17/2</f>
        <v>406.1922769103146</v>
      </c>
      <c r="U117" s="9">
        <f>F117+Inputs!$C$17/2</f>
        <v>706.1922769103146</v>
      </c>
      <c r="V117" s="9">
        <f t="shared" si="24"/>
        <v>21.402457042222522</v>
      </c>
      <c r="W117" s="9">
        <f t="shared" si="25"/>
        <v>3.2135821384718506</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-49.834492958636119</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420.97624209783453</v>
      </c>
      <c r="Z117" s="9">
        <f t="shared" si="26"/>
        <v>400.05677893740307</v>
      </c>
      <c r="AA117" s="9">
        <f>SQRT((Inputs!$C$52+B117)^2+(Inputs!$C$52+Y117/1000)^2-2*(Inputs!$C$52+B117)*(Inputs!$C$52+Y117/1000)*COS(SQRT(A117^2+Inputs!$C$6^2)/Inputs!$C$52))</f>
        <v>400.57729787223633</v>
      </c>
      <c r="AB117" s="9">
        <f t="shared" si="27"/>
        <v>520.51893483326239</v>
      </c>
      <c r="AC117" s="9">
        <f>AB117/Inputs!$C$12</f>
        <v>292.42636788385528</v>
      </c>
      <c r="AD117" s="9">
        <f>2*AB117/Inputs!$C$21*1000000</f>
        <v>3.4725285506232608</v>
      </c>
      <c r="AE117" s="9">
        <f t="shared" si="28"/>
        <v>3.5978392075694416</v>
      </c>
      <c r="AF117" s="9">
        <f>DEGREES((2*PI()/Inputs!$C$13)*Inputs!$C$15*SIN(RADIANS(AE117)))</f>
        <v>22.59103714566535</v>
      </c>
      <c r="AG117" s="9">
        <f t="shared" si="29"/>
        <v>0.99481243439799927</v>
      </c>
      <c r="AH117" s="9">
        <f t="shared" si="30"/>
        <v>-2.2587950178157366E-2</v>
      </c>
      <c r="AI117" s="9">
        <f t="shared" si="31"/>
        <v>-263.76590902645933</v>
      </c>
      <c r="AJ117" s="9">
        <f t="shared" si="32"/>
        <v>-3.1321889896716324</v>
      </c>
      <c r="AK117" s="9">
        <f t="shared" si="33"/>
        <v>470.81073505647066</v>
      </c>
      <c r="AL117" s="9">
        <f>1000*(AA118-AA116)/(A118-A116)*Inputs!$C$11</f>
        <v>-116.69334565385725</v>
      </c>
      <c r="AM117" s="9">
        <f>-2*AL117/Inputs!$C$13</f>
        <v>46.6773382615429</v>
      </c>
      <c r="AN117" s="9">
        <f>-2*AL117/Inputs!$C$14</f>
        <v>7.0086093485800154</v>
      </c>
      <c r="AO117" s="9">
        <f t="shared" si="34"/>
        <v>46.6773382615429</v>
      </c>
      <c r="AP117" s="9">
        <f t="shared" si="35"/>
        <v>7.0086093485800154</v>
      </c>
      <c r="AQ117" s="9">
        <f>IF(OR(Inputs!$C$27=TRUE,Inputs!$C$27="TRUE",Inputs!$C$27=1),Inputs!$C$46/Inputs!$C$12,0)</f>
        <v>42.134831460674157</v>
      </c>
      <c r="AR117" s="9">
        <f t="shared" si="36"/>
        <v>250.29153642318113</v>
      </c>
      <c r="AS117" s="9">
        <f t="shared" si="37"/>
        <v>334.56119934452943</v>
      </c>
    </row>
    <row r="118" spans="1:45">
      <c r="A118" s="9">
        <f>Inputs!$C$7+116*(Inputs!$C$8-Inputs!$C$7)/240</f>
        <v>-2</v>
      </c>
      <c r="B118" s="9">
        <f>Inputs!$C$5+Inputs!$C$9*(A118/Inputs!$C$10)^2</f>
        <v>400.00444444444446</v>
      </c>
      <c r="C118" s="9">
        <f t="shared" si="19"/>
        <v>400.00444444444446</v>
      </c>
      <c r="D118" s="9">
        <f>SQRT((Inputs!$C$52+B118)^2+Inputs!$C$52^2-2*(Inputs!$C$52+B118)*Inputs!$C$52*COS(SQRT(A118^2+Inputs!$C$6^2)/Inputs!$C$52))</f>
        <v>400.99094721576762</v>
      </c>
      <c r="E118" s="9">
        <f t="shared" si="20"/>
        <v>986.50277132315978</v>
      </c>
      <c r="F118" s="9">
        <f>E118/Inputs!$C$12</f>
        <v>554.21504006919088</v>
      </c>
      <c r="G118" s="9">
        <f>2*E118/Inputs!$C$21*1000000</f>
        <v>6.5812380865375859</v>
      </c>
      <c r="H118" s="9">
        <f>SQRT(A118^2+Inputs!$C$6^2)</f>
        <v>25.079872407968907</v>
      </c>
      <c r="I118" s="9">
        <f t="shared" si="21"/>
        <v>3.5876908367118432</v>
      </c>
      <c r="J118" s="9">
        <f>DEGREES((2*PI()/Inputs!$C$13)*Inputs!$C$15*SIN(RADIANS(I118)))</f>
        <v>22.52739836989279</v>
      </c>
      <c r="K118" s="9">
        <f t="shared" si="22"/>
        <v>0.99019560606104562</v>
      </c>
      <c r="L118" s="9">
        <f t="shared" si="23"/>
        <v>-4.2790051583174026E-2</v>
      </c>
      <c r="M118" s="9">
        <f>2*(Inputs!$C$9/(Inputs!$C$10^2))*A118</f>
        <v>-4.4444444444444444E-3</v>
      </c>
      <c r="N118" s="9">
        <f>M118*Inputs!$C$11</f>
        <v>-1.7777777777777778E-2</v>
      </c>
      <c r="O118" s="9">
        <f>1000*(D119-D117)/(A119-A117)*Inputs!$C$11</f>
        <v>-42.805385754263625</v>
      </c>
      <c r="P118" s="9">
        <f>-2*O118/Inputs!$C$13</f>
        <v>17.12215430170545</v>
      </c>
      <c r="Q118" s="9">
        <f>-2*O118/Inputs!$C$14</f>
        <v>2.570894039295113</v>
      </c>
      <c r="R118" s="9">
        <f>F118-Inputs!$C$16/2</f>
        <v>539.21504006919088</v>
      </c>
      <c r="S118" s="9">
        <f>F118+Inputs!$C$16/2</f>
        <v>569.21504006919088</v>
      </c>
      <c r="T118" s="9">
        <f>F118-Inputs!$C$17/2</f>
        <v>404.21504006919088</v>
      </c>
      <c r="U118" s="9">
        <f>F118+Inputs!$C$17/2</f>
        <v>704.21504006919088</v>
      </c>
      <c r="V118" s="9">
        <f t="shared" si="24"/>
        <v>17.12215430170545</v>
      </c>
      <c r="W118" s="9">
        <f t="shared" si="25"/>
        <v>2.570894039295113</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-59.607279956221248</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435.98300826713626</v>
      </c>
      <c r="Z118" s="9">
        <f t="shared" si="26"/>
        <v>400.06405172440066</v>
      </c>
      <c r="AA118" s="9">
        <f>SQRT((Inputs!$C$52+B118)^2+(Inputs!$C$52+Y118/1000)^2-2*(Inputs!$C$52+B118)*(Inputs!$C$52+Y118/1000)*COS(SQRT(A118^2+Inputs!$C$6^2)/Inputs!$C$52))</f>
        <v>400.55631348502192</v>
      </c>
      <c r="AB118" s="9">
        <f t="shared" si="27"/>
        <v>492.26176062126115</v>
      </c>
      <c r="AC118" s="9">
        <f>AB118/Inputs!$C$12</f>
        <v>276.55155091082088</v>
      </c>
      <c r="AD118" s="9">
        <f>2*AB118/Inputs!$C$21*1000000</f>
        <v>3.2840169756456055</v>
      </c>
      <c r="AE118" s="9">
        <f t="shared" si="28"/>
        <v>3.5915952493438992</v>
      </c>
      <c r="AF118" s="9">
        <f>DEGREES((2*PI()/Inputs!$C$13)*Inputs!$C$15*SIN(RADIANS(AE118)))</f>
        <v>22.55188238742539</v>
      </c>
      <c r="AG118" s="9">
        <f t="shared" si="29"/>
        <v>0.9950932735975252</v>
      </c>
      <c r="AH118" s="9">
        <f t="shared" si="30"/>
        <v>-2.1362093948126402E-2</v>
      </c>
      <c r="AI118" s="9">
        <f t="shared" si="31"/>
        <v>-277.66348915837</v>
      </c>
      <c r="AJ118" s="9">
        <f t="shared" si="32"/>
        <v>-3.2972211108919804</v>
      </c>
      <c r="AK118" s="9">
        <f t="shared" si="33"/>
        <v>495.5902882233575</v>
      </c>
      <c r="AL118" s="9">
        <f>1000*(AA119-AA117)/(A119-A117)*Inputs!$C$11</f>
        <v>-83.231398085899855</v>
      </c>
      <c r="AM118" s="9">
        <f>-2*AL118/Inputs!$C$13</f>
        <v>33.292559234359942</v>
      </c>
      <c r="AN118" s="9">
        <f>-2*AL118/Inputs!$C$14</f>
        <v>4.9988827679219137</v>
      </c>
      <c r="AO118" s="9">
        <f t="shared" si="34"/>
        <v>33.292559234359942</v>
      </c>
      <c r="AP118" s="9">
        <f t="shared" si="35"/>
        <v>4.9988827679219137</v>
      </c>
      <c r="AQ118" s="9">
        <f>IF(OR(Inputs!$C$27=TRUE,Inputs!$C$27="TRUE",Inputs!$C$27=1),Inputs!$C$46/Inputs!$C$12,0)</f>
        <v>42.134831460674157</v>
      </c>
      <c r="AR118" s="9">
        <f t="shared" si="36"/>
        <v>234.41671945014673</v>
      </c>
      <c r="AS118" s="9">
        <f t="shared" si="37"/>
        <v>318.68638237149503</v>
      </c>
    </row>
    <row r="119" spans="1:45">
      <c r="A119" s="9">
        <f>Inputs!$C$7+117*(Inputs!$C$8-Inputs!$C$7)/240</f>
        <v>-1.5</v>
      </c>
      <c r="B119" s="9">
        <f>Inputs!$C$5+Inputs!$C$9*(A119/Inputs!$C$10)^2</f>
        <v>400.0025</v>
      </c>
      <c r="C119" s="9">
        <f t="shared" si="19"/>
        <v>400.0025</v>
      </c>
      <c r="D119" s="9">
        <f>SQRT((Inputs!$C$52+B119)^2+Inputs!$C$52^2-2*(Inputs!$C$52+B119)*Inputs!$C$52*COS(SQRT(A119^2+Inputs!$C$6^2)/Inputs!$C$52))</f>
        <v>400.98626535090625</v>
      </c>
      <c r="E119" s="9">
        <f t="shared" si="20"/>
        <v>983.76535090625339</v>
      </c>
      <c r="F119" s="9">
        <f>E119/Inputs!$C$12</f>
        <v>552.67716343047937</v>
      </c>
      <c r="G119" s="9">
        <f>2*E119/Inputs!$C$21*1000000</f>
        <v>6.5629759832467389</v>
      </c>
      <c r="H119" s="9">
        <f>SQRT(A119^2+Inputs!$C$6^2)</f>
        <v>25.044959572736389</v>
      </c>
      <c r="I119" s="9">
        <f t="shared" si="21"/>
        <v>3.5827269224738951</v>
      </c>
      <c r="J119" s="9">
        <f>DEGREES((2*PI()/Inputs!$C$13)*Inputs!$C$15*SIN(RADIANS(I119)))</f>
        <v>22.496270217117086</v>
      </c>
      <c r="K119" s="9">
        <f t="shared" si="22"/>
        <v>0.99022259811670676</v>
      </c>
      <c r="L119" s="9">
        <f t="shared" si="23"/>
        <v>-4.2671667488290856E-2</v>
      </c>
      <c r="M119" s="9">
        <f>2*(Inputs!$C$9/(Inputs!$C$10^2))*A119</f>
        <v>-3.3333333333333331E-3</v>
      </c>
      <c r="N119" s="9">
        <f>M119*Inputs!$C$11</f>
        <v>-1.3333333333333332E-2</v>
      </c>
      <c r="O119" s="9">
        <f>1000*(D120-D118)/(A120-A118)*Inputs!$C$11</f>
        <v>-32.104314473826889</v>
      </c>
      <c r="P119" s="9">
        <f>-2*O119/Inputs!$C$13</f>
        <v>12.841725789530756</v>
      </c>
      <c r="Q119" s="9">
        <f>-2*O119/Inputs!$C$14</f>
        <v>1.9281870554850986</v>
      </c>
      <c r="R119" s="9">
        <f>F119-Inputs!$C$16/2</f>
        <v>537.67716343047937</v>
      </c>
      <c r="S119" s="9">
        <f>F119+Inputs!$C$16/2</f>
        <v>567.67716343047937</v>
      </c>
      <c r="T119" s="9">
        <f>F119-Inputs!$C$17/2</f>
        <v>402.67716343047937</v>
      </c>
      <c r="U119" s="9">
        <f>F119+Inputs!$C$17/2</f>
        <v>702.67716343047937</v>
      </c>
      <c r="V119" s="9">
        <f t="shared" si="24"/>
        <v>12.841725789530756</v>
      </c>
      <c r="W119" s="9">
        <f t="shared" si="25"/>
        <v>1.9281870554850986</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-34.15455011761312</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431.10580672292525</v>
      </c>
      <c r="Z119" s="9">
        <f t="shared" si="26"/>
        <v>400.03665455011759</v>
      </c>
      <c r="AA119" s="9">
        <f>SQRT((Inputs!$C$52+B119)^2+(Inputs!$C$52+Y119/1000)^2-2*(Inputs!$C$52+B119)*(Inputs!$C$52+Y119/1000)*COS(SQRT(A119^2+Inputs!$C$6^2)/Inputs!$C$52))</f>
        <v>400.55649002271485</v>
      </c>
      <c r="AB119" s="9">
        <f t="shared" si="27"/>
        <v>519.83547259726492</v>
      </c>
      <c r="AC119" s="9">
        <f>AB119/Inputs!$C$12</f>
        <v>292.04240033554208</v>
      </c>
      <c r="AD119" s="9">
        <f>2*AB119/Inputs!$C$21*1000000</f>
        <v>3.4679689813762091</v>
      </c>
      <c r="AE119" s="9">
        <f t="shared" si="28"/>
        <v>3.5865823158301713</v>
      </c>
      <c r="AF119" s="9">
        <f>DEGREES((2*PI()/Inputs!$C$13)*Inputs!$C$15*SIN(RADIANS(AE119)))</f>
        <v>22.520446973684773</v>
      </c>
      <c r="AG119" s="9">
        <f t="shared" si="29"/>
        <v>0.99481896401460435</v>
      </c>
      <c r="AH119" s="9">
        <f t="shared" si="30"/>
        <v>-2.2559444632227584E-2</v>
      </c>
      <c r="AI119" s="9">
        <f t="shared" si="31"/>
        <v>-260.63476309493728</v>
      </c>
      <c r="AJ119" s="9">
        <f t="shared" si="32"/>
        <v>-3.0950070018705298</v>
      </c>
      <c r="AK119" s="9">
        <f t="shared" si="33"/>
        <v>465.26035684053835</v>
      </c>
      <c r="AL119" s="9">
        <f>1000*(AA120-AA118)/(A120-A118)*Inputs!$C$11</f>
        <v>-52.113693187493482</v>
      </c>
      <c r="AM119" s="9">
        <f>-2*AL119/Inputs!$C$13</f>
        <v>20.845477274997393</v>
      </c>
      <c r="AN119" s="9">
        <f>-2*AL119/Inputs!$C$14</f>
        <v>3.1299515427924014</v>
      </c>
      <c r="AO119" s="9">
        <f t="shared" si="34"/>
        <v>20.845477274997393</v>
      </c>
      <c r="AP119" s="9">
        <f t="shared" si="35"/>
        <v>3.1299515427924014</v>
      </c>
      <c r="AQ119" s="9">
        <f>IF(OR(Inputs!$C$27=TRUE,Inputs!$C$27="TRUE",Inputs!$C$27=1),Inputs!$C$46/Inputs!$C$12,0)</f>
        <v>42.134831460674157</v>
      </c>
      <c r="AR119" s="9">
        <f t="shared" si="36"/>
        <v>249.90756887486793</v>
      </c>
      <c r="AS119" s="9">
        <f t="shared" si="37"/>
        <v>334.17723179621623</v>
      </c>
    </row>
    <row r="120" spans="1:45">
      <c r="A120" s="9">
        <f>Inputs!$C$7+118*(Inputs!$C$8-Inputs!$C$7)/240</f>
        <v>-1</v>
      </c>
      <c r="B120" s="9">
        <f>Inputs!$C$5+Inputs!$C$9*(A120/Inputs!$C$10)^2</f>
        <v>400.00111111111113</v>
      </c>
      <c r="C120" s="9">
        <f t="shared" si="19"/>
        <v>400.00111111111113</v>
      </c>
      <c r="D120" s="9">
        <f>SQRT((Inputs!$C$52+B120)^2+Inputs!$C$52^2-2*(Inputs!$C$52+B120)*Inputs!$C$52*COS(SQRT(A120^2+Inputs!$C$6^2)/Inputs!$C$52))</f>
        <v>400.98292113714916</v>
      </c>
      <c r="E120" s="9">
        <f t="shared" si="20"/>
        <v>981.81002603803336</v>
      </c>
      <c r="F120" s="9">
        <f>E120/Inputs!$C$12</f>
        <v>551.57866631350191</v>
      </c>
      <c r="G120" s="9">
        <f>2*E120/Inputs!$C$21*1000000</f>
        <v>6.5499314598370137</v>
      </c>
      <c r="H120" s="9">
        <f>SQRT(A120^2+Inputs!$C$6^2)</f>
        <v>25.019992006393608</v>
      </c>
      <c r="I120" s="9">
        <f t="shared" si="21"/>
        <v>3.5791769511981175</v>
      </c>
      <c r="J120" s="9">
        <f>DEGREES((2*PI()/Inputs!$C$13)*Inputs!$C$15*SIN(RADIANS(I120)))</f>
        <v>22.474008639448687</v>
      </c>
      <c r="K120" s="9">
        <f t="shared" si="22"/>
        <v>0.99024187912295081</v>
      </c>
      <c r="L120" s="9">
        <f t="shared" si="23"/>
        <v>-4.258710515744546E-2</v>
      </c>
      <c r="M120" s="9">
        <f>2*(Inputs!$C$9/(Inputs!$C$10^2))*A120</f>
        <v>-2.2222222222222222E-3</v>
      </c>
      <c r="N120" s="9">
        <f>M120*Inputs!$C$11</f>
        <v>-8.8888888888888889E-3</v>
      </c>
      <c r="O120" s="9">
        <f>1000*(D121-D119)/(A121-A119)*Inputs!$C$11</f>
        <v>-21.403007352773784</v>
      </c>
      <c r="P120" s="9">
        <f>-2*O120/Inputs!$C$13</f>
        <v>8.5612029411095136</v>
      </c>
      <c r="Q120" s="9">
        <f>-2*O120/Inputs!$C$14</f>
        <v>1.2854659070735006</v>
      </c>
      <c r="R120" s="9">
        <f>F120-Inputs!$C$16/2</f>
        <v>536.57866631350191</v>
      </c>
      <c r="S120" s="9">
        <f>F120+Inputs!$C$16/2</f>
        <v>566.57866631350191</v>
      </c>
      <c r="T120" s="9">
        <f>F120-Inputs!$C$17/2</f>
        <v>401.57866631350191</v>
      </c>
      <c r="U120" s="9">
        <f>F120+Inputs!$C$17/2</f>
        <v>701.57866631350191</v>
      </c>
      <c r="V120" s="9">
        <f t="shared" si="24"/>
        <v>8.5612029411095136</v>
      </c>
      <c r="W120" s="9">
        <f t="shared" si="25"/>
        <v>1.2854659070735006</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-38.265792887993427</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440.99441024200883</v>
      </c>
      <c r="Z120" s="9">
        <f t="shared" si="26"/>
        <v>400.03937690399914</v>
      </c>
      <c r="AA120" s="9">
        <f>SQRT((Inputs!$C$52+B120)^2+(Inputs!$C$52+Y120/1000)^2-2*(Inputs!$C$52+B120)*(Inputs!$C$52+Y120/1000)*COS(SQRT(A120^2+Inputs!$C$6^2)/Inputs!$C$52))</f>
        <v>400.54328506172504</v>
      </c>
      <c r="AB120" s="9">
        <f t="shared" si="27"/>
        <v>503.90815772590258</v>
      </c>
      <c r="AC120" s="9">
        <f>AB120/Inputs!$C$12</f>
        <v>283.09447063252952</v>
      </c>
      <c r="AD120" s="9">
        <f>2*AB120/Inputs!$C$21*1000000</f>
        <v>3.3617133738961678</v>
      </c>
      <c r="AE120" s="9">
        <f t="shared" si="28"/>
        <v>3.5831170021090575</v>
      </c>
      <c r="AF120" s="9">
        <f>DEGREES((2*PI()/Inputs!$C$13)*Inputs!$C$15*SIN(RADIANS(AE120)))</f>
        <v>22.498716369136744</v>
      </c>
      <c r="AG120" s="9">
        <f t="shared" si="29"/>
        <v>0.99497724163691126</v>
      </c>
      <c r="AH120" s="9">
        <f t="shared" si="30"/>
        <v>-2.1868528668809804E-2</v>
      </c>
      <c r="AI120" s="9">
        <f t="shared" si="31"/>
        <v>-268.48419568097239</v>
      </c>
      <c r="AJ120" s="9">
        <f t="shared" si="32"/>
        <v>-3.188218085940846</v>
      </c>
      <c r="AK120" s="9">
        <f t="shared" si="33"/>
        <v>479.26020313000225</v>
      </c>
      <c r="AL120" s="9">
        <f>1000*(AA121-AA119)/(A121-A119)*Inputs!$C$11</f>
        <v>-193.39645675700012</v>
      </c>
      <c r="AM120" s="9">
        <f>-2*AL120/Inputs!$C$13</f>
        <v>77.358582702800049</v>
      </c>
      <c r="AN120" s="9">
        <f>-2*AL120/Inputs!$C$14</f>
        <v>11.615402808228236</v>
      </c>
      <c r="AO120" s="9">
        <f t="shared" si="34"/>
        <v>77.358582702800049</v>
      </c>
      <c r="AP120" s="9">
        <f t="shared" si="35"/>
        <v>11.615402808228236</v>
      </c>
      <c r="AQ120" s="9">
        <f>IF(OR(Inputs!$C$27=TRUE,Inputs!$C$27="TRUE",Inputs!$C$27=1),Inputs!$C$46/Inputs!$C$12,0)</f>
        <v>42.134831460674157</v>
      </c>
      <c r="AR120" s="9">
        <f t="shared" si="36"/>
        <v>240.95963917185537</v>
      </c>
      <c r="AS120" s="9">
        <f t="shared" si="37"/>
        <v>325.22930209320367</v>
      </c>
    </row>
    <row r="121" spans="1:45">
      <c r="A121" s="9">
        <f>Inputs!$C$7+119*(Inputs!$C$8-Inputs!$C$7)/240</f>
        <v>-0.5</v>
      </c>
      <c r="B121" s="9">
        <f>Inputs!$C$5+Inputs!$C$9*(A121/Inputs!$C$10)^2</f>
        <v>400.0002777777778</v>
      </c>
      <c r="C121" s="9">
        <f t="shared" si="19"/>
        <v>400.0002777777778</v>
      </c>
      <c r="D121" s="9">
        <f>SQRT((Inputs!$C$52+B121)^2+Inputs!$C$52^2-2*(Inputs!$C$52+B121)*Inputs!$C$52*COS(SQRT(A121^2+Inputs!$C$6^2)/Inputs!$C$52))</f>
        <v>400.98091459906806</v>
      </c>
      <c r="E121" s="9">
        <f t="shared" si="20"/>
        <v>980.6368212902612</v>
      </c>
      <c r="F121" s="9">
        <f>E121/Inputs!$C$12</f>
        <v>550.91956252261866</v>
      </c>
      <c r="G121" s="9">
        <f>2*E121/Inputs!$C$21*1000000</f>
        <v>6.5421046802335576</v>
      </c>
      <c r="H121" s="9">
        <f>SQRT(A121^2+Inputs!$C$6^2)</f>
        <v>25.004999500099974</v>
      </c>
      <c r="I121" s="9">
        <f t="shared" si="21"/>
        <v>3.577045235990127</v>
      </c>
      <c r="J121" s="9">
        <f>DEGREES((2*PI()/Inputs!$C$13)*Inputs!$C$15*SIN(RADIANS(I121)))</f>
        <v>22.460640787379386</v>
      </c>
      <c r="K121" s="9">
        <f t="shared" si="22"/>
        <v>0.99025344811329841</v>
      </c>
      <c r="L121" s="9">
        <f t="shared" si="23"/>
        <v>-4.2536366853748245E-2</v>
      </c>
      <c r="M121" s="9">
        <f>2*(Inputs!$C$9/(Inputs!$C$10^2))*A121</f>
        <v>-1.1111111111111111E-3</v>
      </c>
      <c r="N121" s="9">
        <f>M121*Inputs!$C$11</f>
        <v>-4.4444444444444444E-3</v>
      </c>
      <c r="O121" s="9">
        <f>1000*(D122-D120)/(A122-A120)*Inputs!$C$11</f>
        <v>-10.701542982587853</v>
      </c>
      <c r="P121" s="9">
        <f>-2*O121/Inputs!$C$13</f>
        <v>4.2806171930351411</v>
      </c>
      <c r="Q121" s="9">
        <f>-2*O121/Inputs!$C$14</f>
        <v>0.64273531426954078</v>
      </c>
      <c r="R121" s="9">
        <f>F121-Inputs!$C$16/2</f>
        <v>535.91956252261866</v>
      </c>
      <c r="S121" s="9">
        <f>F121+Inputs!$C$16/2</f>
        <v>565.91956252261866</v>
      </c>
      <c r="T121" s="9">
        <f>F121-Inputs!$C$17/2</f>
        <v>400.91956252261866</v>
      </c>
      <c r="U121" s="9">
        <f>F121+Inputs!$C$17/2</f>
        <v>700.91956252261866</v>
      </c>
      <c r="V121" s="9">
        <f t="shared" si="24"/>
        <v>4.2806171930351411</v>
      </c>
      <c r="W121" s="9">
        <f t="shared" si="25"/>
        <v>0.64273531426954078</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-15.949828195457984</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474.23278667183286</v>
      </c>
      <c r="Z121" s="9">
        <f t="shared" si="26"/>
        <v>400.01622760597326</v>
      </c>
      <c r="AA121" s="9">
        <f>SQRT((Inputs!$C$52+B121)^2+(Inputs!$C$52+Y121/1000)^2-2*(Inputs!$C$52+B121)*(Inputs!$C$52+Y121/1000)*COS(SQRT(A121^2+Inputs!$C$6^2)/Inputs!$C$52))</f>
        <v>400.5081409085256</v>
      </c>
      <c r="AB121" s="9">
        <f t="shared" si="27"/>
        <v>491.91330255234789</v>
      </c>
      <c r="AC121" s="9">
        <f>AB121/Inputs!$C$12</f>
        <v>276.35578795075725</v>
      </c>
      <c r="AD121" s="9">
        <f>2*AB121/Inputs!$C$21*1000000</f>
        <v>3.2816923136361749</v>
      </c>
      <c r="AE121" s="9">
        <f t="shared" si="28"/>
        <v>3.5812801035288899</v>
      </c>
      <c r="AF121" s="9">
        <f>DEGREES((2*PI()/Inputs!$C$13)*Inputs!$C$15*SIN(RADIANS(AE121)))</f>
        <v>22.487197345023421</v>
      </c>
      <c r="AG121" s="9">
        <f t="shared" si="29"/>
        <v>0.99509615185905054</v>
      </c>
      <c r="AH121" s="9">
        <f t="shared" si="30"/>
        <v>-2.1349532198154844E-2</v>
      </c>
      <c r="AI121" s="9">
        <f t="shared" si="31"/>
        <v>-274.56377457186142</v>
      </c>
      <c r="AJ121" s="9">
        <f t="shared" si="32"/>
        <v>-3.2604123665973828</v>
      </c>
      <c r="AK121" s="9">
        <f t="shared" si="33"/>
        <v>490.18261486729085</v>
      </c>
      <c r="AL121" s="9">
        <f>1000*(AA122-AA120)/(A122-A120)*Inputs!$C$11</f>
        <v>-168.03873810113146</v>
      </c>
      <c r="AM121" s="9">
        <f>-2*AL121/Inputs!$C$13</f>
        <v>67.215495240452583</v>
      </c>
      <c r="AN121" s="9">
        <f>-2*AL121/Inputs!$C$14</f>
        <v>10.092416702770659</v>
      </c>
      <c r="AO121" s="9">
        <f t="shared" si="34"/>
        <v>67.215495240452583</v>
      </c>
      <c r="AP121" s="9">
        <f t="shared" si="35"/>
        <v>10.092416702770659</v>
      </c>
      <c r="AQ121" s="9">
        <f>IF(OR(Inputs!$C$27=TRUE,Inputs!$C$27="TRUE",Inputs!$C$27=1),Inputs!$C$46/Inputs!$C$12,0)</f>
        <v>42.134831460674157</v>
      </c>
      <c r="AR121" s="9">
        <f t="shared" si="36"/>
        <v>234.2209564900831</v>
      </c>
      <c r="AS121" s="9">
        <f t="shared" si="37"/>
        <v>318.4906194114314</v>
      </c>
    </row>
    <row r="122" spans="1:45">
      <c r="A122" s="9">
        <f>Inputs!$C$7+120*(Inputs!$C$8-Inputs!$C$7)/240</f>
        <v>0</v>
      </c>
      <c r="B122" s="9">
        <f>Inputs!$C$5+Inputs!$C$9*(A122/Inputs!$C$10)^2</f>
        <v>400</v>
      </c>
      <c r="C122" s="9">
        <f t="shared" si="19"/>
        <v>400</v>
      </c>
      <c r="D122" s="9">
        <f>SQRT((Inputs!$C$52+B122)^2+Inputs!$C$52^2-2*(Inputs!$C$52+B122)*Inputs!$C$52*COS(SQRT(A122^2+Inputs!$C$6^2)/Inputs!$C$52))</f>
        <v>400.98024575140352</v>
      </c>
      <c r="E122" s="9">
        <f t="shared" si="20"/>
        <v>980.24575140351544</v>
      </c>
      <c r="F122" s="9">
        <f>E122/Inputs!$C$12</f>
        <v>550.69986033905366</v>
      </c>
      <c r="G122" s="9">
        <f>2*E122/Inputs!$C$21*1000000</f>
        <v>6.5394957427749265</v>
      </c>
      <c r="H122" s="9">
        <f>SQRT(A122^2+Inputs!$C$6^2)</f>
        <v>25</v>
      </c>
      <c r="I122" s="9">
        <f t="shared" si="21"/>
        <v>3.5763343749973511</v>
      </c>
      <c r="J122" s="9">
        <f>DEGREES((2*PI()/Inputs!$C$13)*Inputs!$C$15*SIN(RADIANS(I122)))</f>
        <v>22.456183015864994</v>
      </c>
      <c r="K122" s="9">
        <f t="shared" si="22"/>
        <v>0.99025730450784655</v>
      </c>
      <c r="L122" s="9">
        <f t="shared" si="23"/>
        <v>-4.2519453934996503E-2</v>
      </c>
      <c r="M122" s="9">
        <f>2*(Inputs!$C$9/(Inputs!$C$10^2))*A122</f>
        <v>0</v>
      </c>
      <c r="N122" s="9">
        <f>M122*Inputs!$C$11</f>
        <v>0</v>
      </c>
      <c r="O122" s="9">
        <f>1000*(D123-D121)/(A123-A121)*Inputs!$C$11</f>
        <v>0</v>
      </c>
      <c r="P122" s="9">
        <f>-2*O122/Inputs!$C$13</f>
        <v>0</v>
      </c>
      <c r="Q122" s="9">
        <f>-2*O122/Inputs!$C$14</f>
        <v>0</v>
      </c>
      <c r="R122" s="9">
        <f>F122-Inputs!$C$16/2</f>
        <v>535.69986033905366</v>
      </c>
      <c r="S122" s="9">
        <f>F122+Inputs!$C$16/2</f>
        <v>565.69986033905366</v>
      </c>
      <c r="T122" s="9">
        <f>F122-Inputs!$C$17/2</f>
        <v>400.69986033905366</v>
      </c>
      <c r="U122" s="9">
        <f>F122+Inputs!$C$17/2</f>
        <v>700.69986033905366</v>
      </c>
      <c r="V122" s="9">
        <f t="shared" si="24"/>
        <v>0</v>
      </c>
      <c r="W122" s="9">
        <f t="shared" si="25"/>
        <v>0</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-4.948127387128106</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480.44802858922253</v>
      </c>
      <c r="Z122" s="9">
        <f t="shared" si="26"/>
        <v>400.00494812738714</v>
      </c>
      <c r="AA122" s="9">
        <f>SQRT((Inputs!$C$52+B122)^2+(Inputs!$C$52+Y122/1000)^2-2*(Inputs!$C$52+B122)*(Inputs!$C$52+Y122/1000)*COS(SQRT(A122^2+Inputs!$C$6^2)/Inputs!$C$52))</f>
        <v>400.50127537719976</v>
      </c>
      <c r="AB122" s="9">
        <f t="shared" si="27"/>
        <v>496.32724981262299</v>
      </c>
      <c r="AC122" s="9">
        <f>AB122/Inputs!$C$12</f>
        <v>278.8355336025972</v>
      </c>
      <c r="AD122" s="9">
        <f>2*AB122/Inputs!$C$21*1000000</f>
        <v>3.3111390001186956</v>
      </c>
      <c r="AE122" s="9">
        <f t="shared" si="28"/>
        <v>3.5806239655136194</v>
      </c>
      <c r="AF122" s="9">
        <f>DEGREES((2*PI()/Inputs!$C$13)*Inputs!$C$15*SIN(RADIANS(AE122)))</f>
        <v>22.483082757536899</v>
      </c>
      <c r="AG122" s="9">
        <f t="shared" si="29"/>
        <v>0.99505214668985897</v>
      </c>
      <c r="AH122" s="9">
        <f t="shared" si="30"/>
        <v>-2.1541590269125378E-2</v>
      </c>
      <c r="AI122" s="9">
        <f t="shared" si="31"/>
        <v>-271.86432673645646</v>
      </c>
      <c r="AJ122" s="9">
        <f t="shared" si="32"/>
        <v>-3.228356742656231</v>
      </c>
      <c r="AK122" s="9">
        <f t="shared" si="33"/>
        <v>485.39615597635066</v>
      </c>
      <c r="AL122" s="9">
        <f>1000*(AA123-AA121)/(A123-A121)*Inputs!$C$11</f>
        <v>-33.944689678719442</v>
      </c>
      <c r="AM122" s="9">
        <f>-2*AL122/Inputs!$C$13</f>
        <v>13.577875871487777</v>
      </c>
      <c r="AN122" s="9">
        <f>-2*AL122/Inputs!$C$14</f>
        <v>2.0387201008239906</v>
      </c>
      <c r="AO122" s="9">
        <f t="shared" si="34"/>
        <v>13.577875871487777</v>
      </c>
      <c r="AP122" s="9">
        <f t="shared" si="35"/>
        <v>2.0387201008239906</v>
      </c>
      <c r="AQ122" s="9">
        <f>IF(OR(Inputs!$C$27=TRUE,Inputs!$C$27="TRUE",Inputs!$C$27=1),Inputs!$C$46/Inputs!$C$12,0)</f>
        <v>42.134831460674157</v>
      </c>
      <c r="AR122" s="9">
        <f t="shared" si="36"/>
        <v>236.70070214192305</v>
      </c>
      <c r="AS122" s="9">
        <f t="shared" si="37"/>
        <v>320.97036506327134</v>
      </c>
    </row>
    <row r="123" spans="1:45">
      <c r="A123" s="9">
        <f>Inputs!$C$7+121*(Inputs!$C$8-Inputs!$C$7)/240</f>
        <v>0.5</v>
      </c>
      <c r="B123" s="9">
        <f>Inputs!$C$5+Inputs!$C$9*(A123/Inputs!$C$10)^2</f>
        <v>400.0002777777778</v>
      </c>
      <c r="C123" s="9">
        <f t="shared" si="19"/>
        <v>400.0002777777778</v>
      </c>
      <c r="D123" s="9">
        <f>SQRT((Inputs!$C$52+B123)^2+Inputs!$C$52^2-2*(Inputs!$C$52+B123)*Inputs!$C$52*COS(SQRT(A123^2+Inputs!$C$6^2)/Inputs!$C$52))</f>
        <v>400.98091459906806</v>
      </c>
      <c r="E123" s="9">
        <f t="shared" si="20"/>
        <v>980.6368212902612</v>
      </c>
      <c r="F123" s="9">
        <f>E123/Inputs!$C$12</f>
        <v>550.91956252261866</v>
      </c>
      <c r="G123" s="9">
        <f>2*E123/Inputs!$C$21*1000000</f>
        <v>6.5421046802335576</v>
      </c>
      <c r="H123" s="9">
        <f>SQRT(A123^2+Inputs!$C$6^2)</f>
        <v>25.004999500099974</v>
      </c>
      <c r="I123" s="9">
        <f t="shared" si="21"/>
        <v>3.577045235990127</v>
      </c>
      <c r="J123" s="9">
        <f>DEGREES((2*PI()/Inputs!$C$13)*Inputs!$C$15*SIN(RADIANS(I123)))</f>
        <v>22.460640787379386</v>
      </c>
      <c r="K123" s="9">
        <f t="shared" si="22"/>
        <v>0.99025344811329841</v>
      </c>
      <c r="L123" s="9">
        <f t="shared" si="23"/>
        <v>-4.2536366853748245E-2</v>
      </c>
      <c r="M123" s="9">
        <f>2*(Inputs!$C$9/(Inputs!$C$10^2))*A123</f>
        <v>1.1111111111111111E-3</v>
      </c>
      <c r="N123" s="9">
        <f>M123*Inputs!$C$11</f>
        <v>4.4444444444444444E-3</v>
      </c>
      <c r="O123" s="9">
        <f>1000*(D124-D122)/(A124-A122)*Inputs!$C$11</f>
        <v>10.701542982587853</v>
      </c>
      <c r="P123" s="9">
        <f>-2*O123/Inputs!$C$13</f>
        <v>-4.2806171930351411</v>
      </c>
      <c r="Q123" s="9">
        <f>-2*O123/Inputs!$C$14</f>
        <v>-0.64273531426954078</v>
      </c>
      <c r="R123" s="9">
        <f>F123-Inputs!$C$16/2</f>
        <v>535.91956252261866</v>
      </c>
      <c r="S123" s="9">
        <f>F123+Inputs!$C$16/2</f>
        <v>565.91956252261866</v>
      </c>
      <c r="T123" s="9">
        <f>F123-Inputs!$C$17/2</f>
        <v>400.91956252261866</v>
      </c>
      <c r="U123" s="9">
        <f>F123+Inputs!$C$17/2</f>
        <v>700.91956252261866</v>
      </c>
      <c r="V123" s="9">
        <f t="shared" si="24"/>
        <v>4.2806171930351411</v>
      </c>
      <c r="W123" s="9">
        <f t="shared" si="25"/>
        <v>0.64273531426954078</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2.2595691323213032</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482.74518112800712</v>
      </c>
      <c r="Z123" s="9">
        <f t="shared" si="26"/>
        <v>399.99801820864548</v>
      </c>
      <c r="AA123" s="9">
        <f>SQRT((Inputs!$C$52+B123)^2+(Inputs!$C$52+Y123/1000)^2-2*(Inputs!$C$52+B123)*(Inputs!$C$52+Y123/1000)*COS(SQRT(A123^2+Inputs!$C$6^2)/Inputs!$C$52))</f>
        <v>400.49965473610592</v>
      </c>
      <c r="AB123" s="9">
        <f t="shared" si="27"/>
        <v>501.63652746044818</v>
      </c>
      <c r="AC123" s="9">
        <f>AB123/Inputs!$C$12</f>
        <v>281.81827385418438</v>
      </c>
      <c r="AD123" s="9">
        <f>2*AB123/Inputs!$C$21*1000000</f>
        <v>3.3465586880137468</v>
      </c>
      <c r="AE123" s="9">
        <f t="shared" si="28"/>
        <v>3.5813562101428889</v>
      </c>
      <c r="AF123" s="9">
        <f>DEGREES((2*PI()/Inputs!$C$13)*Inputs!$C$15*SIN(RADIANS(AE123)))</f>
        <v>22.487674603144551</v>
      </c>
      <c r="AG123" s="9">
        <f t="shared" si="29"/>
        <v>0.99499929811649523</v>
      </c>
      <c r="AH123" s="9">
        <f t="shared" si="30"/>
        <v>-2.1772256102952203E-2</v>
      </c>
      <c r="AI123" s="9">
        <f t="shared" si="31"/>
        <v>-269.10128866843428</v>
      </c>
      <c r="AJ123" s="9">
        <f t="shared" si="32"/>
        <v>-3.1955459922198108</v>
      </c>
      <c r="AK123" s="9">
        <f t="shared" si="33"/>
        <v>480.48561199568582</v>
      </c>
      <c r="AL123" s="9">
        <f>1000*(AA124-AA122)/(A124-A122)*Inputs!$C$11</f>
        <v>-57.612176833117701</v>
      </c>
      <c r="AM123" s="9">
        <f>-2*AL123/Inputs!$C$13</f>
        <v>23.04487073324708</v>
      </c>
      <c r="AN123" s="9">
        <f>-2*AL123/Inputs!$C$14</f>
        <v>3.4601908007878501</v>
      </c>
      <c r="AO123" s="9">
        <f t="shared" si="34"/>
        <v>23.04487073324708</v>
      </c>
      <c r="AP123" s="9">
        <f t="shared" si="35"/>
        <v>3.4601908007878501</v>
      </c>
      <c r="AQ123" s="9">
        <f>IF(OR(Inputs!$C$27=TRUE,Inputs!$C$27="TRUE",Inputs!$C$27=1),Inputs!$C$46/Inputs!$C$12,0)</f>
        <v>42.134831460674157</v>
      </c>
      <c r="AR123" s="9">
        <f t="shared" si="36"/>
        <v>239.68344239351023</v>
      </c>
      <c r="AS123" s="9">
        <f t="shared" si="37"/>
        <v>323.95310531485853</v>
      </c>
    </row>
    <row r="124" spans="1:45">
      <c r="A124" s="9">
        <f>Inputs!$C$7+122*(Inputs!$C$8-Inputs!$C$7)/240</f>
        <v>1</v>
      </c>
      <c r="B124" s="9">
        <f>Inputs!$C$5+Inputs!$C$9*(A124/Inputs!$C$10)^2</f>
        <v>400.00111111111113</v>
      </c>
      <c r="C124" s="9">
        <f t="shared" si="19"/>
        <v>400.00111111111113</v>
      </c>
      <c r="D124" s="9">
        <f>SQRT((Inputs!$C$52+B124)^2+Inputs!$C$52^2-2*(Inputs!$C$52+B124)*Inputs!$C$52*COS(SQRT(A124^2+Inputs!$C$6^2)/Inputs!$C$52))</f>
        <v>400.98292113714916</v>
      </c>
      <c r="E124" s="9">
        <f t="shared" si="20"/>
        <v>981.81002603803336</v>
      </c>
      <c r="F124" s="9">
        <f>E124/Inputs!$C$12</f>
        <v>551.57866631350191</v>
      </c>
      <c r="G124" s="9">
        <f>2*E124/Inputs!$C$21*1000000</f>
        <v>6.5499314598370137</v>
      </c>
      <c r="H124" s="9">
        <f>SQRT(A124^2+Inputs!$C$6^2)</f>
        <v>25.019992006393608</v>
      </c>
      <c r="I124" s="9">
        <f t="shared" si="21"/>
        <v>3.5791769511981175</v>
      </c>
      <c r="J124" s="9">
        <f>DEGREES((2*PI()/Inputs!$C$13)*Inputs!$C$15*SIN(RADIANS(I124)))</f>
        <v>22.474008639448687</v>
      </c>
      <c r="K124" s="9">
        <f t="shared" si="22"/>
        <v>0.99024187912295081</v>
      </c>
      <c r="L124" s="9">
        <f t="shared" si="23"/>
        <v>-4.258710515744546E-2</v>
      </c>
      <c r="M124" s="9">
        <f>2*(Inputs!$C$9/(Inputs!$C$10^2))*A124</f>
        <v>2.2222222222222222E-3</v>
      </c>
      <c r="N124" s="9">
        <f>M124*Inputs!$C$11</f>
        <v>8.8888888888888889E-3</v>
      </c>
      <c r="O124" s="9">
        <f>1000*(D125-D123)/(A125-A123)*Inputs!$C$11</f>
        <v>21.403007352773784</v>
      </c>
      <c r="P124" s="9">
        <f>-2*O124/Inputs!$C$13</f>
        <v>-8.5612029411095136</v>
      </c>
      <c r="Q124" s="9">
        <f>-2*O124/Inputs!$C$14</f>
        <v>-1.2854659070735006</v>
      </c>
      <c r="R124" s="9">
        <f>F124-Inputs!$C$16/2</f>
        <v>536.57866631350191</v>
      </c>
      <c r="S124" s="9">
        <f>F124+Inputs!$C$16/2</f>
        <v>566.57866631350191</v>
      </c>
      <c r="T124" s="9">
        <f>F124-Inputs!$C$17/2</f>
        <v>401.57866631350191</v>
      </c>
      <c r="U124" s="9">
        <f>F124+Inputs!$C$17/2</f>
        <v>701.57866631350191</v>
      </c>
      <c r="V124" s="9">
        <f t="shared" si="24"/>
        <v>8.5612029411095136</v>
      </c>
      <c r="W124" s="9">
        <f t="shared" si="25"/>
        <v>1.2854659070735006</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43.076446221267872</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497.58165314697214</v>
      </c>
      <c r="Z124" s="9">
        <f t="shared" si="26"/>
        <v>399.95803466488985</v>
      </c>
      <c r="AA124" s="9">
        <f>SQRT((Inputs!$C$52+B124)^2+(Inputs!$C$52+Y124/1000)^2-2*(Inputs!$C$52+B124)*(Inputs!$C$52+Y124/1000)*COS(SQRT(A124^2+Inputs!$C$6^2)/Inputs!$C$52))</f>
        <v>400.48687233299148</v>
      </c>
      <c r="AB124" s="9">
        <f t="shared" si="27"/>
        <v>528.83766810163024</v>
      </c>
      <c r="AC124" s="9">
        <f>AB124/Inputs!$C$12</f>
        <v>297.09981354024171</v>
      </c>
      <c r="AD124" s="9">
        <f>2*AB124/Inputs!$C$21*1000000</f>
        <v>3.5280251653404182</v>
      </c>
      <c r="AE124" s="9">
        <f t="shared" si="28"/>
        <v>3.5836232063166911</v>
      </c>
      <c r="AF124" s="9">
        <f>DEGREES((2*PI()/Inputs!$C$13)*Inputs!$C$15*SIN(RADIANS(AE124)))</f>
        <v>22.501890725670048</v>
      </c>
      <c r="AG124" s="9">
        <f t="shared" si="29"/>
        <v>0.99472850531124068</v>
      </c>
      <c r="AH124" s="9">
        <f t="shared" si="30"/>
        <v>-2.295436575216793E-2</v>
      </c>
      <c r="AI124" s="9">
        <f t="shared" si="31"/>
        <v>-254.4788527732602</v>
      </c>
      <c r="AJ124" s="9">
        <f t="shared" si="32"/>
        <v>-3.0219062944965955</v>
      </c>
      <c r="AK124" s="9">
        <f t="shared" si="33"/>
        <v>454.50520692570427</v>
      </c>
      <c r="AL124" s="9">
        <f>1000*(AA125-AA123)/(A125-A123)*Inputs!$C$11</f>
        <v>-114.63205463314807</v>
      </c>
      <c r="AM124" s="9">
        <f>-2*AL124/Inputs!$C$13</f>
        <v>45.852821853259229</v>
      </c>
      <c r="AN124" s="9">
        <f>-2*AL124/Inputs!$C$14</f>
        <v>6.8848080860749601</v>
      </c>
      <c r="AO124" s="9">
        <f t="shared" si="34"/>
        <v>45.852821853259229</v>
      </c>
      <c r="AP124" s="9">
        <f t="shared" si="35"/>
        <v>6.8848080860749601</v>
      </c>
      <c r="AQ124" s="9">
        <f>IF(OR(Inputs!$C$27=TRUE,Inputs!$C$27="TRUE",Inputs!$C$27=1),Inputs!$C$46/Inputs!$C$12,0)</f>
        <v>42.134831460674157</v>
      </c>
      <c r="AR124" s="9">
        <f t="shared" si="36"/>
        <v>254.96498207956756</v>
      </c>
      <c r="AS124" s="9">
        <f t="shared" si="37"/>
        <v>339.23464500091586</v>
      </c>
    </row>
    <row r="125" spans="1:45">
      <c r="A125" s="9">
        <f>Inputs!$C$7+123*(Inputs!$C$8-Inputs!$C$7)/240</f>
        <v>1.5</v>
      </c>
      <c r="B125" s="9">
        <f>Inputs!$C$5+Inputs!$C$9*(A125/Inputs!$C$10)^2</f>
        <v>400.0025</v>
      </c>
      <c r="C125" s="9">
        <f t="shared" si="19"/>
        <v>400.0025</v>
      </c>
      <c r="D125" s="9">
        <f>SQRT((Inputs!$C$52+B125)^2+Inputs!$C$52^2-2*(Inputs!$C$52+B125)*Inputs!$C$52*COS(SQRT(A125^2+Inputs!$C$6^2)/Inputs!$C$52))</f>
        <v>400.98626535090625</v>
      </c>
      <c r="E125" s="9">
        <f t="shared" si="20"/>
        <v>983.76535090625339</v>
      </c>
      <c r="F125" s="9">
        <f>E125/Inputs!$C$12</f>
        <v>552.67716343047937</v>
      </c>
      <c r="G125" s="9">
        <f>2*E125/Inputs!$C$21*1000000</f>
        <v>6.5629759832467389</v>
      </c>
      <c r="H125" s="9">
        <f>SQRT(A125^2+Inputs!$C$6^2)</f>
        <v>25.044959572736389</v>
      </c>
      <c r="I125" s="9">
        <f t="shared" si="21"/>
        <v>3.5827269224738951</v>
      </c>
      <c r="J125" s="9">
        <f>DEGREES((2*PI()/Inputs!$C$13)*Inputs!$C$15*SIN(RADIANS(I125)))</f>
        <v>22.496270217117086</v>
      </c>
      <c r="K125" s="9">
        <f t="shared" si="22"/>
        <v>0.99022259811670676</v>
      </c>
      <c r="L125" s="9">
        <f t="shared" si="23"/>
        <v>-4.2671667488290856E-2</v>
      </c>
      <c r="M125" s="9">
        <f>2*(Inputs!$C$9/(Inputs!$C$10^2))*A125</f>
        <v>3.3333333333333331E-3</v>
      </c>
      <c r="N125" s="9">
        <f>M125*Inputs!$C$11</f>
        <v>1.3333333333333332E-2</v>
      </c>
      <c r="O125" s="9">
        <f>1000*(D126-D124)/(A126-A124)*Inputs!$C$11</f>
        <v>32.104314473826889</v>
      </c>
      <c r="P125" s="9">
        <f>-2*O125/Inputs!$C$13</f>
        <v>-12.841725789530756</v>
      </c>
      <c r="Q125" s="9">
        <f>-2*O125/Inputs!$C$14</f>
        <v>-1.9281870554850986</v>
      </c>
      <c r="R125" s="9">
        <f>F125-Inputs!$C$16/2</f>
        <v>537.67716343047937</v>
      </c>
      <c r="S125" s="9">
        <f>F125+Inputs!$C$16/2</f>
        <v>567.67716343047937</v>
      </c>
      <c r="T125" s="9">
        <f>F125-Inputs!$C$17/2</f>
        <v>402.67716343047937</v>
      </c>
      <c r="U125" s="9">
        <f>F125+Inputs!$C$17/2</f>
        <v>702.67716343047937</v>
      </c>
      <c r="V125" s="9">
        <f t="shared" si="24"/>
        <v>12.841725789530756</v>
      </c>
      <c r="W125" s="9">
        <f t="shared" si="25"/>
        <v>1.9281870554850986</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46.814954828478903</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516.864115303311</v>
      </c>
      <c r="Z125" s="9">
        <f t="shared" si="26"/>
        <v>399.95568504517149</v>
      </c>
      <c r="AA125" s="9">
        <f>SQRT((Inputs!$C$52+B125)^2+(Inputs!$C$52+Y125/1000)^2-2*(Inputs!$C$52+B125)*(Inputs!$C$52+Y125/1000)*COS(SQRT(A125^2+Inputs!$C$6^2)/Inputs!$C$52))</f>
        <v>400.47099672244764</v>
      </c>
      <c r="AB125" s="9">
        <f t="shared" si="27"/>
        <v>515.31167727614502</v>
      </c>
      <c r="AC125" s="9">
        <f>AB125/Inputs!$C$12</f>
        <v>289.50094228996909</v>
      </c>
      <c r="AD125" s="9">
        <f>2*AB125/Inputs!$C$21*1000000</f>
        <v>3.437789467513189</v>
      </c>
      <c r="AE125" s="9">
        <f t="shared" si="28"/>
        <v>3.5873502435956905</v>
      </c>
      <c r="AF125" s="9">
        <f>DEGREES((2*PI()/Inputs!$C$13)*Inputs!$C$15*SIN(RADIANS(AE125)))</f>
        <v>22.52526255383323</v>
      </c>
      <c r="AG125" s="9">
        <f t="shared" si="29"/>
        <v>0.99486286989428518</v>
      </c>
      <c r="AH125" s="9">
        <f t="shared" si="30"/>
        <v>-2.2367774979857782E-2</v>
      </c>
      <c r="AI125" s="9">
        <f t="shared" si="31"/>
        <v>-263.17622114051028</v>
      </c>
      <c r="AJ125" s="9">
        <f t="shared" si="32"/>
        <v>-3.1251865157335499</v>
      </c>
      <c r="AK125" s="9">
        <f t="shared" si="33"/>
        <v>470.04916047483209</v>
      </c>
      <c r="AL125" s="9">
        <f>1000*(AA126-AA124)/(A126-A124)*Inputs!$C$11</f>
        <v>-115.1080303402523</v>
      </c>
      <c r="AM125" s="9">
        <f>-2*AL125/Inputs!$C$13</f>
        <v>46.043212136100919</v>
      </c>
      <c r="AN125" s="9">
        <f>-2*AL125/Inputs!$C$14</f>
        <v>6.9133952156307696</v>
      </c>
      <c r="AO125" s="9">
        <f t="shared" si="34"/>
        <v>46.043212136100919</v>
      </c>
      <c r="AP125" s="9">
        <f t="shared" si="35"/>
        <v>6.9133952156307696</v>
      </c>
      <c r="AQ125" s="9">
        <f>IF(OR(Inputs!$C$27=TRUE,Inputs!$C$27="TRUE",Inputs!$C$27=1),Inputs!$C$46/Inputs!$C$12,0)</f>
        <v>42.134831460674157</v>
      </c>
      <c r="AR125" s="9">
        <f t="shared" si="36"/>
        <v>247.36611082929494</v>
      </c>
      <c r="AS125" s="9">
        <f t="shared" si="37"/>
        <v>331.63577375064324</v>
      </c>
    </row>
    <row r="126" spans="1:45">
      <c r="A126" s="9">
        <f>Inputs!$C$7+124*(Inputs!$C$8-Inputs!$C$7)/240</f>
        <v>2</v>
      </c>
      <c r="B126" s="9">
        <f>Inputs!$C$5+Inputs!$C$9*(A126/Inputs!$C$10)^2</f>
        <v>400.00444444444446</v>
      </c>
      <c r="C126" s="9">
        <f t="shared" si="19"/>
        <v>400.00444444444446</v>
      </c>
      <c r="D126" s="9">
        <f>SQRT((Inputs!$C$52+B126)^2+Inputs!$C$52^2-2*(Inputs!$C$52+B126)*Inputs!$C$52*COS(SQRT(A126^2+Inputs!$C$6^2)/Inputs!$C$52))</f>
        <v>400.99094721576762</v>
      </c>
      <c r="E126" s="9">
        <f t="shared" si="20"/>
        <v>986.50277132315978</v>
      </c>
      <c r="F126" s="9">
        <f>E126/Inputs!$C$12</f>
        <v>554.21504006919088</v>
      </c>
      <c r="G126" s="9">
        <f>2*E126/Inputs!$C$21*1000000</f>
        <v>6.5812380865375859</v>
      </c>
      <c r="H126" s="9">
        <f>SQRT(A126^2+Inputs!$C$6^2)</f>
        <v>25.079872407968907</v>
      </c>
      <c r="I126" s="9">
        <f t="shared" si="21"/>
        <v>3.5876908367118432</v>
      </c>
      <c r="J126" s="9">
        <f>DEGREES((2*PI()/Inputs!$C$13)*Inputs!$C$15*SIN(RADIANS(I126)))</f>
        <v>22.52739836989279</v>
      </c>
      <c r="K126" s="9">
        <f t="shared" si="22"/>
        <v>0.99019560606104562</v>
      </c>
      <c r="L126" s="9">
        <f t="shared" si="23"/>
        <v>-4.2790051583174026E-2</v>
      </c>
      <c r="M126" s="9">
        <f>2*(Inputs!$C$9/(Inputs!$C$10^2))*A126</f>
        <v>4.4444444444444444E-3</v>
      </c>
      <c r="N126" s="9">
        <f>M126*Inputs!$C$11</f>
        <v>1.7777777777777778E-2</v>
      </c>
      <c r="O126" s="9">
        <f>1000*(D127-D125)/(A127-A125)*Inputs!$C$11</f>
        <v>42.805385754263625</v>
      </c>
      <c r="P126" s="9">
        <f>-2*O126/Inputs!$C$13</f>
        <v>-17.12215430170545</v>
      </c>
      <c r="Q126" s="9">
        <f>-2*O126/Inputs!$C$14</f>
        <v>-2.570894039295113</v>
      </c>
      <c r="R126" s="9">
        <f>F126-Inputs!$C$16/2</f>
        <v>539.21504006919088</v>
      </c>
      <c r="S126" s="9">
        <f>F126+Inputs!$C$16/2</f>
        <v>569.21504006919088</v>
      </c>
      <c r="T126" s="9">
        <f>F126-Inputs!$C$17/2</f>
        <v>404.21504006919088</v>
      </c>
      <c r="U126" s="9">
        <f>F126+Inputs!$C$17/2</f>
        <v>704.21504006919088</v>
      </c>
      <c r="V126" s="9">
        <f t="shared" si="24"/>
        <v>17.12215430170545</v>
      </c>
      <c r="W126" s="9">
        <f t="shared" si="25"/>
        <v>2.570894039295113</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65.558177903204651</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534.50648407239817</v>
      </c>
      <c r="Z126" s="9">
        <f t="shared" si="26"/>
        <v>399.93888626654126</v>
      </c>
      <c r="AA126" s="9">
        <f>SQRT((Inputs!$C$52+B126)^2+(Inputs!$C$52+Y126/1000)^2-2*(Inputs!$C$52+B126)*(Inputs!$C$52+Y126/1000)*COS(SQRT(A126^2+Inputs!$C$6^2)/Inputs!$C$52))</f>
        <v>400.45809532540642</v>
      </c>
      <c r="AB126" s="9">
        <f t="shared" si="27"/>
        <v>519.20905886515811</v>
      </c>
      <c r="AC126" s="9">
        <f>AB126/Inputs!$C$12</f>
        <v>291.6904825085158</v>
      </c>
      <c r="AD126" s="9">
        <f>2*AB126/Inputs!$C$21*1000000</f>
        <v>3.4637899987808107</v>
      </c>
      <c r="AE126" s="9">
        <f t="shared" si="28"/>
        <v>3.5924787447746764</v>
      </c>
      <c r="AF126" s="9">
        <f>DEGREES((2*PI()/Inputs!$C$13)*Inputs!$C$15*SIN(RADIANS(AE126)))</f>
        <v>22.557422647367524</v>
      </c>
      <c r="AG126" s="9">
        <f t="shared" si="29"/>
        <v>0.99482392613690396</v>
      </c>
      <c r="AH126" s="9">
        <f t="shared" si="30"/>
        <v>-2.2537782228949869E-2</v>
      </c>
      <c r="AI126" s="9">
        <f t="shared" si="31"/>
        <v>-262.52455756067508</v>
      </c>
      <c r="AJ126" s="9">
        <f t="shared" si="32"/>
        <v>-3.1174480877567752</v>
      </c>
      <c r="AK126" s="9">
        <f t="shared" si="33"/>
        <v>468.94830616919353</v>
      </c>
      <c r="AL126" s="9">
        <f>1000*(AA127-AA125)/(A127-A125)*Inputs!$C$11</f>
        <v>-88.212018202511899</v>
      </c>
      <c r="AM126" s="9">
        <f>-2*AL126/Inputs!$C$13</f>
        <v>35.28480728100476</v>
      </c>
      <c r="AN126" s="9">
        <f>-2*AL126/Inputs!$C$14</f>
        <v>5.2980191112619766</v>
      </c>
      <c r="AO126" s="9">
        <f t="shared" si="34"/>
        <v>35.28480728100476</v>
      </c>
      <c r="AP126" s="9">
        <f t="shared" si="35"/>
        <v>5.2980191112619766</v>
      </c>
      <c r="AQ126" s="9">
        <f>IF(OR(Inputs!$C$27=TRUE,Inputs!$C$27="TRUE",Inputs!$C$27=1),Inputs!$C$46/Inputs!$C$12,0)</f>
        <v>42.134831460674157</v>
      </c>
      <c r="AR126" s="9">
        <f t="shared" si="36"/>
        <v>249.55565104784165</v>
      </c>
      <c r="AS126" s="9">
        <f t="shared" si="37"/>
        <v>333.82531396918995</v>
      </c>
    </row>
    <row r="127" spans="1:45">
      <c r="A127" s="9">
        <f>Inputs!$C$7+125*(Inputs!$C$8-Inputs!$C$7)/240</f>
        <v>2.5</v>
      </c>
      <c r="B127" s="9">
        <f>Inputs!$C$5+Inputs!$C$9*(A127/Inputs!$C$10)^2</f>
        <v>400.00694444444446</v>
      </c>
      <c r="C127" s="9">
        <f t="shared" si="19"/>
        <v>400.00694444444446</v>
      </c>
      <c r="D127" s="9">
        <f>SQRT((Inputs!$C$52+B127)^2+Inputs!$C$52^2-2*(Inputs!$C$52+B127)*Inputs!$C$52*COS(SQRT(A127^2+Inputs!$C$6^2)/Inputs!$C$52))</f>
        <v>400.99696669734482</v>
      </c>
      <c r="E127" s="9">
        <f t="shared" si="20"/>
        <v>990.02225290035994</v>
      </c>
      <c r="F127" s="9">
        <f>E127/Inputs!$C$12</f>
        <v>556.1922769103146</v>
      </c>
      <c r="G127" s="9">
        <f>2*E127/Inputs!$C$21*1000000</f>
        <v>6.6047175402948932</v>
      </c>
      <c r="H127" s="9">
        <f>SQRT(A127^2+Inputs!$C$6^2)</f>
        <v>25.124689052802225</v>
      </c>
      <c r="I127" s="9">
        <f t="shared" si="21"/>
        <v>3.5940626913086393</v>
      </c>
      <c r="J127" s="9">
        <f>DEGREES((2*PI()/Inputs!$C$13)*Inputs!$C$15*SIN(RADIANS(I127)))</f>
        <v>22.567355311830532</v>
      </c>
      <c r="K127" s="9">
        <f t="shared" si="22"/>
        <v>0.99016090430877812</v>
      </c>
      <c r="L127" s="9">
        <f t="shared" si="23"/>
        <v>-4.2942254274404359E-2</v>
      </c>
      <c r="M127" s="9">
        <f>2*(Inputs!$C$9/(Inputs!$C$10^2))*A127</f>
        <v>5.5555555555555558E-3</v>
      </c>
      <c r="N127" s="9">
        <f>M127*Inputs!$C$11</f>
        <v>2.2222222222222223E-2</v>
      </c>
      <c r="O127" s="9">
        <f>1000*(D128-D126)/(A128-A126)*Inputs!$C$11</f>
        <v>53.506142605556306</v>
      </c>
      <c r="P127" s="9">
        <f>-2*O127/Inputs!$C$13</f>
        <v>-21.402457042222522</v>
      </c>
      <c r="Q127" s="9">
        <f>-2*O127/Inputs!$C$14</f>
        <v>-3.2135821384718506</v>
      </c>
      <c r="R127" s="9">
        <f>F127-Inputs!$C$16/2</f>
        <v>541.1922769103146</v>
      </c>
      <c r="S127" s="9">
        <f>F127+Inputs!$C$16/2</f>
        <v>571.1922769103146</v>
      </c>
      <c r="T127" s="9">
        <f>F127-Inputs!$C$17/2</f>
        <v>406.1922769103146</v>
      </c>
      <c r="U127" s="9">
        <f>F127+Inputs!$C$17/2</f>
        <v>706.1922769103146</v>
      </c>
      <c r="V127" s="9">
        <f t="shared" si="24"/>
        <v>21.402457042222522</v>
      </c>
      <c r="W127" s="9">
        <f t="shared" si="25"/>
        <v>3.2135821384718506</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70.900883626482283</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549.73081486924821</v>
      </c>
      <c r="Z127" s="9">
        <f t="shared" si="26"/>
        <v>399.93604356081795</v>
      </c>
      <c r="AA127" s="9">
        <f>SQRT((Inputs!$C$52+B127)^2+(Inputs!$C$52+Y127/1000)^2-2*(Inputs!$C$52+B127)*(Inputs!$C$52+Y127/1000)*COS(SQRT(A127^2+Inputs!$C$6^2)/Inputs!$C$52))</f>
        <v>400.44894371789701</v>
      </c>
      <c r="AB127" s="9">
        <f t="shared" si="27"/>
        <v>512.90015707905923</v>
      </c>
      <c r="AC127" s="9">
        <f>AB127/Inputs!$C$12</f>
        <v>288.1461556623928</v>
      </c>
      <c r="AD127" s="9">
        <f>2*AB127/Inputs!$C$21*1000000</f>
        <v>3.4217015364613292</v>
      </c>
      <c r="AE127" s="9">
        <f t="shared" si="28"/>
        <v>3.5989958292968733</v>
      </c>
      <c r="AF127" s="9">
        <f>DEGREES((2*PI()/Inputs!$C$13)*Inputs!$C$15*SIN(RADIANS(AE127)))</f>
        <v>22.598290086614817</v>
      </c>
      <c r="AG127" s="9">
        <f t="shared" si="29"/>
        <v>0.99488658304567745</v>
      </c>
      <c r="AH127" s="9">
        <f t="shared" si="30"/>
        <v>-2.2264259526859724E-2</v>
      </c>
      <c r="AI127" s="9">
        <f t="shared" si="31"/>
        <v>-268.0461212479218</v>
      </c>
      <c r="AJ127" s="9">
        <f t="shared" si="32"/>
        <v>-3.183016003833564</v>
      </c>
      <c r="AK127" s="9">
        <f t="shared" si="33"/>
        <v>478.82993124276595</v>
      </c>
      <c r="AL127" s="9">
        <f>1000*(AA128-AA126)/(A128-A126)*Inputs!$C$11</f>
        <v>44.24114223934339</v>
      </c>
      <c r="AM127" s="9">
        <f>-2*AL127/Inputs!$C$13</f>
        <v>-17.696456895737356</v>
      </c>
      <c r="AN127" s="9">
        <f>-2*AL127/Inputs!$C$14</f>
        <v>-2.6571256600206241</v>
      </c>
      <c r="AO127" s="9">
        <f t="shared" si="34"/>
        <v>17.696456895737356</v>
      </c>
      <c r="AP127" s="9">
        <f t="shared" si="35"/>
        <v>2.6571256600206241</v>
      </c>
      <c r="AQ127" s="9">
        <f>IF(OR(Inputs!$C$27=TRUE,Inputs!$C$27="TRUE",Inputs!$C$27=1),Inputs!$C$46/Inputs!$C$12,0)</f>
        <v>42.134831460674157</v>
      </c>
      <c r="AR127" s="9">
        <f t="shared" si="36"/>
        <v>246.01132420171865</v>
      </c>
      <c r="AS127" s="9">
        <f t="shared" si="37"/>
        <v>330.28098712306695</v>
      </c>
    </row>
    <row r="128" spans="1:45">
      <c r="A128" s="9">
        <f>Inputs!$C$7+126*(Inputs!$C$8-Inputs!$C$7)/240</f>
        <v>3</v>
      </c>
      <c r="B128" s="9">
        <f>Inputs!$C$5+Inputs!$C$9*(A128/Inputs!$C$10)^2</f>
        <v>400.01</v>
      </c>
      <c r="C128" s="9">
        <f t="shared" si="19"/>
        <v>400.01</v>
      </c>
      <c r="D128" s="9">
        <f>SQRT((Inputs!$C$52+B128)^2+Inputs!$C$52^2-2*(Inputs!$C$52+B128)*Inputs!$C$52*COS(SQRT(A128^2+Inputs!$C$6^2)/Inputs!$C$52))</f>
        <v>401.00432375141901</v>
      </c>
      <c r="E128" s="9">
        <f t="shared" si="20"/>
        <v>994.3237514190173</v>
      </c>
      <c r="F128" s="9">
        <f>E128/Inputs!$C$12</f>
        <v>558.60884911180744</v>
      </c>
      <c r="G128" s="9">
        <f>2*E128/Inputs!$C$21*1000000</f>
        <v>6.6334140495223348</v>
      </c>
      <c r="H128" s="9">
        <f>SQRT(A128^2+Inputs!$C$6^2)</f>
        <v>25.179356624028344</v>
      </c>
      <c r="I128" s="9">
        <f t="shared" si="21"/>
        <v>3.6018348293149773</v>
      </c>
      <c r="J128" s="9">
        <f>DEGREES((2*PI()/Inputs!$C$13)*Inputs!$C$15*SIN(RADIANS(I128)))</f>
        <v>22.616092842548554</v>
      </c>
      <c r="K128" s="9">
        <f t="shared" si="22"/>
        <v>0.99011849459904366</v>
      </c>
      <c r="L128" s="9">
        <f t="shared" si="23"/>
        <v>-4.3128271489245543E-2</v>
      </c>
      <c r="M128" s="9">
        <f>2*(Inputs!$C$9/(Inputs!$C$10^2))*A128</f>
        <v>6.6666666666666662E-3</v>
      </c>
      <c r="N128" s="9">
        <f>M128*Inputs!$C$11</f>
        <v>2.6666666666666665E-2</v>
      </c>
      <c r="O128" s="9">
        <f>1000*(D129-D127)/(A129-A127)*Inputs!$C$11</f>
        <v>64.206506425989573</v>
      </c>
      <c r="P128" s="9">
        <f>-2*O128/Inputs!$C$13</f>
        <v>-25.682602570395829</v>
      </c>
      <c r="Q128" s="9">
        <f>-2*O128/Inputs!$C$14</f>
        <v>-3.8562466321915663</v>
      </c>
      <c r="R128" s="9">
        <f>F128-Inputs!$C$16/2</f>
        <v>543.60884911180744</v>
      </c>
      <c r="S128" s="9">
        <f>F128+Inputs!$C$16/2</f>
        <v>573.60884911180744</v>
      </c>
      <c r="T128" s="9">
        <f>F128-Inputs!$C$17/2</f>
        <v>408.60884911180744</v>
      </c>
      <c r="U128" s="9">
        <f>F128+Inputs!$C$17/2</f>
        <v>708.60884911180744</v>
      </c>
      <c r="V128" s="9">
        <f t="shared" si="24"/>
        <v>25.682602570395829</v>
      </c>
      <c r="W128" s="9">
        <f t="shared" si="25"/>
        <v>3.8562466321915663</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82.120865864262811</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536.84310410266767</v>
      </c>
      <c r="Z128" s="9">
        <f t="shared" si="26"/>
        <v>399.92787913413571</v>
      </c>
      <c r="AA128" s="9">
        <f>SQRT((Inputs!$C$52+B128)^2+(Inputs!$C$52+Y128/1000)^2-2*(Inputs!$C$52+B128)*(Inputs!$C$52+Y128/1000)*COS(SQRT(A128^2+Inputs!$C$6^2)/Inputs!$C$52))</f>
        <v>400.46915561096625</v>
      </c>
      <c r="AB128" s="9">
        <f t="shared" si="27"/>
        <v>541.27647683054647</v>
      </c>
      <c r="AC128" s="9">
        <f>AB128/Inputs!$C$12</f>
        <v>304.08790833176766</v>
      </c>
      <c r="AD128" s="9">
        <f>2*AB128/Inputs!$C$21*1000000</f>
        <v>3.6110079649204949</v>
      </c>
      <c r="AE128" s="9">
        <f t="shared" si="28"/>
        <v>3.606662487132426</v>
      </c>
      <c r="AF128" s="9">
        <f>DEGREES((2*PI()/Inputs!$C$13)*Inputs!$C$15*SIN(RADIANS(AE128)))</f>
        <v>22.646365914506863</v>
      </c>
      <c r="AG128" s="9">
        <f t="shared" si="29"/>
        <v>0.99460452752451478</v>
      </c>
      <c r="AH128" s="9">
        <f t="shared" si="30"/>
        <v>-2.3495681538259247E-2</v>
      </c>
      <c r="AI128" s="9">
        <f t="shared" si="31"/>
        <v>-254.52094078003978</v>
      </c>
      <c r="AJ128" s="9">
        <f t="shared" si="32"/>
        <v>-3.0224060846018399</v>
      </c>
      <c r="AK128" s="9">
        <f t="shared" si="33"/>
        <v>454.72223823840488</v>
      </c>
      <c r="AL128" s="9">
        <f>1000*(AA129-AA127)/(A129-A127)*Inputs!$C$11</f>
        <v>11.68387457710196</v>
      </c>
      <c r="AM128" s="9">
        <f>-2*AL128/Inputs!$C$13</f>
        <v>-4.6735498308407841</v>
      </c>
      <c r="AN128" s="9">
        <f>-2*AL128/Inputs!$C$14</f>
        <v>-0.70173420883495263</v>
      </c>
      <c r="AO128" s="9">
        <f t="shared" si="34"/>
        <v>4.6735498308407841</v>
      </c>
      <c r="AP128" s="9">
        <f t="shared" si="35"/>
        <v>0.70173420883495263</v>
      </c>
      <c r="AQ128" s="9">
        <f>IF(OR(Inputs!$C$27=TRUE,Inputs!$C$27="TRUE",Inputs!$C$27=1),Inputs!$C$46/Inputs!$C$12,0)</f>
        <v>42.134831460674157</v>
      </c>
      <c r="AR128" s="9">
        <f t="shared" si="36"/>
        <v>261.95307687109351</v>
      </c>
      <c r="AS128" s="9">
        <f t="shared" si="37"/>
        <v>346.22273979244181</v>
      </c>
    </row>
    <row r="129" spans="1:45">
      <c r="A129" s="9">
        <f>Inputs!$C$7+127*(Inputs!$C$8-Inputs!$C$7)/240</f>
        <v>3.5</v>
      </c>
      <c r="B129" s="9">
        <f>Inputs!$C$5+Inputs!$C$9*(A129/Inputs!$C$10)^2</f>
        <v>400.01361111111112</v>
      </c>
      <c r="C129" s="9">
        <f t="shared" si="19"/>
        <v>400.01361111111112</v>
      </c>
      <c r="D129" s="9">
        <f>SQRT((Inputs!$C$52+B129)^2+Inputs!$C$52^2-2*(Inputs!$C$52+B129)*Inputs!$C$52*COS(SQRT(A129^2+Inputs!$C$6^2)/Inputs!$C$52))</f>
        <v>401.01301832395131</v>
      </c>
      <c r="E129" s="9">
        <f t="shared" si="20"/>
        <v>999.40721284019673</v>
      </c>
      <c r="F129" s="9">
        <f>E129/Inputs!$C$12</f>
        <v>561.46472631471727</v>
      </c>
      <c r="G129" s="9">
        <f>2*E129/Inputs!$C$21*1000000</f>
        <v>6.667327253710944</v>
      </c>
      <c r="H129" s="9">
        <f>SQRT(A129^2+Inputs!$C$6^2)</f>
        <v>25.243811122728676</v>
      </c>
      <c r="I129" s="9">
        <f t="shared" si="21"/>
        <v>3.6109979838002473</v>
      </c>
      <c r="J129" s="9">
        <f>DEGREES((2*PI()/Inputs!$C$13)*Inputs!$C$15*SIN(RADIANS(I129)))</f>
        <v>22.673552626173684</v>
      </c>
      <c r="K129" s="9">
        <f t="shared" si="22"/>
        <v>0.9900683790570276</v>
      </c>
      <c r="L129" s="9">
        <f t="shared" si="23"/>
        <v>-4.3348098250541325E-2</v>
      </c>
      <c r="M129" s="9">
        <f>2*(Inputs!$C$9/(Inputs!$C$10^2))*A129</f>
        <v>7.7777777777777776E-3</v>
      </c>
      <c r="N129" s="9">
        <f>M129*Inputs!$C$11</f>
        <v>3.111111111111111E-2</v>
      </c>
      <c r="O129" s="9">
        <f>1000*(D130-D128)/(A130-A128)*Inputs!$C$11</f>
        <v>74.906398671373609</v>
      </c>
      <c r="P129" s="9">
        <f>-2*O129/Inputs!$C$13</f>
        <v>-29.962559468549443</v>
      </c>
      <c r="Q129" s="9">
        <f>-2*O129/Inputs!$C$14</f>
        <v>-4.4988828030855021</v>
      </c>
      <c r="R129" s="9">
        <f>F129-Inputs!$C$16/2</f>
        <v>546.46472631471727</v>
      </c>
      <c r="S129" s="9">
        <f>F129+Inputs!$C$16/2</f>
        <v>576.46472631471727</v>
      </c>
      <c r="T129" s="9">
        <f>F129-Inputs!$C$17/2</f>
        <v>411.46472631471727</v>
      </c>
      <c r="U129" s="9">
        <f>F129+Inputs!$C$17/2</f>
        <v>711.46472631471727</v>
      </c>
      <c r="V129" s="9">
        <f t="shared" si="24"/>
        <v>29.962559468549443</v>
      </c>
      <c r="W129" s="9">
        <f t="shared" si="25"/>
        <v>4.4988828030855021</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98.61636326587373</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562.91901967460217</v>
      </c>
      <c r="Z129" s="9">
        <f t="shared" si="26"/>
        <v>399.91499474784524</v>
      </c>
      <c r="AA129" s="9">
        <f>SQRT((Inputs!$C$52+B129)^2+(Inputs!$C$52+Y129/1000)^2-2*(Inputs!$C$52+B129)*(Inputs!$C$52+Y129/1000)*COS(SQRT(A129^2+Inputs!$C$6^2)/Inputs!$C$52))</f>
        <v>400.45186468654128</v>
      </c>
      <c r="AB129" s="9">
        <f t="shared" si="27"/>
        <v>536.86993869604294</v>
      </c>
      <c r="AC129" s="9">
        <f>AB129/Inputs!$C$12</f>
        <v>301.61232511013645</v>
      </c>
      <c r="AD129" s="9">
        <f>2*AB129/Inputs!$C$21*1000000</f>
        <v>3.5816107068046583</v>
      </c>
      <c r="AE129" s="9">
        <f t="shared" si="28"/>
        <v>3.6160732279629615</v>
      </c>
      <c r="AF129" s="9">
        <f>DEGREES((2*PI()/Inputs!$C$13)*Inputs!$C$15*SIN(RADIANS(AE129)))</f>
        <v>22.705377926737395</v>
      </c>
      <c r="AG129" s="9">
        <f t="shared" si="29"/>
        <v>0.99464813316943468</v>
      </c>
      <c r="AH129" s="9">
        <f t="shared" si="30"/>
        <v>-2.3305281481536735E-2</v>
      </c>
      <c r="AI129" s="9">
        <f t="shared" si="31"/>
        <v>-259.85240120458081</v>
      </c>
      <c r="AJ129" s="9">
        <f t="shared" si="32"/>
        <v>-3.0857165469062857</v>
      </c>
      <c r="AK129" s="9">
        <f t="shared" si="33"/>
        <v>464.30265640872847</v>
      </c>
      <c r="AL129" s="9">
        <f>1000*(AA130-AA128)/(A130-A128)*Inputs!$C$11</f>
        <v>-24.013080941813314</v>
      </c>
      <c r="AM129" s="9">
        <f>-2*AL129/Inputs!$C$13</f>
        <v>9.6052323767253256</v>
      </c>
      <c r="AN129" s="9">
        <f>-2*AL129/Inputs!$C$14</f>
        <v>1.4422270835923914</v>
      </c>
      <c r="AO129" s="9">
        <f t="shared" si="34"/>
        <v>9.6052323767253256</v>
      </c>
      <c r="AP129" s="9">
        <f t="shared" si="35"/>
        <v>1.4422270835923914</v>
      </c>
      <c r="AQ129" s="9">
        <f>IF(OR(Inputs!$C$27=TRUE,Inputs!$C$27="TRUE",Inputs!$C$27=1),Inputs!$C$46/Inputs!$C$12,0)</f>
        <v>42.134831460674157</v>
      </c>
      <c r="AR129" s="9">
        <f t="shared" si="36"/>
        <v>259.4774936494623</v>
      </c>
      <c r="AS129" s="9">
        <f t="shared" si="37"/>
        <v>343.7471565708106</v>
      </c>
    </row>
    <row r="130" spans="1:45">
      <c r="A130" s="9">
        <f>Inputs!$C$7+128*(Inputs!$C$8-Inputs!$C$7)/240</f>
        <v>4</v>
      </c>
      <c r="B130" s="9">
        <f>Inputs!$C$5+Inputs!$C$9*(A130/Inputs!$C$10)^2</f>
        <v>400.01777777777778</v>
      </c>
      <c r="C130" s="9">
        <f t="shared" ref="C130:C193" si="38">B130</f>
        <v>400.01777777777778</v>
      </c>
      <c r="D130" s="9">
        <f>SQRT((Inputs!$C$52+B130)^2+Inputs!$C$52^2-2*(Inputs!$C$52+B130)*Inputs!$C$52*COS(SQRT(A130^2+Inputs!$C$6^2)/Inputs!$C$52))</f>
        <v>401.02305035108685</v>
      </c>
      <c r="E130" s="9">
        <f t="shared" ref="E130:E193" si="39">(D130-C130)*1000</f>
        <v>1005.272573309071</v>
      </c>
      <c r="F130" s="9">
        <f>E130/Inputs!$C$12</f>
        <v>564.75987264554556</v>
      </c>
      <c r="G130" s="9">
        <f>2*E130/Inputs!$C$21*1000000</f>
        <v>6.7064567268671649</v>
      </c>
      <c r="H130" s="9">
        <f>SQRT(A130^2+Inputs!$C$6^2)</f>
        <v>25.317977802344327</v>
      </c>
      <c r="I130" s="9">
        <f t="shared" ref="I130:I193" si="40">DEGREES(ATAN(H130/B130))</f>
        <v>3.62154133083556</v>
      </c>
      <c r="J130" s="9">
        <f>DEGREES((2*PI()/Inputs!$C$13)*Inputs!$C$15*SIN(RADIANS(I130)))</f>
        <v>22.739666524476899</v>
      </c>
      <c r="K130" s="9">
        <f t="shared" ref="K130:K193" si="41">(C130/D130)^4</f>
        <v>0.99001056019369926</v>
      </c>
      <c r="L130" s="9">
        <f t="shared" ref="L130:L193" si="42">10*LOG10(K130)</f>
        <v>-4.3601728677114676E-2</v>
      </c>
      <c r="M130" s="9">
        <f>2*(Inputs!$C$9/(Inputs!$C$10^2))*A130</f>
        <v>8.8888888888888889E-3</v>
      </c>
      <c r="N130" s="9">
        <f>M130*Inputs!$C$11</f>
        <v>3.5555555555555556E-2</v>
      </c>
      <c r="O130" s="9">
        <f>1000*(D131-D129)/(A131-A129)*Inputs!$C$11</f>
        <v>85.605740788878393</v>
      </c>
      <c r="P130" s="9">
        <f>-2*O130/Inputs!$C$13</f>
        <v>-34.242296315551357</v>
      </c>
      <c r="Q130" s="9">
        <f>-2*O130/Inputs!$C$14</f>
        <v>-5.1414859332659697</v>
      </c>
      <c r="R130" s="9">
        <f>F130-Inputs!$C$16/2</f>
        <v>549.75987264554556</v>
      </c>
      <c r="S130" s="9">
        <f>F130+Inputs!$C$16/2</f>
        <v>579.75987264554556</v>
      </c>
      <c r="T130" s="9">
        <f>F130-Inputs!$C$17/2</f>
        <v>414.75987264554556</v>
      </c>
      <c r="U130" s="9">
        <f>F130+Inputs!$C$17/2</f>
        <v>714.75987264554556</v>
      </c>
      <c r="V130" s="9">
        <f t="shared" ref="V130:V193" si="43">ABS(P130)</f>
        <v>34.242296315551357</v>
      </c>
      <c r="W130" s="9">
        <f t="shared" ref="W130:W193" si="44">ABS(Q130)</f>
        <v>5.1414859332659697</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96.363113555281444</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561.66976905744889</v>
      </c>
      <c r="Z130" s="9">
        <f t="shared" ref="Z130:Z193" si="45">B130-X130/1000</f>
        <v>399.92141466422248</v>
      </c>
      <c r="AA130" s="9">
        <f>SQRT((Inputs!$C$52+B130)^2+(Inputs!$C$52+Y130/1000)^2-2*(Inputs!$C$52+B130)*(Inputs!$C$52+Y130/1000)*COS(SQRT(A130^2+Inputs!$C$6^2)/Inputs!$C$52))</f>
        <v>400.4631523407308</v>
      </c>
      <c r="AB130" s="9">
        <f t="shared" ref="AB130:AB193" si="46">(AA130-Z130)*1000</f>
        <v>541.73767650831905</v>
      </c>
      <c r="AC130" s="9">
        <f>AB130/Inputs!$C$12</f>
        <v>304.34700927433653</v>
      </c>
      <c r="AD130" s="9">
        <f>2*AB130/Inputs!$C$21*1000000</f>
        <v>3.6140847579849327</v>
      </c>
      <c r="AE130" s="9">
        <f t="shared" ref="AE130:AE193" si="47">DEGREES(ATAN(H130/(B130-Y130/1000)))</f>
        <v>3.626619949886559</v>
      </c>
      <c r="AF130" s="9">
        <f>DEGREES((2*PI()/Inputs!$C$13)*Inputs!$C$15*SIN(RADIANS(AE130)))</f>
        <v>22.771512617245609</v>
      </c>
      <c r="AG130" s="9">
        <f t="shared" ref="AG130:AG193" si="48">(Z130/AA130)^4</f>
        <v>0.99459985880533708</v>
      </c>
      <c r="AH130" s="9">
        <f t="shared" ref="AH130:AH193" si="49">10*LOG10(AG130)</f>
        <v>-2.3516067567873604E-2</v>
      </c>
      <c r="AI130" s="9">
        <f t="shared" ref="AI130:AI193" si="50">AC130-F130</f>
        <v>-260.41286337120903</v>
      </c>
      <c r="AJ130" s="9">
        <f t="shared" ref="AJ130:AJ193" si="51">AD130-G130</f>
        <v>-3.0923719688822322</v>
      </c>
      <c r="AK130" s="9">
        <f t="shared" ref="AK130:AK193" si="52">Y130-X130</f>
        <v>465.30665550216747</v>
      </c>
      <c r="AL130" s="9">
        <f>1000*(AA131-AA129)/(A131-A129)*Inputs!$C$11</f>
        <v>62.868160858897681</v>
      </c>
      <c r="AM130" s="9">
        <f>-2*AL130/Inputs!$C$13</f>
        <v>-25.147264343559073</v>
      </c>
      <c r="AN130" s="9">
        <f>-2*AL130/Inputs!$C$14</f>
        <v>-3.7758655170509123</v>
      </c>
      <c r="AO130" s="9">
        <f t="shared" ref="AO130:AO193" si="53">ABS(AM130)</f>
        <v>25.147264343559073</v>
      </c>
      <c r="AP130" s="9">
        <f t="shared" ref="AP130:AP193" si="54">ABS(AN130)</f>
        <v>3.7758655170509123</v>
      </c>
      <c r="AQ130" s="9">
        <f>IF(OR(Inputs!$C$27=TRUE,Inputs!$C$27="TRUE",Inputs!$C$27=1),Inputs!$C$46/Inputs!$C$12,0)</f>
        <v>42.134831460674157</v>
      </c>
      <c r="AR130" s="9">
        <f t="shared" ref="AR130:AR193" si="55">AC130-AQ130</f>
        <v>262.21217781366238</v>
      </c>
      <c r="AS130" s="9">
        <f t="shared" ref="AS130:AS193" si="56">AC130+AQ130</f>
        <v>346.48184073501068</v>
      </c>
    </row>
    <row r="131" spans="1:45">
      <c r="A131" s="9">
        <f>Inputs!$C$7+129*(Inputs!$C$8-Inputs!$C$7)/240</f>
        <v>4.5</v>
      </c>
      <c r="B131" s="9">
        <f>Inputs!$C$5+Inputs!$C$9*(A131/Inputs!$C$10)^2</f>
        <v>400.02249999999998</v>
      </c>
      <c r="C131" s="9">
        <f t="shared" si="38"/>
        <v>400.02249999999998</v>
      </c>
      <c r="D131" s="9">
        <f>SQRT((Inputs!$C$52+B131)^2+Inputs!$C$52^2-2*(Inputs!$C$52+B131)*Inputs!$C$52*COS(SQRT(A131^2+Inputs!$C$6^2)/Inputs!$C$52))</f>
        <v>401.03441975914853</v>
      </c>
      <c r="E131" s="9">
        <f t="shared" si="39"/>
        <v>1011.9197591485545</v>
      </c>
      <c r="F131" s="9">
        <f>E131/Inputs!$C$12</f>
        <v>568.49424671267104</v>
      </c>
      <c r="G131" s="9">
        <f>2*E131/Inputs!$C$21*1000000</f>
        <v>6.75080197747039</v>
      </c>
      <c r="H131" s="9">
        <f>SQRT(A131^2+Inputs!$C$6^2)</f>
        <v>25.401771591761076</v>
      </c>
      <c r="I131" s="9">
        <f t="shared" si="40"/>
        <v>3.6334525503982564</v>
      </c>
      <c r="J131" s="9">
        <f>DEGREES((2*PI()/Inputs!$C$13)*Inputs!$C$15*SIN(RADIANS(I131)))</f>
        <v>22.814356979819124</v>
      </c>
      <c r="K131" s="9">
        <f t="shared" si="41"/>
        <v>0.98994504090561397</v>
      </c>
      <c r="L131" s="9">
        <f t="shared" si="42"/>
        <v>-4.3889155983749824E-2</v>
      </c>
      <c r="M131" s="9">
        <f>2*(Inputs!$C$9/(Inputs!$C$10^2))*A131</f>
        <v>0.01</v>
      </c>
      <c r="N131" s="9">
        <f>M131*Inputs!$C$11</f>
        <v>0.04</v>
      </c>
      <c r="O131" s="9">
        <f>1000*(D132-D130)/(A132-A130)*Inputs!$C$11</f>
        <v>96.304454280698337</v>
      </c>
      <c r="P131" s="9">
        <f>-2*O131/Inputs!$C$13</f>
        <v>-38.521781712279335</v>
      </c>
      <c r="Q131" s="9">
        <f>-2*O131/Inputs!$C$14</f>
        <v>-5.7840513081500511</v>
      </c>
      <c r="R131" s="9">
        <f>F131-Inputs!$C$16/2</f>
        <v>553.49424671267104</v>
      </c>
      <c r="S131" s="9">
        <f>F131+Inputs!$C$16/2</f>
        <v>583.49424671267104</v>
      </c>
      <c r="T131" s="9">
        <f>F131-Inputs!$C$17/2</f>
        <v>418.49424671267104</v>
      </c>
      <c r="U131" s="9">
        <f>F131+Inputs!$C$17/2</f>
        <v>718.49424671267104</v>
      </c>
      <c r="V131" s="9">
        <f t="shared" si="43"/>
        <v>38.521781712279335</v>
      </c>
      <c r="W131" s="9">
        <f t="shared" si="44"/>
        <v>5.7840513081500511</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82.519985907488817</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568.64363822483097</v>
      </c>
      <c r="Z131" s="9">
        <f t="shared" si="45"/>
        <v>399.9399800140925</v>
      </c>
      <c r="AA131" s="9">
        <f>SQRT((Inputs!$C$52+B131)^2+(Inputs!$C$52+Y131/1000)^2-2*(Inputs!$C$52+B131)*(Inputs!$C$52+Y131/1000)*COS(SQRT(A131^2+Inputs!$C$6^2)/Inputs!$C$52))</f>
        <v>400.46758172675601</v>
      </c>
      <c r="AB131" s="9">
        <f t="shared" si="46"/>
        <v>527.60171266351108</v>
      </c>
      <c r="AC131" s="9">
        <f>AB131/Inputs!$C$12</f>
        <v>296.4054565525343</v>
      </c>
      <c r="AD131" s="9">
        <f>2*AB131/Inputs!$C$21*1000000</f>
        <v>3.5197797581919894</v>
      </c>
      <c r="AE131" s="9">
        <f t="shared" si="47"/>
        <v>3.6386110760189019</v>
      </c>
      <c r="AF131" s="9">
        <f>DEGREES((2*PI()/Inputs!$C$13)*Inputs!$C$15*SIN(RADIANS(AE131)))</f>
        <v>22.846703708312763</v>
      </c>
      <c r="AG131" s="9">
        <f t="shared" si="48"/>
        <v>0.99474054822332514</v>
      </c>
      <c r="AH131" s="9">
        <f t="shared" si="49"/>
        <v>-2.29017871985574E-2</v>
      </c>
      <c r="AI131" s="9">
        <f t="shared" si="50"/>
        <v>-272.08879016013674</v>
      </c>
      <c r="AJ131" s="9">
        <f t="shared" si="51"/>
        <v>-3.2310222192784006</v>
      </c>
      <c r="AK131" s="9">
        <f t="shared" si="52"/>
        <v>486.12365231734213</v>
      </c>
      <c r="AL131" s="9">
        <f>1000*(AA132-AA130)/(A132-A130)*Inputs!$C$11</f>
        <v>147.65893652179329</v>
      </c>
      <c r="AM131" s="9">
        <f>-2*AL131/Inputs!$C$13</f>
        <v>-59.063574608717317</v>
      </c>
      <c r="AN131" s="9">
        <f>-2*AL131/Inputs!$C$14</f>
        <v>-8.8684045959035025</v>
      </c>
      <c r="AO131" s="9">
        <f t="shared" si="53"/>
        <v>59.063574608717317</v>
      </c>
      <c r="AP131" s="9">
        <f t="shared" si="54"/>
        <v>8.8684045959035025</v>
      </c>
      <c r="AQ131" s="9">
        <f>IF(OR(Inputs!$C$27=TRUE,Inputs!$C$27="TRUE",Inputs!$C$27=1),Inputs!$C$46/Inputs!$C$12,0)</f>
        <v>42.134831460674157</v>
      </c>
      <c r="AR131" s="9">
        <f t="shared" si="55"/>
        <v>254.27062509186015</v>
      </c>
      <c r="AS131" s="9">
        <f t="shared" si="56"/>
        <v>338.54028801320845</v>
      </c>
    </row>
    <row r="132" spans="1:45">
      <c r="A132" s="9">
        <f>Inputs!$C$7+130*(Inputs!$C$8-Inputs!$C$7)/240</f>
        <v>5</v>
      </c>
      <c r="B132" s="9">
        <f>Inputs!$C$5+Inputs!$C$9*(A132/Inputs!$C$10)^2</f>
        <v>400.02777777777777</v>
      </c>
      <c r="C132" s="9">
        <f t="shared" si="38"/>
        <v>400.02777777777777</v>
      </c>
      <c r="D132" s="9">
        <f>SQRT((Inputs!$C$52+B132)^2+Inputs!$C$52^2-2*(Inputs!$C$52+B132)*Inputs!$C$52*COS(SQRT(A132^2+Inputs!$C$6^2)/Inputs!$C$52))</f>
        <v>401.04712646465703</v>
      </c>
      <c r="E132" s="9">
        <f t="shared" si="39"/>
        <v>1019.3486868792547</v>
      </c>
      <c r="F132" s="9">
        <f>E132/Inputs!$C$12</f>
        <v>572.66780161755878</v>
      </c>
      <c r="G132" s="9">
        <f>2*E132/Inputs!$C$21*1000000</f>
        <v>6.8003624486060597</v>
      </c>
      <c r="H132" s="9">
        <f>SQRT(A132^2+Inputs!$C$6^2)</f>
        <v>25.495097567963924</v>
      </c>
      <c r="I132" s="9">
        <f t="shared" si="40"/>
        <v>3.6467178944150929</v>
      </c>
      <c r="J132" s="9">
        <f>DEGREES((2*PI()/Inputs!$C$13)*Inputs!$C$15*SIN(RADIANS(I132)))</f>
        <v>22.897537442986597</v>
      </c>
      <c r="K132" s="9">
        <f t="shared" si="41"/>
        <v>0.98987182447441868</v>
      </c>
      <c r="L132" s="9">
        <f t="shared" si="42"/>
        <v>-4.4210372482339007E-2</v>
      </c>
      <c r="M132" s="9">
        <f>2*(Inputs!$C$9/(Inputs!$C$10^2))*A132</f>
        <v>1.1111111111111112E-2</v>
      </c>
      <c r="N132" s="9">
        <f>M132*Inputs!$C$11</f>
        <v>4.4444444444444446E-2</v>
      </c>
      <c r="O132" s="9">
        <f>1000*(D133-D131)/(A133-A131)*Inputs!$C$11</f>
        <v>107.00246068472552</v>
      </c>
      <c r="P132" s="9">
        <f>-2*O132/Inputs!$C$13</f>
        <v>-42.800984273890208</v>
      </c>
      <c r="Q132" s="9">
        <f>-2*O132/Inputs!$C$14</f>
        <v>-6.4265742152988308</v>
      </c>
      <c r="R132" s="9">
        <f>F132-Inputs!$C$16/2</f>
        <v>557.66780161755878</v>
      </c>
      <c r="S132" s="9">
        <f>F132+Inputs!$C$16/2</f>
        <v>587.66780161755878</v>
      </c>
      <c r="T132" s="9">
        <f>F132-Inputs!$C$17/2</f>
        <v>422.66780161755878</v>
      </c>
      <c r="U132" s="9">
        <f>F132+Inputs!$C$17/2</f>
        <v>722.66780161755878</v>
      </c>
      <c r="V132" s="9">
        <f t="shared" si="43"/>
        <v>42.800984273890208</v>
      </c>
      <c r="W132" s="9">
        <f t="shared" si="44"/>
        <v>6.4265742152988308</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98.949763506231449</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548.81469209034094</v>
      </c>
      <c r="Z132" s="9">
        <f t="shared" si="45"/>
        <v>399.92882801427152</v>
      </c>
      <c r="AA132" s="9">
        <f>SQRT((Inputs!$C$52+B132)^2+(Inputs!$C$52+Y132/1000)^2-2*(Inputs!$C$52+B132)*(Inputs!$C$52+Y132/1000)*COS(SQRT(A132^2+Inputs!$C$6^2)/Inputs!$C$52))</f>
        <v>400.50006707486125</v>
      </c>
      <c r="AB132" s="9">
        <f t="shared" si="46"/>
        <v>571.23906058973262</v>
      </c>
      <c r="AC132" s="9">
        <f>AB132/Inputs!$C$12</f>
        <v>320.92082055602958</v>
      </c>
      <c r="AD132" s="9">
        <f>2*AB132/Inputs!$C$21*1000000</f>
        <v>3.8108968077491303</v>
      </c>
      <c r="AE132" s="9">
        <f t="shared" si="47"/>
        <v>3.6517143042935203</v>
      </c>
      <c r="AF132" s="9">
        <f>DEGREES((2*PI()/Inputs!$C$13)*Inputs!$C$15*SIN(RADIANS(AE132)))</f>
        <v>22.928867159679466</v>
      </c>
      <c r="AG132" s="9">
        <f t="shared" si="48"/>
        <v>0.99430693655955726</v>
      </c>
      <c r="AH132" s="9">
        <f t="shared" si="49"/>
        <v>-2.4795308165624565E-2</v>
      </c>
      <c r="AI132" s="9">
        <f t="shared" si="50"/>
        <v>-251.7469810615292</v>
      </c>
      <c r="AJ132" s="9">
        <f t="shared" si="51"/>
        <v>-2.9894656408569293</v>
      </c>
      <c r="AK132" s="9">
        <f t="shared" si="52"/>
        <v>449.86492858410952</v>
      </c>
      <c r="AL132" s="9">
        <f>1000*(AA133-AA131)/(A133-A131)*Inputs!$C$11</f>
        <v>223.22699008077507</v>
      </c>
      <c r="AM132" s="9">
        <f>-2*AL132/Inputs!$C$13</f>
        <v>-89.290796032310027</v>
      </c>
      <c r="AN132" s="9">
        <f>-2*AL132/Inputs!$C$14</f>
        <v>-13.407026431277783</v>
      </c>
      <c r="AO132" s="9">
        <f t="shared" si="53"/>
        <v>89.290796032310027</v>
      </c>
      <c r="AP132" s="9">
        <f t="shared" si="54"/>
        <v>13.407026431277783</v>
      </c>
      <c r="AQ132" s="9">
        <f>IF(OR(Inputs!$C$27=TRUE,Inputs!$C$27="TRUE",Inputs!$C$27=1),Inputs!$C$46/Inputs!$C$12,0)</f>
        <v>42.134831460674157</v>
      </c>
      <c r="AR132" s="9">
        <f t="shared" si="55"/>
        <v>278.78598909535543</v>
      </c>
      <c r="AS132" s="9">
        <f t="shared" si="56"/>
        <v>363.05565201670373</v>
      </c>
    </row>
    <row r="133" spans="1:45">
      <c r="A133" s="9">
        <f>Inputs!$C$7+131*(Inputs!$C$8-Inputs!$C$7)/240</f>
        <v>5.5</v>
      </c>
      <c r="B133" s="9">
        <f>Inputs!$C$5+Inputs!$C$9*(A133/Inputs!$C$10)^2</f>
        <v>400.0336111111111</v>
      </c>
      <c r="C133" s="9">
        <f t="shared" si="38"/>
        <v>400.0336111111111</v>
      </c>
      <c r="D133" s="9">
        <f>SQRT((Inputs!$C$52+B133)^2+Inputs!$C$52^2-2*(Inputs!$C$52+B133)*Inputs!$C$52*COS(SQRT(A133^2+Inputs!$C$6^2)/Inputs!$C$52))</f>
        <v>401.06117037431972</v>
      </c>
      <c r="E133" s="9">
        <f t="shared" si="39"/>
        <v>1027.5592632086159</v>
      </c>
      <c r="F133" s="9">
        <f>E133/Inputs!$C$12</f>
        <v>577.28048494866061</v>
      </c>
      <c r="G133" s="9">
        <f>2*E133/Inputs!$C$21*1000000</f>
        <v>6.855137517893235</v>
      </c>
      <c r="H133" s="9">
        <f>SQRT(A133^2+Inputs!$C$6^2)</f>
        <v>25.597851472340409</v>
      </c>
      <c r="I133" s="9">
        <f t="shared" si="40"/>
        <v>3.6613222610928524</v>
      </c>
      <c r="J133" s="9">
        <f>DEGREES((2*PI()/Inputs!$C$13)*Inputs!$C$15*SIN(RADIANS(I133)))</f>
        <v>22.989112840565028</v>
      </c>
      <c r="K133" s="9">
        <f t="shared" si="41"/>
        <v>0.98979091456661594</v>
      </c>
      <c r="L133" s="9">
        <f t="shared" si="42"/>
        <v>-4.4565369581760272E-2</v>
      </c>
      <c r="M133" s="9">
        <f>2*(Inputs!$C$9/(Inputs!$C$10^2))*A133</f>
        <v>1.2222222222222223E-2</v>
      </c>
      <c r="N133" s="9">
        <f>M133*Inputs!$C$11</f>
        <v>4.8888888888888891E-2</v>
      </c>
      <c r="O133" s="9">
        <f>1000*(D134-D132)/(A134-A132)*Inputs!$C$11</f>
        <v>117.69968152384536</v>
      </c>
      <c r="P133" s="9">
        <f>-2*O133/Inputs!$C$13</f>
        <v>-47.079872609538143</v>
      </c>
      <c r="Q133" s="9">
        <f>-2*O133/Inputs!$C$14</f>
        <v>-7.0690499413720937</v>
      </c>
      <c r="R133" s="9">
        <f>F133-Inputs!$C$16/2</f>
        <v>562.28048494866061</v>
      </c>
      <c r="S133" s="9">
        <f>F133+Inputs!$C$16/2</f>
        <v>592.28048494866061</v>
      </c>
      <c r="T133" s="9">
        <f>F133-Inputs!$C$17/2</f>
        <v>427.28048494866061</v>
      </c>
      <c r="U133" s="9">
        <f>F133+Inputs!$C$17/2</f>
        <v>727.28048494866061</v>
      </c>
      <c r="V133" s="9">
        <f t="shared" si="43"/>
        <v>47.079872609538143</v>
      </c>
      <c r="W133" s="9">
        <f t="shared" si="44"/>
        <v>7.0690499413720937</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97.114417477688932</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539.52128531641313</v>
      </c>
      <c r="Z133" s="9">
        <f t="shared" si="45"/>
        <v>399.93649669363339</v>
      </c>
      <c r="AA133" s="9">
        <f>SQRT((Inputs!$C$52+B133)^2+(Inputs!$C$52+Y133/1000)^2-2*(Inputs!$C$52+B133)*(Inputs!$C$52+Y133/1000)*COS(SQRT(A133^2+Inputs!$C$6^2)/Inputs!$C$52))</f>
        <v>400.5233884742762</v>
      </c>
      <c r="AB133" s="9">
        <f t="shared" si="46"/>
        <v>586.89178064281577</v>
      </c>
      <c r="AC133" s="9">
        <f>AB133/Inputs!$C$12</f>
        <v>329.71448350719987</v>
      </c>
      <c r="AD133" s="9">
        <f>2*AB133/Inputs!$C$21*1000000</f>
        <v>3.9153205157870636</v>
      </c>
      <c r="AE133" s="9">
        <f t="shared" si="47"/>
        <v>3.6662534410783953</v>
      </c>
      <c r="AF133" s="9">
        <f>DEGREES((2*PI()/Inputs!$C$13)*Inputs!$C$15*SIN(RADIANS(AE133)))</f>
        <v>23.020033034221512</v>
      </c>
      <c r="AG133" s="9">
        <f t="shared" si="48"/>
        <v>0.99415162172595961</v>
      </c>
      <c r="AH133" s="9">
        <f t="shared" si="49"/>
        <v>-2.5473747000020128E-2</v>
      </c>
      <c r="AI133" s="9">
        <f t="shared" si="50"/>
        <v>-247.56600144146074</v>
      </c>
      <c r="AJ133" s="9">
        <f t="shared" si="51"/>
        <v>-2.9398170021061714</v>
      </c>
      <c r="AK133" s="9">
        <f t="shared" si="52"/>
        <v>442.40686783872422</v>
      </c>
      <c r="AL133" s="9">
        <f>1000*(AA134-AA132)/(A134-A132)*Inputs!$C$11</f>
        <v>178.11125931257266</v>
      </c>
      <c r="AM133" s="9">
        <f>-2*AL133/Inputs!$C$13</f>
        <v>-71.244503725029062</v>
      </c>
      <c r="AN133" s="9">
        <f>-2*AL133/Inputs!$C$14</f>
        <v>-10.697372931686047</v>
      </c>
      <c r="AO133" s="9">
        <f t="shared" si="53"/>
        <v>71.244503725029062</v>
      </c>
      <c r="AP133" s="9">
        <f t="shared" si="54"/>
        <v>10.697372931686047</v>
      </c>
      <c r="AQ133" s="9">
        <f>IF(OR(Inputs!$C$27=TRUE,Inputs!$C$27="TRUE",Inputs!$C$27=1),Inputs!$C$46/Inputs!$C$12,0)</f>
        <v>42.134831460674157</v>
      </c>
      <c r="AR133" s="9">
        <f t="shared" si="55"/>
        <v>287.57965204652572</v>
      </c>
      <c r="AS133" s="9">
        <f t="shared" si="56"/>
        <v>371.84931496787402</v>
      </c>
    </row>
    <row r="134" spans="1:45">
      <c r="A134" s="9">
        <f>Inputs!$C$7+132*(Inputs!$C$8-Inputs!$C$7)/240</f>
        <v>6</v>
      </c>
      <c r="B134" s="9">
        <f>Inputs!$C$5+Inputs!$C$9*(A134/Inputs!$C$10)^2</f>
        <v>400.04</v>
      </c>
      <c r="C134" s="9">
        <f t="shared" si="38"/>
        <v>400.04</v>
      </c>
      <c r="D134" s="9">
        <f>SQRT((Inputs!$C$52+B134)^2+Inputs!$C$52^2-2*(Inputs!$C$52+B134)*Inputs!$C$52*COS(SQRT(A134^2+Inputs!$C$6^2)/Inputs!$C$52))</f>
        <v>401.07655138503799</v>
      </c>
      <c r="E134" s="9">
        <f t="shared" si="39"/>
        <v>1036.5513850379671</v>
      </c>
      <c r="F134" s="9">
        <f>E134/Inputs!$C$12</f>
        <v>582.33223878537478</v>
      </c>
      <c r="G134" s="9">
        <f>2*E134/Inputs!$C$21*1000000</f>
        <v>6.9151264975316167</v>
      </c>
      <c r="H134" s="9">
        <f>SQRT(A134^2+Inputs!$C$6^2)</f>
        <v>25.709920264364882</v>
      </c>
      <c r="I134" s="9">
        <f t="shared" si="40"/>
        <v>3.6772492746351846</v>
      </c>
      <c r="J134" s="9">
        <f>DEGREES((2*PI()/Inputs!$C$13)*Inputs!$C$15*SIN(RADIANS(I134)))</f>
        <v>23.088980076187603</v>
      </c>
      <c r="K134" s="9">
        <f t="shared" si="41"/>
        <v>0.98970231523311669</v>
      </c>
      <c r="L134" s="9">
        <f t="shared" si="42"/>
        <v>-4.4954137788546386E-2</v>
      </c>
      <c r="M134" s="9">
        <f>2*(Inputs!$C$9/(Inputs!$C$10^2))*A134</f>
        <v>1.3333333333333332E-2</v>
      </c>
      <c r="N134" s="9">
        <f>M134*Inputs!$C$11</f>
        <v>5.333333333333333E-2</v>
      </c>
      <c r="O134" s="9">
        <f>1000*(D135-D133)/(A135-A133)*Inputs!$C$11</f>
        <v>128.3960383966587</v>
      </c>
      <c r="P134" s="9">
        <f>-2*O134/Inputs!$C$13</f>
        <v>-51.358415358663478</v>
      </c>
      <c r="Q134" s="9">
        <f>-2*O134/Inputs!$C$14</f>
        <v>-7.7114737775770994</v>
      </c>
      <c r="R134" s="9">
        <f>F134-Inputs!$C$16/2</f>
        <v>567.33223878537478</v>
      </c>
      <c r="S134" s="9">
        <f>F134+Inputs!$C$16/2</f>
        <v>597.33223878537478</v>
      </c>
      <c r="T134" s="9">
        <f>F134-Inputs!$C$17/2</f>
        <v>432.33223878537478</v>
      </c>
      <c r="U134" s="9">
        <f>F134+Inputs!$C$17/2</f>
        <v>732.33223878537478</v>
      </c>
      <c r="V134" s="9">
        <f t="shared" si="43"/>
        <v>51.358415358663478</v>
      </c>
      <c r="W134" s="9">
        <f t="shared" si="44"/>
        <v>7.7114737775770994</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70.342553479412842</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533.69206209739866</v>
      </c>
      <c r="Z134" s="9">
        <f t="shared" si="45"/>
        <v>399.96965744652061</v>
      </c>
      <c r="AA134" s="9">
        <f>SQRT((Inputs!$C$52+B134)^2+(Inputs!$C$52+Y134/1000)^2-2*(Inputs!$C$52+B134)*(Inputs!$C$52+Y134/1000)*COS(SQRT(A134^2+Inputs!$C$6^2)/Inputs!$C$52))</f>
        <v>400.54459488968939</v>
      </c>
      <c r="AB134" s="9">
        <f t="shared" si="46"/>
        <v>574.93744316877837</v>
      </c>
      <c r="AC134" s="9">
        <f>AB134/Inputs!$C$12</f>
        <v>322.9985635779654</v>
      </c>
      <c r="AD134" s="9">
        <f>2*AB134/Inputs!$C$21*1000000</f>
        <v>3.8355697605226502</v>
      </c>
      <c r="AE134" s="9">
        <f t="shared" si="47"/>
        <v>3.6821481290433065</v>
      </c>
      <c r="AF134" s="9">
        <f>DEGREES((2*PI()/Inputs!$C$13)*Inputs!$C$15*SIN(RADIANS(AE134)))</f>
        <v>23.119697029970641</v>
      </c>
      <c r="AG134" s="9">
        <f t="shared" si="48"/>
        <v>0.99427079285540254</v>
      </c>
      <c r="AH134" s="9">
        <f t="shared" si="49"/>
        <v>-2.4953179905204854E-2</v>
      </c>
      <c r="AI134" s="9">
        <f t="shared" si="50"/>
        <v>-259.33367520740939</v>
      </c>
      <c r="AJ134" s="9">
        <f t="shared" si="51"/>
        <v>-3.0795567370089665</v>
      </c>
      <c r="AK134" s="9">
        <f t="shared" si="52"/>
        <v>463.3495086179858</v>
      </c>
      <c r="AL134" s="9">
        <f>1000*(AA135-AA133)/(A135-A133)*Inputs!$C$11</f>
        <v>188.70375494384461</v>
      </c>
      <c r="AM134" s="9">
        <f>-2*AL134/Inputs!$C$13</f>
        <v>-75.481501977537846</v>
      </c>
      <c r="AN134" s="9">
        <f>-2*AL134/Inputs!$C$14</f>
        <v>-11.333558855486164</v>
      </c>
      <c r="AO134" s="9">
        <f t="shared" si="53"/>
        <v>75.481501977537846</v>
      </c>
      <c r="AP134" s="9">
        <f t="shared" si="54"/>
        <v>11.333558855486164</v>
      </c>
      <c r="AQ134" s="9">
        <f>IF(OR(Inputs!$C$27=TRUE,Inputs!$C$27="TRUE",Inputs!$C$27=1),Inputs!$C$46/Inputs!$C$12,0)</f>
        <v>42.134831460674157</v>
      </c>
      <c r="AR134" s="9">
        <f t="shared" si="55"/>
        <v>280.86373211729125</v>
      </c>
      <c r="AS134" s="9">
        <f t="shared" si="56"/>
        <v>365.13339503863955</v>
      </c>
    </row>
    <row r="135" spans="1:45">
      <c r="A135" s="9">
        <f>Inputs!$C$7+133*(Inputs!$C$8-Inputs!$C$7)/240</f>
        <v>6.5</v>
      </c>
      <c r="B135" s="9">
        <f>Inputs!$C$5+Inputs!$C$9*(A135/Inputs!$C$10)^2</f>
        <v>400.04694444444442</v>
      </c>
      <c r="C135" s="9">
        <f t="shared" si="38"/>
        <v>400.04694444444442</v>
      </c>
      <c r="D135" s="9">
        <f>SQRT((Inputs!$C$52+B135)^2+Inputs!$C$52^2-2*(Inputs!$C$52+B135)*Inputs!$C$52*COS(SQRT(A135^2+Inputs!$C$6^2)/Inputs!$C$52))</f>
        <v>401.09326938391888</v>
      </c>
      <c r="E135" s="9">
        <f t="shared" si="39"/>
        <v>1046.3249394744594</v>
      </c>
      <c r="F135" s="9">
        <f>E135/Inputs!$C$12</f>
        <v>587.82299970475242</v>
      </c>
      <c r="G135" s="9">
        <f>2*E135/Inputs!$C$21*1000000</f>
        <v>6.9803286343811841</v>
      </c>
      <c r="H135" s="9">
        <f>SQRT(A135^2+Inputs!$C$6^2)</f>
        <v>25.831182706178978</v>
      </c>
      <c r="I135" s="9">
        <f t="shared" si="40"/>
        <v>3.6944813694132979</v>
      </c>
      <c r="J135" s="9">
        <f>DEGREES((2*PI()/Inputs!$C$13)*Inputs!$C$15*SIN(RADIANS(I135)))</f>
        <v>23.197028559795985</v>
      </c>
      <c r="K135" s="9">
        <f t="shared" si="41"/>
        <v>0.98960603090870347</v>
      </c>
      <c r="L135" s="9">
        <f t="shared" si="42"/>
        <v>-4.537666670781193E-2</v>
      </c>
      <c r="M135" s="9">
        <f>2*(Inputs!$C$9/(Inputs!$C$10^2))*A135</f>
        <v>1.4444444444444444E-2</v>
      </c>
      <c r="N135" s="9">
        <f>M135*Inputs!$C$11</f>
        <v>5.7777777777777775E-2</v>
      </c>
      <c r="O135" s="9">
        <f>1000*(D136-D134)/(A136-A134)*Inputs!$C$11</f>
        <v>139.0914529733891</v>
      </c>
      <c r="P135" s="9">
        <f>-2*O135/Inputs!$C$13</f>
        <v>-55.636581189355638</v>
      </c>
      <c r="Q135" s="9">
        <f>-2*O135/Inputs!$C$14</f>
        <v>-8.3538410194227684</v>
      </c>
      <c r="R135" s="9">
        <f>F135-Inputs!$C$16/2</f>
        <v>572.82299970475242</v>
      </c>
      <c r="S135" s="9">
        <f>F135+Inputs!$C$16/2</f>
        <v>602.82299970475242</v>
      </c>
      <c r="T135" s="9">
        <f>F135-Inputs!$C$17/2</f>
        <v>437.82299970475242</v>
      </c>
      <c r="U135" s="9">
        <f>F135+Inputs!$C$17/2</f>
        <v>737.82299970475242</v>
      </c>
      <c r="V135" s="9">
        <f t="shared" si="43"/>
        <v>55.636581189355638</v>
      </c>
      <c r="W135" s="9">
        <f t="shared" si="44"/>
        <v>8.3538410194227684</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77.64795080795966</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524.4263848132822</v>
      </c>
      <c r="Z135" s="9">
        <f t="shared" si="45"/>
        <v>399.96929649363648</v>
      </c>
      <c r="AA135" s="9">
        <f>SQRT((Inputs!$C$52+B135)^2+(Inputs!$C$52+Y135/1000)^2-2*(Inputs!$C$52+B135)*(Inputs!$C$52+Y135/1000)*COS(SQRT(A135^2+Inputs!$C$6^2)/Inputs!$C$52))</f>
        <v>400.57056441301216</v>
      </c>
      <c r="AB135" s="9">
        <f t="shared" si="46"/>
        <v>601.26791937568669</v>
      </c>
      <c r="AC135" s="9">
        <f>AB135/Inputs!$C$12</f>
        <v>337.79096594139702</v>
      </c>
      <c r="AD135" s="9">
        <f>2*AB135/Inputs!$C$21*1000000</f>
        <v>4.0112277899645274</v>
      </c>
      <c r="AE135" s="9">
        <f t="shared" si="47"/>
        <v>3.6993174097559924</v>
      </c>
      <c r="AF135" s="9">
        <f>DEGREES((2*PI()/Inputs!$C$13)*Inputs!$C$15*SIN(RADIANS(AE135)))</f>
        <v>23.227351068006158</v>
      </c>
      <c r="AG135" s="9">
        <f t="shared" si="48"/>
        <v>0.99400939014241041</v>
      </c>
      <c r="AH135" s="9">
        <f t="shared" si="49"/>
        <v>-2.60951291881268E-2</v>
      </c>
      <c r="AI135" s="9">
        <f t="shared" si="50"/>
        <v>-250.0320337633554</v>
      </c>
      <c r="AJ135" s="9">
        <f t="shared" si="51"/>
        <v>-2.9691008444166567</v>
      </c>
      <c r="AK135" s="9">
        <f t="shared" si="52"/>
        <v>446.77843400532254</v>
      </c>
      <c r="AL135" s="9">
        <f>1000*(AA136-AA134)/(A136-A134)*Inputs!$C$11</f>
        <v>136.37350204294307</v>
      </c>
      <c r="AM135" s="9">
        <f>-2*AL135/Inputs!$C$13</f>
        <v>-54.549400817177229</v>
      </c>
      <c r="AN135" s="9">
        <f>-2*AL135/Inputs!$C$14</f>
        <v>-8.1906007232998856</v>
      </c>
      <c r="AO135" s="9">
        <f t="shared" si="53"/>
        <v>54.549400817177229</v>
      </c>
      <c r="AP135" s="9">
        <f t="shared" si="54"/>
        <v>8.1906007232998856</v>
      </c>
      <c r="AQ135" s="9">
        <f>IF(OR(Inputs!$C$27=TRUE,Inputs!$C$27="TRUE",Inputs!$C$27=1),Inputs!$C$46/Inputs!$C$12,0)</f>
        <v>42.134831460674157</v>
      </c>
      <c r="AR135" s="9">
        <f t="shared" si="55"/>
        <v>295.65613448072287</v>
      </c>
      <c r="AS135" s="9">
        <f t="shared" si="56"/>
        <v>379.92579740207117</v>
      </c>
    </row>
    <row r="136" spans="1:45">
      <c r="A136" s="9">
        <f>Inputs!$C$7+134*(Inputs!$C$8-Inputs!$C$7)/240</f>
        <v>7</v>
      </c>
      <c r="B136" s="9">
        <f>Inputs!$C$5+Inputs!$C$9*(A136/Inputs!$C$10)^2</f>
        <v>400.05444444444447</v>
      </c>
      <c r="C136" s="9">
        <f t="shared" si="38"/>
        <v>400.05444444444447</v>
      </c>
      <c r="D136" s="9">
        <f>SQRT((Inputs!$C$52+B136)^2+Inputs!$C$52^2-2*(Inputs!$C$52+B136)*Inputs!$C$52*COS(SQRT(A136^2+Inputs!$C$6^2)/Inputs!$C$52))</f>
        <v>401.11132424828133</v>
      </c>
      <c r="E136" s="9">
        <f t="shared" si="39"/>
        <v>1056.8798038368641</v>
      </c>
      <c r="F136" s="9">
        <f>E136/Inputs!$C$12</f>
        <v>593.75269878475513</v>
      </c>
      <c r="G136" s="9">
        <f>2*E136/Inputs!$C$21*1000000</f>
        <v>7.0507431100008802</v>
      </c>
      <c r="H136" s="9">
        <f>SQRT(A136^2+Inputs!$C$6^2)</f>
        <v>25.96150997149434</v>
      </c>
      <c r="I136" s="9">
        <f t="shared" si="40"/>
        <v>3.7129998776451707</v>
      </c>
      <c r="J136" s="9">
        <f>DEGREES((2*PI()/Inputs!$C$13)*Inputs!$C$15*SIN(RADIANS(I136)))</f>
        <v>23.31314075897189</v>
      </c>
      <c r="K136" s="9">
        <f t="shared" si="41"/>
        <v>0.9895020664115125</v>
      </c>
      <c r="L136" s="9">
        <f t="shared" si="42"/>
        <v>-4.5832945043962958E-2</v>
      </c>
      <c r="M136" s="9">
        <f>2*(Inputs!$C$9/(Inputs!$C$10^2))*A136</f>
        <v>1.5555555555555555E-2</v>
      </c>
      <c r="N136" s="9">
        <f>M136*Inputs!$C$11</f>
        <v>6.222222222222222E-2</v>
      </c>
      <c r="O136" s="9">
        <f>1000*(D137-D135)/(A137-A135)*Inputs!$C$11</f>
        <v>149.78584691539254</v>
      </c>
      <c r="P136" s="9">
        <f>-2*O136/Inputs!$C$13</f>
        <v>-59.914338766157016</v>
      </c>
      <c r="Q136" s="9">
        <f>-2*O136/Inputs!$C$14</f>
        <v>-8.9961469618854384</v>
      </c>
      <c r="R136" s="9">
        <f>F136-Inputs!$C$16/2</f>
        <v>578.75269878475513</v>
      </c>
      <c r="S136" s="9">
        <f>F136+Inputs!$C$16/2</f>
        <v>608.75269878475513</v>
      </c>
      <c r="T136" s="9">
        <f>F136-Inputs!$C$17/2</f>
        <v>443.75269878475513</v>
      </c>
      <c r="U136" s="9">
        <f>F136+Inputs!$C$17/2</f>
        <v>743.75269878475513</v>
      </c>
      <c r="V136" s="9">
        <f t="shared" si="43"/>
        <v>59.914338766157016</v>
      </c>
      <c r="W136" s="9">
        <f t="shared" si="44"/>
        <v>8.9961469618854384</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66.915509899073115</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534.40783187914269</v>
      </c>
      <c r="Z136" s="9">
        <f t="shared" si="45"/>
        <v>399.98752893454542</v>
      </c>
      <c r="AA136" s="9">
        <f>SQRT((Inputs!$C$52+B136)^2+(Inputs!$C$52+Y136/1000)^2-2*(Inputs!$C$52+B136)*(Inputs!$C$52+Y136/1000)*COS(SQRT(A136^2+Inputs!$C$6^2)/Inputs!$C$52))</f>
        <v>400.57868826520013</v>
      </c>
      <c r="AB136" s="9">
        <f t="shared" si="46"/>
        <v>591.15933065470472</v>
      </c>
      <c r="AC136" s="9">
        <f>AB136/Inputs!$C$12</f>
        <v>332.11198351387907</v>
      </c>
      <c r="AD136" s="9">
        <f>2*AB136/Inputs!$C$21*1000000</f>
        <v>3.9437905449556352</v>
      </c>
      <c r="AE136" s="9">
        <f t="shared" si="47"/>
        <v>3.717952556476865</v>
      </c>
      <c r="AF136" s="9">
        <f>DEGREES((2*PI()/Inputs!$C$13)*Inputs!$C$15*SIN(RADIANS(AE136)))</f>
        <v>23.344193951232345</v>
      </c>
      <c r="AG136" s="9">
        <f t="shared" si="48"/>
        <v>0.99411000117523518</v>
      </c>
      <c r="AH136" s="9">
        <f t="shared" si="49"/>
        <v>-2.5655569908110659E-2</v>
      </c>
      <c r="AI136" s="9">
        <f t="shared" si="50"/>
        <v>-261.64071527087606</v>
      </c>
      <c r="AJ136" s="9">
        <f t="shared" si="51"/>
        <v>-3.106952565045245</v>
      </c>
      <c r="AK136" s="9">
        <f t="shared" si="52"/>
        <v>467.49232198006956</v>
      </c>
      <c r="AL136" s="9">
        <f>1000*(AA137-AA135)/(A137-A135)*Inputs!$C$11</f>
        <v>233.41861818516918</v>
      </c>
      <c r="AM136" s="9">
        <f>-2*AL136/Inputs!$C$13</f>
        <v>-93.367447274067672</v>
      </c>
      <c r="AN136" s="9">
        <f>-2*AL136/Inputs!$C$14</f>
        <v>-14.019136227337489</v>
      </c>
      <c r="AO136" s="9">
        <f t="shared" si="53"/>
        <v>93.367447274067672</v>
      </c>
      <c r="AP136" s="9">
        <f t="shared" si="54"/>
        <v>14.019136227337489</v>
      </c>
      <c r="AQ136" s="9">
        <f>IF(OR(Inputs!$C$27=TRUE,Inputs!$C$27="TRUE",Inputs!$C$27=1),Inputs!$C$46/Inputs!$C$12,0)</f>
        <v>42.134831460674157</v>
      </c>
      <c r="AR136" s="9">
        <f t="shared" si="55"/>
        <v>289.97715205320492</v>
      </c>
      <c r="AS136" s="9">
        <f t="shared" si="56"/>
        <v>374.24681497455322</v>
      </c>
    </row>
    <row r="137" spans="1:45">
      <c r="A137" s="9">
        <f>Inputs!$C$7+135*(Inputs!$C$8-Inputs!$C$7)/240</f>
        <v>7.5</v>
      </c>
      <c r="B137" s="9">
        <f>Inputs!$C$5+Inputs!$C$9*(A137/Inputs!$C$10)^2</f>
        <v>400.0625</v>
      </c>
      <c r="C137" s="9">
        <f t="shared" si="38"/>
        <v>400.0625</v>
      </c>
      <c r="D137" s="9">
        <f>SQRT((Inputs!$C$52+B137)^2+Inputs!$C$52^2-2*(Inputs!$C$52+B137)*Inputs!$C$52*COS(SQRT(A137^2+Inputs!$C$6^2)/Inputs!$C$52))</f>
        <v>401.13071584564773</v>
      </c>
      <c r="E137" s="9">
        <f t="shared" si="39"/>
        <v>1068.2158456477282</v>
      </c>
      <c r="F137" s="9">
        <f>E137/Inputs!$C$12</f>
        <v>600.12126159984734</v>
      </c>
      <c r="G137" s="9">
        <f>2*E137/Inputs!$C$21*1000000</f>
        <v>7.1263690405962663</v>
      </c>
      <c r="H137" s="9">
        <f>SQRT(A137^2+Inputs!$C$6^2)</f>
        <v>26.100766272276374</v>
      </c>
      <c r="I137" s="9">
        <f t="shared" si="40"/>
        <v>3.7327851196426791</v>
      </c>
      <c r="J137" s="9">
        <f>DEGREES((2*PI()/Inputs!$C$13)*Inputs!$C$15*SIN(RADIANS(I137)))</f>
        <v>23.437192766426364</v>
      </c>
      <c r="K137" s="9">
        <f t="shared" si="41"/>
        <v>0.98939042694261548</v>
      </c>
      <c r="L137" s="9">
        <f t="shared" si="42"/>
        <v>-4.6322960600834844E-2</v>
      </c>
      <c r="M137" s="9">
        <f>2*(Inputs!$C$9/(Inputs!$C$10^2))*A137</f>
        <v>1.6666666666666666E-2</v>
      </c>
      <c r="N137" s="9">
        <f>M137*Inputs!$C$11</f>
        <v>6.6666666666666666E-2</v>
      </c>
      <c r="O137" s="9">
        <f>1000*(D138-D136)/(A138-A136)*Inputs!$C$11</f>
        <v>160.4791419626963</v>
      </c>
      <c r="P137" s="9">
        <f>-2*O137/Inputs!$C$13</f>
        <v>-64.191656785078521</v>
      </c>
      <c r="Q137" s="9">
        <f>-2*O137/Inputs!$C$14</f>
        <v>-9.6383869046664454</v>
      </c>
      <c r="R137" s="9">
        <f>F137-Inputs!$C$16/2</f>
        <v>585.12126159984734</v>
      </c>
      <c r="S137" s="9">
        <f>F137+Inputs!$C$16/2</f>
        <v>615.12126159984734</v>
      </c>
      <c r="T137" s="9">
        <f>F137-Inputs!$C$17/2</f>
        <v>450.12126159984734</v>
      </c>
      <c r="U137" s="9">
        <f>F137+Inputs!$C$17/2</f>
        <v>750.12126159984734</v>
      </c>
      <c r="V137" s="9">
        <f t="shared" si="43"/>
        <v>64.191656785078521</v>
      </c>
      <c r="W137" s="9">
        <f t="shared" si="44"/>
        <v>9.6383869046664454</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56.202037436945574</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503.48380224840304</v>
      </c>
      <c r="Z137" s="9">
        <f t="shared" si="45"/>
        <v>400.00629796256305</v>
      </c>
      <c r="AA137" s="9">
        <f>SQRT((Inputs!$C$52+B137)^2+(Inputs!$C$52+Y137/1000)^2-2*(Inputs!$C$52+B137)*(Inputs!$C$52+Y137/1000)*COS(SQRT(A137^2+Inputs!$C$6^2)/Inputs!$C$52))</f>
        <v>400.62891906755846</v>
      </c>
      <c r="AB137" s="9">
        <f t="shared" si="46"/>
        <v>622.62110499540313</v>
      </c>
      <c r="AC137" s="9">
        <f>AB137/Inputs!$C$12</f>
        <v>349.78713763786692</v>
      </c>
      <c r="AD137" s="9">
        <f>2*AB137/Inputs!$C$21*1000000</f>
        <v>4.1536809107813051</v>
      </c>
      <c r="AE137" s="9">
        <f t="shared" si="47"/>
        <v>3.7374754739406755</v>
      </c>
      <c r="AF137" s="9">
        <f>DEGREES((2*PI()/Inputs!$C$13)*Inputs!$C$15*SIN(RADIANS(AE137)))</f>
        <v>23.466600532547403</v>
      </c>
      <c r="AG137" s="9">
        <f t="shared" si="48"/>
        <v>0.99379803956411983</v>
      </c>
      <c r="AH137" s="9">
        <f t="shared" si="49"/>
        <v>-2.7018643094683548E-2</v>
      </c>
      <c r="AI137" s="9">
        <f t="shared" si="50"/>
        <v>-250.33412396198042</v>
      </c>
      <c r="AJ137" s="9">
        <f t="shared" si="51"/>
        <v>-2.9726881298149612</v>
      </c>
      <c r="AK137" s="9">
        <f t="shared" si="52"/>
        <v>447.28176481145749</v>
      </c>
      <c r="AL137" s="9">
        <f>1000*(AA138-AA136)/(A138-A136)*Inputs!$C$11</f>
        <v>308.8566818282743</v>
      </c>
      <c r="AM137" s="9">
        <f>-2*AL137/Inputs!$C$13</f>
        <v>-123.54267273130972</v>
      </c>
      <c r="AN137" s="9">
        <f>-2*AL137/Inputs!$C$14</f>
        <v>-18.549950860557018</v>
      </c>
      <c r="AO137" s="9">
        <f t="shared" si="53"/>
        <v>123.54267273130972</v>
      </c>
      <c r="AP137" s="9">
        <f t="shared" si="54"/>
        <v>18.549950860557018</v>
      </c>
      <c r="AQ137" s="9">
        <f>IF(OR(Inputs!$C$27=TRUE,Inputs!$C$27="TRUE",Inputs!$C$27=1),Inputs!$C$46/Inputs!$C$12,0)</f>
        <v>42.134831460674157</v>
      </c>
      <c r="AR137" s="9">
        <f t="shared" si="55"/>
        <v>307.65230617719277</v>
      </c>
      <c r="AS137" s="9">
        <f t="shared" si="56"/>
        <v>391.92196909854107</v>
      </c>
    </row>
    <row r="138" spans="1:45">
      <c r="A138" s="9">
        <f>Inputs!$C$7+136*(Inputs!$C$8-Inputs!$C$7)/240</f>
        <v>8</v>
      </c>
      <c r="B138" s="9">
        <f>Inputs!$C$5+Inputs!$C$9*(A138/Inputs!$C$10)^2</f>
        <v>400.07111111111112</v>
      </c>
      <c r="C138" s="9">
        <f t="shared" si="38"/>
        <v>400.07111111111112</v>
      </c>
      <c r="D138" s="9">
        <f>SQRT((Inputs!$C$52+B138)^2+Inputs!$C$52^2-2*(Inputs!$C$52+B138)*Inputs!$C$52*COS(SQRT(A138^2+Inputs!$C$6^2)/Inputs!$C$52))</f>
        <v>401.15144403377201</v>
      </c>
      <c r="E138" s="9">
        <f t="shared" si="39"/>
        <v>1080.3329226608867</v>
      </c>
      <c r="F138" s="9">
        <f>E138/Inputs!$C$12</f>
        <v>606.92860823645321</v>
      </c>
      <c r="G138" s="9">
        <f>2*E138/Inputs!$C$21*1000000</f>
        <v>7.2072054772030762</v>
      </c>
      <c r="H138" s="9">
        <f>SQRT(A138^2+Inputs!$C$6^2)</f>
        <v>26.248809496813376</v>
      </c>
      <c r="I138" s="9">
        <f t="shared" si="40"/>
        <v>3.7538164957068103</v>
      </c>
      <c r="J138" s="9">
        <f>DEGREES((2*PI()/Inputs!$C$13)*Inputs!$C$15*SIN(RADIANS(I138)))</f>
        <v>23.56905487786457</v>
      </c>
      <c r="K138" s="9">
        <f t="shared" si="41"/>
        <v>0.98927111808520884</v>
      </c>
      <c r="L138" s="9">
        <f t="shared" si="42"/>
        <v>-4.6846700283418599E-2</v>
      </c>
      <c r="M138" s="9">
        <f>2*(Inputs!$C$9/(Inputs!$C$10^2))*A138</f>
        <v>1.7777777777777778E-2</v>
      </c>
      <c r="N138" s="9">
        <f>M138*Inputs!$C$11</f>
        <v>7.1111111111111111E-2</v>
      </c>
      <c r="O138" s="9">
        <f>1000*(D139-D137)/(A139-A137)*Inputs!$C$11</f>
        <v>171.17125992922411</v>
      </c>
      <c r="P138" s="9">
        <f>-2*O138/Inputs!$C$13</f>
        <v>-68.468503971689643</v>
      </c>
      <c r="Q138" s="9">
        <f>-2*O138/Inputs!$C$14</f>
        <v>-10.280556151905353</v>
      </c>
      <c r="R138" s="9">
        <f>F138-Inputs!$C$16/2</f>
        <v>591.92860823645321</v>
      </c>
      <c r="S138" s="9">
        <f>F138+Inputs!$C$16/2</f>
        <v>621.92860823645321</v>
      </c>
      <c r="T138" s="9">
        <f>F138-Inputs!$C$17/2</f>
        <v>456.92860823645321</v>
      </c>
      <c r="U138" s="9">
        <f>F138+Inputs!$C$17/2</f>
        <v>756.92860823645321</v>
      </c>
      <c r="V138" s="9">
        <f t="shared" si="43"/>
        <v>68.468503971689643</v>
      </c>
      <c r="W138" s="9">
        <f t="shared" si="44"/>
        <v>10.280556151905353</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45.993205062010666</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497.22645344932982</v>
      </c>
      <c r="Z138" s="9">
        <f t="shared" si="45"/>
        <v>400.0251179060491</v>
      </c>
      <c r="AA138" s="9">
        <f>SQRT((Inputs!$C$52+B138)^2+(Inputs!$C$52+Y138/1000)^2-2*(Inputs!$C$52+B138)*(Inputs!$C$52+Y138/1000)*COS(SQRT(A138^2+Inputs!$C$6^2)/Inputs!$C$52))</f>
        <v>400.6559024356572</v>
      </c>
      <c r="AB138" s="9">
        <f t="shared" si="46"/>
        <v>630.78452960809273</v>
      </c>
      <c r="AC138" s="9">
        <f>AB138/Inputs!$C$12</f>
        <v>354.3733312405015</v>
      </c>
      <c r="AD138" s="9">
        <f>2*AB138/Inputs!$C$21*1000000</f>
        <v>4.2081414176743079</v>
      </c>
      <c r="AE138" s="9">
        <f t="shared" si="47"/>
        <v>3.7584743334978383</v>
      </c>
      <c r="AF138" s="9">
        <f>DEGREES((2*PI()/Inputs!$C$13)*Inputs!$C$15*SIN(RADIANS(AE138)))</f>
        <v>23.598258069482625</v>
      </c>
      <c r="AG138" s="9">
        <f t="shared" si="48"/>
        <v>0.99371733752466296</v>
      </c>
      <c r="AH138" s="9">
        <f t="shared" si="49"/>
        <v>-2.7371329175382517E-2</v>
      </c>
      <c r="AI138" s="9">
        <f t="shared" si="50"/>
        <v>-252.55527699595171</v>
      </c>
      <c r="AJ138" s="9">
        <f t="shared" si="51"/>
        <v>-2.9990640595287683</v>
      </c>
      <c r="AK138" s="9">
        <f t="shared" si="52"/>
        <v>451.23324838731918</v>
      </c>
      <c r="AL138" s="9">
        <f>1000*(AA139-AA137)/(A139-A137)*Inputs!$C$11</f>
        <v>266.52803260549263</v>
      </c>
      <c r="AM138" s="9">
        <f>-2*AL138/Inputs!$C$13</f>
        <v>-106.61121304219705</v>
      </c>
      <c r="AN138" s="9">
        <f>-2*AL138/Inputs!$C$14</f>
        <v>-16.007689645975535</v>
      </c>
      <c r="AO138" s="9">
        <f t="shared" si="53"/>
        <v>106.61121304219705</v>
      </c>
      <c r="AP138" s="9">
        <f t="shared" si="54"/>
        <v>16.007689645975535</v>
      </c>
      <c r="AQ138" s="9">
        <f>IF(OR(Inputs!$C$27=TRUE,Inputs!$C$27="TRUE",Inputs!$C$27=1),Inputs!$C$46/Inputs!$C$12,0)</f>
        <v>42.134831460674157</v>
      </c>
      <c r="AR138" s="9">
        <f t="shared" si="55"/>
        <v>312.23849977982735</v>
      </c>
      <c r="AS138" s="9">
        <f t="shared" si="56"/>
        <v>396.50816270117565</v>
      </c>
    </row>
    <row r="139" spans="1:45">
      <c r="A139" s="9">
        <f>Inputs!$C$7+137*(Inputs!$C$8-Inputs!$C$7)/240</f>
        <v>8.5</v>
      </c>
      <c r="B139" s="9">
        <f>Inputs!$C$5+Inputs!$C$9*(A139/Inputs!$C$10)^2</f>
        <v>400.08027777777778</v>
      </c>
      <c r="C139" s="9">
        <f t="shared" si="38"/>
        <v>400.08027777777778</v>
      </c>
      <c r="D139" s="9">
        <f>SQRT((Inputs!$C$52+B139)^2+Inputs!$C$52^2-2*(Inputs!$C$52+B139)*Inputs!$C$52*COS(SQRT(A139^2+Inputs!$C$6^2)/Inputs!$C$52))</f>
        <v>401.17350866063003</v>
      </c>
      <c r="E139" s="9">
        <f t="shared" si="39"/>
        <v>1093.2308828522537</v>
      </c>
      <c r="F139" s="9">
        <f>E139/Inputs!$C$12</f>
        <v>614.17465328778292</v>
      </c>
      <c r="G139" s="9">
        <f>2*E139/Inputs!$C$21*1000000</f>
        <v>7.2932514056257798</v>
      </c>
      <c r="H139" s="9">
        <f>SQRT(A139^2+Inputs!$C$6^2)</f>
        <v>26.405491853021786</v>
      </c>
      <c r="I139" s="9">
        <f t="shared" si="40"/>
        <v>3.7760725787865743</v>
      </c>
      <c r="J139" s="9">
        <f>DEGREES((2*PI()/Inputs!$C$13)*Inputs!$C$15*SIN(RADIANS(I139)))</f>
        <v>23.708592174666432</v>
      </c>
      <c r="K139" s="9">
        <f t="shared" si="41"/>
        <v>0.98914414580412702</v>
      </c>
      <c r="L139" s="9">
        <f t="shared" si="42"/>
        <v>-4.7404150098032463E-2</v>
      </c>
      <c r="M139" s="9">
        <f>2*(Inputs!$C$9/(Inputs!$C$10^2))*A139</f>
        <v>1.8888888888888889E-2</v>
      </c>
      <c r="N139" s="9">
        <f>M139*Inputs!$C$11</f>
        <v>7.5555555555555556E-2</v>
      </c>
      <c r="O139" s="9">
        <f>1000*(D140-D138)/(A140-A138)*Inputs!$C$11</f>
        <v>181.8621226407231</v>
      </c>
      <c r="P139" s="9">
        <f>-2*O139/Inputs!$C$13</f>
        <v>-72.74484905628924</v>
      </c>
      <c r="Q139" s="9">
        <f>-2*O139/Inputs!$C$14</f>
        <v>-10.922650008451839</v>
      </c>
      <c r="R139" s="9">
        <f>F139-Inputs!$C$16/2</f>
        <v>599.17465328778292</v>
      </c>
      <c r="S139" s="9">
        <f>F139+Inputs!$C$16/2</f>
        <v>629.17465328778292</v>
      </c>
      <c r="T139" s="9">
        <f>F139-Inputs!$C$17/2</f>
        <v>464.17465328778292</v>
      </c>
      <c r="U139" s="9">
        <f>F139+Inputs!$C$17/2</f>
        <v>764.17465328778292</v>
      </c>
      <c r="V139" s="9">
        <f t="shared" si="43"/>
        <v>72.74484905628924</v>
      </c>
      <c r="W139" s="9">
        <f t="shared" si="44"/>
        <v>10.922650008451839</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35.421208100654937</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479.6019721372586</v>
      </c>
      <c r="Z139" s="9">
        <f t="shared" si="45"/>
        <v>400.04485656967711</v>
      </c>
      <c r="AA139" s="9">
        <f>SQRT((Inputs!$C$52+B139)^2+(Inputs!$C$52+Y139/1000)^2-2*(Inputs!$C$52+B139)*(Inputs!$C$52+Y139/1000)*COS(SQRT(A139^2+Inputs!$C$6^2)/Inputs!$C$52))</f>
        <v>400.69555107570983</v>
      </c>
      <c r="AB139" s="9">
        <f t="shared" si="46"/>
        <v>650.69450603272116</v>
      </c>
      <c r="AC139" s="9">
        <f>AB139/Inputs!$C$12</f>
        <v>365.55871125433771</v>
      </c>
      <c r="AD139" s="9">
        <f>2*AB139/Inputs!$C$21*1000000</f>
        <v>4.3409664831042623</v>
      </c>
      <c r="AE139" s="9">
        <f t="shared" si="47"/>
        <v>3.78059149750157</v>
      </c>
      <c r="AF139" s="9">
        <f>DEGREES((2*PI()/Inputs!$C$13)*Inputs!$C$15*SIN(RADIANS(AE139)))</f>
        <v>23.736923664575897</v>
      </c>
      <c r="AG139" s="9">
        <f t="shared" si="48"/>
        <v>0.99352015550817929</v>
      </c>
      <c r="AH139" s="9">
        <f t="shared" si="49"/>
        <v>-2.8233179480347904E-2</v>
      </c>
      <c r="AI139" s="9">
        <f t="shared" si="50"/>
        <v>-248.61594203344521</v>
      </c>
      <c r="AJ139" s="9">
        <f t="shared" si="51"/>
        <v>-2.9522849225215175</v>
      </c>
      <c r="AK139" s="9">
        <f t="shared" si="52"/>
        <v>444.18076403660365</v>
      </c>
      <c r="AL139" s="9">
        <f>1000*(AA140-AA138)/(A140-A138)*Inputs!$C$11</f>
        <v>245.80708797611805</v>
      </c>
      <c r="AM139" s="9">
        <f>-2*AL139/Inputs!$C$13</f>
        <v>-98.322835190447222</v>
      </c>
      <c r="AN139" s="9">
        <f>-2*AL139/Inputs!$C$14</f>
        <v>-14.763188467034119</v>
      </c>
      <c r="AO139" s="9">
        <f t="shared" si="53"/>
        <v>98.322835190447222</v>
      </c>
      <c r="AP139" s="9">
        <f t="shared" si="54"/>
        <v>14.763188467034119</v>
      </c>
      <c r="AQ139" s="9">
        <f>IF(OR(Inputs!$C$27=TRUE,Inputs!$C$27="TRUE",Inputs!$C$27=1),Inputs!$C$46/Inputs!$C$12,0)</f>
        <v>42.134831460674157</v>
      </c>
      <c r="AR139" s="9">
        <f t="shared" si="55"/>
        <v>323.42387979366356</v>
      </c>
      <c r="AS139" s="9">
        <f t="shared" si="56"/>
        <v>407.69354271501186</v>
      </c>
    </row>
    <row r="140" spans="1:45">
      <c r="A140" s="9">
        <f>Inputs!$C$7+138*(Inputs!$C$8-Inputs!$C$7)/240</f>
        <v>9</v>
      </c>
      <c r="B140" s="9">
        <f>Inputs!$C$5+Inputs!$C$9*(A140/Inputs!$C$10)^2</f>
        <v>400.09</v>
      </c>
      <c r="C140" s="9">
        <f t="shared" si="38"/>
        <v>400.09</v>
      </c>
      <c r="D140" s="9">
        <f>SQRT((Inputs!$C$52+B140)^2+Inputs!$C$52^2-2*(Inputs!$C$52+B140)*Inputs!$C$52*COS(SQRT(A140^2+Inputs!$C$6^2)/Inputs!$C$52))</f>
        <v>401.19690956443219</v>
      </c>
      <c r="E140" s="9">
        <f t="shared" si="39"/>
        <v>1106.9095644322147</v>
      </c>
      <c r="F140" s="9">
        <f>E140/Inputs!$C$12</f>
        <v>621.85930586079473</v>
      </c>
      <c r="G140" s="9">
        <f>2*E140/Inputs!$C$21*1000000</f>
        <v>7.3845057465202455</v>
      </c>
      <c r="H140" s="9">
        <f>SQRT(A140^2+Inputs!$C$6^2)</f>
        <v>26.570660511172846</v>
      </c>
      <c r="I140" s="9">
        <f t="shared" si="40"/>
        <v>3.7995312070651801</v>
      </c>
      <c r="J140" s="9">
        <f>DEGREES((2*PI()/Inputs!$C$13)*Inputs!$C$15*SIN(RADIANS(I140)))</f>
        <v>23.855665106124771</v>
      </c>
      <c r="K140" s="9">
        <f t="shared" si="41"/>
        <v>0.98900951644510726</v>
      </c>
      <c r="L140" s="9">
        <f t="shared" si="42"/>
        <v>-4.7995295153449892E-2</v>
      </c>
      <c r="M140" s="9">
        <f>2*(Inputs!$C$9/(Inputs!$C$10^2))*A140</f>
        <v>0.02</v>
      </c>
      <c r="N140" s="9">
        <f>M140*Inputs!$C$11</f>
        <v>0.08</v>
      </c>
      <c r="O140" s="9">
        <f>1000*(D141-D139)/(A141-A139)*Inputs!$C$11</f>
        <v>192.55165201866475</v>
      </c>
      <c r="P140" s="9">
        <f>-2*O140/Inputs!$C$13</f>
        <v>-77.020660807465902</v>
      </c>
      <c r="Q140" s="9">
        <f>-2*O140/Inputs!$C$14</f>
        <v>-11.564663784904791</v>
      </c>
      <c r="R140" s="9">
        <f>F140-Inputs!$C$16/2</f>
        <v>606.85930586079473</v>
      </c>
      <c r="S140" s="9">
        <f>F140+Inputs!$C$16/2</f>
        <v>636.85930586079473</v>
      </c>
      <c r="T140" s="9">
        <f>F140-Inputs!$C$17/2</f>
        <v>471.85930586079473</v>
      </c>
      <c r="U140" s="9">
        <f>F140+Inputs!$C$17/2</f>
        <v>771.85930586079473</v>
      </c>
      <c r="V140" s="9">
        <f t="shared" si="43"/>
        <v>77.020660807465902</v>
      </c>
      <c r="W140" s="9">
        <f t="shared" si="44"/>
        <v>11.564663784904791</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29.628149721243545</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481.22587957439987</v>
      </c>
      <c r="Z140" s="9">
        <f t="shared" si="45"/>
        <v>400.06037185027873</v>
      </c>
      <c r="AA140" s="9">
        <f>SQRT((Inputs!$C$52+B140)^2+(Inputs!$C$52+Y140/1000)^2-2*(Inputs!$C$52+B140)*(Inputs!$C$52+Y140/1000)*COS(SQRT(A140^2+Inputs!$C$6^2)/Inputs!$C$52))</f>
        <v>400.71735420765123</v>
      </c>
      <c r="AB140" s="9">
        <f t="shared" si="46"/>
        <v>656.98235737249888</v>
      </c>
      <c r="AC140" s="9">
        <f>AB140/Inputs!$C$12</f>
        <v>369.09121200702185</v>
      </c>
      <c r="AD140" s="9">
        <f>2*AB140/Inputs!$C$21*1000000</f>
        <v>4.3829145119621309</v>
      </c>
      <c r="AE140" s="9">
        <f t="shared" si="47"/>
        <v>3.8040933374991006</v>
      </c>
      <c r="AF140" s="9">
        <f>DEGREES((2*PI()/Inputs!$C$13)*Inputs!$C$15*SIN(RADIANS(AE140)))</f>
        <v>23.884266736650474</v>
      </c>
      <c r="AG140" s="9">
        <f t="shared" si="48"/>
        <v>0.99345804800817639</v>
      </c>
      <c r="AH140" s="9">
        <f t="shared" si="49"/>
        <v>-2.8504676616019735E-2</v>
      </c>
      <c r="AI140" s="9">
        <f t="shared" si="50"/>
        <v>-252.76809385377288</v>
      </c>
      <c r="AJ140" s="9">
        <f t="shared" si="51"/>
        <v>-3.0015912345581146</v>
      </c>
      <c r="AK140" s="9">
        <f t="shared" si="52"/>
        <v>451.59772985315635</v>
      </c>
      <c r="AL140" s="9">
        <f>1000*(AA141-AA139)/(A141-A139)*Inputs!$C$11</f>
        <v>197.99202101694391</v>
      </c>
      <c r="AM140" s="9">
        <f>-2*AL140/Inputs!$C$13</f>
        <v>-79.196808406777564</v>
      </c>
      <c r="AN140" s="9">
        <f>-2*AL140/Inputs!$C$14</f>
        <v>-11.891412673690326</v>
      </c>
      <c r="AO140" s="9">
        <f t="shared" si="53"/>
        <v>79.196808406777564</v>
      </c>
      <c r="AP140" s="9">
        <f t="shared" si="54"/>
        <v>11.891412673690326</v>
      </c>
      <c r="AQ140" s="9">
        <f>IF(OR(Inputs!$C$27=TRUE,Inputs!$C$27="TRUE",Inputs!$C$27=1),Inputs!$C$46/Inputs!$C$12,0)</f>
        <v>42.134831460674157</v>
      </c>
      <c r="AR140" s="9">
        <f t="shared" si="55"/>
        <v>326.9563805463477</v>
      </c>
      <c r="AS140" s="9">
        <f t="shared" si="56"/>
        <v>411.226043467696</v>
      </c>
    </row>
    <row r="141" spans="1:45">
      <c r="A141" s="9">
        <f>Inputs!$C$7+139*(Inputs!$C$8-Inputs!$C$7)/240</f>
        <v>9.5</v>
      </c>
      <c r="B141" s="9">
        <f>Inputs!$C$5+Inputs!$C$9*(A141/Inputs!$C$10)^2</f>
        <v>400.10027777777776</v>
      </c>
      <c r="C141" s="9">
        <f t="shared" si="38"/>
        <v>400.10027777777776</v>
      </c>
      <c r="D141" s="9">
        <f>SQRT((Inputs!$C$52+B141)^2+Inputs!$C$52^2-2*(Inputs!$C$52+B141)*Inputs!$C$52*COS(SQRT(A141^2+Inputs!$C$6^2)/Inputs!$C$52))</f>
        <v>401.2216465736347</v>
      </c>
      <c r="E141" s="9">
        <f t="shared" si="39"/>
        <v>1121.368795856938</v>
      </c>
      <c r="F141" s="9">
        <f>E141/Inputs!$C$12</f>
        <v>629.98246958254947</v>
      </c>
      <c r="G141" s="9">
        <f>2*E141/Inputs!$C$21*1000000</f>
        <v>7.4809673554692155</v>
      </c>
      <c r="H141" s="9">
        <f>SQRT(A141^2+Inputs!$C$6^2)</f>
        <v>26.744158240632665</v>
      </c>
      <c r="I141" s="9">
        <f t="shared" si="40"/>
        <v>3.8241695756954894</v>
      </c>
      <c r="J141" s="9">
        <f>DEGREES((2*PI()/Inputs!$C$13)*Inputs!$C$15*SIN(RADIANS(I141)))</f>
        <v>24.010130066350158</v>
      </c>
      <c r="K141" s="9">
        <f t="shared" si="41"/>
        <v>0.98886723673401933</v>
      </c>
      <c r="L141" s="9">
        <f t="shared" si="42"/>
        <v>-4.8620119662050265E-2</v>
      </c>
      <c r="M141" s="9">
        <f>2*(Inputs!$C$9/(Inputs!$C$10^2))*A141</f>
        <v>2.1111111111111112E-2</v>
      </c>
      <c r="N141" s="9">
        <f>M141*Inputs!$C$11</f>
        <v>8.4444444444444447E-2</v>
      </c>
      <c r="O141" s="9">
        <f>1000*(D142-D140)/(A142-A140)*Inputs!$C$11</f>
        <v>203.23977003636173</v>
      </c>
      <c r="P141" s="9">
        <f>-2*O141/Inputs!$C$13</f>
        <v>-81.295908014544693</v>
      </c>
      <c r="Q141" s="9">
        <f>-2*O141/Inputs!$C$14</f>
        <v>-12.206592794976682</v>
      </c>
      <c r="R141" s="9">
        <f>F141-Inputs!$C$16/2</f>
        <v>614.98246958254947</v>
      </c>
      <c r="S141" s="9">
        <f>F141+Inputs!$C$16/2</f>
        <v>644.98246958254947</v>
      </c>
      <c r="T141" s="9">
        <f>F141-Inputs!$C$17/2</f>
        <v>479.98246958254947</v>
      </c>
      <c r="U141" s="9">
        <f>F141+Inputs!$C$17/2</f>
        <v>779.98246958254947</v>
      </c>
      <c r="V141" s="9">
        <f t="shared" si="43"/>
        <v>81.295908014544693</v>
      </c>
      <c r="W141" s="9">
        <f t="shared" si="44"/>
        <v>12.206592794976682</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5.6499270186383477</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478.27937371872196</v>
      </c>
      <c r="Z141" s="9">
        <f t="shared" si="45"/>
        <v>400.09462785075914</v>
      </c>
      <c r="AA141" s="9">
        <f>SQRT((Inputs!$C$52+B141)^2+(Inputs!$C$52+Y141/1000)^2-2*(Inputs!$C$52+B141)*(Inputs!$C$52+Y141/1000)*COS(SQRT(A141^2+Inputs!$C$6^2)/Inputs!$C$52))</f>
        <v>400.74504908096407</v>
      </c>
      <c r="AB141" s="9">
        <f t="shared" si="46"/>
        <v>650.42123020492681</v>
      </c>
      <c r="AC141" s="9">
        <f>AB141/Inputs!$C$12</f>
        <v>365.40518550838584</v>
      </c>
      <c r="AD141" s="9">
        <f>2*AB141/Inputs!$C$21*1000000</f>
        <v>4.3391433830195076</v>
      </c>
      <c r="AE141" s="9">
        <f t="shared" si="47"/>
        <v>3.8287328494955721</v>
      </c>
      <c r="AF141" s="9">
        <f>DEGREES((2*PI()/Inputs!$C$13)*Inputs!$C$15*SIN(RADIANS(AE141)))</f>
        <v>24.038738044870207</v>
      </c>
      <c r="AG141" s="9">
        <f t="shared" si="48"/>
        <v>0.99352366833110362</v>
      </c>
      <c r="AH141" s="9">
        <f t="shared" si="49"/>
        <v>-2.8217824010139999E-2</v>
      </c>
      <c r="AI141" s="9">
        <f t="shared" si="50"/>
        <v>-264.57728407416363</v>
      </c>
      <c r="AJ141" s="9">
        <f t="shared" si="51"/>
        <v>-3.1418239724497079</v>
      </c>
      <c r="AK141" s="9">
        <f t="shared" si="52"/>
        <v>472.62944670008363</v>
      </c>
      <c r="AL141" s="9">
        <f>1000*(AA142-AA140)/(A142-A140)*Inputs!$C$11</f>
        <v>311.12732319274983</v>
      </c>
      <c r="AM141" s="9">
        <f>-2*AL141/Inputs!$C$13</f>
        <v>-124.45092927709993</v>
      </c>
      <c r="AN141" s="9">
        <f>-2*AL141/Inputs!$C$14</f>
        <v>-18.686325717282273</v>
      </c>
      <c r="AO141" s="9">
        <f t="shared" si="53"/>
        <v>124.45092927709993</v>
      </c>
      <c r="AP141" s="9">
        <f t="shared" si="54"/>
        <v>18.686325717282273</v>
      </c>
      <c r="AQ141" s="9">
        <f>IF(OR(Inputs!$C$27=TRUE,Inputs!$C$27="TRUE",Inputs!$C$27=1),Inputs!$C$46/Inputs!$C$12,0)</f>
        <v>42.134831460674157</v>
      </c>
      <c r="AR141" s="9">
        <f t="shared" si="55"/>
        <v>323.27035404771169</v>
      </c>
      <c r="AS141" s="9">
        <f t="shared" si="56"/>
        <v>407.54001696905999</v>
      </c>
    </row>
    <row r="142" spans="1:45">
      <c r="A142" s="9">
        <f>Inputs!$C$7+140*(Inputs!$C$8-Inputs!$C$7)/240</f>
        <v>10</v>
      </c>
      <c r="B142" s="9">
        <f>Inputs!$C$5+Inputs!$C$9*(A142/Inputs!$C$10)^2</f>
        <v>400.11111111111109</v>
      </c>
      <c r="C142" s="9">
        <f t="shared" si="38"/>
        <v>400.11111111111109</v>
      </c>
      <c r="D142" s="9">
        <f>SQRT((Inputs!$C$52+B142)^2+Inputs!$C$52^2-2*(Inputs!$C$52+B142)*Inputs!$C$52*COS(SQRT(A142^2+Inputs!$C$6^2)/Inputs!$C$52))</f>
        <v>401.24771950694128</v>
      </c>
      <c r="E142" s="9">
        <f t="shared" si="39"/>
        <v>1136.6083958301942</v>
      </c>
      <c r="F142" s="9">
        <f>E142/Inputs!$C$12</f>
        <v>638.54404260123272</v>
      </c>
      <c r="G142" s="9">
        <f>2*E142/Inputs!$C$21*1000000</f>
        <v>7.5826350229944355</v>
      </c>
      <c r="H142" s="9">
        <f>SQRT(A142^2+Inputs!$C$6^2)</f>
        <v>26.92582403567252</v>
      </c>
      <c r="I142" s="9">
        <f t="shared" si="40"/>
        <v>3.8499643269735215</v>
      </c>
      <c r="J142" s="9">
        <f>DEGREES((2*PI()/Inputs!$C$13)*Inputs!$C$15*SIN(RADIANS(I142)))</f>
        <v>24.171839961370843</v>
      </c>
      <c r="K142" s="9">
        <f t="shared" si="41"/>
        <v>0.98871731377615735</v>
      </c>
      <c r="L142" s="9">
        <f t="shared" si="42"/>
        <v>-4.9278606940563963E-2</v>
      </c>
      <c r="M142" s="9">
        <f>2*(Inputs!$C$9/(Inputs!$C$10^2))*A142</f>
        <v>2.2222222222222223E-2</v>
      </c>
      <c r="N142" s="9">
        <f>M142*Inputs!$C$11</f>
        <v>8.8888888888888892E-2</v>
      </c>
      <c r="O142" s="9">
        <f>1000*(D143-D141)/(A143-A141)*Inputs!$C$11</f>
        <v>213.92639874261477</v>
      </c>
      <c r="P142" s="9">
        <f>-2*O142/Inputs!$C$13</f>
        <v>-85.570559497045906</v>
      </c>
      <c r="Q142" s="9">
        <f>-2*O142/Inputs!$C$14</f>
        <v>-12.848432356913801</v>
      </c>
      <c r="R142" s="9">
        <f>F142-Inputs!$C$16/2</f>
        <v>623.54404260123272</v>
      </c>
      <c r="S142" s="9">
        <f>F142+Inputs!$C$16/2</f>
        <v>653.54404260123272</v>
      </c>
      <c r="T142" s="9">
        <f>F142-Inputs!$C$17/2</f>
        <v>488.54404260123272</v>
      </c>
      <c r="U142" s="9">
        <f>F142+Inputs!$C$17/2</f>
        <v>788.54404260123272</v>
      </c>
      <c r="V142" s="9">
        <f t="shared" si="43"/>
        <v>85.570559497045906</v>
      </c>
      <c r="W142" s="9">
        <f t="shared" si="44"/>
        <v>12.848432356913801</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-8.569441618173812</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454.20220076904832</v>
      </c>
      <c r="Z142" s="9">
        <f t="shared" si="45"/>
        <v>400.11968055272928</v>
      </c>
      <c r="AA142" s="9">
        <f>SQRT((Inputs!$C$52+B142)^2+(Inputs!$C$52+Y142/1000)^2-2*(Inputs!$C$52+B142)*(Inputs!$C$52+Y142/1000)*COS(SQRT(A142^2+Inputs!$C$6^2)/Inputs!$C$52))</f>
        <v>400.79513603844941</v>
      </c>
      <c r="AB142" s="9">
        <f t="shared" si="46"/>
        <v>675.45548572013558</v>
      </c>
      <c r="AC142" s="9">
        <f>AB142/Inputs!$C$12</f>
        <v>379.46937400007619</v>
      </c>
      <c r="AD142" s="9">
        <f>2*AB142/Inputs!$C$21*1000000</f>
        <v>4.5061539588173067</v>
      </c>
      <c r="AE142" s="9">
        <f t="shared" si="47"/>
        <v>3.8543265547924417</v>
      </c>
      <c r="AF142" s="9">
        <f>DEGREES((2*PI()/Inputs!$C$13)*Inputs!$C$15*SIN(RADIANS(AE142)))</f>
        <v>24.199186723715453</v>
      </c>
      <c r="AG142" s="9">
        <f t="shared" si="48"/>
        <v>0.99327586752850072</v>
      </c>
      <c r="AH142" s="9">
        <f t="shared" si="49"/>
        <v>-2.9301159493134346E-2</v>
      </c>
      <c r="AI142" s="9">
        <f t="shared" si="50"/>
        <v>-259.07466860115653</v>
      </c>
      <c r="AJ142" s="9">
        <f t="shared" si="51"/>
        <v>-3.0764810641771287</v>
      </c>
      <c r="AK142" s="9">
        <f t="shared" si="52"/>
        <v>462.77164238722213</v>
      </c>
      <c r="AL142" s="9">
        <f>1000*(AA143-AA141)/(A143-A141)*Inputs!$C$11</f>
        <v>374.89439989667517</v>
      </c>
      <c r="AM142" s="9">
        <f>-2*AL142/Inputs!$C$13</f>
        <v>-149.95775995867007</v>
      </c>
      <c r="AN142" s="9">
        <f>-2*AL142/Inputs!$C$14</f>
        <v>-22.516180173974487</v>
      </c>
      <c r="AO142" s="9">
        <f t="shared" si="53"/>
        <v>149.95775995867007</v>
      </c>
      <c r="AP142" s="9">
        <f t="shared" si="54"/>
        <v>22.516180173974487</v>
      </c>
      <c r="AQ142" s="9">
        <f>IF(OR(Inputs!$C$27=TRUE,Inputs!$C$27="TRUE",Inputs!$C$27=1),Inputs!$C$46/Inputs!$C$12,0)</f>
        <v>42.134831460674157</v>
      </c>
      <c r="AR142" s="9">
        <f t="shared" si="55"/>
        <v>337.33454253940204</v>
      </c>
      <c r="AS142" s="9">
        <f t="shared" si="56"/>
        <v>421.60420546075034</v>
      </c>
    </row>
    <row r="143" spans="1:45">
      <c r="A143" s="9">
        <f>Inputs!$C$7+141*(Inputs!$C$8-Inputs!$C$7)/240</f>
        <v>10.5</v>
      </c>
      <c r="B143" s="9">
        <f>Inputs!$C$5+Inputs!$C$9*(A143/Inputs!$C$10)^2</f>
        <v>400.1225</v>
      </c>
      <c r="C143" s="9">
        <f t="shared" si="38"/>
        <v>400.1225</v>
      </c>
      <c r="D143" s="9">
        <f>SQRT((Inputs!$C$52+B143)^2+Inputs!$C$52^2-2*(Inputs!$C$52+B143)*Inputs!$C$52*COS(SQRT(A143^2+Inputs!$C$6^2)/Inputs!$C$52))</f>
        <v>401.27512817332035</v>
      </c>
      <c r="E143" s="9">
        <f t="shared" si="39"/>
        <v>1152.6281733203518</v>
      </c>
      <c r="F143" s="9">
        <f>E143/Inputs!$C$12</f>
        <v>647.54391759570331</v>
      </c>
      <c r="G143" s="9">
        <f>2*E143/Inputs!$C$21*1000000</f>
        <v>7.6895074746700391</v>
      </c>
      <c r="H143" s="9">
        <f>SQRT(A143^2+Inputs!$C$6^2)</f>
        <v>27.115493725912497</v>
      </c>
      <c r="I143" s="9">
        <f t="shared" si="40"/>
        <v>3.8768916383114718</v>
      </c>
      <c r="J143" s="9">
        <f>DEGREES((2*PI()/Inputs!$C$13)*Inputs!$C$15*SIN(RADIANS(I143)))</f>
        <v>24.340644762413291</v>
      </c>
      <c r="K143" s="9">
        <f t="shared" si="41"/>
        <v>0.988559755055337</v>
      </c>
      <c r="L143" s="9">
        <f t="shared" si="42"/>
        <v>-4.9970739411541142E-2</v>
      </c>
      <c r="M143" s="9">
        <f>2*(Inputs!$C$9/(Inputs!$C$10^2))*A143</f>
        <v>2.3333333333333334E-2</v>
      </c>
      <c r="N143" s="9">
        <f>M143*Inputs!$C$11</f>
        <v>9.3333333333333338E-2</v>
      </c>
      <c r="O143" s="9">
        <f>1000*(D144-D142)/(A144-A142)*Inputs!$C$11</f>
        <v>224.61146028399526</v>
      </c>
      <c r="P143" s="9">
        <f>-2*O143/Inputs!$C$13</f>
        <v>-89.844584113598103</v>
      </c>
      <c r="Q143" s="9">
        <f>-2*O143/Inputs!$C$14</f>
        <v>-13.490177794834551</v>
      </c>
      <c r="R143" s="9">
        <f>F143-Inputs!$C$16/2</f>
        <v>632.54391759570331</v>
      </c>
      <c r="S143" s="9">
        <f>F143+Inputs!$C$16/2</f>
        <v>662.54391759570331</v>
      </c>
      <c r="T143" s="9">
        <f>F143-Inputs!$C$17/2</f>
        <v>497.54391759570331</v>
      </c>
      <c r="U143" s="9">
        <f>F143+Inputs!$C$17/2</f>
        <v>797.54391759570331</v>
      </c>
      <c r="V143" s="9">
        <f t="shared" si="43"/>
        <v>89.844584113598103</v>
      </c>
      <c r="W143" s="9">
        <f t="shared" si="44"/>
        <v>13.490177794834551</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4.9362904077748144</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437.9381023255097</v>
      </c>
      <c r="Z143" s="9">
        <f t="shared" si="45"/>
        <v>400.11756370959222</v>
      </c>
      <c r="AA143" s="9">
        <f>SQRT((Inputs!$C$52+B143)^2+(Inputs!$C$52+Y143/1000)^2-2*(Inputs!$C$52+B143)*(Inputs!$C$52+Y143/1000)*COS(SQRT(A143^2+Inputs!$C$6^2)/Inputs!$C$52))</f>
        <v>400.83877268093823</v>
      </c>
      <c r="AB143" s="9">
        <f t="shared" si="46"/>
        <v>721.20897134601591</v>
      </c>
      <c r="AC143" s="9">
        <f>AB143/Inputs!$C$12</f>
        <v>405.17357940787412</v>
      </c>
      <c r="AD143" s="9">
        <f>2*AB143/Inputs!$C$21*1000000</f>
        <v>4.8113883595164753</v>
      </c>
      <c r="AE143" s="9">
        <f t="shared" si="47"/>
        <v>3.8811266091727297</v>
      </c>
      <c r="AF143" s="9">
        <f>DEGREES((2*PI()/Inputs!$C$13)*Inputs!$C$15*SIN(RADIANS(AE143)))</f>
        <v>24.367192911093614</v>
      </c>
      <c r="AG143" s="9">
        <f t="shared" si="48"/>
        <v>0.99282240240478292</v>
      </c>
      <c r="AH143" s="9">
        <f t="shared" si="49"/>
        <v>-3.1284318205567402E-2</v>
      </c>
      <c r="AI143" s="9">
        <f t="shared" si="50"/>
        <v>-242.37033818782919</v>
      </c>
      <c r="AJ143" s="9">
        <f t="shared" si="51"/>
        <v>-2.8781191151535639</v>
      </c>
      <c r="AK143" s="9">
        <f t="shared" si="52"/>
        <v>433.00181191773487</v>
      </c>
      <c r="AL143" s="9">
        <f>1000*(AA144-AA142)/(A144-A142)*Inputs!$C$11</f>
        <v>261.71599170857007</v>
      </c>
      <c r="AM143" s="9">
        <f>-2*AL143/Inputs!$C$13</f>
        <v>-104.68639668342803</v>
      </c>
      <c r="AN143" s="9">
        <f>-2*AL143/Inputs!$C$14</f>
        <v>-15.718678180694901</v>
      </c>
      <c r="AO143" s="9">
        <f t="shared" si="53"/>
        <v>104.68639668342803</v>
      </c>
      <c r="AP143" s="9">
        <f t="shared" si="54"/>
        <v>15.718678180694901</v>
      </c>
      <c r="AQ143" s="9">
        <f>IF(OR(Inputs!$C$27=TRUE,Inputs!$C$27="TRUE",Inputs!$C$27=1),Inputs!$C$46/Inputs!$C$12,0)</f>
        <v>42.134831460674157</v>
      </c>
      <c r="AR143" s="9">
        <f t="shared" si="55"/>
        <v>363.03874794719997</v>
      </c>
      <c r="AS143" s="9">
        <f t="shared" si="56"/>
        <v>447.30841086854826</v>
      </c>
    </row>
    <row r="144" spans="1:45">
      <c r="A144" s="9">
        <f>Inputs!$C$7+142*(Inputs!$C$8-Inputs!$C$7)/240</f>
        <v>11</v>
      </c>
      <c r="B144" s="9">
        <f>Inputs!$C$5+Inputs!$C$9*(A144/Inputs!$C$10)^2</f>
        <v>400.13444444444445</v>
      </c>
      <c r="C144" s="9">
        <f t="shared" si="38"/>
        <v>400.13444444444445</v>
      </c>
      <c r="D144" s="9">
        <f>SQRT((Inputs!$C$52+B144)^2+Inputs!$C$52^2-2*(Inputs!$C$52+B144)*Inputs!$C$52*COS(SQRT(A144^2+Inputs!$C$6^2)/Inputs!$C$52))</f>
        <v>401.30387237201228</v>
      </c>
      <c r="E144" s="9">
        <f t="shared" si="39"/>
        <v>1169.4279275678241</v>
      </c>
      <c r="F144" s="9">
        <f>E144/Inputs!$C$12</f>
        <v>656.9819817796764</v>
      </c>
      <c r="G144" s="9">
        <f>2*E144/Inputs!$C$21*1000000</f>
        <v>7.8015833711722262</v>
      </c>
      <c r="H144" s="9">
        <f>SQRT(A144^2+Inputs!$C$6^2)</f>
        <v>27.313000567495326</v>
      </c>
      <c r="I144" s="9">
        <f t="shared" si="40"/>
        <v>3.9049273074484554</v>
      </c>
      <c r="J144" s="9">
        <f>DEGREES((2*PI()/Inputs!$C$13)*Inputs!$C$15*SIN(RADIANS(I144)))</f>
        <v>24.516392041831022</v>
      </c>
      <c r="K144" s="9">
        <f t="shared" si="41"/>
        <v>0.98839456843305284</v>
      </c>
      <c r="L144" s="9">
        <f t="shared" si="42"/>
        <v>-5.0696498604425384E-2</v>
      </c>
      <c r="M144" s="9">
        <f>2*(Inputs!$C$9/(Inputs!$C$10^2))*A144</f>
        <v>2.4444444444444446E-2</v>
      </c>
      <c r="N144" s="9">
        <f>M144*Inputs!$C$11</f>
        <v>9.7777777777777783E-2</v>
      </c>
      <c r="O144" s="9">
        <f>1000*(D145-D143)/(A145-A143)*Inputs!$C$11</f>
        <v>235.2948768477745</v>
      </c>
      <c r="P144" s="9">
        <f>-2*O144/Inputs!$C$13</f>
        <v>-94.117950739109801</v>
      </c>
      <c r="Q144" s="9">
        <f>-2*O144/Inputs!$C$14</f>
        <v>-14.131824435301773</v>
      </c>
      <c r="R144" s="9">
        <f>F144-Inputs!$C$16/2</f>
        <v>641.9819817796764</v>
      </c>
      <c r="S144" s="9">
        <f>F144+Inputs!$C$16/2</f>
        <v>671.9819817796764</v>
      </c>
      <c r="T144" s="9">
        <f>F144-Inputs!$C$17/2</f>
        <v>506.9819817796764</v>
      </c>
      <c r="U144" s="9">
        <f>F144+Inputs!$C$17/2</f>
        <v>806.9819817796764</v>
      </c>
      <c r="V144" s="9">
        <f t="shared" si="43"/>
        <v>94.117950739109801</v>
      </c>
      <c r="W144" s="9">
        <f t="shared" si="44"/>
        <v>14.131824435301773</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1.9403678384373038</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444.93860770344918</v>
      </c>
      <c r="Z144" s="9">
        <f t="shared" si="45"/>
        <v>400.13250407660604</v>
      </c>
      <c r="AA144" s="9">
        <f>SQRT((Inputs!$C$52+B144)^2+(Inputs!$C$52+Y144/1000)^2-2*(Inputs!$C$52+B144)*(Inputs!$C$52+Y144/1000)*COS(SQRT(A144^2+Inputs!$C$6^2)/Inputs!$C$52))</f>
        <v>400.86056503637656</v>
      </c>
      <c r="AB144" s="9">
        <f t="shared" si="46"/>
        <v>728.06095977051655</v>
      </c>
      <c r="AC144" s="9">
        <f>AB144/Inputs!$C$12</f>
        <v>409.02301110703178</v>
      </c>
      <c r="AD144" s="9">
        <f>2*AB144/Inputs!$C$21*1000000</f>
        <v>4.8570999058990107</v>
      </c>
      <c r="AE144" s="9">
        <f t="shared" si="47"/>
        <v>3.909260843092401</v>
      </c>
      <c r="AF144" s="9">
        <f>DEGREES((2*PI()/Inputs!$C$13)*Inputs!$C$15*SIN(RADIANS(AE144)))</f>
        <v>24.543557166404113</v>
      </c>
      <c r="AG144" s="9">
        <f t="shared" si="48"/>
        <v>0.99275478888988289</v>
      </c>
      <c r="AH144" s="9">
        <f t="shared" si="49"/>
        <v>-3.1580092920982732E-2</v>
      </c>
      <c r="AI144" s="9">
        <f t="shared" si="50"/>
        <v>-247.95897067264463</v>
      </c>
      <c r="AJ144" s="9">
        <f t="shared" si="51"/>
        <v>-2.9444834652732155</v>
      </c>
      <c r="AK144" s="9">
        <f t="shared" si="52"/>
        <v>442.9982398650119</v>
      </c>
      <c r="AL144" s="9">
        <f>1000*(AA145-AA143)/(A145-A143)*Inputs!$C$11</f>
        <v>249.4045151499904</v>
      </c>
      <c r="AM144" s="9">
        <f>-2*AL144/Inputs!$C$13</f>
        <v>-99.761806059996161</v>
      </c>
      <c r="AN144" s="9">
        <f>-2*AL144/Inputs!$C$14</f>
        <v>-14.979250159158584</v>
      </c>
      <c r="AO144" s="9">
        <f t="shared" si="53"/>
        <v>99.761806059996161</v>
      </c>
      <c r="AP144" s="9">
        <f t="shared" si="54"/>
        <v>14.979250159158584</v>
      </c>
      <c r="AQ144" s="9">
        <f>IF(OR(Inputs!$C$27=TRUE,Inputs!$C$27="TRUE",Inputs!$C$27=1),Inputs!$C$46/Inputs!$C$12,0)</f>
        <v>42.134831460674157</v>
      </c>
      <c r="AR144" s="9">
        <f t="shared" si="55"/>
        <v>366.88817964635763</v>
      </c>
      <c r="AS144" s="9">
        <f t="shared" si="56"/>
        <v>451.15784256770593</v>
      </c>
    </row>
    <row r="145" spans="1:45">
      <c r="A145" s="9">
        <f>Inputs!$C$7+143*(Inputs!$C$8-Inputs!$C$7)/240</f>
        <v>11.5</v>
      </c>
      <c r="B145" s="9">
        <f>Inputs!$C$5+Inputs!$C$9*(A145/Inputs!$C$10)^2</f>
        <v>400.14694444444444</v>
      </c>
      <c r="C145" s="9">
        <f t="shared" si="38"/>
        <v>400.14694444444444</v>
      </c>
      <c r="D145" s="9">
        <f>SQRT((Inputs!$C$52+B145)^2+Inputs!$C$52^2-2*(Inputs!$C$52+B145)*Inputs!$C$52*COS(SQRT(A145^2+Inputs!$C$6^2)/Inputs!$C$52))</f>
        <v>401.3339518925323</v>
      </c>
      <c r="E145" s="9">
        <f t="shared" si="39"/>
        <v>1187.0074480878543</v>
      </c>
      <c r="F145" s="9">
        <f>E145/Inputs!$C$12</f>
        <v>666.85811690328887</v>
      </c>
      <c r="G145" s="9">
        <f>2*E145/Inputs!$C$21*1000000</f>
        <v>7.918861308297851</v>
      </c>
      <c r="H145" s="9">
        <f>SQRT(A145^2+Inputs!$C$6^2)</f>
        <v>27.518175811634027</v>
      </c>
      <c r="I145" s="9">
        <f t="shared" si="40"/>
        <v>3.934046834415676</v>
      </c>
      <c r="J145" s="9">
        <f>DEGREES((2*PI()/Inputs!$C$13)*Inputs!$C$15*SIN(RADIANS(I145)))</f>
        <v>24.698927488642891</v>
      </c>
      <c r="K145" s="9">
        <f t="shared" si="41"/>
        <v>0.9882217621476409</v>
      </c>
      <c r="L145" s="9">
        <f t="shared" si="42"/>
        <v>-5.1455865156474059E-2</v>
      </c>
      <c r="M145" s="9">
        <f>2*(Inputs!$C$9/(Inputs!$C$10^2))*A145</f>
        <v>2.5555555555555557E-2</v>
      </c>
      <c r="N145" s="9">
        <f>M145*Inputs!$C$11</f>
        <v>0.10222222222222223</v>
      </c>
      <c r="O145" s="9">
        <f>1000*(D146-D144)/(A146-A144)*Inputs!$C$11</f>
        <v>245.97657072126822</v>
      </c>
      <c r="P145" s="9">
        <f>-2*O145/Inputs!$C$13</f>
        <v>-98.390628288507287</v>
      </c>
      <c r="Q145" s="9">
        <f>-2*O145/Inputs!$C$14</f>
        <v>-14.77336761088698</v>
      </c>
      <c r="R145" s="9">
        <f>F145-Inputs!$C$16/2</f>
        <v>651.85811690328887</v>
      </c>
      <c r="S145" s="9">
        <f>F145+Inputs!$C$16/2</f>
        <v>681.85811690328887</v>
      </c>
      <c r="T145" s="9">
        <f>F145-Inputs!$C$17/2</f>
        <v>516.85811690328887</v>
      </c>
      <c r="U145" s="9">
        <f>F145+Inputs!$C$17/2</f>
        <v>816.85811690328887</v>
      </c>
      <c r="V145" s="9">
        <f t="shared" si="43"/>
        <v>98.390628288507287</v>
      </c>
      <c r="W145" s="9">
        <f t="shared" si="44"/>
        <v>14.77336761088698</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4.0448246838212674</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434.44467895572086</v>
      </c>
      <c r="Z145" s="9">
        <f t="shared" si="45"/>
        <v>400.14289961976061</v>
      </c>
      <c r="AA145" s="9">
        <f>SQRT((Inputs!$C$52+B145)^2+(Inputs!$C$52+Y145/1000)^2-2*(Inputs!$C$52+B145)*(Inputs!$C$52+Y145/1000)*COS(SQRT(A145^2+Inputs!$C$6^2)/Inputs!$C$52))</f>
        <v>400.90112380972573</v>
      </c>
      <c r="AB145" s="9">
        <f t="shared" si="46"/>
        <v>758.22418996511942</v>
      </c>
      <c r="AC145" s="9">
        <f>AB145/Inputs!$C$12</f>
        <v>425.9686460478199</v>
      </c>
      <c r="AD145" s="9">
        <f>2*AB145/Inputs!$C$21*1000000</f>
        <v>5.0583273176613366</v>
      </c>
      <c r="AE145" s="9">
        <f t="shared" si="47"/>
        <v>3.9383092737910661</v>
      </c>
      <c r="AF145" s="9">
        <f>DEGREES((2*PI()/Inputs!$C$13)*Inputs!$C$15*SIN(RADIANS(AE145)))</f>
        <v>24.72564601064143</v>
      </c>
      <c r="AG145" s="9">
        <f t="shared" si="48"/>
        <v>0.99245623609272582</v>
      </c>
      <c r="AH145" s="9">
        <f t="shared" si="49"/>
        <v>-3.2886350358684847E-2</v>
      </c>
      <c r="AI145" s="9">
        <f t="shared" si="50"/>
        <v>-240.88947085546897</v>
      </c>
      <c r="AJ145" s="9">
        <f t="shared" si="51"/>
        <v>-2.8605339906365144</v>
      </c>
      <c r="AK145" s="9">
        <f t="shared" si="52"/>
        <v>430.39985427189959</v>
      </c>
      <c r="AL145" s="9">
        <f>1000*(AA146-AA144)/(A146-A144)*Inputs!$C$11</f>
        <v>334.24140582360451</v>
      </c>
      <c r="AM145" s="9">
        <f>-2*AL145/Inputs!$C$13</f>
        <v>-133.6965623294418</v>
      </c>
      <c r="AN145" s="9">
        <f>-2*AL145/Inputs!$C$14</f>
        <v>-20.074558908324597</v>
      </c>
      <c r="AO145" s="9">
        <f t="shared" si="53"/>
        <v>133.6965623294418</v>
      </c>
      <c r="AP145" s="9">
        <f t="shared" si="54"/>
        <v>20.074558908324597</v>
      </c>
      <c r="AQ145" s="9">
        <f>IF(OR(Inputs!$C$27=TRUE,Inputs!$C$27="TRUE",Inputs!$C$27=1),Inputs!$C$46/Inputs!$C$12,0)</f>
        <v>42.134831460674157</v>
      </c>
      <c r="AR145" s="9">
        <f t="shared" si="55"/>
        <v>383.83381458714575</v>
      </c>
      <c r="AS145" s="9">
        <f t="shared" si="56"/>
        <v>468.10347750849405</v>
      </c>
    </row>
    <row r="146" spans="1:45">
      <c r="A146" s="9">
        <f>Inputs!$C$7+144*(Inputs!$C$8-Inputs!$C$7)/240</f>
        <v>12</v>
      </c>
      <c r="B146" s="9">
        <f>Inputs!$C$5+Inputs!$C$9*(A146/Inputs!$C$10)^2</f>
        <v>400.16</v>
      </c>
      <c r="C146" s="9">
        <f t="shared" si="38"/>
        <v>400.16</v>
      </c>
      <c r="D146" s="9">
        <f>SQRT((Inputs!$C$52+B146)^2+Inputs!$C$52^2-2*(Inputs!$C$52+B146)*Inputs!$C$52*COS(SQRT(A146^2+Inputs!$C$6^2)/Inputs!$C$52))</f>
        <v>401.3653665146926</v>
      </c>
      <c r="E146" s="9">
        <f t="shared" si="39"/>
        <v>1205.3665146925709</v>
      </c>
      <c r="F146" s="9">
        <f>E146/Inputs!$C$12</f>
        <v>677.17219926548933</v>
      </c>
      <c r="G146" s="9">
        <f>2*E146/Inputs!$C$21*1000000</f>
        <v>8.0413398171115489</v>
      </c>
      <c r="H146" s="9">
        <f>SQRT(A146^2+Inputs!$C$6^2)</f>
        <v>27.730849247724095</v>
      </c>
      <c r="I146" s="9">
        <f t="shared" si="40"/>
        <v>3.9642254998513842</v>
      </c>
      <c r="J146" s="9">
        <f>DEGREES((2*PI()/Inputs!$C$13)*Inputs!$C$15*SIN(RADIANS(I146)))</f>
        <v>24.888095401136177</v>
      </c>
      <c r="K146" s="9">
        <f t="shared" si="41"/>
        <v>0.98804134481321326</v>
      </c>
      <c r="L146" s="9">
        <f t="shared" si="42"/>
        <v>-5.224881881455036E-2</v>
      </c>
      <c r="M146" s="9">
        <f>2*(Inputs!$C$9/(Inputs!$C$10^2))*A146</f>
        <v>2.6666666666666665E-2</v>
      </c>
      <c r="N146" s="9">
        <f>M146*Inputs!$C$11</f>
        <v>0.10666666666666666</v>
      </c>
      <c r="O146" s="9">
        <f>1000*(D147-D145)/(A147-A145)*Inputs!$C$11</f>
        <v>256.65646427364663</v>
      </c>
      <c r="P146" s="9">
        <f>-2*O146/Inputs!$C$13</f>
        <v>-102.66258570945865</v>
      </c>
      <c r="Q146" s="9">
        <f>-2*O146/Inputs!$C$14</f>
        <v>-15.414802659077877</v>
      </c>
      <c r="R146" s="9">
        <f>F146-Inputs!$C$16/2</f>
        <v>662.17219926548933</v>
      </c>
      <c r="S146" s="9">
        <f>F146+Inputs!$C$16/2</f>
        <v>692.17219926548933</v>
      </c>
      <c r="T146" s="9">
        <f>F146-Inputs!$C$17/2</f>
        <v>527.17219926548933</v>
      </c>
      <c r="U146" s="9">
        <f>F146+Inputs!$C$17/2</f>
        <v>827.17219926548933</v>
      </c>
      <c r="V146" s="9">
        <f t="shared" si="43"/>
        <v>102.66258570945865</v>
      </c>
      <c r="W146" s="9">
        <f t="shared" si="44"/>
        <v>15.414802659077877</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7.073891806129688</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422.8387186345762</v>
      </c>
      <c r="Z146" s="9">
        <f t="shared" si="45"/>
        <v>400.15292610819387</v>
      </c>
      <c r="AA146" s="9">
        <f>SQRT((Inputs!$C$52+B146)^2+(Inputs!$C$52+Y146/1000)^2-2*(Inputs!$C$52+B146)*(Inputs!$C$52+Y146/1000)*COS(SQRT(A146^2+Inputs!$C$6^2)/Inputs!$C$52))</f>
        <v>400.94412538783246</v>
      </c>
      <c r="AB146" s="9">
        <f t="shared" si="46"/>
        <v>791.19927963859027</v>
      </c>
      <c r="AC146" s="9">
        <f>AB146/Inputs!$C$12</f>
        <v>444.49397732505071</v>
      </c>
      <c r="AD146" s="9">
        <f>2*AB146/Inputs!$C$21*1000000</f>
        <v>5.278313436681521</v>
      </c>
      <c r="AE146" s="9">
        <f t="shared" si="47"/>
        <v>3.9684054344698061</v>
      </c>
      <c r="AF146" s="9">
        <f>DEGREES((2*PI()/Inputs!$C$13)*Inputs!$C$15*SIN(RADIANS(AE146)))</f>
        <v>24.914295801358694</v>
      </c>
      <c r="AG146" s="9">
        <f t="shared" si="48"/>
        <v>0.99212997172637374</v>
      </c>
      <c r="AH146" s="9">
        <f t="shared" si="49"/>
        <v>-3.4314303598172627E-2</v>
      </c>
      <c r="AI146" s="9">
        <f t="shared" si="50"/>
        <v>-232.67822194043862</v>
      </c>
      <c r="AJ146" s="9">
        <f t="shared" si="51"/>
        <v>-2.7630263804300279</v>
      </c>
      <c r="AK146" s="9">
        <f t="shared" si="52"/>
        <v>415.76482682844653</v>
      </c>
      <c r="AL146" s="9">
        <f>1000*(AA147-AA145)/(A147-A145)*Inputs!$C$11</f>
        <v>258.13667437319054</v>
      </c>
      <c r="AM146" s="9">
        <f>-2*AL146/Inputs!$C$13</f>
        <v>-103.25466974927622</v>
      </c>
      <c r="AN146" s="9">
        <f>-2*AL146/Inputs!$C$14</f>
        <v>-15.503704166557991</v>
      </c>
      <c r="AO146" s="9">
        <f t="shared" si="53"/>
        <v>103.25466974927622</v>
      </c>
      <c r="AP146" s="9">
        <f t="shared" si="54"/>
        <v>15.503704166557991</v>
      </c>
      <c r="AQ146" s="9">
        <f>IF(OR(Inputs!$C$27=TRUE,Inputs!$C$27="TRUE",Inputs!$C$27=1),Inputs!$C$46/Inputs!$C$12,0)</f>
        <v>42.134831460674157</v>
      </c>
      <c r="AR146" s="9">
        <f t="shared" si="55"/>
        <v>402.35914586437656</v>
      </c>
      <c r="AS146" s="9">
        <f t="shared" si="56"/>
        <v>486.62880878572486</v>
      </c>
    </row>
    <row r="147" spans="1:45">
      <c r="A147" s="9">
        <f>Inputs!$C$7+145*(Inputs!$C$8-Inputs!$C$7)/240</f>
        <v>12.5</v>
      </c>
      <c r="B147" s="9">
        <f>Inputs!$C$5+Inputs!$C$9*(A147/Inputs!$C$10)^2</f>
        <v>400.17361111111109</v>
      </c>
      <c r="C147" s="9">
        <f t="shared" si="38"/>
        <v>400.17361111111109</v>
      </c>
      <c r="D147" s="9">
        <f>SQRT((Inputs!$C$52+B147)^2+Inputs!$C$52^2-2*(Inputs!$C$52+B147)*Inputs!$C$52*COS(SQRT(A147^2+Inputs!$C$6^2)/Inputs!$C$52))</f>
        <v>401.39811600860071</v>
      </c>
      <c r="E147" s="9">
        <f t="shared" si="39"/>
        <v>1224.5048974896235</v>
      </c>
      <c r="F147" s="9">
        <f>E147/Inputs!$C$12</f>
        <v>687.92409971327163</v>
      </c>
      <c r="G147" s="9">
        <f>2*E147/Inputs!$C$21*1000000</f>
        <v>8.1690173639366446</v>
      </c>
      <c r="H147" s="9">
        <f>SQRT(A147^2+Inputs!$C$6^2)</f>
        <v>27.950849718747371</v>
      </c>
      <c r="I147" s="9">
        <f t="shared" si="40"/>
        <v>3.9954384393380811</v>
      </c>
      <c r="J147" s="9">
        <f>DEGREES((2*PI()/Inputs!$C$13)*Inputs!$C$15*SIN(RADIANS(I147)))</f>
        <v>25.083739154474607</v>
      </c>
      <c r="K147" s="9">
        <f t="shared" si="41"/>
        <v>0.98785332541878812</v>
      </c>
      <c r="L147" s="9">
        <f t="shared" si="42"/>
        <v>-5.3075338435927766E-2</v>
      </c>
      <c r="M147" s="9">
        <f>2*(Inputs!$C$9/(Inputs!$C$10^2))*A147</f>
        <v>2.7777777777777776E-2</v>
      </c>
      <c r="N147" s="9">
        <f>M147*Inputs!$C$11</f>
        <v>0.1111111111111111</v>
      </c>
      <c r="O147" s="9">
        <f>1000*(D148-D146)/(A148-A146)*Inputs!$C$11</f>
        <v>267.334479958663</v>
      </c>
      <c r="P147" s="9">
        <f>-2*O147/Inputs!$C$13</f>
        <v>-106.9337919834652</v>
      </c>
      <c r="Q147" s="9">
        <f>-2*O147/Inputs!$C$14</f>
        <v>-16.056124922442223</v>
      </c>
      <c r="R147" s="9">
        <f>F147-Inputs!$C$16/2</f>
        <v>672.92409971327163</v>
      </c>
      <c r="S147" s="9">
        <f>F147+Inputs!$C$16/2</f>
        <v>702.92409971327163</v>
      </c>
      <c r="T147" s="9">
        <f>F147-Inputs!$C$17/2</f>
        <v>537.92409971327163</v>
      </c>
      <c r="U147" s="9">
        <f>F147+Inputs!$C$17/2</f>
        <v>837.92409971327163</v>
      </c>
      <c r="V147" s="9">
        <f t="shared" si="43"/>
        <v>106.9337919834652</v>
      </c>
      <c r="W147" s="9">
        <f t="shared" si="44"/>
        <v>16.056124922442223</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-5.6874541754451418</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434.12423495839124</v>
      </c>
      <c r="Z147" s="9">
        <f t="shared" si="45"/>
        <v>400.17929856528656</v>
      </c>
      <c r="AA147" s="9">
        <f>SQRT((Inputs!$C$52+B147)^2+(Inputs!$C$52+Y147/1000)^2-2*(Inputs!$C$52+B147)*(Inputs!$C$52+Y147/1000)*COS(SQRT(A147^2+Inputs!$C$6^2)/Inputs!$C$52))</f>
        <v>400.96565797831903</v>
      </c>
      <c r="AB147" s="9">
        <f t="shared" si="46"/>
        <v>786.35941303247137</v>
      </c>
      <c r="AC147" s="9">
        <f>AB147/Inputs!$C$12</f>
        <v>441.77495114183785</v>
      </c>
      <c r="AD147" s="9">
        <f>2*AB147/Inputs!$C$21*1000000</f>
        <v>5.2460253221745248</v>
      </c>
      <c r="AE147" s="9">
        <f t="shared" si="47"/>
        <v>3.9997634810820641</v>
      </c>
      <c r="AF147" s="9">
        <f>DEGREES((2*PI()/Inputs!$C$13)*Inputs!$C$15*SIN(RADIANS(AE147)))</f>
        <v>25.110848075526988</v>
      </c>
      <c r="AG147" s="9">
        <f t="shared" si="48"/>
        <v>0.99217839083462411</v>
      </c>
      <c r="AH147" s="9">
        <f t="shared" si="49"/>
        <v>-3.4102359205529453E-2</v>
      </c>
      <c r="AI147" s="9">
        <f t="shared" si="50"/>
        <v>-246.14914857143378</v>
      </c>
      <c r="AJ147" s="9">
        <f t="shared" si="51"/>
        <v>-2.9229920417621198</v>
      </c>
      <c r="AK147" s="9">
        <f t="shared" si="52"/>
        <v>439.81168913383641</v>
      </c>
      <c r="AL147" s="9">
        <f>1000*(AA148-AA146)/(A148-A146)*Inputs!$C$11</f>
        <v>243.64832303240291</v>
      </c>
      <c r="AM147" s="9">
        <f>-2*AL147/Inputs!$C$13</f>
        <v>-97.459329212961165</v>
      </c>
      <c r="AN147" s="9">
        <f>-2*AL147/Inputs!$C$14</f>
        <v>-14.633532914859035</v>
      </c>
      <c r="AO147" s="9">
        <f t="shared" si="53"/>
        <v>97.459329212961165</v>
      </c>
      <c r="AP147" s="9">
        <f t="shared" si="54"/>
        <v>14.633532914859035</v>
      </c>
      <c r="AQ147" s="9">
        <f>IF(OR(Inputs!$C$27=TRUE,Inputs!$C$27="TRUE",Inputs!$C$27=1),Inputs!$C$46/Inputs!$C$12,0)</f>
        <v>42.134831460674157</v>
      </c>
      <c r="AR147" s="9">
        <f t="shared" si="55"/>
        <v>399.6401196811637</v>
      </c>
      <c r="AS147" s="9">
        <f t="shared" si="56"/>
        <v>483.909782602512</v>
      </c>
    </row>
    <row r="148" spans="1:45">
      <c r="A148" s="9">
        <f>Inputs!$C$7+146*(Inputs!$C$8-Inputs!$C$7)/240</f>
        <v>13</v>
      </c>
      <c r="B148" s="9">
        <f>Inputs!$C$5+Inputs!$C$9*(A148/Inputs!$C$10)^2</f>
        <v>400.1877777777778</v>
      </c>
      <c r="C148" s="9">
        <f t="shared" si="38"/>
        <v>400.1877777777778</v>
      </c>
      <c r="D148" s="9">
        <f>SQRT((Inputs!$C$52+B148)^2+Inputs!$C$52^2-2*(Inputs!$C$52+B148)*Inputs!$C$52*COS(SQRT(A148^2+Inputs!$C$6^2)/Inputs!$C$52))</f>
        <v>401.43220013468226</v>
      </c>
      <c r="E148" s="9">
        <f t="shared" si="39"/>
        <v>1244.4223569044652</v>
      </c>
      <c r="F148" s="9">
        <f>E148/Inputs!$C$12</f>
        <v>699.11368365419389</v>
      </c>
      <c r="G148" s="9">
        <f>2*E148/Inputs!$C$21*1000000</f>
        <v>8.3018923505037954</v>
      </c>
      <c r="H148" s="9">
        <f>SQRT(A148^2+Inputs!$C$6^2)</f>
        <v>28.178005607210743</v>
      </c>
      <c r="I148" s="9">
        <f t="shared" si="40"/>
        <v>4.0276607135085563</v>
      </c>
      <c r="J148" s="9">
        <f>DEGREES((2*PI()/Inputs!$C$13)*Inputs!$C$15*SIN(RADIANS(I148)))</f>
        <v>25.285701641717207</v>
      </c>
      <c r="K148" s="9">
        <f t="shared" si="41"/>
        <v>0.98765771332714303</v>
      </c>
      <c r="L148" s="9">
        <f t="shared" si="42"/>
        <v>-5.3935401990182485E-2</v>
      </c>
      <c r="M148" s="9">
        <f>2*(Inputs!$C$9/(Inputs!$C$10^2))*A148</f>
        <v>2.8888888888888888E-2</v>
      </c>
      <c r="N148" s="9">
        <f>M148*Inputs!$C$11</f>
        <v>0.11555555555555555</v>
      </c>
      <c r="O148" s="9">
        <f>1000*(D149-D147)/(A149-A147)*Inputs!$C$11</f>
        <v>278.01054033716355</v>
      </c>
      <c r="P148" s="9">
        <f>-2*O148/Inputs!$C$13</f>
        <v>-111.20421613486542</v>
      </c>
      <c r="Q148" s="9">
        <f>-2*O148/Inputs!$C$14</f>
        <v>-16.697329749979794</v>
      </c>
      <c r="R148" s="9">
        <f>F148-Inputs!$C$16/2</f>
        <v>684.11368365419389</v>
      </c>
      <c r="S148" s="9">
        <f>F148+Inputs!$C$16/2</f>
        <v>714.11368365419389</v>
      </c>
      <c r="T148" s="9">
        <f>F148-Inputs!$C$17/2</f>
        <v>549.11368365419389</v>
      </c>
      <c r="U148" s="9">
        <f>F148+Inputs!$C$17/2</f>
        <v>849.11368365419389</v>
      </c>
      <c r="V148" s="9">
        <f t="shared" si="43"/>
        <v>111.20421613486542</v>
      </c>
      <c r="W148" s="9">
        <f t="shared" si="44"/>
        <v>16.697329749979794</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-3.6184909665757639</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428.83519917040849</v>
      </c>
      <c r="Z148" s="9">
        <f t="shared" si="45"/>
        <v>400.19139626874437</v>
      </c>
      <c r="AA148" s="9">
        <f>SQRT((Inputs!$C$52+B148)^2+(Inputs!$C$52+Y148/1000)^2-2*(Inputs!$C$52+B148)*(Inputs!$C$52+Y148/1000)*COS(SQRT(A148^2+Inputs!$C$6^2)/Inputs!$C$52))</f>
        <v>401.00503746859056</v>
      </c>
      <c r="AB148" s="9">
        <f t="shared" si="46"/>
        <v>813.6411998461881</v>
      </c>
      <c r="AC148" s="9">
        <f>AB148/Inputs!$C$12</f>
        <v>457.10179766639783</v>
      </c>
      <c r="AD148" s="9">
        <f>2*AB148/Inputs!$C$21*1000000</f>
        <v>5.4280298128526514</v>
      </c>
      <c r="AE148" s="9">
        <f t="shared" si="47"/>
        <v>4.0319670816827795</v>
      </c>
      <c r="AF148" s="9">
        <f>DEGREES((2*PI()/Inputs!$C$13)*Inputs!$C$15*SIN(RADIANS(AE148)))</f>
        <v>25.312692453940393</v>
      </c>
      <c r="AG148" s="9">
        <f t="shared" si="48"/>
        <v>0.99190864803194323</v>
      </c>
      <c r="AH148" s="9">
        <f t="shared" si="49"/>
        <v>-3.5283232918873253E-2</v>
      </c>
      <c r="AI148" s="9">
        <f t="shared" si="50"/>
        <v>-242.01188598779606</v>
      </c>
      <c r="AJ148" s="9">
        <f t="shared" si="51"/>
        <v>-2.873862537651144</v>
      </c>
      <c r="AK148" s="9">
        <f t="shared" si="52"/>
        <v>432.45369013698428</v>
      </c>
      <c r="AL148" s="9">
        <f>1000*(AA149-AA147)/(A149-A147)*Inputs!$C$11</f>
        <v>378.94144782217154</v>
      </c>
      <c r="AM148" s="9">
        <f>-2*AL148/Inputs!$C$13</f>
        <v>-151.57657912886862</v>
      </c>
      <c r="AN148" s="9">
        <f>-2*AL148/Inputs!$C$14</f>
        <v>-22.759246115445741</v>
      </c>
      <c r="AO148" s="9">
        <f t="shared" si="53"/>
        <v>151.57657912886862</v>
      </c>
      <c r="AP148" s="9">
        <f t="shared" si="54"/>
        <v>22.759246115445741</v>
      </c>
      <c r="AQ148" s="9">
        <f>IF(OR(Inputs!$C$27=TRUE,Inputs!$C$27="TRUE",Inputs!$C$27=1),Inputs!$C$46/Inputs!$C$12,0)</f>
        <v>42.134831460674157</v>
      </c>
      <c r="AR148" s="9">
        <f t="shared" si="55"/>
        <v>414.96696620572368</v>
      </c>
      <c r="AS148" s="9">
        <f t="shared" si="56"/>
        <v>499.23662912707198</v>
      </c>
    </row>
    <row r="149" spans="1:45">
      <c r="A149" s="9">
        <f>Inputs!$C$7+147*(Inputs!$C$8-Inputs!$C$7)/240</f>
        <v>13.5</v>
      </c>
      <c r="B149" s="9">
        <f>Inputs!$C$5+Inputs!$C$9*(A149/Inputs!$C$10)^2</f>
        <v>400.20249999999999</v>
      </c>
      <c r="C149" s="9">
        <f t="shared" si="38"/>
        <v>400.20249999999999</v>
      </c>
      <c r="D149" s="9">
        <f>SQRT((Inputs!$C$52+B149)^2+Inputs!$C$52^2-2*(Inputs!$C$52+B149)*Inputs!$C$52*COS(SQRT(A149^2+Inputs!$C$6^2)/Inputs!$C$52))</f>
        <v>401.467618643685</v>
      </c>
      <c r="E149" s="9">
        <f t="shared" si="39"/>
        <v>1265.1186436850139</v>
      </c>
      <c r="F149" s="9">
        <f>E149/Inputs!$C$12</f>
        <v>710.74081105899654</v>
      </c>
      <c r="G149" s="9">
        <f>2*E149/Inputs!$C$21*1000000</f>
        <v>8.439963113982099</v>
      </c>
      <c r="H149" s="9">
        <f>SQRT(A149^2+Inputs!$C$6^2)</f>
        <v>28.412145290350743</v>
      </c>
      <c r="I149" s="9">
        <f t="shared" si="40"/>
        <v>4.0608673737375272</v>
      </c>
      <c r="J149" s="9">
        <f>DEGREES((2*PI()/Inputs!$C$13)*Inputs!$C$15*SIN(RADIANS(I149)))</f>
        <v>25.493825687095161</v>
      </c>
      <c r="K149" s="9">
        <f t="shared" si="41"/>
        <v>0.98745451827381159</v>
      </c>
      <c r="L149" s="9">
        <f t="shared" si="42"/>
        <v>-5.4828986560327947E-2</v>
      </c>
      <c r="M149" s="9">
        <f>2*(Inputs!$C$9/(Inputs!$C$10^2))*A149</f>
        <v>0.03</v>
      </c>
      <c r="N149" s="9">
        <f>M149*Inputs!$C$11</f>
        <v>0.12</v>
      </c>
      <c r="O149" s="9">
        <f>1000*(D150-D148)/(A150-A148)*Inputs!$C$11</f>
        <v>288.68456805867027</v>
      </c>
      <c r="P149" s="9">
        <f>-2*O149/Inputs!$C$13</f>
        <v>-115.47382722346811</v>
      </c>
      <c r="Q149" s="9">
        <f>-2*O149/Inputs!$C$14</f>
        <v>-17.338412496016232</v>
      </c>
      <c r="R149" s="9">
        <f>F149-Inputs!$C$16/2</f>
        <v>695.74081105899654</v>
      </c>
      <c r="S149" s="9">
        <f>F149+Inputs!$C$16/2</f>
        <v>725.74081105899654</v>
      </c>
      <c r="T149" s="9">
        <f>F149-Inputs!$C$17/2</f>
        <v>560.74081105899654</v>
      </c>
      <c r="U149" s="9">
        <f>F149+Inputs!$C$17/2</f>
        <v>860.74081105899654</v>
      </c>
      <c r="V149" s="9">
        <f t="shared" si="43"/>
        <v>115.47382722346811</v>
      </c>
      <c r="W149" s="9">
        <f t="shared" si="44"/>
        <v>17.338412496016232</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4.5761325244330742E-2</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408.84619240872695</v>
      </c>
      <c r="Z149" s="9">
        <f t="shared" si="45"/>
        <v>400.20245423867476</v>
      </c>
      <c r="AA149" s="9">
        <f>SQRT((Inputs!$C$52+B149)^2+(Inputs!$C$52+Y149/1000)^2-2*(Inputs!$C$52+B149)*(Inputs!$C$52+Y149/1000)*COS(SQRT(A149^2+Inputs!$C$6^2)/Inputs!$C$52))</f>
        <v>401.06039334027457</v>
      </c>
      <c r="AB149" s="9">
        <f t="shared" si="46"/>
        <v>857.93910159981124</v>
      </c>
      <c r="AC149" s="9">
        <f>AB149/Inputs!$C$12</f>
        <v>481.98825932573664</v>
      </c>
      <c r="AD149" s="9">
        <f>2*AB149/Inputs!$C$21*1000000</f>
        <v>5.7235536032051293</v>
      </c>
      <c r="AE149" s="9">
        <f t="shared" si="47"/>
        <v>4.0650062768377149</v>
      </c>
      <c r="AF149" s="9">
        <f>DEGREES((2*PI()/Inputs!$C$13)*Inputs!$C$15*SIN(RADIANS(AE149)))</f>
        <v>25.519765825853014</v>
      </c>
      <c r="AG149" s="9">
        <f t="shared" si="48"/>
        <v>0.99147071000255482</v>
      </c>
      <c r="AH149" s="9">
        <f t="shared" si="49"/>
        <v>-3.7201111834971087E-2</v>
      </c>
      <c r="AI149" s="9">
        <f t="shared" si="50"/>
        <v>-228.75255173325991</v>
      </c>
      <c r="AJ149" s="9">
        <f t="shared" si="51"/>
        <v>-2.7164095107769697</v>
      </c>
      <c r="AK149" s="9">
        <f t="shared" si="52"/>
        <v>408.80043108348264</v>
      </c>
      <c r="AL149" s="9">
        <f>1000*(AA150-AA148)/(A150-A148)*Inputs!$C$11</f>
        <v>353.78412979207496</v>
      </c>
      <c r="AM149" s="9">
        <f>-2*AL149/Inputs!$C$13</f>
        <v>-141.51365191682999</v>
      </c>
      <c r="AN149" s="9">
        <f>-2*AL149/Inputs!$C$14</f>
        <v>-21.248296083608107</v>
      </c>
      <c r="AO149" s="9">
        <f t="shared" si="53"/>
        <v>141.51365191682999</v>
      </c>
      <c r="AP149" s="9">
        <f t="shared" si="54"/>
        <v>21.248296083608107</v>
      </c>
      <c r="AQ149" s="9">
        <f>IF(OR(Inputs!$C$27=TRUE,Inputs!$C$27="TRUE",Inputs!$C$27=1),Inputs!$C$46/Inputs!$C$12,0)</f>
        <v>42.134831460674157</v>
      </c>
      <c r="AR149" s="9">
        <f t="shared" si="55"/>
        <v>439.85342786506249</v>
      </c>
      <c r="AS149" s="9">
        <f t="shared" si="56"/>
        <v>524.12309078641078</v>
      </c>
    </row>
    <row r="150" spans="1:45">
      <c r="A150" s="9">
        <f>Inputs!$C$7+148*(Inputs!$C$8-Inputs!$C$7)/240</f>
        <v>14</v>
      </c>
      <c r="B150" s="9">
        <f>Inputs!$C$5+Inputs!$C$9*(A150/Inputs!$C$10)^2</f>
        <v>400.21777777777777</v>
      </c>
      <c r="C150" s="9">
        <f t="shared" si="38"/>
        <v>400.21777777777777</v>
      </c>
      <c r="D150" s="9">
        <f>SQRT((Inputs!$C$52+B150)^2+Inputs!$C$52^2-2*(Inputs!$C$52+B150)*Inputs!$C$52*COS(SQRT(A150^2+Inputs!$C$6^2)/Inputs!$C$52))</f>
        <v>401.50437127669693</v>
      </c>
      <c r="E150" s="9">
        <f t="shared" si="39"/>
        <v>1286.5934989191601</v>
      </c>
      <c r="F150" s="9">
        <f>E150/Inputs!$C$12</f>
        <v>722.8053364714383</v>
      </c>
      <c r="G150" s="9">
        <f>2*E150/Inputs!$C$21*1000000</f>
        <v>8.5832279270958853</v>
      </c>
      <c r="H150" s="9">
        <f>SQRT(A150^2+Inputs!$C$6^2)</f>
        <v>28.653097563788805</v>
      </c>
      <c r="I150" s="9">
        <f t="shared" si="40"/>
        <v>4.0950335233008293</v>
      </c>
      <c r="J150" s="9">
        <f>DEGREES((2*PI()/Inputs!$C$13)*Inputs!$C$15*SIN(RADIANS(I150)))</f>
        <v>25.707954430803461</v>
      </c>
      <c r="K150" s="9">
        <f t="shared" si="41"/>
        <v>0.9872437503659115</v>
      </c>
      <c r="L150" s="9">
        <f t="shared" si="42"/>
        <v>-5.5756068344563793E-2</v>
      </c>
      <c r="M150" s="9">
        <f>2*(Inputs!$C$9/(Inputs!$C$10^2))*A150</f>
        <v>3.111111111111111E-2</v>
      </c>
      <c r="N150" s="9">
        <f>M150*Inputs!$C$11</f>
        <v>0.12444444444444444</v>
      </c>
      <c r="O150" s="9">
        <f>1000*(D151-D149)/(A151-A149)*Inputs!$C$11</f>
        <v>299.35648588275399</v>
      </c>
      <c r="P150" s="9">
        <f>-2*O150/Inputs!$C$13</f>
        <v>-119.74259435310159</v>
      </c>
      <c r="Q150" s="9">
        <f>-2*O150/Inputs!$C$14</f>
        <v>-17.979368521486727</v>
      </c>
      <c r="R150" s="9">
        <f>F150-Inputs!$C$16/2</f>
        <v>707.8053364714383</v>
      </c>
      <c r="S150" s="9">
        <f>F150+Inputs!$C$16/2</f>
        <v>737.8053364714383</v>
      </c>
      <c r="T150" s="9">
        <f>F150-Inputs!$C$17/2</f>
        <v>572.8053364714383</v>
      </c>
      <c r="U150" s="9">
        <f>F150+Inputs!$C$17/2</f>
        <v>872.8053364714383</v>
      </c>
      <c r="V150" s="9">
        <f t="shared" si="43"/>
        <v>119.74259435310159</v>
      </c>
      <c r="W150" s="9">
        <f t="shared" si="44"/>
        <v>17.979368521486727</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17.148059194147212</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412.55100068044544</v>
      </c>
      <c r="Z150" s="9">
        <f t="shared" si="45"/>
        <v>400.20062971858363</v>
      </c>
      <c r="AA150" s="9">
        <f>SQRT((Inputs!$C$52+B150)^2+(Inputs!$C$52+Y150/1000)^2-2*(Inputs!$C$52+B150)*(Inputs!$C$52+Y150/1000)*COS(SQRT(A150^2+Inputs!$C$6^2)/Inputs!$C$52))</f>
        <v>401.09348350103858</v>
      </c>
      <c r="AB150" s="9">
        <f t="shared" si="46"/>
        <v>892.8537824549494</v>
      </c>
      <c r="AC150" s="9">
        <f>AB150/Inputs!$C$12</f>
        <v>501.60324857019629</v>
      </c>
      <c r="AD150" s="9">
        <f>2*AB150/Inputs!$C$21*1000000</f>
        <v>5.956479281776657</v>
      </c>
      <c r="AE150" s="9">
        <f t="shared" si="47"/>
        <v>4.0992447087081025</v>
      </c>
      <c r="AF150" s="9">
        <f>DEGREES((2*PI()/Inputs!$C$13)*Inputs!$C$15*SIN(RADIANS(AE150)))</f>
        <v>25.734346467493264</v>
      </c>
      <c r="AG150" s="9">
        <f t="shared" si="48"/>
        <v>0.99112549132378003</v>
      </c>
      <c r="AH150" s="9">
        <f t="shared" si="49"/>
        <v>-3.8713538507197651E-2</v>
      </c>
      <c r="AI150" s="9">
        <f t="shared" si="50"/>
        <v>-221.20208790124201</v>
      </c>
      <c r="AJ150" s="9">
        <f t="shared" si="51"/>
        <v>-2.6267486453192284</v>
      </c>
      <c r="AK150" s="9">
        <f t="shared" si="52"/>
        <v>395.40294148629823</v>
      </c>
      <c r="AL150" s="9">
        <f>1000*(AA151-AA149)/(A151-A149)*Inputs!$C$11</f>
        <v>272.8045422352352</v>
      </c>
      <c r="AM150" s="9">
        <f>-2*AL150/Inputs!$C$13</f>
        <v>-109.12181689409408</v>
      </c>
      <c r="AN150" s="9">
        <f>-2*AL150/Inputs!$C$14</f>
        <v>-16.384657191305418</v>
      </c>
      <c r="AO150" s="9">
        <f t="shared" si="53"/>
        <v>109.12181689409408</v>
      </c>
      <c r="AP150" s="9">
        <f t="shared" si="54"/>
        <v>16.384657191305418</v>
      </c>
      <c r="AQ150" s="9">
        <f>IF(OR(Inputs!$C$27=TRUE,Inputs!$C$27="TRUE",Inputs!$C$27=1),Inputs!$C$46/Inputs!$C$12,0)</f>
        <v>42.134831460674157</v>
      </c>
      <c r="AR150" s="9">
        <f t="shared" si="55"/>
        <v>459.46841710952214</v>
      </c>
      <c r="AS150" s="9">
        <f t="shared" si="56"/>
        <v>543.73808003087049</v>
      </c>
    </row>
    <row r="151" spans="1:45">
      <c r="A151" s="9">
        <f>Inputs!$C$7+149*(Inputs!$C$8-Inputs!$C$7)/240</f>
        <v>14.5</v>
      </c>
      <c r="B151" s="9">
        <f>Inputs!$C$5+Inputs!$C$9*(A151/Inputs!$C$10)^2</f>
        <v>400.23361111111109</v>
      </c>
      <c r="C151" s="9">
        <f t="shared" si="38"/>
        <v>400.23361111111109</v>
      </c>
      <c r="D151" s="9">
        <f>SQRT((Inputs!$C$52+B151)^2+Inputs!$C$52^2-2*(Inputs!$C$52+B151)*Inputs!$C$52*COS(SQRT(A151^2+Inputs!$C$6^2)/Inputs!$C$52))</f>
        <v>401.54245776515569</v>
      </c>
      <c r="E151" s="9">
        <f t="shared" si="39"/>
        <v>1308.8466540446007</v>
      </c>
      <c r="F151" s="9">
        <f>E151/Inputs!$C$12</f>
        <v>735.30710901382054</v>
      </c>
      <c r="G151" s="9">
        <f>2*E151/Inputs!$C$21*1000000</f>
        <v>8.7316849981903193</v>
      </c>
      <c r="H151" s="9">
        <f>SQRT(A151^2+Inputs!$C$6^2)</f>
        <v>28.900692033236851</v>
      </c>
      <c r="I151" s="9">
        <f t="shared" si="40"/>
        <v>4.1301343739438137</v>
      </c>
      <c r="J151" s="9">
        <f>DEGREES((2*PI()/Inputs!$C$13)*Inputs!$C$15*SIN(RADIANS(I151)))</f>
        <v>25.927931684939452</v>
      </c>
      <c r="K151" s="9">
        <f t="shared" si="41"/>
        <v>0.98702542008101235</v>
      </c>
      <c r="L151" s="9">
        <f t="shared" si="42"/>
        <v>-5.6716622657724022E-2</v>
      </c>
      <c r="M151" s="9">
        <f>2*(Inputs!$C$9/(Inputs!$C$10^2))*A151</f>
        <v>3.2222222222222222E-2</v>
      </c>
      <c r="N151" s="9">
        <f>M151*Inputs!$C$11</f>
        <v>0.12888888888888889</v>
      </c>
      <c r="O151" s="9">
        <f>1000*(D152-D150)/(A152-A150)*Inputs!$C$11</f>
        <v>310.026216641063</v>
      </c>
      <c r="P151" s="9">
        <f>-2*O151/Inputs!$C$13</f>
        <v>-124.0104866564252</v>
      </c>
      <c r="Q151" s="9">
        <f>-2*O151/Inputs!$C$14</f>
        <v>-18.620193191655439</v>
      </c>
      <c r="R151" s="9">
        <f>F151-Inputs!$C$16/2</f>
        <v>720.30710901382054</v>
      </c>
      <c r="S151" s="9">
        <f>F151+Inputs!$C$16/2</f>
        <v>750.30710901382054</v>
      </c>
      <c r="T151" s="9">
        <f>F151-Inputs!$C$17/2</f>
        <v>585.30710901382054</v>
      </c>
      <c r="U151" s="9">
        <f>F151+Inputs!$C$17/2</f>
        <v>885.30710901382054</v>
      </c>
      <c r="V151" s="9">
        <f t="shared" si="43"/>
        <v>124.0104866564252</v>
      </c>
      <c r="W151" s="9">
        <f t="shared" si="44"/>
        <v>18.620193191655439</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27.325427950728567</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415.56752777059438</v>
      </c>
      <c r="Z151" s="9">
        <f t="shared" si="45"/>
        <v>400.20628568316033</v>
      </c>
      <c r="AA151" s="9">
        <f>SQRT((Inputs!$C$52+B151)^2+(Inputs!$C$52+Y151/1000)^2-2*(Inputs!$C$52+B151)*(Inputs!$C$52+Y151/1000)*COS(SQRT(A151^2+Inputs!$C$6^2)/Inputs!$C$52))</f>
        <v>401.12859447583338</v>
      </c>
      <c r="AB151" s="9">
        <f t="shared" si="46"/>
        <v>922.30879267304999</v>
      </c>
      <c r="AC151" s="9">
        <f>AB151/Inputs!$C$12</f>
        <v>518.15100711969103</v>
      </c>
      <c r="AD151" s="9">
        <f>2*AB151/Inputs!$C$21*1000000</f>
        <v>6.1529819584257188</v>
      </c>
      <c r="AE151" s="9">
        <f t="shared" si="47"/>
        <v>4.1344123225834135</v>
      </c>
      <c r="AF151" s="9">
        <f>DEGREES((2*PI()/Inputs!$C$13)*Inputs!$C$15*SIN(RADIANS(AE151)))</f>
        <v>25.954740952654461</v>
      </c>
      <c r="AG151" s="9">
        <f t="shared" si="48"/>
        <v>0.99083453333492943</v>
      </c>
      <c r="AH151" s="9">
        <f t="shared" si="49"/>
        <v>-3.9988654537380798E-2</v>
      </c>
      <c r="AI151" s="9">
        <f t="shared" si="50"/>
        <v>-217.15610189412951</v>
      </c>
      <c r="AJ151" s="9">
        <f t="shared" si="51"/>
        <v>-2.5787030397646005</v>
      </c>
      <c r="AK151" s="9">
        <f t="shared" si="52"/>
        <v>388.24209981986581</v>
      </c>
      <c r="AL151" s="9">
        <f>1000*(AA152-AA150)/(A152-A150)*Inputs!$C$11</f>
        <v>362.85889079499611</v>
      </c>
      <c r="AM151" s="9">
        <f>-2*AL151/Inputs!$C$13</f>
        <v>-145.14355631799845</v>
      </c>
      <c r="AN151" s="9">
        <f>-2*AL151/Inputs!$C$14</f>
        <v>-21.793326774474242</v>
      </c>
      <c r="AO151" s="9">
        <f t="shared" si="53"/>
        <v>145.14355631799845</v>
      </c>
      <c r="AP151" s="9">
        <f t="shared" si="54"/>
        <v>21.793326774474242</v>
      </c>
      <c r="AQ151" s="9">
        <f>IF(OR(Inputs!$C$27=TRUE,Inputs!$C$27="TRUE",Inputs!$C$27=1),Inputs!$C$46/Inputs!$C$12,0)</f>
        <v>42.134831460674157</v>
      </c>
      <c r="AR151" s="9">
        <f t="shared" si="55"/>
        <v>476.01617565901688</v>
      </c>
      <c r="AS151" s="9">
        <f t="shared" si="56"/>
        <v>560.28583858036518</v>
      </c>
    </row>
    <row r="152" spans="1:45">
      <c r="A152" s="9">
        <f>Inputs!$C$7+150*(Inputs!$C$8-Inputs!$C$7)/240</f>
        <v>15</v>
      </c>
      <c r="B152" s="9">
        <f>Inputs!$C$5+Inputs!$C$9*(A152/Inputs!$C$10)^2</f>
        <v>400.25</v>
      </c>
      <c r="C152" s="9">
        <f t="shared" si="38"/>
        <v>400.25</v>
      </c>
      <c r="D152" s="9">
        <f>SQRT((Inputs!$C$52+B152)^2+Inputs!$C$52^2-2*(Inputs!$C$52+B152)*Inputs!$C$52*COS(SQRT(A152^2+Inputs!$C$6^2)/Inputs!$C$52))</f>
        <v>401.5818778308572</v>
      </c>
      <c r="E152" s="9">
        <f t="shared" si="39"/>
        <v>1331.877830857195</v>
      </c>
      <c r="F152" s="9">
        <f>E152/Inputs!$C$12</f>
        <v>748.24597239168259</v>
      </c>
      <c r="G152" s="9">
        <f>2*E152/Inputs!$C$21*1000000</f>
        <v>8.8853324712871533</v>
      </c>
      <c r="H152" s="9">
        <f>SQRT(A152^2+Inputs!$C$6^2)</f>
        <v>29.154759474226502</v>
      </c>
      <c r="I152" s="9">
        <f t="shared" si="40"/>
        <v>4.1661452978542997</v>
      </c>
      <c r="J152" s="9">
        <f>DEGREES((2*PI()/Inputs!$C$13)*Inputs!$C$15*SIN(RADIANS(I152)))</f>
        <v>26.15360226055801</v>
      </c>
      <c r="K152" s="9">
        <f t="shared" si="41"/>
        <v>0.98679953826597866</v>
      </c>
      <c r="L152" s="9">
        <f t="shared" si="42"/>
        <v>-5.7710623932708614E-2</v>
      </c>
      <c r="M152" s="9">
        <f>2*(Inputs!$C$9/(Inputs!$C$10^2))*A152</f>
        <v>3.3333333333333333E-2</v>
      </c>
      <c r="N152" s="9">
        <f>M152*Inputs!$C$11</f>
        <v>0.13333333333333333</v>
      </c>
      <c r="O152" s="9">
        <f>1000*(D153-D151)/(A153-A151)*Inputs!$C$11</f>
        <v>320.69368331076475</v>
      </c>
      <c r="P152" s="9">
        <f>-2*O152/Inputs!$C$13</f>
        <v>-128.2774733243059</v>
      </c>
      <c r="Q152" s="9">
        <f>-2*O152/Inputs!$C$14</f>
        <v>-19.260881880526412</v>
      </c>
      <c r="R152" s="9">
        <f>F152-Inputs!$C$16/2</f>
        <v>733.24597239168259</v>
      </c>
      <c r="S152" s="9">
        <f>F152+Inputs!$C$16/2</f>
        <v>763.24597239168259</v>
      </c>
      <c r="T152" s="9">
        <f>F152-Inputs!$C$17/2</f>
        <v>598.24597239168259</v>
      </c>
      <c r="U152" s="9">
        <f>F152+Inputs!$C$17/2</f>
        <v>898.24597239168259</v>
      </c>
      <c r="V152" s="9">
        <f t="shared" si="43"/>
        <v>128.2774733243059</v>
      </c>
      <c r="W152" s="9">
        <f t="shared" si="44"/>
        <v>19.260881880526412</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45.362905639140564</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399.34593170493116</v>
      </c>
      <c r="Z152" s="9">
        <f t="shared" si="45"/>
        <v>400.20463709436086</v>
      </c>
      <c r="AA152" s="9">
        <f>SQRT((Inputs!$C$52+B152)^2+(Inputs!$C$52+Y152/1000)^2-2*(Inputs!$C$52+B152)*(Inputs!$C$52+Y152/1000)*COS(SQRT(A152^2+Inputs!$C$6^2)/Inputs!$C$52))</f>
        <v>401.18419822373733</v>
      </c>
      <c r="AB152" s="9">
        <f t="shared" si="46"/>
        <v>979.56112937646367</v>
      </c>
      <c r="AC152" s="9">
        <f>AB152/Inputs!$C$12</f>
        <v>550.31524122273242</v>
      </c>
      <c r="AD152" s="9">
        <f>2*AB152/Inputs!$C$21*1000000</f>
        <v>6.534928436234801</v>
      </c>
      <c r="AE152" s="9">
        <f t="shared" si="47"/>
        <v>4.1702915117409125</v>
      </c>
      <c r="AF152" s="9">
        <f>DEGREES((2*PI()/Inputs!$C$13)*Inputs!$C$15*SIN(RADIANS(AE152)))</f>
        <v>26.179584783351807</v>
      </c>
      <c r="AG152" s="9">
        <f t="shared" si="48"/>
        <v>0.99026901541721668</v>
      </c>
      <c r="AH152" s="9">
        <f t="shared" si="49"/>
        <v>-4.2468094018529759E-2</v>
      </c>
      <c r="AI152" s="9">
        <f t="shared" si="50"/>
        <v>-197.93073116895016</v>
      </c>
      <c r="AJ152" s="9">
        <f t="shared" si="51"/>
        <v>-2.3504040350523523</v>
      </c>
      <c r="AK152" s="9">
        <f t="shared" si="52"/>
        <v>353.98302606579057</v>
      </c>
      <c r="AL152" s="9">
        <f>1000*(AA153-AA151)/(A153-A151)*Inputs!$C$11</f>
        <v>400.40183724022427</v>
      </c>
      <c r="AM152" s="9">
        <f>-2*AL152/Inputs!$C$13</f>
        <v>-160.16073489608971</v>
      </c>
      <c r="AN152" s="9">
        <f>-2*AL152/Inputs!$C$14</f>
        <v>-24.048158392806265</v>
      </c>
      <c r="AO152" s="9">
        <f t="shared" si="53"/>
        <v>160.16073489608971</v>
      </c>
      <c r="AP152" s="9">
        <f t="shared" si="54"/>
        <v>24.048158392806265</v>
      </c>
      <c r="AQ152" s="9">
        <f>IF(OR(Inputs!$C$27=TRUE,Inputs!$C$27="TRUE",Inputs!$C$27=1),Inputs!$C$46/Inputs!$C$12,0)</f>
        <v>42.134831460674157</v>
      </c>
      <c r="AR152" s="9">
        <f t="shared" si="55"/>
        <v>508.18040976205828</v>
      </c>
      <c r="AS152" s="9">
        <f t="shared" si="56"/>
        <v>592.45007268340657</v>
      </c>
    </row>
    <row r="153" spans="1:45">
      <c r="A153" s="9">
        <f>Inputs!$C$7+151*(Inputs!$C$8-Inputs!$C$7)/240</f>
        <v>15.5</v>
      </c>
      <c r="B153" s="9">
        <f>Inputs!$C$5+Inputs!$C$9*(A153/Inputs!$C$10)^2</f>
        <v>400.26694444444445</v>
      </c>
      <c r="C153" s="9">
        <f t="shared" si="38"/>
        <v>400.26694444444445</v>
      </c>
      <c r="D153" s="9">
        <f>SQRT((Inputs!$C$52+B153)^2+Inputs!$C$52^2-2*(Inputs!$C$52+B153)*Inputs!$C$52*COS(SQRT(A153^2+Inputs!$C$6^2)/Inputs!$C$52))</f>
        <v>401.62263118598338</v>
      </c>
      <c r="E153" s="9">
        <f t="shared" si="39"/>
        <v>1355.686741538932</v>
      </c>
      <c r="F153" s="9">
        <f>E153/Inputs!$C$12</f>
        <v>761.62176490951231</v>
      </c>
      <c r="G153" s="9">
        <f>2*E153/Inputs!$C$21*1000000</f>
        <v>9.0441684262712965</v>
      </c>
      <c r="H153" s="9">
        <f>SQRT(A153^2+Inputs!$C$6^2)</f>
        <v>29.415132160165456</v>
      </c>
      <c r="I153" s="9">
        <f t="shared" si="40"/>
        <v>4.2030418750829472</v>
      </c>
      <c r="J153" s="9">
        <f>DEGREES((2*PI()/Inputs!$C$13)*Inputs!$C$15*SIN(RADIANS(I153)))</f>
        <v>26.384812266111606</v>
      </c>
      <c r="K153" s="9">
        <f t="shared" si="41"/>
        <v>0.98656611613558876</v>
      </c>
      <c r="L153" s="9">
        <f t="shared" si="42"/>
        <v>-5.8738045722776966E-2</v>
      </c>
      <c r="M153" s="9">
        <f>2*(Inputs!$C$9/(Inputs!$C$10^2))*A153</f>
        <v>3.4444444444444444E-2</v>
      </c>
      <c r="N153" s="9">
        <f>M153*Inputs!$C$11</f>
        <v>0.13777777777777778</v>
      </c>
      <c r="O153" s="9">
        <f>1000*(D154-D152)/(A154-A152)*Inputs!$C$11</f>
        <v>331.35880898635151</v>
      </c>
      <c r="P153" s="9">
        <f>-2*O153/Inputs!$C$13</f>
        <v>-132.5435235945406</v>
      </c>
      <c r="Q153" s="9">
        <f>-2*O153/Inputs!$C$14</f>
        <v>-19.901429969150243</v>
      </c>
      <c r="R153" s="9">
        <f>F153-Inputs!$C$16/2</f>
        <v>746.62176490951231</v>
      </c>
      <c r="S153" s="9">
        <f>F153+Inputs!$C$16/2</f>
        <v>776.62176490951231</v>
      </c>
      <c r="T153" s="9">
        <f>F153-Inputs!$C$17/2</f>
        <v>611.62176490951231</v>
      </c>
      <c r="U153" s="9">
        <f>F153+Inputs!$C$17/2</f>
        <v>911.62176490951231</v>
      </c>
      <c r="V153" s="9">
        <f t="shared" si="43"/>
        <v>132.5435235945406</v>
      </c>
      <c r="W153" s="9">
        <f t="shared" si="44"/>
        <v>19.901429969150243</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49.090179641950456</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395.61636103749299</v>
      </c>
      <c r="Z153" s="9">
        <f t="shared" si="45"/>
        <v>400.2178542648025</v>
      </c>
      <c r="AA153" s="9">
        <f>SQRT((Inputs!$C$52+B153)^2+(Inputs!$C$52+Y153/1000)^2-2*(Inputs!$C$52+B153)*(Inputs!$C$52+Y153/1000)*COS(SQRT(A153^2+Inputs!$C$6^2)/Inputs!$C$52))</f>
        <v>401.22869493514344</v>
      </c>
      <c r="AB153" s="9">
        <f t="shared" si="46"/>
        <v>1010.8406703409401</v>
      </c>
      <c r="AC153" s="9">
        <f>AB153/Inputs!$C$12</f>
        <v>567.88801704547188</v>
      </c>
      <c r="AD153" s="9">
        <f>2*AB153/Inputs!$C$21*1000000</f>
        <v>6.7436030718353832</v>
      </c>
      <c r="AE153" s="9">
        <f t="shared" si="47"/>
        <v>4.2071852691483231</v>
      </c>
      <c r="AF153" s="9">
        <f>DEGREES((2*PI()/Inputs!$C$13)*Inputs!$C$15*SIN(RADIANS(AE153)))</f>
        <v>26.410775894420482</v>
      </c>
      <c r="AG153" s="9">
        <f t="shared" si="48"/>
        <v>0.98996056779235098</v>
      </c>
      <c r="AH153" s="9">
        <f t="shared" si="49"/>
        <v>-4.3821039188670988E-2</v>
      </c>
      <c r="AI153" s="9">
        <f t="shared" si="50"/>
        <v>-193.73374786404042</v>
      </c>
      <c r="AJ153" s="9">
        <f t="shared" si="51"/>
        <v>-2.3005653544359133</v>
      </c>
      <c r="AK153" s="9">
        <f t="shared" si="52"/>
        <v>346.52618139554255</v>
      </c>
      <c r="AL153" s="9">
        <f>1000*(AA154-AA152)/(A154-A152)*Inputs!$C$11</f>
        <v>327.76450689675585</v>
      </c>
      <c r="AM153" s="9">
        <f>-2*AL153/Inputs!$C$13</f>
        <v>-131.10580275870234</v>
      </c>
      <c r="AN153" s="9">
        <f>-2*AL153/Inputs!$C$14</f>
        <v>-19.685555969775127</v>
      </c>
      <c r="AO153" s="9">
        <f t="shared" si="53"/>
        <v>131.10580275870234</v>
      </c>
      <c r="AP153" s="9">
        <f t="shared" si="54"/>
        <v>19.685555969775127</v>
      </c>
      <c r="AQ153" s="9">
        <f>IF(OR(Inputs!$C$27=TRUE,Inputs!$C$27="TRUE",Inputs!$C$27=1),Inputs!$C$46/Inputs!$C$12,0)</f>
        <v>42.134831460674157</v>
      </c>
      <c r="AR153" s="9">
        <f t="shared" si="55"/>
        <v>525.75318558479773</v>
      </c>
      <c r="AS153" s="9">
        <f t="shared" si="56"/>
        <v>610.02284850614603</v>
      </c>
    </row>
    <row r="154" spans="1:45">
      <c r="A154" s="9">
        <f>Inputs!$C$7+152*(Inputs!$C$8-Inputs!$C$7)/240</f>
        <v>16</v>
      </c>
      <c r="B154" s="9">
        <f>Inputs!$C$5+Inputs!$C$9*(A154/Inputs!$C$10)^2</f>
        <v>400.28444444444443</v>
      </c>
      <c r="C154" s="9">
        <f t="shared" si="38"/>
        <v>400.28444444444443</v>
      </c>
      <c r="D154" s="9">
        <f>SQRT((Inputs!$C$52+B154)^2+Inputs!$C$52^2-2*(Inputs!$C$52+B154)*Inputs!$C$52*COS(SQRT(A154^2+Inputs!$C$6^2)/Inputs!$C$52))</f>
        <v>401.66471753310378</v>
      </c>
      <c r="E154" s="9">
        <f t="shared" si="39"/>
        <v>1380.2730886593508</v>
      </c>
      <c r="F154" s="9">
        <f>E154/Inputs!$C$12</f>
        <v>775.43431947154545</v>
      </c>
      <c r="G154" s="9">
        <f>2*E154/Inputs!$C$21*1000000</f>
        <v>9.2081908789003002</v>
      </c>
      <c r="H154" s="9">
        <f>SQRT(A154^2+Inputs!$C$6^2)</f>
        <v>29.681644159311659</v>
      </c>
      <c r="I154" s="9">
        <f t="shared" si="40"/>
        <v>4.2407999364952262</v>
      </c>
      <c r="J154" s="9">
        <f>DEGREES((2*PI()/Inputs!$C$13)*Inputs!$C$15*SIN(RADIANS(I154)))</f>
        <v>26.621409377803502</v>
      </c>
      <c r="K154" s="9">
        <f t="shared" si="41"/>
        <v>0.98632516527137304</v>
      </c>
      <c r="L154" s="9">
        <f t="shared" si="42"/>
        <v>-5.9798860702752601E-2</v>
      </c>
      <c r="M154" s="9">
        <f>2*(Inputs!$C$9/(Inputs!$C$10^2))*A154</f>
        <v>3.5555555555555556E-2</v>
      </c>
      <c r="N154" s="9">
        <f>M154*Inputs!$C$11</f>
        <v>0.14222222222222222</v>
      </c>
      <c r="O154" s="9">
        <f>1000*(D155-D153)/(A155-A153)*Inputs!$C$11</f>
        <v>342.02151684144155</v>
      </c>
      <c r="P154" s="9">
        <f>-2*O154/Inputs!$C$13</f>
        <v>-136.80860673657662</v>
      </c>
      <c r="Q154" s="9">
        <f>-2*O154/Inputs!$C$14</f>
        <v>-20.541832843329825</v>
      </c>
      <c r="R154" s="9">
        <f>F154-Inputs!$C$16/2</f>
        <v>760.43431947154545</v>
      </c>
      <c r="S154" s="9">
        <f>F154+Inputs!$C$16/2</f>
        <v>790.43431947154545</v>
      </c>
      <c r="T154" s="9">
        <f>F154-Inputs!$C$17/2</f>
        <v>625.43431947154545</v>
      </c>
      <c r="U154" s="9">
        <f>F154+Inputs!$C$17/2</f>
        <v>925.43431947154545</v>
      </c>
      <c r="V154" s="9">
        <f t="shared" si="43"/>
        <v>136.80860673657662</v>
      </c>
      <c r="W154" s="9">
        <f t="shared" si="44"/>
        <v>20.541832843329825</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69.720188044182294</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400.30891755789503</v>
      </c>
      <c r="Z154" s="9">
        <f t="shared" si="45"/>
        <v>400.21472425640025</v>
      </c>
      <c r="AA154" s="9">
        <f>SQRT((Inputs!$C$52+B154)^2+(Inputs!$C$52+Y154/1000)^2-2*(Inputs!$C$52+B154)*(Inputs!$C$52+Y154/1000)*COS(SQRT(A154^2+Inputs!$C$6^2)/Inputs!$C$52))</f>
        <v>401.26613935046151</v>
      </c>
      <c r="AB154" s="9">
        <f t="shared" si="46"/>
        <v>1051.4150940612694</v>
      </c>
      <c r="AC154" s="9">
        <f>AB154/Inputs!$C$12</f>
        <v>590.6826371130727</v>
      </c>
      <c r="AD154" s="9">
        <f>2*AB154/Inputs!$C$21*1000000</f>
        <v>7.0142864905645457</v>
      </c>
      <c r="AE154" s="9">
        <f t="shared" si="47"/>
        <v>4.2450297302301694</v>
      </c>
      <c r="AF154" s="9">
        <f>DEGREES((2*PI()/Inputs!$C$13)*Inputs!$C$15*SIN(RADIANS(AE154)))</f>
        <v>26.647913118326411</v>
      </c>
      <c r="AG154" s="9">
        <f t="shared" si="48"/>
        <v>0.9895601471486235</v>
      </c>
      <c r="AH154" s="9">
        <f t="shared" si="49"/>
        <v>-4.5578034981342476E-2</v>
      </c>
      <c r="AI154" s="9">
        <f t="shared" si="50"/>
        <v>-184.75168235847275</v>
      </c>
      <c r="AJ154" s="9">
        <f t="shared" si="51"/>
        <v>-2.1939043883357545</v>
      </c>
      <c r="AK154" s="9">
        <f t="shared" si="52"/>
        <v>330.58872951371274</v>
      </c>
      <c r="AL154" s="9">
        <f>1000*(AA155-AA153)/(A155-A153)*Inputs!$C$11</f>
        <v>300.11276628511041</v>
      </c>
      <c r="AM154" s="9">
        <f>-2*AL154/Inputs!$C$13</f>
        <v>-120.04510651404416</v>
      </c>
      <c r="AN154" s="9">
        <f>-2*AL154/Inputs!$C$14</f>
        <v>-18.024790767874499</v>
      </c>
      <c r="AO154" s="9">
        <f t="shared" si="53"/>
        <v>120.04510651404416</v>
      </c>
      <c r="AP154" s="9">
        <f t="shared" si="54"/>
        <v>18.024790767874499</v>
      </c>
      <c r="AQ154" s="9">
        <f>IF(OR(Inputs!$C$27=TRUE,Inputs!$C$27="TRUE",Inputs!$C$27=1),Inputs!$C$46/Inputs!$C$12,0)</f>
        <v>42.134831460674157</v>
      </c>
      <c r="AR154" s="9">
        <f t="shared" si="55"/>
        <v>548.54780565239855</v>
      </c>
      <c r="AS154" s="9">
        <f t="shared" si="56"/>
        <v>632.81746857374685</v>
      </c>
    </row>
    <row r="155" spans="1:45">
      <c r="A155" s="9">
        <f>Inputs!$C$7+153*(Inputs!$C$8-Inputs!$C$7)/240</f>
        <v>16.5</v>
      </c>
      <c r="B155" s="9">
        <f>Inputs!$C$5+Inputs!$C$9*(A155/Inputs!$C$10)^2</f>
        <v>400.30250000000001</v>
      </c>
      <c r="C155" s="9">
        <f t="shared" si="38"/>
        <v>400.30250000000001</v>
      </c>
      <c r="D155" s="9">
        <f>SQRT((Inputs!$C$52+B155)^2+Inputs!$C$52^2-2*(Inputs!$C$52+B155)*Inputs!$C$52*COS(SQRT(A155^2+Inputs!$C$6^2)/Inputs!$C$52))</f>
        <v>401.70813656519374</v>
      </c>
      <c r="E155" s="9">
        <f t="shared" si="39"/>
        <v>1405.6365651937313</v>
      </c>
      <c r="F155" s="9">
        <f>E155/Inputs!$C$12</f>
        <v>789.68346359198381</v>
      </c>
      <c r="G155" s="9">
        <f>2*E155/Inputs!$C$21*1000000</f>
        <v>9.3773977809257048</v>
      </c>
      <c r="H155" s="9">
        <f>SQRT(A155^2+Inputs!$C$6^2)</f>
        <v>29.954131601500318</v>
      </c>
      <c r="I155" s="9">
        <f t="shared" si="40"/>
        <v>4.2793956023743185</v>
      </c>
      <c r="J155" s="9">
        <f>DEGREES((2*PI()/Inputs!$C$13)*Inputs!$C$15*SIN(RADIANS(I155)))</f>
        <v>26.863243082603024</v>
      </c>
      <c r="K155" s="9">
        <f t="shared" si="41"/>
        <v>0.98607669762025285</v>
      </c>
      <c r="L155" s="9">
        <f t="shared" si="42"/>
        <v>-6.089304067098239E-2</v>
      </c>
      <c r="M155" s="9">
        <f>2*(Inputs!$C$9/(Inputs!$C$10^2))*A155</f>
        <v>3.6666666666666667E-2</v>
      </c>
      <c r="N155" s="9">
        <f>M155*Inputs!$C$11</f>
        <v>0.14666666666666667</v>
      </c>
      <c r="O155" s="9">
        <f>1000*(D156-D154)/(A156-A154)*Inputs!$C$11</f>
        <v>352.68173018312154</v>
      </c>
      <c r="P155" s="9">
        <f>-2*O155/Inputs!$C$13</f>
        <v>-141.07269207324862</v>
      </c>
      <c r="Q155" s="9">
        <f>-2*O155/Inputs!$C$14</f>
        <v>-21.182085896884178</v>
      </c>
      <c r="R155" s="9">
        <f>F155-Inputs!$C$16/2</f>
        <v>774.68346359198381</v>
      </c>
      <c r="S155" s="9">
        <f>F155+Inputs!$C$16/2</f>
        <v>804.68346359198381</v>
      </c>
      <c r="T155" s="9">
        <f>F155-Inputs!$C$17/2</f>
        <v>639.68346359198381</v>
      </c>
      <c r="U155" s="9">
        <f>F155+Inputs!$C$17/2</f>
        <v>939.68346359198381</v>
      </c>
      <c r="V155" s="9">
        <f t="shared" si="43"/>
        <v>141.07269207324862</v>
      </c>
      <c r="W155" s="9">
        <f t="shared" si="44"/>
        <v>21.182085896884178</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71.50919840907298</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406.20178346502695</v>
      </c>
      <c r="Z155" s="9">
        <f t="shared" si="45"/>
        <v>400.23099080159096</v>
      </c>
      <c r="AA155" s="9">
        <f>SQRT((Inputs!$C$52+B155)^2+(Inputs!$C$52+Y155/1000)^2-2*(Inputs!$C$52+B155)*(Inputs!$C$52+Y155/1000)*COS(SQRT(A155^2+Inputs!$C$6^2)/Inputs!$C$52))</f>
        <v>401.30372312671471</v>
      </c>
      <c r="AB155" s="9">
        <f t="shared" si="46"/>
        <v>1072.7323251237522</v>
      </c>
      <c r="AC155" s="9">
        <f>AB155/Inputs!$C$12</f>
        <v>602.65860962008549</v>
      </c>
      <c r="AD155" s="9">
        <f>2*AB155/Inputs!$C$21*1000000</f>
        <v>7.1564997483942845</v>
      </c>
      <c r="AE155" s="9">
        <f t="shared" si="47"/>
        <v>4.2837263020607317</v>
      </c>
      <c r="AF155" s="9">
        <f>DEGREES((2*PI()/Inputs!$C$13)*Inputs!$C$15*SIN(RADIANS(AE155)))</f>
        <v>26.89037773224354</v>
      </c>
      <c r="AG155" s="9">
        <f t="shared" si="48"/>
        <v>0.98935032382613852</v>
      </c>
      <c r="AH155" s="9">
        <f t="shared" si="49"/>
        <v>-4.6498997428182566E-2</v>
      </c>
      <c r="AI155" s="9">
        <f t="shared" si="50"/>
        <v>-187.02485397189832</v>
      </c>
      <c r="AJ155" s="9">
        <f t="shared" si="51"/>
        <v>-2.2208980325314203</v>
      </c>
      <c r="AK155" s="9">
        <f t="shared" si="52"/>
        <v>334.69258505595394</v>
      </c>
      <c r="AL155" s="9">
        <f>1000*(AA156-AA154)/(A156-A154)*Inputs!$C$11</f>
        <v>342.63141293536137</v>
      </c>
      <c r="AM155" s="9">
        <f>-2*AL155/Inputs!$C$13</f>
        <v>-137.05256517414455</v>
      </c>
      <c r="AN155" s="9">
        <f>-2*AL155/Inputs!$C$14</f>
        <v>-20.578463239361046</v>
      </c>
      <c r="AO155" s="9">
        <f t="shared" si="53"/>
        <v>137.05256517414455</v>
      </c>
      <c r="AP155" s="9">
        <f t="shared" si="54"/>
        <v>20.578463239361046</v>
      </c>
      <c r="AQ155" s="9">
        <f>IF(OR(Inputs!$C$27=TRUE,Inputs!$C$27="TRUE",Inputs!$C$27=1),Inputs!$C$46/Inputs!$C$12,0)</f>
        <v>42.134831460674157</v>
      </c>
      <c r="AR155" s="9">
        <f t="shared" si="55"/>
        <v>560.52377815941134</v>
      </c>
      <c r="AS155" s="9">
        <f t="shared" si="56"/>
        <v>644.79344108075964</v>
      </c>
    </row>
    <row r="156" spans="1:45">
      <c r="A156" s="9">
        <f>Inputs!$C$7+154*(Inputs!$C$8-Inputs!$C$7)/240</f>
        <v>17</v>
      </c>
      <c r="B156" s="9">
        <f>Inputs!$C$5+Inputs!$C$9*(A156/Inputs!$C$10)^2</f>
        <v>400.32111111111112</v>
      </c>
      <c r="C156" s="9">
        <f t="shared" si="38"/>
        <v>400.32111111111112</v>
      </c>
      <c r="D156" s="9">
        <f>SQRT((Inputs!$C$52+B156)^2+Inputs!$C$52^2-2*(Inputs!$C$52+B156)*Inputs!$C$52*COS(SQRT(A156^2+Inputs!$C$6^2)/Inputs!$C$52))</f>
        <v>401.75288796564956</v>
      </c>
      <c r="E156" s="9">
        <f t="shared" si="39"/>
        <v>1431.7768545384411</v>
      </c>
      <c r="F156" s="9">
        <f>E156/Inputs!$C$12</f>
        <v>804.36901940361861</v>
      </c>
      <c r="G156" s="9">
        <f>2*E156/Inputs!$C$21*1000000</f>
        <v>9.5517870201954249</v>
      </c>
      <c r="H156" s="9">
        <f>SQRT(A156^2+Inputs!$C$6^2)</f>
        <v>30.232432915661949</v>
      </c>
      <c r="I156" s="9">
        <f t="shared" si="40"/>
        <v>4.3188053168235525</v>
      </c>
      <c r="J156" s="9">
        <f>DEGREES((2*PI()/Inputs!$C$13)*Inputs!$C$15*SIN(RADIANS(I156)))</f>
        <v>27.110164894856268</v>
      </c>
      <c r="K156" s="9">
        <f t="shared" si="41"/>
        <v>0.98582072549317235</v>
      </c>
      <c r="L156" s="9">
        <f t="shared" si="42"/>
        <v>-6.202055655120494E-2</v>
      </c>
      <c r="M156" s="9">
        <f>2*(Inputs!$C$9/(Inputs!$C$10^2))*A156</f>
        <v>3.7777777777777778E-2</v>
      </c>
      <c r="N156" s="9">
        <f>M156*Inputs!$C$11</f>
        <v>0.15111111111111111</v>
      </c>
      <c r="O156" s="9">
        <f>1000*(D157-D155)/(A157-A155)*Inputs!$C$11</f>
        <v>363.33937246513415</v>
      </c>
      <c r="P156" s="9">
        <f>-2*O156/Inputs!$C$13</f>
        <v>-145.33574898605366</v>
      </c>
      <c r="Q156" s="9">
        <f>-2*O156/Inputs!$C$14</f>
        <v>-21.822184532440492</v>
      </c>
      <c r="R156" s="9">
        <f>F156-Inputs!$C$16/2</f>
        <v>789.36901940361861</v>
      </c>
      <c r="S156" s="9">
        <f>F156+Inputs!$C$16/2</f>
        <v>819.36901940361861</v>
      </c>
      <c r="T156" s="9">
        <f>F156-Inputs!$C$17/2</f>
        <v>654.36901940361861</v>
      </c>
      <c r="U156" s="9">
        <f>F156+Inputs!$C$17/2</f>
        <v>954.36901940361861</v>
      </c>
      <c r="V156" s="9">
        <f t="shared" si="43"/>
        <v>145.33574898605366</v>
      </c>
      <c r="W156" s="9">
        <f t="shared" si="44"/>
        <v>21.822184532440492</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58.586187093984584</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402.89735855020393</v>
      </c>
      <c r="Z156" s="9">
        <f t="shared" si="45"/>
        <v>400.26252492401716</v>
      </c>
      <c r="AA156" s="9">
        <f>SQRT((Inputs!$C$52+B156)^2+(Inputs!$C$52+Y156/1000)^2-2*(Inputs!$C$52+B156)*(Inputs!$C$52+Y156/1000)*COS(SQRT(A156^2+Inputs!$C$6^2)/Inputs!$C$52))</f>
        <v>401.35179720369536</v>
      </c>
      <c r="AB156" s="9">
        <f t="shared" si="46"/>
        <v>1089.2722796781982</v>
      </c>
      <c r="AC156" s="9">
        <f>AB156/Inputs!$C$12</f>
        <v>611.95071892033604</v>
      </c>
      <c r="AD156" s="9">
        <f>2*AB156/Inputs!$C$21*1000000</f>
        <v>7.2668424479057325</v>
      </c>
      <c r="AE156" s="9">
        <f t="shared" si="47"/>
        <v>4.3231398077564087</v>
      </c>
      <c r="AF156" s="9">
        <f>DEGREES((2*PI()/Inputs!$C$13)*Inputs!$C$15*SIN(RADIANS(AE156)))</f>
        <v>27.137321894092199</v>
      </c>
      <c r="AG156" s="9">
        <f t="shared" si="48"/>
        <v>0.98918808024786109</v>
      </c>
      <c r="AH156" s="9">
        <f t="shared" si="49"/>
        <v>-4.7211255434223526E-2</v>
      </c>
      <c r="AI156" s="9">
        <f t="shared" si="50"/>
        <v>-192.41830048328256</v>
      </c>
      <c r="AJ156" s="9">
        <f t="shared" si="51"/>
        <v>-2.2849445722896924</v>
      </c>
      <c r="AK156" s="9">
        <f t="shared" si="52"/>
        <v>344.31117145621937</v>
      </c>
      <c r="AL156" s="9">
        <f>1000*(AA157-AA155)/(A157-A155)*Inputs!$C$11</f>
        <v>338.14509179910601</v>
      </c>
      <c r="AM156" s="9">
        <f>-2*AL156/Inputs!$C$13</f>
        <v>-135.2580367196424</v>
      </c>
      <c r="AN156" s="9">
        <f>-2*AL156/Inputs!$C$14</f>
        <v>-20.309014522468832</v>
      </c>
      <c r="AO156" s="9">
        <f t="shared" si="53"/>
        <v>135.2580367196424</v>
      </c>
      <c r="AP156" s="9">
        <f t="shared" si="54"/>
        <v>20.309014522468832</v>
      </c>
      <c r="AQ156" s="9">
        <f>IF(OR(Inputs!$C$27=TRUE,Inputs!$C$27="TRUE",Inputs!$C$27=1),Inputs!$C$46/Inputs!$C$12,0)</f>
        <v>42.134831460674157</v>
      </c>
      <c r="AR156" s="9">
        <f t="shared" si="55"/>
        <v>569.81588745966189</v>
      </c>
      <c r="AS156" s="9">
        <f t="shared" si="56"/>
        <v>654.08555038101019</v>
      </c>
    </row>
    <row r="157" spans="1:45">
      <c r="A157" s="9">
        <f>Inputs!$C$7+155*(Inputs!$C$8-Inputs!$C$7)/240</f>
        <v>17.5</v>
      </c>
      <c r="B157" s="9">
        <f>Inputs!$C$5+Inputs!$C$9*(A157/Inputs!$C$10)^2</f>
        <v>400.34027777777777</v>
      </c>
      <c r="C157" s="9">
        <f t="shared" si="38"/>
        <v>400.34027777777777</v>
      </c>
      <c r="D157" s="9">
        <f>SQRT((Inputs!$C$52+B157)^2+Inputs!$C$52^2-2*(Inputs!$C$52+B157)*Inputs!$C$52*COS(SQRT(A157^2+Inputs!$C$6^2)/Inputs!$C$52))</f>
        <v>401.79897140831002</v>
      </c>
      <c r="E157" s="9">
        <f t="shared" si="39"/>
        <v>1458.6936305322524</v>
      </c>
      <c r="F157" s="9">
        <f>E157/Inputs!$C$12</f>
        <v>819.49080366980468</v>
      </c>
      <c r="G157" s="9">
        <f>2*E157/Inputs!$C$21*1000000</f>
        <v>9.7313564207959651</v>
      </c>
      <c r="H157" s="9">
        <f>SQRT(A157^2+Inputs!$C$6^2)</f>
        <v>30.516389039334257</v>
      </c>
      <c r="I157" s="9">
        <f t="shared" si="40"/>
        <v>4.3590058781406578</v>
      </c>
      <c r="J157" s="9">
        <f>DEGREES((2*PI()/Inputs!$C$13)*Inputs!$C$15*SIN(RADIANS(I157)))</f>
        <v>27.362028547574202</v>
      </c>
      <c r="K157" s="9">
        <f t="shared" si="41"/>
        <v>0.98555726156363421</v>
      </c>
      <c r="L157" s="9">
        <f t="shared" si="42"/>
        <v>-6.3181378394721641E-2</v>
      </c>
      <c r="M157" s="9">
        <f>2*(Inputs!$C$9/(Inputs!$C$10^2))*A157</f>
        <v>3.888888888888889E-2</v>
      </c>
      <c r="N157" s="9">
        <f>M157*Inputs!$C$11</f>
        <v>0.15555555555555556</v>
      </c>
      <c r="O157" s="9">
        <f>1000*(D158-D156)/(A158-A156)*Inputs!$C$11</f>
        <v>373.99436724103907</v>
      </c>
      <c r="P157" s="9">
        <f>-2*O157/Inputs!$C$13</f>
        <v>-149.59774689641563</v>
      </c>
      <c r="Q157" s="9">
        <f>-2*O157/Inputs!$C$14</f>
        <v>-22.462124158620966</v>
      </c>
      <c r="R157" s="9">
        <f>F157-Inputs!$C$16/2</f>
        <v>804.49080366980468</v>
      </c>
      <c r="S157" s="9">
        <f>F157+Inputs!$C$16/2</f>
        <v>834.49080366980468</v>
      </c>
      <c r="T157" s="9">
        <f>F157-Inputs!$C$17/2</f>
        <v>669.49080366980468</v>
      </c>
      <c r="U157" s="9">
        <f>F157+Inputs!$C$17/2</f>
        <v>969.49080366980468</v>
      </c>
      <c r="V157" s="9">
        <f t="shared" si="43"/>
        <v>149.59774689641563</v>
      </c>
      <c r="W157" s="9">
        <f t="shared" si="44"/>
        <v>22.462124158620966</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65.712265116192313</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412.59673853511725</v>
      </c>
      <c r="Z157" s="9">
        <f t="shared" si="45"/>
        <v>400.27456551266158</v>
      </c>
      <c r="AA157" s="9">
        <f>SQRT((Inputs!$C$52+B157)^2+(Inputs!$C$52+Y157/1000)^2-2*(Inputs!$C$52+B157)*(Inputs!$C$52+Y157/1000)*COS(SQRT(A157^2+Inputs!$C$6^2)/Inputs!$C$52))</f>
        <v>401.38825939966449</v>
      </c>
      <c r="AB157" s="9">
        <f t="shared" si="46"/>
        <v>1113.6938870029098</v>
      </c>
      <c r="AC157" s="9">
        <f>AB157/Inputs!$C$12</f>
        <v>625.67072303534258</v>
      </c>
      <c r="AD157" s="9">
        <f>2*AB157/Inputs!$C$21*1000000</f>
        <v>7.4297658749167717</v>
      </c>
      <c r="AE157" s="9">
        <f t="shared" si="47"/>
        <v>4.3634856107694207</v>
      </c>
      <c r="AF157" s="9">
        <f>DEGREES((2*PI()/Inputs!$C$13)*Inputs!$C$15*SIN(RADIANS(AE157)))</f>
        <v>27.390094035827872</v>
      </c>
      <c r="AG157" s="9">
        <f t="shared" si="48"/>
        <v>0.9889476850627692</v>
      </c>
      <c r="AH157" s="9">
        <f t="shared" si="49"/>
        <v>-4.826681799677679E-2</v>
      </c>
      <c r="AI157" s="9">
        <f t="shared" si="50"/>
        <v>-193.8200806344621</v>
      </c>
      <c r="AJ157" s="9">
        <f t="shared" si="51"/>
        <v>-2.3015905458791934</v>
      </c>
      <c r="AK157" s="9">
        <f t="shared" si="52"/>
        <v>346.88447341892493</v>
      </c>
      <c r="AL157" s="9">
        <f>1000*(AA158-AA156)/(A158-A156)*Inputs!$C$11</f>
        <v>316.65908526474595</v>
      </c>
      <c r="AM157" s="9">
        <f>-2*AL157/Inputs!$C$13</f>
        <v>-126.66363410589838</v>
      </c>
      <c r="AN157" s="9">
        <f>-2*AL157/Inputs!$C$14</f>
        <v>-19.018563679564323</v>
      </c>
      <c r="AO157" s="9">
        <f t="shared" si="53"/>
        <v>126.66363410589838</v>
      </c>
      <c r="AP157" s="9">
        <f t="shared" si="54"/>
        <v>19.018563679564323</v>
      </c>
      <c r="AQ157" s="9">
        <f>IF(OR(Inputs!$C$27=TRUE,Inputs!$C$27="TRUE",Inputs!$C$27=1),Inputs!$C$46/Inputs!$C$12,0)</f>
        <v>42.134831460674157</v>
      </c>
      <c r="AR157" s="9">
        <f t="shared" si="55"/>
        <v>583.53589157466843</v>
      </c>
      <c r="AS157" s="9">
        <f t="shared" si="56"/>
        <v>667.80555449601673</v>
      </c>
    </row>
    <row r="158" spans="1:45">
      <c r="A158" s="9">
        <f>Inputs!$C$7+156*(Inputs!$C$8-Inputs!$C$7)/240</f>
        <v>18</v>
      </c>
      <c r="B158" s="9">
        <f>Inputs!$C$5+Inputs!$C$9*(A158/Inputs!$C$10)^2</f>
        <v>400.36</v>
      </c>
      <c r="C158" s="9">
        <f t="shared" si="38"/>
        <v>400.36</v>
      </c>
      <c r="D158" s="9">
        <f>SQRT((Inputs!$C$52+B158)^2+Inputs!$C$52^2-2*(Inputs!$C$52+B158)*Inputs!$C$52*COS(SQRT(A158^2+Inputs!$C$6^2)/Inputs!$C$52))</f>
        <v>401.84638655745982</v>
      </c>
      <c r="E158" s="9">
        <f t="shared" si="39"/>
        <v>1486.3865574598094</v>
      </c>
      <c r="F158" s="9">
        <f>E158/Inputs!$C$12</f>
        <v>835.04862778640972</v>
      </c>
      <c r="G158" s="9">
        <f>2*E158/Inputs!$C$21*1000000</f>
        <v>9.9161037430755474</v>
      </c>
      <c r="H158" s="9">
        <f>SQRT(A158^2+Inputs!$C$6^2)</f>
        <v>30.805843601498726</v>
      </c>
      <c r="I158" s="9">
        <f t="shared" si="40"/>
        <v>4.3999744653546005</v>
      </c>
      <c r="J158" s="9">
        <f>DEGREES((2*PI()/Inputs!$C$13)*Inputs!$C$15*SIN(RADIANS(I158)))</f>
        <v>27.618690159596383</v>
      </c>
      <c r="K158" s="9">
        <f t="shared" si="41"/>
        <v>0.98528631886637685</v>
      </c>
      <c r="L158" s="9">
        <f t="shared" si="42"/>
        <v>-6.4375475381824754E-2</v>
      </c>
      <c r="M158" s="9">
        <f>2*(Inputs!$C$9/(Inputs!$C$10^2))*A158</f>
        <v>0.04</v>
      </c>
      <c r="N158" s="9">
        <f>M158*Inputs!$C$11</f>
        <v>0.16</v>
      </c>
      <c r="O158" s="9">
        <f>1000*(D159-D157)/(A159-A157)*Inputs!$C$11</f>
        <v>384.64663819468115</v>
      </c>
      <c r="P158" s="9">
        <f>-2*O158/Inputs!$C$13</f>
        <v>-153.85865527787246</v>
      </c>
      <c r="Q158" s="9">
        <f>-2*O158/Inputs!$C$14</f>
        <v>-23.101900191872744</v>
      </c>
      <c r="R158" s="9">
        <f>F158-Inputs!$C$16/2</f>
        <v>820.04862778640972</v>
      </c>
      <c r="S158" s="9">
        <f>F158+Inputs!$C$16/2</f>
        <v>850.04862778640972</v>
      </c>
      <c r="T158" s="9">
        <f>F158-Inputs!$C$17/2</f>
        <v>685.04862778640972</v>
      </c>
      <c r="U158" s="9">
        <f>F158+Inputs!$C$17/2</f>
        <v>985.04862778640972</v>
      </c>
      <c r="V158" s="9">
        <f t="shared" si="43"/>
        <v>153.85865527787246</v>
      </c>
      <c r="W158" s="9">
        <f t="shared" si="44"/>
        <v>23.101900191872744</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70.502986137150288</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417.36712485558922</v>
      </c>
      <c r="Z158" s="9">
        <f t="shared" si="45"/>
        <v>400.28949701386284</v>
      </c>
      <c r="AA158" s="9">
        <f>SQRT((Inputs!$C$52+B158)^2+(Inputs!$C$52+Y158/1000)^2-2*(Inputs!$C$52+B158)*(Inputs!$C$52+Y158/1000)*COS(SQRT(A158^2+Inputs!$C$6^2)/Inputs!$C$52))</f>
        <v>401.43096197501154</v>
      </c>
      <c r="AB158" s="9">
        <f t="shared" si="46"/>
        <v>1141.4649611486993</v>
      </c>
      <c r="AC158" s="9">
        <f>AB158/Inputs!$C$12</f>
        <v>641.27245008353896</v>
      </c>
      <c r="AD158" s="9">
        <f>2*AB158/Inputs!$C$21*1000000</f>
        <v>7.6150345393191934</v>
      </c>
      <c r="AE158" s="9">
        <f t="shared" si="47"/>
        <v>4.4045480764100216</v>
      </c>
      <c r="AF158" s="9">
        <f>DEGREES((2*PI()/Inputs!$C$13)*Inputs!$C$15*SIN(RADIANS(AE158)))</f>
        <v>27.647342223735301</v>
      </c>
      <c r="AG158" s="9">
        <f t="shared" si="48"/>
        <v>0.98867446036763684</v>
      </c>
      <c r="AH158" s="9">
        <f t="shared" si="49"/>
        <v>-4.9466844791024062E-2</v>
      </c>
      <c r="AI158" s="9">
        <f t="shared" si="50"/>
        <v>-193.77617770287077</v>
      </c>
      <c r="AJ158" s="9">
        <f t="shared" si="51"/>
        <v>-2.301069203756354</v>
      </c>
      <c r="AK158" s="9">
        <f t="shared" si="52"/>
        <v>346.86413871843894</v>
      </c>
      <c r="AL158" s="9">
        <f>1000*(AA159-AA157)/(A159-A157)*Inputs!$C$11</f>
        <v>379.2263461082257</v>
      </c>
      <c r="AM158" s="9">
        <f>-2*AL158/Inputs!$C$13</f>
        <v>-151.69053844329028</v>
      </c>
      <c r="AN158" s="9">
        <f>-2*AL158/Inputs!$C$14</f>
        <v>-22.77635712361716</v>
      </c>
      <c r="AO158" s="9">
        <f t="shared" si="53"/>
        <v>151.69053844329028</v>
      </c>
      <c r="AP158" s="9">
        <f t="shared" si="54"/>
        <v>22.77635712361716</v>
      </c>
      <c r="AQ158" s="9">
        <f>IF(OR(Inputs!$C$27=TRUE,Inputs!$C$27="TRUE",Inputs!$C$27=1),Inputs!$C$46/Inputs!$C$12,0)</f>
        <v>42.134831460674157</v>
      </c>
      <c r="AR158" s="9">
        <f t="shared" si="55"/>
        <v>599.13761862286481</v>
      </c>
      <c r="AS158" s="9">
        <f t="shared" si="56"/>
        <v>683.40728154421311</v>
      </c>
    </row>
    <row r="159" spans="1:45">
      <c r="A159" s="9">
        <f>Inputs!$C$7+157*(Inputs!$C$8-Inputs!$C$7)/240</f>
        <v>18.5</v>
      </c>
      <c r="B159" s="9">
        <f>Inputs!$C$5+Inputs!$C$9*(A159/Inputs!$C$10)^2</f>
        <v>400.38027777777779</v>
      </c>
      <c r="C159" s="9">
        <f t="shared" si="38"/>
        <v>400.38027777777779</v>
      </c>
      <c r="D159" s="9">
        <f>SQRT((Inputs!$C$52+B159)^2+Inputs!$C$52^2-2*(Inputs!$C$52+B159)*Inputs!$C$52*COS(SQRT(A159^2+Inputs!$C$6^2)/Inputs!$C$52))</f>
        <v>401.89513306785869</v>
      </c>
      <c r="E159" s="9">
        <f t="shared" si="39"/>
        <v>1514.8552900809023</v>
      </c>
      <c r="F159" s="9">
        <f>E159/Inputs!$C$12</f>
        <v>851.04229779825971</v>
      </c>
      <c r="G159" s="9">
        <f>2*E159/Inputs!$C$21*1000000</f>
        <v>10.106026683839406</v>
      </c>
      <c r="H159" s="9">
        <f>SQRT(A159^2+Inputs!$C$6^2)</f>
        <v>31.100643080167973</v>
      </c>
      <c r="I159" s="9">
        <f t="shared" si="40"/>
        <v>4.4416886611294961</v>
      </c>
      <c r="J159" s="9">
        <f>DEGREES((2*PI()/Inputs!$C$13)*Inputs!$C$15*SIN(RADIANS(I159)))</f>
        <v>27.880008379915274</v>
      </c>
      <c r="K159" s="9">
        <f t="shared" si="41"/>
        <v>0.98500791079576167</v>
      </c>
      <c r="L159" s="9">
        <f t="shared" si="42"/>
        <v>-6.560281582438357E-2</v>
      </c>
      <c r="M159" s="9">
        <f>2*(Inputs!$C$9/(Inputs!$C$10^2))*A159</f>
        <v>4.1111111111111112E-2</v>
      </c>
      <c r="N159" s="9">
        <f>M159*Inputs!$C$11</f>
        <v>0.16444444444444445</v>
      </c>
      <c r="O159" s="9">
        <f>1000*(D160-D158)/(A160-A158)*Inputs!$C$11</f>
        <v>395.29610917315949</v>
      </c>
      <c r="P159" s="9">
        <f>-2*O159/Inputs!$C$13</f>
        <v>-158.1184436692638</v>
      </c>
      <c r="Q159" s="9">
        <f>-2*O159/Inputs!$C$14</f>
        <v>-23.741508058448019</v>
      </c>
      <c r="R159" s="9">
        <f>F159-Inputs!$C$16/2</f>
        <v>836.04229779825971</v>
      </c>
      <c r="S159" s="9">
        <f>F159+Inputs!$C$16/2</f>
        <v>866.04229779825971</v>
      </c>
      <c r="T159" s="9">
        <f>F159-Inputs!$C$17/2</f>
        <v>701.04229779825971</v>
      </c>
      <c r="U159" s="9">
        <f>F159+Inputs!$C$17/2</f>
        <v>1001.0422977982597</v>
      </c>
      <c r="V159" s="9">
        <f t="shared" si="43"/>
        <v>158.1184436692638</v>
      </c>
      <c r="W159" s="9">
        <f t="shared" si="44"/>
        <v>23.741508058448019</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84.15381309689964</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414.03078360213277</v>
      </c>
      <c r="Z159" s="9">
        <f t="shared" si="45"/>
        <v>400.29612396468087</v>
      </c>
      <c r="AA159" s="9">
        <f>SQRT((Inputs!$C$52+B159)^2+(Inputs!$C$52+Y159/1000)^2-2*(Inputs!$C$52+B159)*(Inputs!$C$52+Y159/1000)*COS(SQRT(A159^2+Inputs!$C$6^2)/Inputs!$C$52))</f>
        <v>401.48306598619155</v>
      </c>
      <c r="AB159" s="9">
        <f t="shared" si="46"/>
        <v>1186.9420215106743</v>
      </c>
      <c r="AC159" s="9">
        <f>AB159/Inputs!$C$12</f>
        <v>666.82136039925524</v>
      </c>
      <c r="AD159" s="9">
        <f>2*AB159/Inputs!$C$21*1000000</f>
        <v>7.9184248291574715</v>
      </c>
      <c r="AE159" s="9">
        <f t="shared" si="47"/>
        <v>4.4462681112234774</v>
      </c>
      <c r="AF159" s="9">
        <f>DEGREES((2*PI()/Inputs!$C$13)*Inputs!$C$15*SIN(RADIANS(AE159)))</f>
        <v>27.908695407881162</v>
      </c>
      <c r="AG159" s="9">
        <f t="shared" si="48"/>
        <v>0.9882267633561046</v>
      </c>
      <c r="AH159" s="9">
        <f t="shared" si="49"/>
        <v>-5.1433886367645426E-2</v>
      </c>
      <c r="AI159" s="9">
        <f t="shared" si="50"/>
        <v>-184.22093739900447</v>
      </c>
      <c r="AJ159" s="9">
        <f t="shared" si="51"/>
        <v>-2.1876018546819349</v>
      </c>
      <c r="AK159" s="9">
        <f t="shared" si="52"/>
        <v>329.87697050523315</v>
      </c>
      <c r="AL159" s="9">
        <f>1000*(AA160-AA158)/(A160-A158)*Inputs!$C$11</f>
        <v>347.93929193369877</v>
      </c>
      <c r="AM159" s="9">
        <f>-2*AL159/Inputs!$C$13</f>
        <v>-139.17571677347951</v>
      </c>
      <c r="AN159" s="9">
        <f>-2*AL159/Inputs!$C$14</f>
        <v>-20.897254770792721</v>
      </c>
      <c r="AO159" s="9">
        <f t="shared" si="53"/>
        <v>139.17571677347951</v>
      </c>
      <c r="AP159" s="9">
        <f t="shared" si="54"/>
        <v>20.897254770792721</v>
      </c>
      <c r="AQ159" s="9">
        <f>IF(OR(Inputs!$C$27=TRUE,Inputs!$C$27="TRUE",Inputs!$C$27=1),Inputs!$C$46/Inputs!$C$12,0)</f>
        <v>42.134831460674157</v>
      </c>
      <c r="AR159" s="9">
        <f t="shared" si="55"/>
        <v>624.68652893858109</v>
      </c>
      <c r="AS159" s="9">
        <f t="shared" si="56"/>
        <v>708.95619185992939</v>
      </c>
    </row>
    <row r="160" spans="1:45">
      <c r="A160" s="9">
        <f>Inputs!$C$7+158*(Inputs!$C$8-Inputs!$C$7)/240</f>
        <v>19</v>
      </c>
      <c r="B160" s="9">
        <f>Inputs!$C$5+Inputs!$C$9*(A160/Inputs!$C$10)^2</f>
        <v>400.40111111111111</v>
      </c>
      <c r="C160" s="9">
        <f t="shared" si="38"/>
        <v>400.40111111111111</v>
      </c>
      <c r="D160" s="9">
        <f>SQRT((Inputs!$C$52+B160)^2+Inputs!$C$52^2-2*(Inputs!$C$52+B160)*Inputs!$C$52*COS(SQRT(A160^2+Inputs!$C$6^2)/Inputs!$C$52))</f>
        <v>401.94521058475311</v>
      </c>
      <c r="E160" s="9">
        <f t="shared" si="39"/>
        <v>1544.0994736420066</v>
      </c>
      <c r="F160" s="9">
        <f>E160/Inputs!$C$12</f>
        <v>867.47161440562172</v>
      </c>
      <c r="G160" s="9">
        <f>2*E160/Inputs!$C$21*1000000</f>
        <v>10.301122876426774</v>
      </c>
      <c r="H160" s="9">
        <f>SQRT(A160^2+Inputs!$C$6^2)</f>
        <v>31.400636936215164</v>
      </c>
      <c r="I160" s="9">
        <f t="shared" si="40"/>
        <v>4.4841264712495112</v>
      </c>
      <c r="J160" s="9">
        <f>DEGREES((2*PI()/Inputs!$C$13)*Inputs!$C$15*SIN(RADIANS(I160)))</f>
        <v>28.145844510504666</v>
      </c>
      <c r="K160" s="9">
        <f t="shared" si="41"/>
        <v>0.98472205110430033</v>
      </c>
      <c r="L160" s="9">
        <f t="shared" si="42"/>
        <v>-6.6863367167696114E-2</v>
      </c>
      <c r="M160" s="9">
        <f>2*(Inputs!$C$9/(Inputs!$C$10^2))*A160</f>
        <v>4.2222222222222223E-2</v>
      </c>
      <c r="N160" s="9">
        <f>M160*Inputs!$C$11</f>
        <v>0.16888888888888889</v>
      </c>
      <c r="O160" s="9">
        <f>1000*(D161-D159)/(A161-A159)*Inputs!$C$11</f>
        <v>405.94270413816957</v>
      </c>
      <c r="P160" s="9">
        <f>-2*O160/Inputs!$C$13</f>
        <v>-162.37708165526783</v>
      </c>
      <c r="Q160" s="9">
        <f>-2*O160/Inputs!$C$14</f>
        <v>-24.380943191481659</v>
      </c>
      <c r="R160" s="9">
        <f>F160-Inputs!$C$16/2</f>
        <v>852.47161440562172</v>
      </c>
      <c r="S160" s="9">
        <f>F160+Inputs!$C$16/2</f>
        <v>882.47161440562172</v>
      </c>
      <c r="T160" s="9">
        <f>F160-Inputs!$C$17/2</f>
        <v>717.47161440562172</v>
      </c>
      <c r="U160" s="9">
        <f>F160+Inputs!$C$17/2</f>
        <v>1017.4716144056217</v>
      </c>
      <c r="V160" s="9">
        <f t="shared" si="43"/>
        <v>162.37708165526783</v>
      </c>
      <c r="W160" s="9">
        <f t="shared" si="44"/>
        <v>24.380943191481659</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87.795161496026481</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429.33926339108206</v>
      </c>
      <c r="Z160" s="9">
        <f t="shared" si="45"/>
        <v>400.31331594961506</v>
      </c>
      <c r="AA160" s="9">
        <f>SQRT((Inputs!$C$52+B160)^2+(Inputs!$C$52+Y160/1000)^2-2*(Inputs!$C$52+B160)*(Inputs!$C$52+Y160/1000)*COS(SQRT(A160^2+Inputs!$C$6^2)/Inputs!$C$52))</f>
        <v>401.51794679799497</v>
      </c>
      <c r="AB160" s="9">
        <f t="shared" si="46"/>
        <v>1204.6308483799066</v>
      </c>
      <c r="AC160" s="9">
        <f>AB160/Inputs!$C$12</f>
        <v>676.75890358421725</v>
      </c>
      <c r="AD160" s="9">
        <f>2*AB160/Inputs!$C$21*1000000</f>
        <v>8.0364319797525159</v>
      </c>
      <c r="AE160" s="9">
        <f t="shared" si="47"/>
        <v>4.4889201776347658</v>
      </c>
      <c r="AF160" s="9">
        <f>DEGREES((2*PI()/Inputs!$C$13)*Inputs!$C$15*SIN(RADIANS(AE160)))</f>
        <v>28.175871961914872</v>
      </c>
      <c r="AG160" s="9">
        <f t="shared" si="48"/>
        <v>0.98805313179648679</v>
      </c>
      <c r="AH160" s="9">
        <f t="shared" si="49"/>
        <v>-5.2197009330189836E-2</v>
      </c>
      <c r="AI160" s="9">
        <f t="shared" si="50"/>
        <v>-190.71271082140447</v>
      </c>
      <c r="AJ160" s="9">
        <f t="shared" si="51"/>
        <v>-2.2646908966742583</v>
      </c>
      <c r="AK160" s="9">
        <f t="shared" si="52"/>
        <v>341.54410189505558</v>
      </c>
      <c r="AL160" s="9">
        <f>1000*(AA161-AA159)/(A161-A159)*Inputs!$C$11</f>
        <v>316.1609339874758</v>
      </c>
      <c r="AM160" s="9">
        <f>-2*AL160/Inputs!$C$13</f>
        <v>-126.46437359499032</v>
      </c>
      <c r="AN160" s="9">
        <f>-2*AL160/Inputs!$C$14</f>
        <v>-18.988644683932481</v>
      </c>
      <c r="AO160" s="9">
        <f t="shared" si="53"/>
        <v>126.46437359499032</v>
      </c>
      <c r="AP160" s="9">
        <f t="shared" si="54"/>
        <v>18.988644683932481</v>
      </c>
      <c r="AQ160" s="9">
        <f>IF(OR(Inputs!$C$27=TRUE,Inputs!$C$27="TRUE",Inputs!$C$27=1),Inputs!$C$46/Inputs!$C$12,0)</f>
        <v>42.134831460674157</v>
      </c>
      <c r="AR160" s="9">
        <f t="shared" si="55"/>
        <v>634.6240721235431</v>
      </c>
      <c r="AS160" s="9">
        <f t="shared" si="56"/>
        <v>718.8937350448914</v>
      </c>
    </row>
    <row r="161" spans="1:45">
      <c r="A161" s="9">
        <f>Inputs!$C$7+159*(Inputs!$C$8-Inputs!$C$7)/240</f>
        <v>19.5</v>
      </c>
      <c r="B161" s="9">
        <f>Inputs!$C$5+Inputs!$C$9*(A161/Inputs!$C$10)^2</f>
        <v>400.42250000000001</v>
      </c>
      <c r="C161" s="9">
        <f t="shared" si="38"/>
        <v>400.42250000000001</v>
      </c>
      <c r="D161" s="9">
        <f>SQRT((Inputs!$C$52+B161)^2+Inputs!$C$52^2-2*(Inputs!$C$52+B161)*Inputs!$C$52*COS(SQRT(A161^2+Inputs!$C$6^2)/Inputs!$C$52))</f>
        <v>401.99661874389324</v>
      </c>
      <c r="E161" s="9">
        <f t="shared" si="39"/>
        <v>1574.1187438932229</v>
      </c>
      <c r="F161" s="9">
        <f>E161/Inputs!$C$12</f>
        <v>884.3363729737207</v>
      </c>
      <c r="G161" s="9">
        <f>2*E161/Inputs!$C$21*1000000</f>
        <v>10.501389890823891</v>
      </c>
      <c r="H161" s="9">
        <f>SQRT(A161^2+Inputs!$C$6^2)</f>
        <v>31.705677724975381</v>
      </c>
      <c r="I161" s="9">
        <f t="shared" si="40"/>
        <v>4.527266340904271</v>
      </c>
      <c r="J161" s="9">
        <f>DEGREES((2*PI()/Inputs!$C$13)*Inputs!$C$15*SIN(RADIANS(I161)))</f>
        <v>28.416062609031858</v>
      </c>
      <c r="K161" s="9">
        <f t="shared" si="41"/>
        <v>0.98442875390109563</v>
      </c>
      <c r="L161" s="9">
        <f t="shared" si="42"/>
        <v>-6.815709599260511E-2</v>
      </c>
      <c r="M161" s="9">
        <f>2*(Inputs!$C$9/(Inputs!$C$10^2))*A161</f>
        <v>4.3333333333333335E-2</v>
      </c>
      <c r="N161" s="9">
        <f>M161*Inputs!$C$11</f>
        <v>0.17333333333333334</v>
      </c>
      <c r="O161" s="9">
        <f>1000*(D162-D160)/(A162-A160)*Inputs!$C$11</f>
        <v>416.58634719783549</v>
      </c>
      <c r="P161" s="9">
        <f>-2*O161/Inputs!$C$13</f>
        <v>-166.6345388791342</v>
      </c>
      <c r="Q161" s="9">
        <f>-2*O161/Inputs!$C$14</f>
        <v>-25.020201032903035</v>
      </c>
      <c r="R161" s="9">
        <f>F161-Inputs!$C$16/2</f>
        <v>869.3363729737207</v>
      </c>
      <c r="S161" s="9">
        <f>F161+Inputs!$C$16/2</f>
        <v>899.3363729737207</v>
      </c>
      <c r="T161" s="9">
        <f>F161-Inputs!$C$17/2</f>
        <v>734.3363729737207</v>
      </c>
      <c r="U161" s="9">
        <f>F161+Inputs!$C$17/2</f>
        <v>1034.3363729737207</v>
      </c>
      <c r="V161" s="9">
        <f t="shared" si="43"/>
        <v>166.6345388791342</v>
      </c>
      <c r="W161" s="9">
        <f t="shared" si="44"/>
        <v>25.020201032903035</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80.085787823255487</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436.66425250955575</v>
      </c>
      <c r="Z161" s="9">
        <f t="shared" si="45"/>
        <v>400.34241421217678</v>
      </c>
      <c r="AA161" s="9">
        <f>SQRT((Inputs!$C$52+B161)^2+(Inputs!$C$52+Y161/1000)^2-2*(Inputs!$C$52+B161)*(Inputs!$C$52+Y161/1000)*COS(SQRT(A161^2+Inputs!$C$6^2)/Inputs!$C$52))</f>
        <v>401.56210621968842</v>
      </c>
      <c r="AB161" s="9">
        <f t="shared" si="46"/>
        <v>1219.6920075116395</v>
      </c>
      <c r="AC161" s="9">
        <f>AB161/Inputs!$C$12</f>
        <v>685.22022893912333</v>
      </c>
      <c r="AD161" s="9">
        <f>2*AB161/Inputs!$C$21*1000000</f>
        <v>8.1369092181207545</v>
      </c>
      <c r="AE161" s="9">
        <f t="shared" si="47"/>
        <v>4.5321881746220392</v>
      </c>
      <c r="AF161" s="9">
        <f>DEGREES((2*PI()/Inputs!$C$13)*Inputs!$C$15*SIN(RADIANS(AE161)))</f>
        <v>28.446890808481474</v>
      </c>
      <c r="AG161" s="9">
        <f t="shared" si="48"/>
        <v>0.98790576847943878</v>
      </c>
      <c r="AH161" s="9">
        <f t="shared" si="49"/>
        <v>-5.2844786726153142E-2</v>
      </c>
      <c r="AI161" s="9">
        <f t="shared" si="50"/>
        <v>-199.11614403459737</v>
      </c>
      <c r="AJ161" s="9">
        <f t="shared" si="51"/>
        <v>-2.3644806727031362</v>
      </c>
      <c r="AK161" s="9">
        <f t="shared" si="52"/>
        <v>356.57846468630026</v>
      </c>
      <c r="AL161" s="9">
        <f>1000*(AA162-AA160)/(A162-A160)*Inputs!$C$11</f>
        <v>378.41780046710483</v>
      </c>
      <c r="AM161" s="9">
        <f>-2*AL161/Inputs!$C$13</f>
        <v>-151.36712018684193</v>
      </c>
      <c r="AN161" s="9">
        <f>-2*AL161/Inputs!$C$14</f>
        <v>-22.727795823850141</v>
      </c>
      <c r="AO161" s="9">
        <f t="shared" si="53"/>
        <v>151.36712018684193</v>
      </c>
      <c r="AP161" s="9">
        <f t="shared" si="54"/>
        <v>22.727795823850141</v>
      </c>
      <c r="AQ161" s="9">
        <f>IF(OR(Inputs!$C$27=TRUE,Inputs!$C$27="TRUE",Inputs!$C$27=1),Inputs!$C$46/Inputs!$C$12,0)</f>
        <v>42.134831460674157</v>
      </c>
      <c r="AR161" s="9">
        <f t="shared" si="55"/>
        <v>643.08539747844918</v>
      </c>
      <c r="AS161" s="9">
        <f t="shared" si="56"/>
        <v>727.35506039979748</v>
      </c>
    </row>
    <row r="162" spans="1:45">
      <c r="A162" s="9">
        <f>Inputs!$C$7+160*(Inputs!$C$8-Inputs!$C$7)/240</f>
        <v>20</v>
      </c>
      <c r="B162" s="9">
        <f>Inputs!$C$5+Inputs!$C$9*(A162/Inputs!$C$10)^2</f>
        <v>400.44444444444446</v>
      </c>
      <c r="C162" s="9">
        <f t="shared" si="38"/>
        <v>400.44444444444446</v>
      </c>
      <c r="D162" s="9">
        <f>SQRT((Inputs!$C$52+B162)^2+Inputs!$C$52^2-2*(Inputs!$C$52+B162)*Inputs!$C$52*COS(SQRT(A162^2+Inputs!$C$6^2)/Inputs!$C$52))</f>
        <v>402.04935717155257</v>
      </c>
      <c r="E162" s="9">
        <f t="shared" si="39"/>
        <v>1604.9127271081147</v>
      </c>
      <c r="F162" s="9">
        <f>E162/Inputs!$C$12</f>
        <v>901.63636354388461</v>
      </c>
      <c r="G162" s="9">
        <f>2*E162/Inputs!$C$21*1000000</f>
        <v>10.706825233796341</v>
      </c>
      <c r="H162" s="9">
        <f>SQRT(A162^2+Inputs!$C$6^2)</f>
        <v>32.015621187164243</v>
      </c>
      <c r="I162" s="9">
        <f t="shared" si="40"/>
        <v>4.5710871679965557</v>
      </c>
      <c r="J162" s="9">
        <f>DEGREES((2*PI()/Inputs!$C$13)*Inputs!$C$15*SIN(RADIANS(I162)))</f>
        <v>28.690529572846842</v>
      </c>
      <c r="K162" s="9">
        <f t="shared" si="41"/>
        <v>0.98412803365021539</v>
      </c>
      <c r="L162" s="9">
        <f t="shared" si="42"/>
        <v>-6.9483968017792788E-2</v>
      </c>
      <c r="M162" s="9">
        <f>2*(Inputs!$C$9/(Inputs!$C$10^2))*A162</f>
        <v>4.4444444444444446E-2</v>
      </c>
      <c r="N162" s="9">
        <f>M162*Inputs!$C$11</f>
        <v>0.17777777777777778</v>
      </c>
      <c r="O162" s="9">
        <f>1000*(D163-D161)/(A163-A161)*Inputs!$C$11</f>
        <v>427.22696259738768</v>
      </c>
      <c r="P162" s="9">
        <f>-2*O162/Inputs!$C$13</f>
        <v>-170.89078503895507</v>
      </c>
      <c r="Q162" s="9">
        <f>-2*O162/Inputs!$C$14</f>
        <v>-25.65927703287614</v>
      </c>
      <c r="R162" s="9">
        <f>F162-Inputs!$C$16/2</f>
        <v>886.63636354388461</v>
      </c>
      <c r="S162" s="9">
        <f>F162+Inputs!$C$16/2</f>
        <v>916.63636354388461</v>
      </c>
      <c r="T162" s="9">
        <f>F162-Inputs!$C$17/2</f>
        <v>751.63636354388461</v>
      </c>
      <c r="U162" s="9">
        <f>F162+Inputs!$C$17/2</f>
        <v>1051.6363635438847</v>
      </c>
      <c r="V162" s="9">
        <f t="shared" si="43"/>
        <v>170.89078503895507</v>
      </c>
      <c r="W162" s="9">
        <f t="shared" si="44"/>
        <v>25.65927703287614</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74.331668639094204</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439.01130208847866</v>
      </c>
      <c r="Z162" s="9">
        <f t="shared" si="45"/>
        <v>400.37011277580535</v>
      </c>
      <c r="AA162" s="9">
        <f>SQRT((Inputs!$C$52+B162)^2+(Inputs!$C$52+Y162/1000)^2-2*(Inputs!$C$52+B162)*(Inputs!$C$52+Y162/1000)*COS(SQRT(A162^2+Inputs!$C$6^2)/Inputs!$C$52))</f>
        <v>401.61255124811174</v>
      </c>
      <c r="AB162" s="9">
        <f t="shared" si="46"/>
        <v>1242.4384723063895</v>
      </c>
      <c r="AC162" s="9">
        <f>AB162/Inputs!$C$12</f>
        <v>697.99914174516266</v>
      </c>
      <c r="AD162" s="9">
        <f>2*AB162/Inputs!$C$21*1000000</f>
        <v>8.288657297085102</v>
      </c>
      <c r="AE162" s="9">
        <f t="shared" si="47"/>
        <v>4.576082701575146</v>
      </c>
      <c r="AF162" s="9">
        <f>DEGREES((2*PI()/Inputs!$C$13)*Inputs!$C$15*SIN(RADIANS(AE162)))</f>
        <v>28.721817489110087</v>
      </c>
      <c r="AG162" s="9">
        <f t="shared" si="48"/>
        <v>0.9876828062998666</v>
      </c>
      <c r="AH162" s="9">
        <f t="shared" si="49"/>
        <v>-5.3825064157482727E-2</v>
      </c>
      <c r="AI162" s="9">
        <f t="shared" si="50"/>
        <v>-203.63722179872195</v>
      </c>
      <c r="AJ162" s="9">
        <f t="shared" si="51"/>
        <v>-2.4181679367112388</v>
      </c>
      <c r="AK162" s="9">
        <f t="shared" si="52"/>
        <v>364.67963344938448</v>
      </c>
      <c r="AL162" s="9">
        <f>1000*(AA163-AA161)/(A163-A161)*Inputs!$C$11</f>
        <v>407.27261300685313</v>
      </c>
      <c r="AM162" s="9">
        <f>-2*AL162/Inputs!$C$13</f>
        <v>-162.90904520274125</v>
      </c>
      <c r="AN162" s="9">
        <f>-2*AL162/Inputs!$C$14</f>
        <v>-24.4608175980092</v>
      </c>
      <c r="AO162" s="9">
        <f t="shared" si="53"/>
        <v>162.90904520274125</v>
      </c>
      <c r="AP162" s="9">
        <f t="shared" si="54"/>
        <v>24.4608175980092</v>
      </c>
      <c r="AQ162" s="9">
        <f>IF(OR(Inputs!$C$27=TRUE,Inputs!$C$27="TRUE",Inputs!$C$27=1),Inputs!$C$46/Inputs!$C$12,0)</f>
        <v>42.134831460674157</v>
      </c>
      <c r="AR162" s="9">
        <f t="shared" si="55"/>
        <v>655.86431028448851</v>
      </c>
      <c r="AS162" s="9">
        <f t="shared" si="56"/>
        <v>740.13397320583681</v>
      </c>
    </row>
    <row r="163" spans="1:45">
      <c r="A163" s="9">
        <f>Inputs!$C$7+161*(Inputs!$C$8-Inputs!$C$7)/240</f>
        <v>20.5</v>
      </c>
      <c r="B163" s="9">
        <f>Inputs!$C$5+Inputs!$C$9*(A163/Inputs!$C$10)^2</f>
        <v>400.46694444444444</v>
      </c>
      <c r="C163" s="9">
        <f t="shared" si="38"/>
        <v>400.46694444444444</v>
      </c>
      <c r="D163" s="9">
        <f>SQRT((Inputs!$C$52+B163)^2+Inputs!$C$52^2-2*(Inputs!$C$52+B163)*Inputs!$C$52*COS(SQRT(A163^2+Inputs!$C$6^2)/Inputs!$C$52))</f>
        <v>402.10342548454258</v>
      </c>
      <c r="E163" s="9">
        <f t="shared" si="39"/>
        <v>1636.4810400981469</v>
      </c>
      <c r="F163" s="9">
        <f>E163/Inputs!$C$12</f>
        <v>919.37137084165556</v>
      </c>
      <c r="G163" s="9">
        <f>2*E163/Inputs!$C$21*1000000</f>
        <v>10.917426348985384</v>
      </c>
      <c r="H163" s="9">
        <f>SQRT(A163^2+Inputs!$C$6^2)</f>
        <v>32.330326320654422</v>
      </c>
      <c r="I163" s="9">
        <f t="shared" si="40"/>
        <v>4.6155683136934407</v>
      </c>
      <c r="J163" s="9">
        <f>DEGREES((2*PI()/Inputs!$C$13)*Inputs!$C$15*SIN(RADIANS(I163)))</f>
        <v>28.969115205638342</v>
      </c>
      <c r="K163" s="9">
        <f t="shared" si="41"/>
        <v>0.98381990516909135</v>
      </c>
      <c r="L163" s="9">
        <f t="shared" si="42"/>
        <v>-7.0843948101851545E-2</v>
      </c>
      <c r="M163" s="9">
        <f>2*(Inputs!$C$9/(Inputs!$C$10^2))*A163</f>
        <v>4.5555555555555557E-2</v>
      </c>
      <c r="N163" s="9">
        <f>M163*Inputs!$C$11</f>
        <v>0.18222222222222223</v>
      </c>
      <c r="O163" s="9">
        <f>1000*(D164-D162)/(A164-A162)*Inputs!$C$11</f>
        <v>437.86447475304158</v>
      </c>
      <c r="P163" s="9">
        <f>-2*O163/Inputs!$C$13</f>
        <v>-175.14578990121663</v>
      </c>
      <c r="Q163" s="9">
        <f>-2*O163/Inputs!$C$14</f>
        <v>-26.298166651834332</v>
      </c>
      <c r="R163" s="9">
        <f>F163-Inputs!$C$16/2</f>
        <v>904.37137084165556</v>
      </c>
      <c r="S163" s="9">
        <f>F163+Inputs!$C$16/2</f>
        <v>934.37137084165556</v>
      </c>
      <c r="T163" s="9">
        <f>F163-Inputs!$C$17/2</f>
        <v>769.37137084165556</v>
      </c>
      <c r="U163" s="9">
        <f>F163+Inputs!$C$17/2</f>
        <v>1069.3713708416556</v>
      </c>
      <c r="V163" s="9">
        <f t="shared" si="43"/>
        <v>175.14578990121663</v>
      </c>
      <c r="W163" s="9">
        <f t="shared" si="44"/>
        <v>26.298166651834332</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77.082988367878912</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441.76372328978528</v>
      </c>
      <c r="Z163" s="9">
        <f t="shared" si="45"/>
        <v>400.38986145607657</v>
      </c>
      <c r="AA163" s="9">
        <f>SQRT((Inputs!$C$52+B163)^2+(Inputs!$C$52+Y163/1000)^2-2*(Inputs!$C$52+B163)*(Inputs!$C$52+Y163/1000)*COS(SQRT(A163^2+Inputs!$C$6^2)/Inputs!$C$52))</f>
        <v>401.66392437294013</v>
      </c>
      <c r="AB163" s="9">
        <f t="shared" si="46"/>
        <v>1274.0629168635564</v>
      </c>
      <c r="AC163" s="9">
        <f>AB163/Inputs!$C$12</f>
        <v>715.76568363121146</v>
      </c>
      <c r="AD163" s="9">
        <f>2*AB163/Inputs!$C$21*1000000</f>
        <v>8.4996328817822135</v>
      </c>
      <c r="AE163" s="9">
        <f t="shared" si="47"/>
        <v>4.6206434100408416</v>
      </c>
      <c r="AF163" s="9">
        <f>DEGREES((2*PI()/Inputs!$C$13)*Inputs!$C$15*SIN(RADIANS(AE163)))</f>
        <v>29.000899452312961</v>
      </c>
      <c r="AG163" s="9">
        <f t="shared" si="48"/>
        <v>0.98737239041100666</v>
      </c>
      <c r="AH163" s="9">
        <f t="shared" si="49"/>
        <v>-5.5190209890741276E-2</v>
      </c>
      <c r="AI163" s="9">
        <f t="shared" si="50"/>
        <v>-203.6056872104441</v>
      </c>
      <c r="AJ163" s="9">
        <f t="shared" si="51"/>
        <v>-2.41779346720317</v>
      </c>
      <c r="AK163" s="9">
        <f t="shared" si="52"/>
        <v>364.68073492190638</v>
      </c>
      <c r="AL163" s="9">
        <f>1000*(AA164-AA162)/(A164-A162)*Inputs!$C$11</f>
        <v>429.29087027187052</v>
      </c>
      <c r="AM163" s="9">
        <f>-2*AL163/Inputs!$C$13</f>
        <v>-171.71634810874821</v>
      </c>
      <c r="AN163" s="9">
        <f>-2*AL163/Inputs!$C$14</f>
        <v>-25.783235451763996</v>
      </c>
      <c r="AO163" s="9">
        <f t="shared" si="53"/>
        <v>171.71634810874821</v>
      </c>
      <c r="AP163" s="9">
        <f t="shared" si="54"/>
        <v>25.783235451763996</v>
      </c>
      <c r="AQ163" s="9">
        <f>IF(OR(Inputs!$C$27=TRUE,Inputs!$C$27="TRUE",Inputs!$C$27=1),Inputs!$C$46/Inputs!$C$12,0)</f>
        <v>42.134831460674157</v>
      </c>
      <c r="AR163" s="9">
        <f t="shared" si="55"/>
        <v>673.63085217053731</v>
      </c>
      <c r="AS163" s="9">
        <f t="shared" si="56"/>
        <v>757.90051509188561</v>
      </c>
    </row>
    <row r="164" spans="1:45">
      <c r="A164" s="9">
        <f>Inputs!$C$7+162*(Inputs!$C$8-Inputs!$C$7)/240</f>
        <v>21</v>
      </c>
      <c r="B164" s="9">
        <f>Inputs!$C$5+Inputs!$C$9*(A164/Inputs!$C$10)^2</f>
        <v>400.49</v>
      </c>
      <c r="C164" s="9">
        <f t="shared" si="38"/>
        <v>400.49</v>
      </c>
      <c r="D164" s="9">
        <f>SQRT((Inputs!$C$52+B164)^2+Inputs!$C$52^2-2*(Inputs!$C$52+B164)*Inputs!$C$52*COS(SQRT(A164^2+Inputs!$C$6^2)/Inputs!$C$52))</f>
        <v>402.15882329024083</v>
      </c>
      <c r="E164" s="9">
        <f t="shared" si="39"/>
        <v>1668.8232902408231</v>
      </c>
      <c r="F164" s="9">
        <f>E164/Inputs!$C$12</f>
        <v>937.54117429259725</v>
      </c>
      <c r="G164" s="9">
        <f>2*E164/Inputs!$C$21*1000000</f>
        <v>11.133190617095666</v>
      </c>
      <c r="H164" s="9">
        <f>SQRT(A164^2+Inputs!$C$6^2)</f>
        <v>32.649655434629018</v>
      </c>
      <c r="I164" s="9">
        <f t="shared" si="40"/>
        <v>4.6606896104389781</v>
      </c>
      <c r="J164" s="9">
        <f>DEGREES((2*PI()/Inputs!$C$13)*Inputs!$C$15*SIN(RADIANS(I164)))</f>
        <v>29.251692268127087</v>
      </c>
      <c r="K164" s="9">
        <f t="shared" si="41"/>
        <v>0.98350438362674375</v>
      </c>
      <c r="L164" s="9">
        <f t="shared" si="42"/>
        <v>-7.2237000246009542E-2</v>
      </c>
      <c r="M164" s="9">
        <f>2*(Inputs!$C$9/(Inputs!$C$10^2))*A164</f>
        <v>4.6666666666666669E-2</v>
      </c>
      <c r="N164" s="9">
        <f>M164*Inputs!$C$11</f>
        <v>0.18666666666666668</v>
      </c>
      <c r="O164" s="9">
        <f>1000*(D165-D163)/(A165-A163)*Inputs!$C$11</f>
        <v>448.49880820765975</v>
      </c>
      <c r="P164" s="9">
        <f>-2*O164/Inputs!$C$13</f>
        <v>-179.3995232830639</v>
      </c>
      <c r="Q164" s="9">
        <f>-2*O164/Inputs!$C$14</f>
        <v>-26.936865357817403</v>
      </c>
      <c r="R164" s="9">
        <f>F164-Inputs!$C$16/2</f>
        <v>922.54117429259725</v>
      </c>
      <c r="S164" s="9">
        <f>F164+Inputs!$C$16/2</f>
        <v>952.54117429259725</v>
      </c>
      <c r="T164" s="9">
        <f>F164-Inputs!$C$17/2</f>
        <v>787.54117429259725</v>
      </c>
      <c r="U164" s="9">
        <f>F164+Inputs!$C$17/2</f>
        <v>1087.5411742925971</v>
      </c>
      <c r="V164" s="9">
        <f t="shared" si="43"/>
        <v>179.3995232830639</v>
      </c>
      <c r="W164" s="9">
        <f t="shared" si="44"/>
        <v>26.936865357817403</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84.606080583689305</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441.25371433177679</v>
      </c>
      <c r="Z164" s="9">
        <f t="shared" si="45"/>
        <v>400.40539391941633</v>
      </c>
      <c r="AA164" s="9">
        <f>SQRT((Inputs!$C$52+B164)^2+(Inputs!$C$52+Y164/1000)^2-2*(Inputs!$C$52+B164)*(Inputs!$C$52+Y164/1000)*COS(SQRT(A164^2+Inputs!$C$6^2)/Inputs!$C$52))</f>
        <v>401.71987396567971</v>
      </c>
      <c r="AB164" s="9">
        <f t="shared" si="46"/>
        <v>1314.4800462633839</v>
      </c>
      <c r="AC164" s="9">
        <f>AB164/Inputs!$C$12</f>
        <v>738.47193610302463</v>
      </c>
      <c r="AD164" s="9">
        <f>2*AB164/Inputs!$C$21*1000000</f>
        <v>8.7692669457574137</v>
      </c>
      <c r="AE164" s="9">
        <f t="shared" si="47"/>
        <v>4.6658076659678551</v>
      </c>
      <c r="AF164" s="9">
        <f>DEGREES((2*PI()/Inputs!$C$13)*Inputs!$C$15*SIN(RADIANS(AE164)))</f>
        <v>29.283743509090908</v>
      </c>
      <c r="AG164" s="9">
        <f t="shared" si="48"/>
        <v>0.9869755770911991</v>
      </c>
      <c r="AH164" s="9">
        <f t="shared" si="49"/>
        <v>-5.6935939015446899E-2</v>
      </c>
      <c r="AI164" s="9">
        <f t="shared" si="50"/>
        <v>-199.06923818957262</v>
      </c>
      <c r="AJ164" s="9">
        <f t="shared" si="51"/>
        <v>-2.3639236713382523</v>
      </c>
      <c r="AK164" s="9">
        <f t="shared" si="52"/>
        <v>356.64763374808751</v>
      </c>
      <c r="AL164" s="9">
        <f>1000*(AA165-AA163)/(A165-A163)*Inputs!$C$11</f>
        <v>439.40642054462842</v>
      </c>
      <c r="AM164" s="9">
        <f>-2*AL164/Inputs!$C$13</f>
        <v>-175.76256821785137</v>
      </c>
      <c r="AN164" s="9">
        <f>-2*AL164/Inputs!$C$14</f>
        <v>-26.390776008686395</v>
      </c>
      <c r="AO164" s="9">
        <f t="shared" si="53"/>
        <v>175.76256821785137</v>
      </c>
      <c r="AP164" s="9">
        <f t="shared" si="54"/>
        <v>26.390776008686395</v>
      </c>
      <c r="AQ164" s="9">
        <f>IF(OR(Inputs!$C$27=TRUE,Inputs!$C$27="TRUE",Inputs!$C$27=1),Inputs!$C$46/Inputs!$C$12,0)</f>
        <v>42.134831460674157</v>
      </c>
      <c r="AR164" s="9">
        <f t="shared" si="55"/>
        <v>696.33710464235048</v>
      </c>
      <c r="AS164" s="9">
        <f t="shared" si="56"/>
        <v>780.60676756369878</v>
      </c>
    </row>
    <row r="165" spans="1:45">
      <c r="A165" s="9">
        <f>Inputs!$C$7+163*(Inputs!$C$8-Inputs!$C$7)/240</f>
        <v>21.5</v>
      </c>
      <c r="B165" s="9">
        <f>Inputs!$C$5+Inputs!$C$9*(A165/Inputs!$C$10)^2</f>
        <v>400.51361111111112</v>
      </c>
      <c r="C165" s="9">
        <f t="shared" si="38"/>
        <v>400.51361111111112</v>
      </c>
      <c r="D165" s="9">
        <f>SQRT((Inputs!$C$52+B165)^2+Inputs!$C$52^2-2*(Inputs!$C$52+B165)*Inputs!$C$52*COS(SQRT(A165^2+Inputs!$C$6^2)/Inputs!$C$52))</f>
        <v>402.2155501865945</v>
      </c>
      <c r="E165" s="9">
        <f t="shared" si="39"/>
        <v>1701.9390754833807</v>
      </c>
      <c r="F165" s="9">
        <f>E165/Inputs!$C$12</f>
        <v>956.14554802437124</v>
      </c>
      <c r="G165" s="9">
        <f>2*E165/Inputs!$C$21*1000000</f>
        <v>11.354115355919866</v>
      </c>
      <c r="H165" s="9">
        <f>SQRT(A165^2+Inputs!$C$6^2)</f>
        <v>32.973474187595095</v>
      </c>
      <c r="I165" s="9">
        <f t="shared" si="40"/>
        <v>4.7064313676414065</v>
      </c>
      <c r="J165" s="9">
        <f>DEGREES((2*PI()/Inputs!$C$13)*Inputs!$C$15*SIN(RADIANS(I165)))</f>
        <v>29.538136514134887</v>
      </c>
      <c r="K165" s="9">
        <f t="shared" si="41"/>
        <v>0.98318148454221788</v>
      </c>
      <c r="L165" s="9">
        <f t="shared" si="42"/>
        <v>-7.3663087595809085E-2</v>
      </c>
      <c r="M165" s="9">
        <f>2*(Inputs!$C$9/(Inputs!$C$10^2))*A165</f>
        <v>4.777777777777778E-2</v>
      </c>
      <c r="N165" s="9">
        <f>M165*Inputs!$C$11</f>
        <v>0.19111111111111112</v>
      </c>
      <c r="O165" s="9">
        <f>1000*(D166-D164)/(A166-A164)*Inputs!$C$11</f>
        <v>459.12988767804563</v>
      </c>
      <c r="P165" s="9">
        <f>-2*O165/Inputs!$C$13</f>
        <v>-183.65195507121825</v>
      </c>
      <c r="Q165" s="9">
        <f>-2*O165/Inputs!$C$14</f>
        <v>-27.575368629312052</v>
      </c>
      <c r="R165" s="9">
        <f>F165-Inputs!$C$16/2</f>
        <v>941.14554802437124</v>
      </c>
      <c r="S165" s="9">
        <f>F165+Inputs!$C$16/2</f>
        <v>971.14554802437124</v>
      </c>
      <c r="T165" s="9">
        <f>F165-Inputs!$C$17/2</f>
        <v>806.14554802437124</v>
      </c>
      <c r="U165" s="9">
        <f>F165+Inputs!$C$17/2</f>
        <v>1106.1455480243712</v>
      </c>
      <c r="V165" s="9">
        <f t="shared" si="43"/>
        <v>183.65195507121825</v>
      </c>
      <c r="W165" s="9">
        <f t="shared" si="44"/>
        <v>27.575368629312052</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83.651674349785893</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444.13942667643141</v>
      </c>
      <c r="Z165" s="9">
        <f t="shared" si="45"/>
        <v>400.42995943676135</v>
      </c>
      <c r="AA165" s="9">
        <f>SQRT((Inputs!$C$52+B165)^2+(Inputs!$C$52+Y165/1000)^2-2*(Inputs!$C$52+B165)*(Inputs!$C$52+Y165/1000)*COS(SQRT(A165^2+Inputs!$C$6^2)/Inputs!$C$52))</f>
        <v>401.77377597807629</v>
      </c>
      <c r="AB165" s="9">
        <f t="shared" si="46"/>
        <v>1343.8165413149363</v>
      </c>
      <c r="AC165" s="9">
        <f>AB165/Inputs!$C$12</f>
        <v>754.95311309827878</v>
      </c>
      <c r="AD165" s="9">
        <f>2*AB165/Inputs!$C$21*1000000</f>
        <v>8.9649789743205375</v>
      </c>
      <c r="AE165" s="9">
        <f t="shared" si="47"/>
        <v>4.7116327293600078</v>
      </c>
      <c r="AF165" s="9">
        <f>DEGREES((2*PI()/Inputs!$C$13)*Inputs!$C$15*SIN(RADIANS(AE165)))</f>
        <v>29.570707317151005</v>
      </c>
      <c r="AG165" s="9">
        <f t="shared" si="48"/>
        <v>0.98668813518187615</v>
      </c>
      <c r="AH165" s="9">
        <f t="shared" si="49"/>
        <v>-5.8200941104637929E-2</v>
      </c>
      <c r="AI165" s="9">
        <f t="shared" si="50"/>
        <v>-201.19243492609246</v>
      </c>
      <c r="AJ165" s="9">
        <f t="shared" si="51"/>
        <v>-2.3891363815993287</v>
      </c>
      <c r="AK165" s="9">
        <f t="shared" si="52"/>
        <v>360.48775232664553</v>
      </c>
      <c r="AL165" s="9">
        <f>1000*(AA166-AA164)/(A166-A164)*Inputs!$C$11</f>
        <v>433.53659767353747</v>
      </c>
      <c r="AM165" s="9">
        <f>-2*AL165/Inputs!$C$13</f>
        <v>-173.41463906941499</v>
      </c>
      <c r="AN165" s="9">
        <f>-2*AL165/Inputs!$C$14</f>
        <v>-26.038234094506759</v>
      </c>
      <c r="AO165" s="9">
        <f t="shared" si="53"/>
        <v>173.41463906941499</v>
      </c>
      <c r="AP165" s="9">
        <f t="shared" si="54"/>
        <v>26.038234094506759</v>
      </c>
      <c r="AQ165" s="9">
        <f>IF(OR(Inputs!$C$27=TRUE,Inputs!$C$27="TRUE",Inputs!$C$27=1),Inputs!$C$46/Inputs!$C$12,0)</f>
        <v>42.134831460674157</v>
      </c>
      <c r="AR165" s="9">
        <f t="shared" si="55"/>
        <v>712.81828163760463</v>
      </c>
      <c r="AS165" s="9">
        <f t="shared" si="56"/>
        <v>797.08794455895293</v>
      </c>
    </row>
    <row r="166" spans="1:45">
      <c r="A166" s="9">
        <f>Inputs!$C$7+164*(Inputs!$C$8-Inputs!$C$7)/240</f>
        <v>22</v>
      </c>
      <c r="B166" s="9">
        <f>Inputs!$C$5+Inputs!$C$9*(A166/Inputs!$C$10)^2</f>
        <v>400.53777777777776</v>
      </c>
      <c r="C166" s="9">
        <f t="shared" si="38"/>
        <v>400.53777777777776</v>
      </c>
      <c r="D166" s="9">
        <f>SQRT((Inputs!$C$52+B166)^2+Inputs!$C$52^2-2*(Inputs!$C$52+B166)*Inputs!$C$52*COS(SQRT(A166^2+Inputs!$C$6^2)/Inputs!$C$52))</f>
        <v>402.27360576216034</v>
      </c>
      <c r="E166" s="9">
        <f t="shared" si="39"/>
        <v>1735.8279843825812</v>
      </c>
      <c r="F166" s="9">
        <f>E166/Inputs!$C$12</f>
        <v>975.18426088909052</v>
      </c>
      <c r="G166" s="9">
        <f>2*E166/Inputs!$C$21*1000000</f>
        <v>11.580197820604154</v>
      </c>
      <c r="H166" s="9">
        <f>SQRT(A166^2+Inputs!$C$6^2)</f>
        <v>33.301651610693426</v>
      </c>
      <c r="I166" s="9">
        <f t="shared" si="40"/>
        <v>4.7527743752411666</v>
      </c>
      <c r="J166" s="9">
        <f>DEGREES((2*PI()/Inputs!$C$13)*Inputs!$C$15*SIN(RADIANS(I166)))</f>
        <v>29.828326713325737</v>
      </c>
      <c r="K166" s="9">
        <f t="shared" si="41"/>
        <v>0.98285122378263112</v>
      </c>
      <c r="L166" s="9">
        <f t="shared" si="42"/>
        <v>-7.5122172444392704E-2</v>
      </c>
      <c r="M166" s="9">
        <f>2*(Inputs!$C$9/(Inputs!$C$10^2))*A166</f>
        <v>4.8888888888888891E-2</v>
      </c>
      <c r="N166" s="9">
        <f>M166*Inputs!$C$11</f>
        <v>0.19555555555555557</v>
      </c>
      <c r="O166" s="9">
        <f>1000*(D167-D165)/(A167-A165)*Inputs!$C$11</f>
        <v>469.75763804971393</v>
      </c>
      <c r="P166" s="9">
        <f>-2*O166/Inputs!$C$13</f>
        <v>-187.90305521988557</v>
      </c>
      <c r="Q166" s="9">
        <f>-2*O166/Inputs!$C$14</f>
        <v>-28.213671954937777</v>
      </c>
      <c r="R166" s="9">
        <f>F166-Inputs!$C$16/2</f>
        <v>960.18426088909052</v>
      </c>
      <c r="S166" s="9">
        <f>F166+Inputs!$C$16/2</f>
        <v>990.18426088909052</v>
      </c>
      <c r="T166" s="9">
        <f>F166-Inputs!$C$17/2</f>
        <v>825.18426088909052</v>
      </c>
      <c r="U166" s="9">
        <f>F166+Inputs!$C$17/2</f>
        <v>1125.1842608890906</v>
      </c>
      <c r="V166" s="9">
        <f t="shared" si="43"/>
        <v>187.90305521988557</v>
      </c>
      <c r="W166" s="9">
        <f t="shared" si="44"/>
        <v>28.213671954937777</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73.365898263722698</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447.7794532624074</v>
      </c>
      <c r="Z166" s="9">
        <f t="shared" si="45"/>
        <v>400.46441187951405</v>
      </c>
      <c r="AA166" s="9">
        <f>SQRT((Inputs!$C$52+B166)^2+(Inputs!$C$52+Y166/1000)^2-2*(Inputs!$C$52+B166)*(Inputs!$C$52+Y166/1000)*COS(SQRT(A166^2+Inputs!$C$6^2)/Inputs!$C$52))</f>
        <v>401.82825811509809</v>
      </c>
      <c r="AB166" s="9">
        <f t="shared" si="46"/>
        <v>1363.8462355840488</v>
      </c>
      <c r="AC166" s="9">
        <f>AB166/Inputs!$C$12</f>
        <v>766.20575032811735</v>
      </c>
      <c r="AD166" s="9">
        <f>2*AB166/Inputs!$C$21*1000000</f>
        <v>9.0986027112399803</v>
      </c>
      <c r="AE166" s="9">
        <f t="shared" si="47"/>
        <v>4.7580692568419494</v>
      </c>
      <c r="AF166" s="9">
        <f>DEGREES((2*PI()/Inputs!$C$13)*Inputs!$C$15*SIN(RADIANS(AE166)))</f>
        <v>29.861480913404854</v>
      </c>
      <c r="AG166" s="9">
        <f t="shared" si="48"/>
        <v>0.9864925539138556</v>
      </c>
      <c r="AH166" s="9">
        <f t="shared" si="49"/>
        <v>-5.9061884719305707E-2</v>
      </c>
      <c r="AI166" s="9">
        <f t="shared" si="50"/>
        <v>-208.97851056097318</v>
      </c>
      <c r="AJ166" s="9">
        <f t="shared" si="51"/>
        <v>-2.4815951093641733</v>
      </c>
      <c r="AK166" s="9">
        <f t="shared" si="52"/>
        <v>374.41355499868473</v>
      </c>
      <c r="AL166" s="9">
        <f>1000*(AA167-AA165)/(A167-A165)*Inputs!$C$11</f>
        <v>476.62070835440318</v>
      </c>
      <c r="AM166" s="9">
        <f>-2*AL166/Inputs!$C$13</f>
        <v>-190.64828334176127</v>
      </c>
      <c r="AN166" s="9">
        <f>-2*AL166/Inputs!$C$14</f>
        <v>-28.625868369633828</v>
      </c>
      <c r="AO166" s="9">
        <f t="shared" si="53"/>
        <v>190.64828334176127</v>
      </c>
      <c r="AP166" s="9">
        <f t="shared" si="54"/>
        <v>28.625868369633828</v>
      </c>
      <c r="AQ166" s="9">
        <f>IF(OR(Inputs!$C$27=TRUE,Inputs!$C$27="TRUE",Inputs!$C$27=1),Inputs!$C$46/Inputs!$C$12,0)</f>
        <v>42.134831460674157</v>
      </c>
      <c r="AR166" s="9">
        <f t="shared" si="55"/>
        <v>724.0709188674432</v>
      </c>
      <c r="AS166" s="9">
        <f t="shared" si="56"/>
        <v>808.3405817887915</v>
      </c>
    </row>
    <row r="167" spans="1:45">
      <c r="A167" s="9">
        <f>Inputs!$C$7+165*(Inputs!$C$8-Inputs!$C$7)/240</f>
        <v>22.5</v>
      </c>
      <c r="B167" s="9">
        <f>Inputs!$C$5+Inputs!$C$9*(A167/Inputs!$C$10)^2</f>
        <v>400.5625</v>
      </c>
      <c r="C167" s="9">
        <f t="shared" si="38"/>
        <v>400.5625</v>
      </c>
      <c r="D167" s="9">
        <f>SQRT((Inputs!$C$52+B167)^2+Inputs!$C$52^2-2*(Inputs!$C$52+B167)*Inputs!$C$52*COS(SQRT(A167^2+Inputs!$C$6^2)/Inputs!$C$52))</f>
        <v>402.33298959610693</v>
      </c>
      <c r="E167" s="9">
        <f t="shared" si="39"/>
        <v>1770.4895961069269</v>
      </c>
      <c r="F167" s="9">
        <f>E167/Inputs!$C$12</f>
        <v>994.65707646456565</v>
      </c>
      <c r="G167" s="9">
        <f>2*E167/Inputs!$C$21*1000000</f>
        <v>11.811435203662974</v>
      </c>
      <c r="H167" s="9">
        <f>SQRT(A167^2+Inputs!$C$6^2)</f>
        <v>33.634060117684278</v>
      </c>
      <c r="I167" s="9">
        <f t="shared" si="40"/>
        <v>4.7996999053579179</v>
      </c>
      <c r="J167" s="9">
        <f>DEGREES((2*PI()/Inputs!$C$13)*Inputs!$C$15*SIN(RADIANS(I167)))</f>
        <v>30.122144661864603</v>
      </c>
      <c r="K167" s="9">
        <f t="shared" si="41"/>
        <v>0.98251361756155309</v>
      </c>
      <c r="L167" s="9">
        <f t="shared" si="42"/>
        <v>-7.6614216234208971E-2</v>
      </c>
      <c r="M167" s="9">
        <f>2*(Inputs!$C$9/(Inputs!$C$10^2))*A167</f>
        <v>0.05</v>
      </c>
      <c r="N167" s="9">
        <f>M167*Inputs!$C$11</f>
        <v>0.2</v>
      </c>
      <c r="O167" s="9">
        <f>1000*(D168-D166)/(A168-A166)*Inputs!$C$11</f>
        <v>480.3819843364181</v>
      </c>
      <c r="P167" s="9">
        <f>-2*O167/Inputs!$C$13</f>
        <v>-192.15279373456724</v>
      </c>
      <c r="Q167" s="9">
        <f>-2*O167/Inputs!$C$14</f>
        <v>-28.851770831016104</v>
      </c>
      <c r="R167" s="9">
        <f>F167-Inputs!$C$16/2</f>
        <v>979.65707646456565</v>
      </c>
      <c r="S167" s="9">
        <f>F167+Inputs!$C$16/2</f>
        <v>1009.6570764645656</v>
      </c>
      <c r="T167" s="9">
        <f>F167-Inputs!$C$17/2</f>
        <v>844.65707646456565</v>
      </c>
      <c r="U167" s="9">
        <f>F167+Inputs!$C$17/2</f>
        <v>1144.6570764645658</v>
      </c>
      <c r="V167" s="9">
        <f t="shared" si="43"/>
        <v>192.15279373456724</v>
      </c>
      <c r="W167" s="9">
        <f t="shared" si="44"/>
        <v>28.851770831016104</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73.863220086762837</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442.50927153418206</v>
      </c>
      <c r="Z167" s="9">
        <f t="shared" si="45"/>
        <v>400.48863677991324</v>
      </c>
      <c r="AA167" s="9">
        <f>SQRT((Inputs!$C$52+B167)^2+(Inputs!$C$52+Y167/1000)^2-2*(Inputs!$C$52+B167)*(Inputs!$C$52+Y167/1000)*COS(SQRT(A167^2+Inputs!$C$6^2)/Inputs!$C$52))</f>
        <v>401.89293115516489</v>
      </c>
      <c r="AB167" s="9">
        <f t="shared" si="46"/>
        <v>1404.2943752516521</v>
      </c>
      <c r="AC167" s="9">
        <f>AB167/Inputs!$C$12</f>
        <v>788.92942429868094</v>
      </c>
      <c r="AD167" s="9">
        <f>2*AB167/Inputs!$C$21*1000000</f>
        <v>9.368443653453431</v>
      </c>
      <c r="AE167" s="9">
        <f t="shared" si="47"/>
        <v>4.8049832527087251</v>
      </c>
      <c r="AF167" s="9">
        <f>DEGREES((2*PI()/Inputs!$C$13)*Inputs!$C$15*SIN(RADIANS(AE167)))</f>
        <v>30.155224374826382</v>
      </c>
      <c r="AG167" s="9">
        <f t="shared" si="48"/>
        <v>0.98609628516438863</v>
      </c>
      <c r="AH167" s="9">
        <f t="shared" si="49"/>
        <v>-6.0806772758312033E-2</v>
      </c>
      <c r="AI167" s="9">
        <f t="shared" si="50"/>
        <v>-205.72765216588471</v>
      </c>
      <c r="AJ167" s="9">
        <f t="shared" si="51"/>
        <v>-2.442991550209543</v>
      </c>
      <c r="AK167" s="9">
        <f t="shared" si="52"/>
        <v>368.64605144741921</v>
      </c>
      <c r="AL167" s="9">
        <f>1000*(AA168-AA166)/(A168-A166)*Inputs!$C$11</f>
        <v>519.15592815771561</v>
      </c>
      <c r="AM167" s="9">
        <f>-2*AL167/Inputs!$C$13</f>
        <v>-207.66237126308624</v>
      </c>
      <c r="AN167" s="9">
        <f>-2*AL167/Inputs!$C$14</f>
        <v>-31.180536225688627</v>
      </c>
      <c r="AO167" s="9">
        <f t="shared" si="53"/>
        <v>207.66237126308624</v>
      </c>
      <c r="AP167" s="9">
        <f t="shared" si="54"/>
        <v>31.180536225688627</v>
      </c>
      <c r="AQ167" s="9">
        <f>IF(OR(Inputs!$C$27=TRUE,Inputs!$C$27="TRUE",Inputs!$C$27=1),Inputs!$C$46/Inputs!$C$12,0)</f>
        <v>42.134831460674157</v>
      </c>
      <c r="AR167" s="9">
        <f t="shared" si="55"/>
        <v>746.79459283800679</v>
      </c>
      <c r="AS167" s="9">
        <f t="shared" si="56"/>
        <v>831.06425575935509</v>
      </c>
    </row>
    <row r="168" spans="1:45">
      <c r="A168" s="9">
        <f>Inputs!$C$7+166*(Inputs!$C$8-Inputs!$C$7)/240</f>
        <v>23</v>
      </c>
      <c r="B168" s="9">
        <f>Inputs!$C$5+Inputs!$C$9*(A168/Inputs!$C$10)^2</f>
        <v>400.58777777777777</v>
      </c>
      <c r="C168" s="9">
        <f t="shared" si="38"/>
        <v>400.58777777777777</v>
      </c>
      <c r="D168" s="9">
        <f>SQRT((Inputs!$C$52+B168)^2+Inputs!$C$52^2-2*(Inputs!$C$52+B168)*Inputs!$C$52*COS(SQRT(A168^2+Inputs!$C$6^2)/Inputs!$C$52))</f>
        <v>402.39370125824445</v>
      </c>
      <c r="E168" s="9">
        <f t="shared" si="39"/>
        <v>1805.9234804666744</v>
      </c>
      <c r="F168" s="9">
        <f>E168/Inputs!$C$12</f>
        <v>1014.5637530711654</v>
      </c>
      <c r="G168" s="9">
        <f>2*E168/Inputs!$C$21*1000000</f>
        <v>12.047824635179278</v>
      </c>
      <c r="H168" s="9">
        <f>SQRT(A168^2+Inputs!$C$6^2)</f>
        <v>33.97057550292606</v>
      </c>
      <c r="I168" s="9">
        <f t="shared" si="40"/>
        <v>4.8471897122057523</v>
      </c>
      <c r="J168" s="9">
        <f>DEGREES((2*PI()/Inputs!$C$13)*Inputs!$C$15*SIN(RADIANS(I168)))</f>
        <v>30.419475182182925</v>
      </c>
      <c r="K168" s="9">
        <f t="shared" si="41"/>
        <v>0.9821686824370861</v>
      </c>
      <c r="L168" s="9">
        <f t="shared" si="42"/>
        <v>-7.8139179559932534E-2</v>
      </c>
      <c r="M168" s="9">
        <f>2*(Inputs!$C$9/(Inputs!$C$10^2))*A168</f>
        <v>5.1111111111111114E-2</v>
      </c>
      <c r="N168" s="9">
        <f>M168*Inputs!$C$11</f>
        <v>0.20444444444444446</v>
      </c>
      <c r="O168" s="9">
        <f>1000*(D169-D167)/(A169-A167)*Inputs!$C$11</f>
        <v>491.00285175427416</v>
      </c>
      <c r="P168" s="9">
        <f>-2*O168/Inputs!$C$13</f>
        <v>-196.40114070170966</v>
      </c>
      <c r="Q168" s="9">
        <f>-2*O168/Inputs!$C$14</f>
        <v>-29.489660766022475</v>
      </c>
      <c r="R168" s="9">
        <f>F168-Inputs!$C$16/2</f>
        <v>999.56375307116537</v>
      </c>
      <c r="S168" s="9">
        <f>F168+Inputs!$C$16/2</f>
        <v>1029.5637530711654</v>
      </c>
      <c r="T168" s="9">
        <f>F168-Inputs!$C$17/2</f>
        <v>864.56375307116537</v>
      </c>
      <c r="U168" s="9">
        <f>F168+Inputs!$C$17/2</f>
        <v>1164.5637530711654</v>
      </c>
      <c r="V168" s="9">
        <f t="shared" si="43"/>
        <v>196.40114070170966</v>
      </c>
      <c r="W168" s="9">
        <f t="shared" si="44"/>
        <v>29.489660766022475</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61.781548358505674</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438.1289491107309</v>
      </c>
      <c r="Z168" s="9">
        <f t="shared" si="45"/>
        <v>400.52599622941926</v>
      </c>
      <c r="AA168" s="9">
        <f>SQRT((Inputs!$C$52+B168)^2+(Inputs!$C$52+Y168/1000)^2-2*(Inputs!$C$52+B168)*(Inputs!$C$52+Y168/1000)*COS(SQRT(A168^2+Inputs!$C$6^2)/Inputs!$C$52))</f>
        <v>401.95804709713752</v>
      </c>
      <c r="AB168" s="9">
        <f t="shared" si="46"/>
        <v>1432.0508677182602</v>
      </c>
      <c r="AC168" s="9">
        <f>AB168/Inputs!$C$12</f>
        <v>804.522959392281</v>
      </c>
      <c r="AD168" s="9">
        <f>2*AB168/Inputs!$C$21*1000000</f>
        <v>9.5536150393634003</v>
      </c>
      <c r="AE168" s="9">
        <f t="shared" si="47"/>
        <v>4.8524716340221561</v>
      </c>
      <c r="AF168" s="9">
        <f>DEGREES((2*PI()/Inputs!$C$13)*Inputs!$C$15*SIN(RADIANS(AE168)))</f>
        <v>30.452543655486537</v>
      </c>
      <c r="AG168" s="9">
        <f t="shared" si="48"/>
        <v>0.98582522614880885</v>
      </c>
      <c r="AH168" s="9">
        <f t="shared" si="49"/>
        <v>-6.2000729361579361E-2</v>
      </c>
      <c r="AI168" s="9">
        <f t="shared" si="50"/>
        <v>-210.04079367888437</v>
      </c>
      <c r="AJ168" s="9">
        <f t="shared" si="51"/>
        <v>-2.4942095958158781</v>
      </c>
      <c r="AK168" s="9">
        <f t="shared" si="52"/>
        <v>376.34740075222521</v>
      </c>
      <c r="AL168" s="9">
        <f>1000*(AA169-AA167)/(A169-A167)*Inputs!$C$11</f>
        <v>536.32095294847204</v>
      </c>
      <c r="AM168" s="9">
        <f>-2*AL168/Inputs!$C$13</f>
        <v>-214.52838117938882</v>
      </c>
      <c r="AN168" s="9">
        <f>-2*AL168/Inputs!$C$14</f>
        <v>-32.211468645553879</v>
      </c>
      <c r="AO168" s="9">
        <f t="shared" si="53"/>
        <v>214.52838117938882</v>
      </c>
      <c r="AP168" s="9">
        <f t="shared" si="54"/>
        <v>32.211468645553879</v>
      </c>
      <c r="AQ168" s="9">
        <f>IF(OR(Inputs!$C$27=TRUE,Inputs!$C$27="TRUE",Inputs!$C$27=1),Inputs!$C$46/Inputs!$C$12,0)</f>
        <v>42.134831460674157</v>
      </c>
      <c r="AR168" s="9">
        <f t="shared" si="55"/>
        <v>762.38812793160685</v>
      </c>
      <c r="AS168" s="9">
        <f t="shared" si="56"/>
        <v>846.65779085295515</v>
      </c>
    </row>
    <row r="169" spans="1:45">
      <c r="A169" s="9">
        <f>Inputs!$C$7+167*(Inputs!$C$8-Inputs!$C$7)/240</f>
        <v>23.5</v>
      </c>
      <c r="B169" s="9">
        <f>Inputs!$C$5+Inputs!$C$9*(A169/Inputs!$C$10)^2</f>
        <v>400.61361111111108</v>
      </c>
      <c r="C169" s="9">
        <f t="shared" si="38"/>
        <v>400.61361111111108</v>
      </c>
      <c r="D169" s="9">
        <f>SQRT((Inputs!$C$52+B169)^2+Inputs!$C$52^2-2*(Inputs!$C$52+B169)*Inputs!$C$52*COS(SQRT(A169^2+Inputs!$C$6^2)/Inputs!$C$52))</f>
        <v>402.4557403090455</v>
      </c>
      <c r="E169" s="9">
        <f t="shared" si="39"/>
        <v>1842.1291979344119</v>
      </c>
      <c r="F169" s="9">
        <f>E169/Inputs!$C$12</f>
        <v>1034.9040437833773</v>
      </c>
      <c r="G169" s="9">
        <f>2*E169/Inputs!$C$21*1000000</f>
        <v>12.289363182941793</v>
      </c>
      <c r="H169" s="9">
        <f>SQRT(A169^2+Inputs!$C$6^2)</f>
        <v>34.311076928595526</v>
      </c>
      <c r="I169" s="9">
        <f t="shared" si="40"/>
        <v>4.8952260304560395</v>
      </c>
      <c r="J169" s="9">
        <f>DEGREES((2*PI()/Inputs!$C$13)*Inputs!$C$15*SIN(RADIANS(I169)))</f>
        <v>30.720206112978573</v>
      </c>
      <c r="K169" s="9">
        <f t="shared" si="41"/>
        <v>0.98181643531000218</v>
      </c>
      <c r="L169" s="9">
        <f t="shared" si="42"/>
        <v>-7.9697022171027546E-2</v>
      </c>
      <c r="M169" s="9">
        <f>2*(Inputs!$C$9/(Inputs!$C$10^2))*A169</f>
        <v>5.2222222222222225E-2</v>
      </c>
      <c r="N169" s="9">
        <f>M169*Inputs!$C$11</f>
        <v>0.2088888888888889</v>
      </c>
      <c r="O169" s="9">
        <f>1000*(D170-D168)/(A170-A168)*Inputs!$C$11</f>
        <v>501.62016566741841</v>
      </c>
      <c r="P169" s="9">
        <f>-2*O169/Inputs!$C$13</f>
        <v>-200.64806626696736</v>
      </c>
      <c r="Q169" s="9">
        <f>-2*O169/Inputs!$C$14</f>
        <v>-30.127337277322429</v>
      </c>
      <c r="R169" s="9">
        <f>F169-Inputs!$C$16/2</f>
        <v>1019.9040437833773</v>
      </c>
      <c r="S169" s="9">
        <f>F169+Inputs!$C$16/2</f>
        <v>1049.9040437833773</v>
      </c>
      <c r="T169" s="9">
        <f>F169-Inputs!$C$17/2</f>
        <v>884.90404378337735</v>
      </c>
      <c r="U169" s="9">
        <f>F169+Inputs!$C$17/2</f>
        <v>1184.9040437833773</v>
      </c>
      <c r="V169" s="9">
        <f t="shared" si="43"/>
        <v>200.64806626696736</v>
      </c>
      <c r="W169" s="9">
        <f t="shared" si="44"/>
        <v>30.127337277322429</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70.988668852426656</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431.2131008039683</v>
      </c>
      <c r="Z169" s="9">
        <f t="shared" si="45"/>
        <v>400.54262244225868</v>
      </c>
      <c r="AA169" s="9">
        <f>SQRT((Inputs!$C$52+B169)^2+(Inputs!$C$52+Y169/1000)^2-2*(Inputs!$C$52+B169)*(Inputs!$C$52+Y169/1000)*COS(SQRT(A169^2+Inputs!$C$6^2)/Inputs!$C$52))</f>
        <v>402.02701139340201</v>
      </c>
      <c r="AB169" s="9">
        <f t="shared" si="46"/>
        <v>1484.3889511433304</v>
      </c>
      <c r="AC169" s="9">
        <f>AB169/Inputs!$C$12</f>
        <v>833.92637704681476</v>
      </c>
      <c r="AD169" s="9">
        <f>2*AB169/Inputs!$C$21*1000000</f>
        <v>9.9027771482051783</v>
      </c>
      <c r="AE169" s="9">
        <f t="shared" si="47"/>
        <v>4.9004751660076833</v>
      </c>
      <c r="AF169" s="9">
        <f>DEGREES((2*PI()/Inputs!$C$13)*Inputs!$C$15*SIN(RADIANS(AE169)))</f>
        <v>30.753066973149579</v>
      </c>
      <c r="AG169" s="9">
        <f t="shared" si="48"/>
        <v>0.98531254867745266</v>
      </c>
      <c r="AH169" s="9">
        <f t="shared" si="49"/>
        <v>-6.4259861165254561E-2</v>
      </c>
      <c r="AI169" s="9">
        <f t="shared" si="50"/>
        <v>-200.97766673656258</v>
      </c>
      <c r="AJ169" s="9">
        <f t="shared" si="51"/>
        <v>-2.3865860347366148</v>
      </c>
      <c r="AK169" s="9">
        <f t="shared" si="52"/>
        <v>360.22443195154165</v>
      </c>
      <c r="AL169" s="9">
        <f>1000*(AA170-AA168)/(A170-A168)*Inputs!$C$11</f>
        <v>489.55806634353394</v>
      </c>
      <c r="AM169" s="9">
        <f>-2*AL169/Inputs!$C$13</f>
        <v>-195.82322653741357</v>
      </c>
      <c r="AN169" s="9">
        <f>-2*AL169/Inputs!$C$14</f>
        <v>-29.40288686747952</v>
      </c>
      <c r="AO169" s="9">
        <f t="shared" si="53"/>
        <v>195.82322653741357</v>
      </c>
      <c r="AP169" s="9">
        <f t="shared" si="54"/>
        <v>29.40288686747952</v>
      </c>
      <c r="AQ169" s="9">
        <f>IF(OR(Inputs!$C$27=TRUE,Inputs!$C$27="TRUE",Inputs!$C$27=1),Inputs!$C$46/Inputs!$C$12,0)</f>
        <v>42.134831460674157</v>
      </c>
      <c r="AR169" s="9">
        <f t="shared" si="55"/>
        <v>791.79154558614061</v>
      </c>
      <c r="AS169" s="9">
        <f t="shared" si="56"/>
        <v>876.06120850748891</v>
      </c>
    </row>
    <row r="170" spans="1:45">
      <c r="A170" s="9">
        <f>Inputs!$C$7+168*(Inputs!$C$8-Inputs!$C$7)/240</f>
        <v>24</v>
      </c>
      <c r="B170" s="9">
        <f>Inputs!$C$5+Inputs!$C$9*(A170/Inputs!$C$10)^2</f>
        <v>400.64</v>
      </c>
      <c r="C170" s="9">
        <f t="shared" si="38"/>
        <v>400.64</v>
      </c>
      <c r="D170" s="9">
        <f>SQRT((Inputs!$C$52+B170)^2+Inputs!$C$52^2-2*(Inputs!$C$52+B170)*Inputs!$C$52*COS(SQRT(A170^2+Inputs!$C$6^2)/Inputs!$C$52))</f>
        <v>402.5191062996613</v>
      </c>
      <c r="E170" s="9">
        <f t="shared" si="39"/>
        <v>1879.1062996613164</v>
      </c>
      <c r="F170" s="9">
        <f>E170/Inputs!$C$12</f>
        <v>1055.6776964389417</v>
      </c>
      <c r="G170" s="9">
        <f>2*E170/Inputs!$C$21*1000000</f>
        <v>12.536047852553491</v>
      </c>
      <c r="H170" s="9">
        <f>SQRT(A170^2+Inputs!$C$6^2)</f>
        <v>34.655446902326915</v>
      </c>
      <c r="I170" s="9">
        <f t="shared" si="40"/>
        <v>4.9437915722171066</v>
      </c>
      <c r="J170" s="9">
        <f>DEGREES((2*PI()/Inputs!$C$13)*Inputs!$C$15*SIN(RADIANS(I170)))</f>
        <v>31.024228290513804</v>
      </c>
      <c r="K170" s="9">
        <f t="shared" si="41"/>
        <v>0.98145689342189257</v>
      </c>
      <c r="L170" s="9">
        <f t="shared" si="42"/>
        <v>-8.1287702974148904E-2</v>
      </c>
      <c r="M170" s="9">
        <f>2*(Inputs!$C$9/(Inputs!$C$10^2))*A170</f>
        <v>5.333333333333333E-2</v>
      </c>
      <c r="N170" s="9">
        <f>M170*Inputs!$C$11</f>
        <v>0.21333333333333332</v>
      </c>
      <c r="O170" s="9">
        <f>1000*(D171-D169)/(A171-A169)*Inputs!$C$11</f>
        <v>512.2338516328</v>
      </c>
      <c r="P170" s="9">
        <f>-2*O170/Inputs!$C$13</f>
        <v>-204.89354065312</v>
      </c>
      <c r="Q170" s="9">
        <f>-2*O170/Inputs!$C$14</f>
        <v>-30.764795893861866</v>
      </c>
      <c r="R170" s="9">
        <f>F170-Inputs!$C$16/2</f>
        <v>1040.6776964389417</v>
      </c>
      <c r="S170" s="9">
        <f>F170+Inputs!$C$16/2</f>
        <v>1070.6776964389417</v>
      </c>
      <c r="T170" s="9">
        <f>F170-Inputs!$C$17/2</f>
        <v>905.67769643894167</v>
      </c>
      <c r="U170" s="9">
        <f>F170+Inputs!$C$17/2</f>
        <v>1205.6776964389417</v>
      </c>
      <c r="V170" s="9">
        <f t="shared" si="43"/>
        <v>204.89354065312</v>
      </c>
      <c r="W170" s="9">
        <f t="shared" si="44"/>
        <v>30.764795893861866</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75.468150170569217</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441.26250725072242</v>
      </c>
      <c r="Z170" s="9">
        <f t="shared" si="45"/>
        <v>400.56453184982939</v>
      </c>
      <c r="AA170" s="9">
        <f>SQRT((Inputs!$C$52+B170)^2+(Inputs!$C$52+Y170/1000)^2-2*(Inputs!$C$52+B170)*(Inputs!$C$52+Y170/1000)*COS(SQRT(A170^2+Inputs!$C$6^2)/Inputs!$C$52))</f>
        <v>402.08043661372341</v>
      </c>
      <c r="AB170" s="9">
        <f t="shared" si="46"/>
        <v>1515.9047638940137</v>
      </c>
      <c r="AC170" s="9">
        <f>AB170/Inputs!$C$12</f>
        <v>851.63188982809754</v>
      </c>
      <c r="AD170" s="9">
        <f>2*AB170/Inputs!$C$21*1000000</f>
        <v>10.1130280194975</v>
      </c>
      <c r="AE170" s="9">
        <f t="shared" si="47"/>
        <v>4.9492155782736926</v>
      </c>
      <c r="AF170" s="9">
        <f>DEGREES((2*PI()/Inputs!$C$13)*Inputs!$C$15*SIN(RADIANS(AE170)))</f>
        <v>31.058181399348573</v>
      </c>
      <c r="AG170" s="9">
        <f t="shared" si="48"/>
        <v>0.98500445817166371</v>
      </c>
      <c r="AH170" s="9">
        <f t="shared" si="49"/>
        <v>-6.561803862823444E-2</v>
      </c>
      <c r="AI170" s="9">
        <f t="shared" si="50"/>
        <v>-204.04580661084412</v>
      </c>
      <c r="AJ170" s="9">
        <f t="shared" si="51"/>
        <v>-2.4230198330559904</v>
      </c>
      <c r="AK170" s="9">
        <f t="shared" si="52"/>
        <v>365.79435708015319</v>
      </c>
      <c r="AL170" s="9">
        <f>1000*(AA171-AA169)/(A171-A169)*Inputs!$C$11</f>
        <v>575.36003536233693</v>
      </c>
      <c r="AM170" s="9">
        <f>-2*AL170/Inputs!$C$13</f>
        <v>-230.14401414493477</v>
      </c>
      <c r="AN170" s="9">
        <f>-2*AL170/Inputs!$C$14</f>
        <v>-34.556158280020242</v>
      </c>
      <c r="AO170" s="9">
        <f t="shared" si="53"/>
        <v>230.14401414493477</v>
      </c>
      <c r="AP170" s="9">
        <f t="shared" si="54"/>
        <v>34.556158280020242</v>
      </c>
      <c r="AQ170" s="9">
        <f>IF(OR(Inputs!$C$27=TRUE,Inputs!$C$27="TRUE",Inputs!$C$27=1),Inputs!$C$46/Inputs!$C$12,0)</f>
        <v>42.134831460674157</v>
      </c>
      <c r="AR170" s="9">
        <f t="shared" si="55"/>
        <v>809.49705836742339</v>
      </c>
      <c r="AS170" s="9">
        <f t="shared" si="56"/>
        <v>893.76672128877169</v>
      </c>
    </row>
    <row r="171" spans="1:45">
      <c r="A171" s="9">
        <f>Inputs!$C$7+169*(Inputs!$C$8-Inputs!$C$7)/240</f>
        <v>24.5</v>
      </c>
      <c r="B171" s="9">
        <f>Inputs!$C$5+Inputs!$C$9*(A171/Inputs!$C$10)^2</f>
        <v>400.66694444444443</v>
      </c>
      <c r="C171" s="9">
        <f t="shared" si="38"/>
        <v>400.66694444444443</v>
      </c>
      <c r="D171" s="9">
        <f>SQRT((Inputs!$C$52+B171)^2+Inputs!$C$52^2-2*(Inputs!$C$52+B171)*Inputs!$C$52*COS(SQRT(A171^2+Inputs!$C$6^2)/Inputs!$C$52))</f>
        <v>402.5837987719537</v>
      </c>
      <c r="E171" s="9">
        <f t="shared" si="39"/>
        <v>1916.8543275092702</v>
      </c>
      <c r="F171" s="9">
        <f>E171/Inputs!$C$12</f>
        <v>1076.8844536568934</v>
      </c>
      <c r="G171" s="9">
        <f>2*E171/Inputs!$C$21*1000000</f>
        <v>12.787875587645839</v>
      </c>
      <c r="H171" s="9">
        <f>SQRT(A171^2+Inputs!$C$6^2)</f>
        <v>35.003571246374278</v>
      </c>
      <c r="I171" s="9">
        <f t="shared" si="40"/>
        <v>4.9928695227894897</v>
      </c>
      <c r="J171" s="9">
        <f>DEGREES((2*PI()/Inputs!$C$13)*Inputs!$C$15*SIN(RADIANS(I171)))</f>
        <v>31.331435522208853</v>
      </c>
      <c r="K171" s="9">
        <f t="shared" si="41"/>
        <v>0.98109007435313089</v>
      </c>
      <c r="L171" s="9">
        <f t="shared" si="42"/>
        <v>-8.2911180036263202E-2</v>
      </c>
      <c r="M171" s="9">
        <f>2*(Inputs!$C$9/(Inputs!$C$10^2))*A171</f>
        <v>5.4444444444444441E-2</v>
      </c>
      <c r="N171" s="9">
        <f>M171*Inputs!$C$11</f>
        <v>0.21777777777777776</v>
      </c>
      <c r="O171" s="9">
        <f>1000*(D172-D170)/(A172-A170)*Inputs!$C$11</f>
        <v>522.8438353706224</v>
      </c>
      <c r="P171" s="9">
        <f>-2*O171/Inputs!$C$13</f>
        <v>-209.13753414824896</v>
      </c>
      <c r="Q171" s="9">
        <f>-2*O171/Inputs!$C$14</f>
        <v>-31.402032154391737</v>
      </c>
      <c r="R171" s="9">
        <f>F171-Inputs!$C$16/2</f>
        <v>1061.8844536568934</v>
      </c>
      <c r="S171" s="9">
        <f>F171+Inputs!$C$16/2</f>
        <v>1091.8844536568934</v>
      </c>
      <c r="T171" s="9">
        <f>F171-Inputs!$C$17/2</f>
        <v>926.88445365689336</v>
      </c>
      <c r="U171" s="9">
        <f>F171+Inputs!$C$17/2</f>
        <v>1226.8844536568934</v>
      </c>
      <c r="V171" s="9">
        <f t="shared" si="43"/>
        <v>209.13753414824896</v>
      </c>
      <c r="W171" s="9">
        <f t="shared" si="44"/>
        <v>31.402032154391737</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80.288162734236394</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415.43697734419459</v>
      </c>
      <c r="Z171" s="9">
        <f t="shared" si="45"/>
        <v>400.58665628171019</v>
      </c>
      <c r="AA171" s="9">
        <f>SQRT((Inputs!$C$52+B171)^2+(Inputs!$C$52+Y171/1000)^2-2*(Inputs!$C$52+B171)*(Inputs!$C$52+Y171/1000)*COS(SQRT(A171^2+Inputs!$C$6^2)/Inputs!$C$52))</f>
        <v>402.17085140224259</v>
      </c>
      <c r="AB171" s="9">
        <f t="shared" si="46"/>
        <v>1584.1951205323994</v>
      </c>
      <c r="AC171" s="9">
        <f>AB171/Inputs!$C$12</f>
        <v>889.99725872606712</v>
      </c>
      <c r="AD171" s="9">
        <f>2*AB171/Inputs!$C$21*1000000</f>
        <v>10.568612239954344</v>
      </c>
      <c r="AE171" s="9">
        <f t="shared" si="47"/>
        <v>4.9980255848294268</v>
      </c>
      <c r="AF171" s="9">
        <f>DEGREES((2*PI()/Inputs!$C$13)*Inputs!$C$15*SIN(RADIANS(AE171)))</f>
        <v>31.363708961255639</v>
      </c>
      <c r="AG171" s="9">
        <f t="shared" si="48"/>
        <v>0.98433641628204638</v>
      </c>
      <c r="AH171" s="9">
        <f t="shared" si="49"/>
        <v>-6.8564475390228738E-2</v>
      </c>
      <c r="AI171" s="9">
        <f t="shared" si="50"/>
        <v>-186.88719493082624</v>
      </c>
      <c r="AJ171" s="9">
        <f t="shared" si="51"/>
        <v>-2.2192633476914949</v>
      </c>
      <c r="AK171" s="9">
        <f t="shared" si="52"/>
        <v>335.14881460995821</v>
      </c>
      <c r="AL171" s="9">
        <f>1000*(AA172-AA170)/(A172-A170)*Inputs!$C$11</f>
        <v>612.43448905338482</v>
      </c>
      <c r="AM171" s="9">
        <f>-2*AL171/Inputs!$C$13</f>
        <v>-244.97379562135393</v>
      </c>
      <c r="AN171" s="9">
        <f>-2*AL171/Inputs!$C$14</f>
        <v>-36.78285219539849</v>
      </c>
      <c r="AO171" s="9">
        <f t="shared" si="53"/>
        <v>244.97379562135393</v>
      </c>
      <c r="AP171" s="9">
        <f t="shared" si="54"/>
        <v>36.78285219539849</v>
      </c>
      <c r="AQ171" s="9">
        <f>IF(OR(Inputs!$C$27=TRUE,Inputs!$C$27="TRUE",Inputs!$C$27=1),Inputs!$C$46/Inputs!$C$12,0)</f>
        <v>42.134831460674157</v>
      </c>
      <c r="AR171" s="9">
        <f t="shared" si="55"/>
        <v>847.86242726539297</v>
      </c>
      <c r="AS171" s="9">
        <f t="shared" si="56"/>
        <v>932.13209018674127</v>
      </c>
    </row>
    <row r="172" spans="1:45">
      <c r="A172" s="9">
        <f>Inputs!$C$7+170*(Inputs!$C$8-Inputs!$C$7)/240</f>
        <v>25</v>
      </c>
      <c r="B172" s="9">
        <f>Inputs!$C$5+Inputs!$C$9*(A172/Inputs!$C$10)^2</f>
        <v>400.69444444444446</v>
      </c>
      <c r="C172" s="9">
        <f t="shared" si="38"/>
        <v>400.69444444444446</v>
      </c>
      <c r="D172" s="9">
        <f>SQRT((Inputs!$C$52+B172)^2+Inputs!$C$52^2-2*(Inputs!$C$52+B172)*Inputs!$C$52*COS(SQRT(A172^2+Inputs!$C$6^2)/Inputs!$C$52))</f>
        <v>402.64981725850396</v>
      </c>
      <c r="E172" s="9">
        <f t="shared" si="39"/>
        <v>1955.3728140595013</v>
      </c>
      <c r="F172" s="9">
        <f>E172/Inputs!$C$12</f>
        <v>1098.5240528424165</v>
      </c>
      <c r="G172" s="9">
        <f>2*E172/Inputs!$C$21*1000000</f>
        <v>13.04484326993644</v>
      </c>
      <c r="H172" s="9">
        <f>SQRT(A172^2+Inputs!$C$6^2)</f>
        <v>35.355339059327378</v>
      </c>
      <c r="I172" s="9">
        <f t="shared" si="40"/>
        <v>5.042443535344872</v>
      </c>
      <c r="J172" s="9">
        <f>DEGREES((2*PI()/Inputs!$C$13)*Inputs!$C$15*SIN(RADIANS(I172)))</f>
        <v>31.641724553462272</v>
      </c>
      <c r="K172" s="9">
        <f t="shared" si="41"/>
        <v>0.98071599602103154</v>
      </c>
      <c r="L172" s="9">
        <f t="shared" si="42"/>
        <v>-8.4567410586801783E-2</v>
      </c>
      <c r="M172" s="9">
        <f>2*(Inputs!$C$9/(Inputs!$C$10^2))*A172</f>
        <v>5.5555555555555552E-2</v>
      </c>
      <c r="N172" s="9">
        <f>M172*Inputs!$C$11</f>
        <v>0.22222222222222221</v>
      </c>
      <c r="O172" s="9">
        <f>1000*(D173-D171)/(A173-A171)*Inputs!$C$11</f>
        <v>533.4500427779858</v>
      </c>
      <c r="P172" s="9">
        <f>-2*O172/Inputs!$C$13</f>
        <v>-213.38001711119432</v>
      </c>
      <c r="Q172" s="9">
        <f>-2*O172/Inputs!$C$14</f>
        <v>-32.039041608287441</v>
      </c>
      <c r="R172" s="9">
        <f>F172-Inputs!$C$16/2</f>
        <v>1083.5240528424165</v>
      </c>
      <c r="S172" s="9">
        <f>F172+Inputs!$C$16/2</f>
        <v>1113.5240528424165</v>
      </c>
      <c r="T172" s="9">
        <f>F172-Inputs!$C$17/2</f>
        <v>948.52405284241649</v>
      </c>
      <c r="U172" s="9">
        <f>F172+Inputs!$C$17/2</f>
        <v>1248.5240528424165</v>
      </c>
      <c r="V172" s="9">
        <f t="shared" si="43"/>
        <v>213.38001711119432</v>
      </c>
      <c r="W172" s="9">
        <f t="shared" si="44"/>
        <v>32.039041608287441</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61.498548518191555</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418.83207484781849</v>
      </c>
      <c r="Z172" s="9">
        <f t="shared" si="45"/>
        <v>400.63294589592624</v>
      </c>
      <c r="AA172" s="9">
        <f>SQRT((Inputs!$C$52+B172)^2+(Inputs!$C$52+Y172/1000)^2-2*(Inputs!$C$52+B172)*(Inputs!$C$52+Y172/1000)*COS(SQRT(A172^2+Inputs!$C$6^2)/Inputs!$C$52))</f>
        <v>402.23354523598675</v>
      </c>
      <c r="AB172" s="9">
        <f t="shared" si="46"/>
        <v>1600.5993400605121</v>
      </c>
      <c r="AC172" s="9">
        <f>AB172/Inputs!$C$12</f>
        <v>899.21311239354611</v>
      </c>
      <c r="AD172" s="9">
        <f>2*AB172/Inputs!$C$21*1000000</f>
        <v>10.678049412840879</v>
      </c>
      <c r="AE172" s="9">
        <f t="shared" si="47"/>
        <v>5.0476924985392442</v>
      </c>
      <c r="AF172" s="9">
        <f>DEGREES((2*PI()/Inputs!$C$13)*Inputs!$C$15*SIN(RADIANS(AE172)))</f>
        <v>31.674576991085722</v>
      </c>
      <c r="AG172" s="9">
        <f t="shared" si="48"/>
        <v>0.98417764174494715</v>
      </c>
      <c r="AH172" s="9">
        <f t="shared" si="49"/>
        <v>-6.9265053627882572E-2</v>
      </c>
      <c r="AI172" s="9">
        <f t="shared" si="50"/>
        <v>-199.31094044887038</v>
      </c>
      <c r="AJ172" s="9">
        <f t="shared" si="51"/>
        <v>-2.3667938570955602</v>
      </c>
      <c r="AK172" s="9">
        <f t="shared" si="52"/>
        <v>357.33352632962692</v>
      </c>
      <c r="AL172" s="9">
        <f>1000*(AA173-AA171)/(A173-A171)*Inputs!$C$11</f>
        <v>634.34057660174403</v>
      </c>
      <c r="AM172" s="9">
        <f>-2*AL172/Inputs!$C$13</f>
        <v>-253.73623064069761</v>
      </c>
      <c r="AN172" s="9">
        <f>-2*AL172/Inputs!$C$14</f>
        <v>-38.098533129233878</v>
      </c>
      <c r="AO172" s="9">
        <f t="shared" si="53"/>
        <v>253.73623064069761</v>
      </c>
      <c r="AP172" s="9">
        <f t="shared" si="54"/>
        <v>38.098533129233878</v>
      </c>
      <c r="AQ172" s="9">
        <f>IF(OR(Inputs!$C$27=TRUE,Inputs!$C$27="TRUE",Inputs!$C$27=1),Inputs!$C$46/Inputs!$C$12,0)</f>
        <v>42.134831460674157</v>
      </c>
      <c r="AR172" s="9">
        <f t="shared" si="55"/>
        <v>857.07828093287196</v>
      </c>
      <c r="AS172" s="9">
        <f t="shared" si="56"/>
        <v>941.34794385422026</v>
      </c>
    </row>
    <row r="173" spans="1:45">
      <c r="A173" s="9">
        <f>Inputs!$C$7+171*(Inputs!$C$8-Inputs!$C$7)/240</f>
        <v>25.5</v>
      </c>
      <c r="B173" s="9">
        <f>Inputs!$C$5+Inputs!$C$9*(A173/Inputs!$C$10)^2</f>
        <v>400.72250000000003</v>
      </c>
      <c r="C173" s="9">
        <f t="shared" si="38"/>
        <v>400.72250000000003</v>
      </c>
      <c r="D173" s="9">
        <f>SQRT((Inputs!$C$52+B173)^2+Inputs!$C$52^2-2*(Inputs!$C$52+B173)*Inputs!$C$52*COS(SQRT(A173^2+Inputs!$C$6^2)/Inputs!$C$52))</f>
        <v>402.71716128264819</v>
      </c>
      <c r="E173" s="9">
        <f t="shared" si="39"/>
        <v>1994.6612826481669</v>
      </c>
      <c r="F173" s="9">
        <f>E173/Inputs!$C$12</f>
        <v>1120.5962262068354</v>
      </c>
      <c r="G173" s="9">
        <f>2*E173/Inputs!$C$21*1000000</f>
        <v>13.306947719466423</v>
      </c>
      <c r="H173" s="9">
        <f>SQRT(A173^2+Inputs!$C$6^2)</f>
        <v>35.710642671338192</v>
      </c>
      <c r="I173" s="9">
        <f t="shared" si="40"/>
        <v>5.092497724666333</v>
      </c>
      <c r="J173" s="9">
        <f>DEGREES((2*PI()/Inputs!$C$13)*Inputs!$C$15*SIN(RADIANS(I173)))</f>
        <v>31.954995028563069</v>
      </c>
      <c r="K173" s="9">
        <f t="shared" si="41"/>
        <v>0.98033467667772067</v>
      </c>
      <c r="L173" s="9">
        <f t="shared" si="42"/>
        <v>-8.6256351020983654E-2</v>
      </c>
      <c r="M173" s="9">
        <f>2*(Inputs!$C$9/(Inputs!$C$10^2))*A173</f>
        <v>5.6666666666666664E-2</v>
      </c>
      <c r="N173" s="9">
        <f>M173*Inputs!$C$11</f>
        <v>0.22666666666666666</v>
      </c>
      <c r="O173" s="9">
        <f>1000*(D174-D172)/(A174-A172)*Inputs!$C$11</f>
        <v>544.05239994980548</v>
      </c>
      <c r="P173" s="9">
        <f>-2*O173/Inputs!$C$13</f>
        <v>-217.62095997992219</v>
      </c>
      <c r="Q173" s="9">
        <f>-2*O173/Inputs!$C$14</f>
        <v>-32.675819816805138</v>
      </c>
      <c r="R173" s="9">
        <f>F173-Inputs!$C$16/2</f>
        <v>1105.5962262068354</v>
      </c>
      <c r="S173" s="9">
        <f>F173+Inputs!$C$16/2</f>
        <v>1135.5962262068354</v>
      </c>
      <c r="T173" s="9">
        <f>F173-Inputs!$C$17/2</f>
        <v>970.59622620683535</v>
      </c>
      <c r="U173" s="9">
        <f>F173+Inputs!$C$17/2</f>
        <v>1270.5962262068354</v>
      </c>
      <c r="V173" s="9">
        <f t="shared" si="43"/>
        <v>217.62095997992219</v>
      </c>
      <c r="W173" s="9">
        <f t="shared" si="44"/>
        <v>32.675819816805138</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67.901880448960824</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390.15691093624679</v>
      </c>
      <c r="Z173" s="9">
        <f t="shared" si="45"/>
        <v>400.65459811955105</v>
      </c>
      <c r="AA173" s="9">
        <f>SQRT((Inputs!$C$52+B173)^2+(Inputs!$C$52+Y173/1000)^2-2*(Inputs!$C$52+B173)*(Inputs!$C$52+Y173/1000)*COS(SQRT(A173^2+Inputs!$C$6^2)/Inputs!$C$52))</f>
        <v>402.32943654639303</v>
      </c>
      <c r="AB173" s="9">
        <f t="shared" si="46"/>
        <v>1674.8384268419727</v>
      </c>
      <c r="AC173" s="9">
        <f>AB173/Inputs!$C$12</f>
        <v>940.92046451796216</v>
      </c>
      <c r="AD173" s="9">
        <f>2*AB173/Inputs!$C$21*1000000</f>
        <v>11.173319289052781</v>
      </c>
      <c r="AE173" s="9">
        <f t="shared" si="47"/>
        <v>5.0974346492304941</v>
      </c>
      <c r="AF173" s="9">
        <f>DEGREES((2*PI()/Inputs!$C$13)*Inputs!$C$15*SIN(RADIANS(AE173)))</f>
        <v>31.985892077965691</v>
      </c>
      <c r="AG173" s="9">
        <f t="shared" si="48"/>
        <v>0.98345227458625351</v>
      </c>
      <c r="AH173" s="9">
        <f t="shared" si="49"/>
        <v>-7.2467108709792769E-2</v>
      </c>
      <c r="AI173" s="9">
        <f t="shared" si="50"/>
        <v>-179.67576168887319</v>
      </c>
      <c r="AJ173" s="9">
        <f t="shared" si="51"/>
        <v>-2.1336284304136424</v>
      </c>
      <c r="AK173" s="9">
        <f t="shared" si="52"/>
        <v>322.25503048728598</v>
      </c>
      <c r="AL173" s="9">
        <f>1000*(AA174-AA172)/(A174-A172)*Inputs!$C$11</f>
        <v>669.49253384541407</v>
      </c>
      <c r="AM173" s="9">
        <f>-2*AL173/Inputs!$C$13</f>
        <v>-267.79701353816563</v>
      </c>
      <c r="AN173" s="9">
        <f>-2*AL173/Inputs!$C$14</f>
        <v>-40.209761792517362</v>
      </c>
      <c r="AO173" s="9">
        <f t="shared" si="53"/>
        <v>267.79701353816563</v>
      </c>
      <c r="AP173" s="9">
        <f t="shared" si="54"/>
        <v>40.209761792517362</v>
      </c>
      <c r="AQ173" s="9">
        <f>IF(OR(Inputs!$C$27=TRUE,Inputs!$C$27="TRUE",Inputs!$C$27=1),Inputs!$C$46/Inputs!$C$12,0)</f>
        <v>42.134831460674157</v>
      </c>
      <c r="AR173" s="9">
        <f t="shared" si="55"/>
        <v>898.78563305728801</v>
      </c>
      <c r="AS173" s="9">
        <f t="shared" si="56"/>
        <v>983.05529597863631</v>
      </c>
    </row>
    <row r="174" spans="1:45">
      <c r="A174" s="9">
        <f>Inputs!$C$7+172*(Inputs!$C$8-Inputs!$C$7)/240</f>
        <v>26</v>
      </c>
      <c r="B174" s="9">
        <f>Inputs!$C$5+Inputs!$C$9*(A174/Inputs!$C$10)^2</f>
        <v>400.75111111111113</v>
      </c>
      <c r="C174" s="9">
        <f t="shared" si="38"/>
        <v>400.75111111111113</v>
      </c>
      <c r="D174" s="9">
        <f>SQRT((Inputs!$C$52+B174)^2+Inputs!$C$52^2-2*(Inputs!$C$52+B174)*Inputs!$C$52*COS(SQRT(A174^2+Inputs!$C$6^2)/Inputs!$C$52))</f>
        <v>402.78583035849141</v>
      </c>
      <c r="E174" s="9">
        <f t="shared" si="39"/>
        <v>2034.7192473802806</v>
      </c>
      <c r="F174" s="9">
        <f>E174/Inputs!$C$12</f>
        <v>1143.1007007754386</v>
      </c>
      <c r="G174" s="9">
        <f>2*E174/Inputs!$C$21*1000000</f>
        <v>13.574185694693364</v>
      </c>
      <c r="H174" s="9">
        <f>SQRT(A174^2+Inputs!$C$6^2)</f>
        <v>36.069377593742864</v>
      </c>
      <c r="I174" s="9">
        <f t="shared" si="40"/>
        <v>5.1430166600771647</v>
      </c>
      <c r="J174" s="9">
        <f>DEGREES((2*PI()/Inputs!$C$13)*Inputs!$C$15*SIN(RADIANS(I174)))</f>
        <v>32.27114944649454</v>
      </c>
      <c r="K174" s="9">
        <f t="shared" si="41"/>
        <v>0.97994613490818028</v>
      </c>
      <c r="L174" s="9">
        <f t="shared" si="42"/>
        <v>-8.7977956902271004E-2</v>
      </c>
      <c r="M174" s="9">
        <f>2*(Inputs!$C$9/(Inputs!$C$10^2))*A174</f>
        <v>5.7777777777777775E-2</v>
      </c>
      <c r="N174" s="9">
        <f>M174*Inputs!$C$11</f>
        <v>0.2311111111111111</v>
      </c>
      <c r="O174" s="9">
        <f>1000*(D175-D173)/(A175-A173)*Inputs!$C$11</f>
        <v>554.65083316926211</v>
      </c>
      <c r="P174" s="9">
        <f>-2*O174/Inputs!$C$13</f>
        <v>-221.86033326770485</v>
      </c>
      <c r="Q174" s="9">
        <f>-2*O174/Inputs!$C$14</f>
        <v>-33.312362352508238</v>
      </c>
      <c r="R174" s="9">
        <f>F174-Inputs!$C$16/2</f>
        <v>1128.1007007754386</v>
      </c>
      <c r="S174" s="9">
        <f>F174+Inputs!$C$16/2</f>
        <v>1158.1007007754386</v>
      </c>
      <c r="T174" s="9">
        <f>F174-Inputs!$C$17/2</f>
        <v>993.10070077543855</v>
      </c>
      <c r="U174" s="9">
        <f>F174+Inputs!$C$17/2</f>
        <v>1293.1007007754386</v>
      </c>
      <c r="V174" s="9">
        <f t="shared" si="43"/>
        <v>221.86033326770485</v>
      </c>
      <c r="W174" s="9">
        <f t="shared" si="44"/>
        <v>33.312362352508238</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65.032671862171824</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387.37494101799217</v>
      </c>
      <c r="Z174" s="9">
        <f t="shared" si="45"/>
        <v>400.68607843924894</v>
      </c>
      <c r="AA174" s="9">
        <f>SQRT((Inputs!$C$52+B174)^2+(Inputs!$C$52+Y174/1000)^2-2*(Inputs!$C$52+B174)*(Inputs!$C$52+Y174/1000)*COS(SQRT(A174^2+Inputs!$C$6^2)/Inputs!$C$52))</f>
        <v>402.40091836944811</v>
      </c>
      <c r="AB174" s="9">
        <f t="shared" si="46"/>
        <v>1714.8399301991617</v>
      </c>
      <c r="AC174" s="9">
        <f>AB174/Inputs!$C$12</f>
        <v>963.39321921301223</v>
      </c>
      <c r="AD174" s="9">
        <f>2*AB174/Inputs!$C$21*1000000</f>
        <v>11.440180594530913</v>
      </c>
      <c r="AE174" s="9">
        <f t="shared" si="47"/>
        <v>5.1479660993363137</v>
      </c>
      <c r="AF174" s="9">
        <f>DEGREES((2*PI()/Inputs!$C$13)*Inputs!$C$15*SIN(RADIANS(AE174)))</f>
        <v>32.302122369932157</v>
      </c>
      <c r="AG174" s="9">
        <f t="shared" si="48"/>
        <v>0.98306257046296597</v>
      </c>
      <c r="AH174" s="9">
        <f t="shared" si="49"/>
        <v>-7.4188390936167178E-2</v>
      </c>
      <c r="AI174" s="9">
        <f t="shared" si="50"/>
        <v>-179.70748156242632</v>
      </c>
      <c r="AJ174" s="9">
        <f t="shared" si="51"/>
        <v>-2.1340051001624509</v>
      </c>
      <c r="AK174" s="9">
        <f t="shared" si="52"/>
        <v>322.34226915582036</v>
      </c>
      <c r="AL174" s="9">
        <f>1000*(AA175-AA173)/(A175-A173)*Inputs!$C$11</f>
        <v>581.54827257862962</v>
      </c>
      <c r="AM174" s="9">
        <f>-2*AL174/Inputs!$C$13</f>
        <v>-232.61930903145185</v>
      </c>
      <c r="AN174" s="9">
        <f>-2*AL174/Inputs!$C$14</f>
        <v>-34.927824178896678</v>
      </c>
      <c r="AO174" s="9">
        <f t="shared" si="53"/>
        <v>232.61930903145185</v>
      </c>
      <c r="AP174" s="9">
        <f t="shared" si="54"/>
        <v>34.927824178896678</v>
      </c>
      <c r="AQ174" s="9">
        <f>IF(OR(Inputs!$C$27=TRUE,Inputs!$C$27="TRUE",Inputs!$C$27=1),Inputs!$C$46/Inputs!$C$12,0)</f>
        <v>42.134831460674157</v>
      </c>
      <c r="AR174" s="9">
        <f t="shared" si="55"/>
        <v>921.25838775233808</v>
      </c>
      <c r="AS174" s="9">
        <f t="shared" si="56"/>
        <v>1005.5280506736864</v>
      </c>
    </row>
    <row r="175" spans="1:45">
      <c r="A175" s="9">
        <f>Inputs!$C$7+173*(Inputs!$C$8-Inputs!$C$7)/240</f>
        <v>26.5</v>
      </c>
      <c r="B175" s="9">
        <f>Inputs!$C$5+Inputs!$C$9*(A175/Inputs!$C$10)^2</f>
        <v>400.78027777777777</v>
      </c>
      <c r="C175" s="9">
        <f t="shared" si="38"/>
        <v>400.78027777777777</v>
      </c>
      <c r="D175" s="9">
        <f>SQRT((Inputs!$C$52+B175)^2+Inputs!$C$52^2-2*(Inputs!$C$52+B175)*Inputs!$C$52*COS(SQRT(A175^2+Inputs!$C$6^2)/Inputs!$C$52))</f>
        <v>402.85582399094051</v>
      </c>
      <c r="E175" s="9">
        <f t="shared" si="39"/>
        <v>2075.5462131627382</v>
      </c>
      <c r="F175" s="9">
        <f>E175/Inputs!$C$12</f>
        <v>1166.0371984060328</v>
      </c>
      <c r="G175" s="9">
        <f>2*E175/Inputs!$C$21*1000000</f>
        <v>13.846553892711592</v>
      </c>
      <c r="H175" s="9">
        <f>SQRT(A175^2+Inputs!$C$6^2)</f>
        <v>36.431442463893738</v>
      </c>
      <c r="I175" s="9">
        <f t="shared" si="40"/>
        <v>5.1939853576754134</v>
      </c>
      <c r="J175" s="9">
        <f>DEGREES((2*PI()/Inputs!$C$13)*Inputs!$C$15*SIN(RADIANS(I175)))</f>
        <v>32.590093112366418</v>
      </c>
      <c r="K175" s="9">
        <f t="shared" si="41"/>
        <v>0.97955038962808405</v>
      </c>
      <c r="L175" s="9">
        <f t="shared" si="42"/>
        <v>-8.9732182965647375E-2</v>
      </c>
      <c r="M175" s="9">
        <f>2*(Inputs!$C$9/(Inputs!$C$10^2))*A175</f>
        <v>5.8888888888888886E-2</v>
      </c>
      <c r="N175" s="9">
        <f>M175*Inputs!$C$11</f>
        <v>0.23555555555555555</v>
      </c>
      <c r="O175" s="9">
        <f>1000*(D176-D174)/(A176-A174)*Inputs!$C$11</f>
        <v>565.24526889620574</v>
      </c>
      <c r="P175" s="9">
        <f>-2*O175/Inputs!$C$13</f>
        <v>-226.0981075584823</v>
      </c>
      <c r="Q175" s="9">
        <f>-2*O175/Inputs!$C$14</f>
        <v>-33.948664798570917</v>
      </c>
      <c r="R175" s="9">
        <f>F175-Inputs!$C$16/2</f>
        <v>1151.0371984060328</v>
      </c>
      <c r="S175" s="9">
        <f>F175+Inputs!$C$16/2</f>
        <v>1181.0371984060328</v>
      </c>
      <c r="T175" s="9">
        <f>F175-Inputs!$C$17/2</f>
        <v>1016.0371984060328</v>
      </c>
      <c r="U175" s="9">
        <f>F175+Inputs!$C$17/2</f>
        <v>1316.0371984060328</v>
      </c>
      <c r="V175" s="9">
        <f t="shared" si="43"/>
        <v>226.0981075584823</v>
      </c>
      <c r="W175" s="9">
        <f t="shared" si="44"/>
        <v>33.948664798570917</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69.516598212008631</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383.48713922986474</v>
      </c>
      <c r="Z175" s="9">
        <f t="shared" si="45"/>
        <v>400.71076117956574</v>
      </c>
      <c r="AA175" s="9">
        <f>SQRT((Inputs!$C$52+B175)^2+(Inputs!$C$52+Y175/1000)^2-2*(Inputs!$C$52+B175)*(Inputs!$C$52+Y175/1000)*COS(SQRT(A175^2+Inputs!$C$6^2)/Inputs!$C$52))</f>
        <v>402.47482361453768</v>
      </c>
      <c r="AB175" s="9">
        <f t="shared" si="46"/>
        <v>1764.0624349719474</v>
      </c>
      <c r="AC175" s="9">
        <f>AB175/Inputs!$C$12</f>
        <v>991.04631178199293</v>
      </c>
      <c r="AD175" s="9">
        <f>2*AB175/Inputs!$C$21*1000000</f>
        <v>11.768557799889331</v>
      </c>
      <c r="AE175" s="9">
        <f t="shared" si="47"/>
        <v>5.1989327416108404</v>
      </c>
      <c r="AF175" s="9">
        <f>DEGREES((2*PI()/Inputs!$C$13)*Inputs!$C$15*SIN(RADIANS(AE175)))</f>
        <v>32.621050681637684</v>
      </c>
      <c r="AG175" s="9">
        <f t="shared" si="48"/>
        <v>0.98258277779879655</v>
      </c>
      <c r="AH175" s="9">
        <f t="shared" si="49"/>
        <v>-7.6308522228711109E-2</v>
      </c>
      <c r="AI175" s="9">
        <f t="shared" si="50"/>
        <v>-174.99088662403983</v>
      </c>
      <c r="AJ175" s="9">
        <f t="shared" si="51"/>
        <v>-2.0779960928222607</v>
      </c>
      <c r="AK175" s="9">
        <f t="shared" si="52"/>
        <v>313.97054101785614</v>
      </c>
      <c r="AL175" s="9">
        <f>1000*(AA176-AA174)/(A176-A174)*Inputs!$C$11</f>
        <v>729.13666634917718</v>
      </c>
      <c r="AM175" s="9">
        <f>-2*AL175/Inputs!$C$13</f>
        <v>-291.65466653967087</v>
      </c>
      <c r="AN175" s="9">
        <f>-2*AL175/Inputs!$C$14</f>
        <v>-43.791991972923554</v>
      </c>
      <c r="AO175" s="9">
        <f t="shared" si="53"/>
        <v>291.65466653967087</v>
      </c>
      <c r="AP175" s="9">
        <f t="shared" si="54"/>
        <v>43.791991972923554</v>
      </c>
      <c r="AQ175" s="9">
        <f>IF(OR(Inputs!$C$27=TRUE,Inputs!$C$27="TRUE",Inputs!$C$27=1),Inputs!$C$46/Inputs!$C$12,0)</f>
        <v>42.134831460674157</v>
      </c>
      <c r="AR175" s="9">
        <f t="shared" si="55"/>
        <v>948.91148032131878</v>
      </c>
      <c r="AS175" s="9">
        <f t="shared" si="56"/>
        <v>1033.1811432426671</v>
      </c>
    </row>
    <row r="176" spans="1:45">
      <c r="A176" s="9">
        <f>Inputs!$C$7+174*(Inputs!$C$8-Inputs!$C$7)/240</f>
        <v>27</v>
      </c>
      <c r="B176" s="9">
        <f>Inputs!$C$5+Inputs!$C$9*(A176/Inputs!$C$10)^2</f>
        <v>400.81</v>
      </c>
      <c r="C176" s="9">
        <f t="shared" si="38"/>
        <v>400.81</v>
      </c>
      <c r="D176" s="9">
        <f>SQRT((Inputs!$C$52+B176)^2+Inputs!$C$52^2-2*(Inputs!$C$52+B176)*Inputs!$C$52*COS(SQRT(A176^2+Inputs!$C$6^2)/Inputs!$C$52))</f>
        <v>402.92714167571546</v>
      </c>
      <c r="E176" s="9">
        <f t="shared" si="39"/>
        <v>2117.1416757154589</v>
      </c>
      <c r="F176" s="9">
        <f>E176/Inputs!$C$12</f>
        <v>1189.4054357952016</v>
      </c>
      <c r="G176" s="9">
        <f>2*E176/Inputs!$C$21*1000000</f>
        <v>14.12404894932653</v>
      </c>
      <c r="H176" s="9">
        <f>SQRT(A176^2+Inputs!$C$6^2)</f>
        <v>36.796738985948195</v>
      </c>
      <c r="I176" s="9">
        <f t="shared" si="40"/>
        <v>5.2453892719816002</v>
      </c>
      <c r="J176" s="9">
        <f>DEGREES((2*PI()/Inputs!$C$13)*Inputs!$C$15*SIN(RADIANS(I176)))</f>
        <v>32.911734085150734</v>
      </c>
      <c r="K176" s="9">
        <f t="shared" si="41"/>
        <v>0.97914746008181208</v>
      </c>
      <c r="L176" s="9">
        <f t="shared" si="42"/>
        <v>-9.1518983120005171E-2</v>
      </c>
      <c r="M176" s="9">
        <f>2*(Inputs!$C$9/(Inputs!$C$10^2))*A176</f>
        <v>0.06</v>
      </c>
      <c r="N176" s="9">
        <f>M176*Inputs!$C$11</f>
        <v>0.24</v>
      </c>
      <c r="O176" s="9">
        <f>1000*(D177-D175)/(A177-A175)*Inputs!$C$11</f>
        <v>575.83563378602776</v>
      </c>
      <c r="P176" s="9">
        <f>-2*O176/Inputs!$C$13</f>
        <v>-230.3342535144111</v>
      </c>
      <c r="Q176" s="9">
        <f>-2*O176/Inputs!$C$14</f>
        <v>-34.584722749911577</v>
      </c>
      <c r="R176" s="9">
        <f>F176-Inputs!$C$16/2</f>
        <v>1174.4054357952016</v>
      </c>
      <c r="S176" s="9">
        <f>F176+Inputs!$C$16/2</f>
        <v>1204.4054357952016</v>
      </c>
      <c r="T176" s="9">
        <f>F176-Inputs!$C$17/2</f>
        <v>1039.4054357952016</v>
      </c>
      <c r="U176" s="9">
        <f>F176+Inputs!$C$17/2</f>
        <v>1339.4054357952016</v>
      </c>
      <c r="V176" s="9">
        <f t="shared" si="43"/>
        <v>230.3342535144111</v>
      </c>
      <c r="W176" s="9">
        <f t="shared" si="44"/>
        <v>34.584722749911577</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64.454469680614793</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346.22873286462408</v>
      </c>
      <c r="Z176" s="9">
        <f t="shared" si="45"/>
        <v>400.74554553031936</v>
      </c>
      <c r="AA176" s="9">
        <f>SQRT((Inputs!$C$52+B176)^2+(Inputs!$C$52+Y176/1000)^2-2*(Inputs!$C$52+B176)*(Inputs!$C$52+Y176/1000)*COS(SQRT(A176^2+Inputs!$C$6^2)/Inputs!$C$52))</f>
        <v>402.5832025360354</v>
      </c>
      <c r="AB176" s="9">
        <f t="shared" si="46"/>
        <v>1837.6570057160393</v>
      </c>
      <c r="AC176" s="9">
        <f>AB176/Inputs!$C$12</f>
        <v>1032.3915762449658</v>
      </c>
      <c r="AD176" s="9">
        <f>2*AB176/Inputs!$C$21*1000000</f>
        <v>12.259527927924321</v>
      </c>
      <c r="AE176" s="9">
        <f t="shared" si="47"/>
        <v>5.2498989456077636</v>
      </c>
      <c r="AF176" s="9">
        <f>DEGREES((2*PI()/Inputs!$C$13)*Inputs!$C$15*SIN(RADIANS(AE176)))</f>
        <v>32.939950438934957</v>
      </c>
      <c r="AG176" s="9">
        <f t="shared" si="48"/>
        <v>0.98186598138839809</v>
      </c>
      <c r="AH176" s="9">
        <f t="shared" si="49"/>
        <v>-7.9477866687749005E-2</v>
      </c>
      <c r="AI176" s="9">
        <f t="shared" si="50"/>
        <v>-157.01385955023579</v>
      </c>
      <c r="AJ176" s="9">
        <f t="shared" si="51"/>
        <v>-1.8645210214022097</v>
      </c>
      <c r="AK176" s="9">
        <f t="shared" si="52"/>
        <v>281.77426318400927</v>
      </c>
      <c r="AL176" s="9">
        <f>1000*(AA177-AA175)/(A177-A175)*Inputs!$C$11</f>
        <v>760.78854528691409</v>
      </c>
      <c r="AM176" s="9">
        <f>-2*AL176/Inputs!$C$13</f>
        <v>-304.31541811476563</v>
      </c>
      <c r="AN176" s="9">
        <f>-2*AL176/Inputs!$C$14</f>
        <v>-45.693005722937784</v>
      </c>
      <c r="AO176" s="9">
        <f t="shared" si="53"/>
        <v>304.31541811476563</v>
      </c>
      <c r="AP176" s="9">
        <f t="shared" si="54"/>
        <v>45.693005722937784</v>
      </c>
      <c r="AQ176" s="9">
        <f>IF(OR(Inputs!$C$27=TRUE,Inputs!$C$27="TRUE",Inputs!$C$27=1),Inputs!$C$46/Inputs!$C$12,0)</f>
        <v>42.134831460674157</v>
      </c>
      <c r="AR176" s="9">
        <f t="shared" si="55"/>
        <v>990.25674478429164</v>
      </c>
      <c r="AS176" s="9">
        <f t="shared" si="56"/>
        <v>1074.5264077056399</v>
      </c>
    </row>
    <row r="177" spans="1:45">
      <c r="A177" s="9">
        <f>Inputs!$C$7+175*(Inputs!$C$8-Inputs!$C$7)/240</f>
        <v>27.5</v>
      </c>
      <c r="B177" s="9">
        <f>Inputs!$C$5+Inputs!$C$9*(A177/Inputs!$C$10)^2</f>
        <v>400.84027777777777</v>
      </c>
      <c r="C177" s="9">
        <f t="shared" si="38"/>
        <v>400.84027777777777</v>
      </c>
      <c r="D177" s="9">
        <f>SQRT((Inputs!$C$52+B177)^2+Inputs!$C$52^2-2*(Inputs!$C$52+B177)*Inputs!$C$52*COS(SQRT(A177^2+Inputs!$C$6^2)/Inputs!$C$52))</f>
        <v>402.99978289938701</v>
      </c>
      <c r="E177" s="9">
        <f t="shared" si="39"/>
        <v>2159.5051216092429</v>
      </c>
      <c r="F177" s="9">
        <f>E177/Inputs!$C$12</f>
        <v>1213.2051244995746</v>
      </c>
      <c r="G177" s="9">
        <f>2*E177/Inputs!$C$21*1000000</f>
        <v>14.406667439307249</v>
      </c>
      <c r="H177" s="9">
        <f>SQRT(A177^2+Inputs!$C$6^2)</f>
        <v>37.165171868296262</v>
      </c>
      <c r="I177" s="9">
        <f t="shared" si="40"/>
        <v>5.2972142870977459</v>
      </c>
      <c r="J177" s="9">
        <f>DEGREES((2*PI()/Inputs!$C$13)*Inputs!$C$15*SIN(RADIANS(I177)))</f>
        <v>33.235983122338439</v>
      </c>
      <c r="K177" s="9">
        <f t="shared" si="41"/>
        <v>0.97873736584017712</v>
      </c>
      <c r="L177" s="9">
        <f t="shared" si="42"/>
        <v>-9.3338310451714646E-2</v>
      </c>
      <c r="M177" s="9">
        <f>2*(Inputs!$C$9/(Inputs!$C$10^2))*A177</f>
        <v>6.1111111111111109E-2</v>
      </c>
      <c r="N177" s="9">
        <f>M177*Inputs!$C$11</f>
        <v>0.24444444444444444</v>
      </c>
      <c r="O177" s="9">
        <f>1000*(D178-D176)/(A178-A176)*Inputs!$C$11</f>
        <v>586.4218547242217</v>
      </c>
      <c r="P177" s="9">
        <f>-2*O177/Inputs!$C$13</f>
        <v>-234.56874188968868</v>
      </c>
      <c r="Q177" s="9">
        <f>-2*O177/Inputs!$C$14</f>
        <v>-35.220531815268572</v>
      </c>
      <c r="R177" s="9">
        <f>F177-Inputs!$C$16/2</f>
        <v>1198.2051244995746</v>
      </c>
      <c r="S177" s="9">
        <f>F177+Inputs!$C$16/2</f>
        <v>1228.2051244995746</v>
      </c>
      <c r="T177" s="9">
        <f>F177-Inputs!$C$17/2</f>
        <v>1063.2051244995746</v>
      </c>
      <c r="U177" s="9">
        <f>F177+Inputs!$C$17/2</f>
        <v>1363.2051244995746</v>
      </c>
      <c r="V177" s="9">
        <f t="shared" si="43"/>
        <v>234.56874188968868</v>
      </c>
      <c r="W177" s="9">
        <f t="shared" si="44"/>
        <v>35.220531815268572</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45.785881303759091</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337.03514018583576</v>
      </c>
      <c r="Z177" s="9">
        <f t="shared" si="45"/>
        <v>400.79449189647403</v>
      </c>
      <c r="AA177" s="9">
        <f>SQRT((Inputs!$C$52+B177)^2+(Inputs!$C$52+Y177/1000)^2-2*(Inputs!$C$52+B177)*(Inputs!$C$52+Y177/1000)*COS(SQRT(A177^2+Inputs!$C$6^2)/Inputs!$C$52))</f>
        <v>402.66502075085941</v>
      </c>
      <c r="AB177" s="9">
        <f t="shared" si="46"/>
        <v>1870.528854385384</v>
      </c>
      <c r="AC177" s="9">
        <f>AB177/Inputs!$C$12</f>
        <v>1050.8589069580808</v>
      </c>
      <c r="AD177" s="9">
        <f>2*AB177/Inputs!$C$21*1000000</f>
        <v>12.478825297101931</v>
      </c>
      <c r="AE177" s="9">
        <f t="shared" si="47"/>
        <v>5.3016466563212932</v>
      </c>
      <c r="AF177" s="9">
        <f>DEGREES((2*PI()/Inputs!$C$13)*Inputs!$C$15*SIN(RADIANS(AE177)))</f>
        <v>33.263713480503888</v>
      </c>
      <c r="AG177" s="9">
        <f t="shared" si="48"/>
        <v>0.98154758796530495</v>
      </c>
      <c r="AH177" s="9">
        <f t="shared" si="49"/>
        <v>-8.0886398339908641E-2</v>
      </c>
      <c r="AI177" s="9">
        <f t="shared" si="50"/>
        <v>-162.34621754149384</v>
      </c>
      <c r="AJ177" s="9">
        <f t="shared" si="51"/>
        <v>-1.9278421422053178</v>
      </c>
      <c r="AK177" s="9">
        <f t="shared" si="52"/>
        <v>291.24925888207667</v>
      </c>
      <c r="AL177" s="9">
        <f>1000*(AA178-AA176)/(A178-A176)*Inputs!$C$11</f>
        <v>722.03151058579351</v>
      </c>
      <c r="AM177" s="9">
        <f>-2*AL177/Inputs!$C$13</f>
        <v>-288.8126042343174</v>
      </c>
      <c r="AN177" s="9">
        <f>-2*AL177/Inputs!$C$14</f>
        <v>-43.36525589103865</v>
      </c>
      <c r="AO177" s="9">
        <f t="shared" si="53"/>
        <v>288.8126042343174</v>
      </c>
      <c r="AP177" s="9">
        <f t="shared" si="54"/>
        <v>43.36525589103865</v>
      </c>
      <c r="AQ177" s="9">
        <f>IF(OR(Inputs!$C$27=TRUE,Inputs!$C$27="TRUE",Inputs!$C$27=1),Inputs!$C$46/Inputs!$C$12,0)</f>
        <v>42.134831460674157</v>
      </c>
      <c r="AR177" s="9">
        <f t="shared" si="55"/>
        <v>1008.7240754974066</v>
      </c>
      <c r="AS177" s="9">
        <f t="shared" si="56"/>
        <v>1092.9937384187549</v>
      </c>
    </row>
    <row r="178" spans="1:45">
      <c r="A178" s="9">
        <f>Inputs!$C$7+176*(Inputs!$C$8-Inputs!$C$7)/240</f>
        <v>28</v>
      </c>
      <c r="B178" s="9">
        <f>Inputs!$C$5+Inputs!$C$9*(A178/Inputs!$C$10)^2</f>
        <v>400.87111111111113</v>
      </c>
      <c r="C178" s="9">
        <f t="shared" si="38"/>
        <v>400.87111111111113</v>
      </c>
      <c r="D178" s="9">
        <f>SQRT((Inputs!$C$52+B178)^2+Inputs!$C$52^2-2*(Inputs!$C$52+B178)*Inputs!$C$52*COS(SQRT(A178^2+Inputs!$C$6^2)/Inputs!$C$52))</f>
        <v>403.07374713939652</v>
      </c>
      <c r="E178" s="9">
        <f t="shared" si="39"/>
        <v>2202.636028285383</v>
      </c>
      <c r="F178" s="9">
        <f>E178/Inputs!$C$12</f>
        <v>1237.4359709468442</v>
      </c>
      <c r="G178" s="9">
        <f>2*E178/Inputs!$C$21*1000000</f>
        <v>14.694405876517299</v>
      </c>
      <c r="H178" s="9">
        <f>SQRT(A178^2+Inputs!$C$6^2)</f>
        <v>37.536648758246919</v>
      </c>
      <c r="I178" s="9">
        <f t="shared" si="40"/>
        <v>5.3494467074669219</v>
      </c>
      <c r="J178" s="9">
        <f>DEGREES((2*PI()/Inputs!$C$13)*Inputs!$C$15*SIN(RADIANS(I178)))</f>
        <v>33.562753622077572</v>
      </c>
      <c r="K178" s="9">
        <f t="shared" si="41"/>
        <v>0.97832012679830072</v>
      </c>
      <c r="L178" s="9">
        <f t="shared" si="42"/>
        <v>-9.5190117227433396E-2</v>
      </c>
      <c r="M178" s="9">
        <f>2*(Inputs!$C$9/(Inputs!$C$10^2))*A178</f>
        <v>6.222222222222222E-2</v>
      </c>
      <c r="N178" s="9">
        <f>M178*Inputs!$C$11</f>
        <v>0.24888888888888888</v>
      </c>
      <c r="O178" s="9">
        <f>1000*(D179-D177)/(A179-A177)*Inputs!$C$11</f>
        <v>597.00385875134998</v>
      </c>
      <c r="P178" s="9">
        <f>-2*O178/Inputs!$C$13</f>
        <v>-238.80154350053999</v>
      </c>
      <c r="Q178" s="9">
        <f>-2*O178/Inputs!$C$14</f>
        <v>-35.856087612693699</v>
      </c>
      <c r="R178" s="9">
        <f>F178-Inputs!$C$16/2</f>
        <v>1222.4359709468442</v>
      </c>
      <c r="S178" s="9">
        <f>F178+Inputs!$C$16/2</f>
        <v>1252.4359709468442</v>
      </c>
      <c r="T178" s="9">
        <f>F178-Inputs!$C$17/2</f>
        <v>1087.4359709468442</v>
      </c>
      <c r="U178" s="9">
        <f>F178+Inputs!$C$17/2</f>
        <v>1387.4359709468442</v>
      </c>
      <c r="V178" s="9">
        <f t="shared" si="43"/>
        <v>238.80154350053999</v>
      </c>
      <c r="W178" s="9">
        <f t="shared" si="44"/>
        <v>35.856087612693699</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58.944391773626705</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312.18369818898617</v>
      </c>
      <c r="Z178" s="9">
        <f t="shared" si="45"/>
        <v>400.81216671933748</v>
      </c>
      <c r="AA178" s="9">
        <f>SQRT((Inputs!$C$52+B178)^2+(Inputs!$C$52+Y178/1000)^2-2*(Inputs!$C$52+B178)*(Inputs!$C$52+Y178/1000)*COS(SQRT(A178^2+Inputs!$C$6^2)/Inputs!$C$52))</f>
        <v>402.76371041368185</v>
      </c>
      <c r="AB178" s="9">
        <f t="shared" si="46"/>
        <v>1951.543694344366</v>
      </c>
      <c r="AC178" s="9">
        <f>AB178/Inputs!$C$12</f>
        <v>1096.372861991217</v>
      </c>
      <c r="AD178" s="9">
        <f>2*AB178/Inputs!$C$21*1000000</f>
        <v>13.01929813287275</v>
      </c>
      <c r="AE178" s="9">
        <f t="shared" si="47"/>
        <v>5.3535916921184601</v>
      </c>
      <c r="AF178" s="9">
        <f>DEGREES((2*PI()/Inputs!$C$13)*Inputs!$C$15*SIN(RADIANS(AE178)))</f>
        <v>33.588683810411631</v>
      </c>
      <c r="AG178" s="9">
        <f t="shared" si="48"/>
        <v>0.98075888718898863</v>
      </c>
      <c r="AH178" s="9">
        <f t="shared" si="49"/>
        <v>-8.4377478024029118E-2</v>
      </c>
      <c r="AI178" s="9">
        <f t="shared" si="50"/>
        <v>-141.06310895562729</v>
      </c>
      <c r="AJ178" s="9">
        <f t="shared" si="51"/>
        <v>-1.6751077436445492</v>
      </c>
      <c r="AK178" s="9">
        <f t="shared" si="52"/>
        <v>253.23930641535947</v>
      </c>
      <c r="AL178" s="9">
        <f>1000*(AA179-AA177)/(A179-A177)*Inputs!$C$11</f>
        <v>702.89792687708541</v>
      </c>
      <c r="AM178" s="9">
        <f>-2*AL178/Inputs!$C$13</f>
        <v>-281.15917075083416</v>
      </c>
      <c r="AN178" s="9">
        <f>-2*AL178/Inputs!$C$14</f>
        <v>-42.216091704329457</v>
      </c>
      <c r="AO178" s="9">
        <f t="shared" si="53"/>
        <v>281.15917075083416</v>
      </c>
      <c r="AP178" s="9">
        <f t="shared" si="54"/>
        <v>42.216091704329457</v>
      </c>
      <c r="AQ178" s="9">
        <f>IF(OR(Inputs!$C$27=TRUE,Inputs!$C$27="TRUE",Inputs!$C$27=1),Inputs!$C$46/Inputs!$C$12,0)</f>
        <v>42.134831460674157</v>
      </c>
      <c r="AR178" s="9">
        <f t="shared" si="55"/>
        <v>1054.2380305305428</v>
      </c>
      <c r="AS178" s="9">
        <f t="shared" si="56"/>
        <v>1138.5076934518911</v>
      </c>
    </row>
    <row r="179" spans="1:45">
      <c r="A179" s="9">
        <f>Inputs!$C$7+177*(Inputs!$C$8-Inputs!$C$7)/240</f>
        <v>28.5</v>
      </c>
      <c r="B179" s="9">
        <f>Inputs!$C$5+Inputs!$C$9*(A179/Inputs!$C$10)^2</f>
        <v>400.90249999999997</v>
      </c>
      <c r="C179" s="9">
        <f t="shared" si="38"/>
        <v>400.90249999999997</v>
      </c>
      <c r="D179" s="9">
        <f>SQRT((Inputs!$C$52+B179)^2+Inputs!$C$52^2-2*(Inputs!$C$52+B179)*Inputs!$C$52*COS(SQRT(A179^2+Inputs!$C$6^2)/Inputs!$C$52))</f>
        <v>403.14903386407485</v>
      </c>
      <c r="E179" s="9">
        <f t="shared" si="39"/>
        <v>2246.5338640748769</v>
      </c>
      <c r="F179" s="9">
        <f>E179/Inputs!$C$12</f>
        <v>1262.0976764465599</v>
      </c>
      <c r="G179" s="9">
        <f>2*E179/Inputs!$C$21*1000000</f>
        <v>14.987260714042893</v>
      </c>
      <c r="H179" s="9">
        <f>SQRT(A179^2+Inputs!$C$6^2)</f>
        <v>37.911080174534725</v>
      </c>
      <c r="I179" s="9">
        <f t="shared" si="40"/>
        <v>5.4020732483141956</v>
      </c>
      <c r="J179" s="9">
        <f>DEGREES((2*PI()/Inputs!$C$13)*Inputs!$C$15*SIN(RADIANS(I179)))</f>
        <v>33.891961563301649</v>
      </c>
      <c r="K179" s="9">
        <f t="shared" si="41"/>
        <v>0.97789576317346538</v>
      </c>
      <c r="L179" s="9">
        <f t="shared" si="42"/>
        <v>-9.7074354896927853E-2</v>
      </c>
      <c r="M179" s="9">
        <f>2*(Inputs!$C$9/(Inputs!$C$10^2))*A179</f>
        <v>6.3333333333333339E-2</v>
      </c>
      <c r="N179" s="9">
        <f>M179*Inputs!$C$11</f>
        <v>0.25333333333333335</v>
      </c>
      <c r="O179" s="9">
        <f>1000*(D180-D178)/(A180-A178)*Inputs!$C$11</f>
        <v>607.58157313557604</v>
      </c>
      <c r="P179" s="9">
        <f>-2*O179/Inputs!$C$13</f>
        <v>-243.03262925423041</v>
      </c>
      <c r="Q179" s="9">
        <f>-2*O179/Inputs!$C$14</f>
        <v>-36.491385773908476</v>
      </c>
      <c r="R179" s="9">
        <f>F179-Inputs!$C$16/2</f>
        <v>1247.0976764465599</v>
      </c>
      <c r="S179" s="9">
        <f>F179+Inputs!$C$16/2</f>
        <v>1277.0976764465599</v>
      </c>
      <c r="T179" s="9">
        <f>F179-Inputs!$C$17/2</f>
        <v>1112.0976764465599</v>
      </c>
      <c r="U179" s="9">
        <f>F179+Inputs!$C$17/2</f>
        <v>1412.0976764465599</v>
      </c>
      <c r="V179" s="9">
        <f t="shared" si="43"/>
        <v>243.03262925423041</v>
      </c>
      <c r="W179" s="9">
        <f t="shared" si="44"/>
        <v>36.491385773908476</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53.727058514925652</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310.46598665119308</v>
      </c>
      <c r="Z179" s="9">
        <f t="shared" si="45"/>
        <v>400.84877294148504</v>
      </c>
      <c r="AA179" s="9">
        <f>SQRT((Inputs!$C$52+B179)^2+(Inputs!$C$52+Y179/1000)^2-2*(Inputs!$C$52+B179)*(Inputs!$C$52+Y179/1000)*COS(SQRT(A179^2+Inputs!$C$6^2)/Inputs!$C$52))</f>
        <v>402.84074523257868</v>
      </c>
      <c r="AB179" s="9">
        <f t="shared" si="46"/>
        <v>1991.9722910936457</v>
      </c>
      <c r="AC179" s="9">
        <f>AB179/Inputs!$C$12</f>
        <v>1119.085556794183</v>
      </c>
      <c r="AD179" s="9">
        <f>2*AB179/Inputs!$C$21*1000000</f>
        <v>13.289008698768839</v>
      </c>
      <c r="AE179" s="9">
        <f t="shared" si="47"/>
        <v>5.4062351554145698</v>
      </c>
      <c r="AF179" s="9">
        <f>DEGREES((2*PI()/Inputs!$C$13)*Inputs!$C$15*SIN(RADIANS(AE179)))</f>
        <v>33.917995363567009</v>
      </c>
      <c r="AG179" s="9">
        <f t="shared" si="48"/>
        <v>0.98036697068391798</v>
      </c>
      <c r="AH179" s="9">
        <f t="shared" si="49"/>
        <v>-8.6113288880854566E-2</v>
      </c>
      <c r="AI179" s="9">
        <f t="shared" si="50"/>
        <v>-143.0121196523769</v>
      </c>
      <c r="AJ179" s="9">
        <f t="shared" si="51"/>
        <v>-1.6982520152740541</v>
      </c>
      <c r="AK179" s="9">
        <f t="shared" si="52"/>
        <v>256.73892813626742</v>
      </c>
      <c r="AL179" s="9">
        <f>1000*(AA180-AA178)/(A180-A178)*Inputs!$C$11</f>
        <v>719.9246311886327</v>
      </c>
      <c r="AM179" s="9">
        <f>-2*AL179/Inputs!$C$13</f>
        <v>-287.96985247545308</v>
      </c>
      <c r="AN179" s="9">
        <f>-2*AL179/Inputs!$C$14</f>
        <v>-43.23871658790587</v>
      </c>
      <c r="AO179" s="9">
        <f t="shared" si="53"/>
        <v>287.96985247545308</v>
      </c>
      <c r="AP179" s="9">
        <f t="shared" si="54"/>
        <v>43.23871658790587</v>
      </c>
      <c r="AQ179" s="9">
        <f>IF(OR(Inputs!$C$27=TRUE,Inputs!$C$27="TRUE",Inputs!$C$27=1),Inputs!$C$46/Inputs!$C$12,0)</f>
        <v>42.134831460674157</v>
      </c>
      <c r="AR179" s="9">
        <f t="shared" si="55"/>
        <v>1076.9507253335089</v>
      </c>
      <c r="AS179" s="9">
        <f t="shared" si="56"/>
        <v>1161.2203882548572</v>
      </c>
    </row>
    <row r="180" spans="1:45">
      <c r="A180" s="9">
        <f>Inputs!$C$7+178*(Inputs!$C$8-Inputs!$C$7)/240</f>
        <v>29</v>
      </c>
      <c r="B180" s="9">
        <f>Inputs!$C$5+Inputs!$C$9*(A180/Inputs!$C$10)^2</f>
        <v>400.93444444444447</v>
      </c>
      <c r="C180" s="9">
        <f t="shared" si="38"/>
        <v>400.93444444444447</v>
      </c>
      <c r="D180" s="9">
        <f>SQRT((Inputs!$C$52+B180)^2+Inputs!$C$52^2-2*(Inputs!$C$52+B180)*Inputs!$C$52*COS(SQRT(A180^2+Inputs!$C$6^2)/Inputs!$C$52))</f>
        <v>403.22564253268041</v>
      </c>
      <c r="E180" s="9">
        <f t="shared" si="39"/>
        <v>2291.1980882359444</v>
      </c>
      <c r="F180" s="9">
        <f>E180/Inputs!$C$12</f>
        <v>1287.1899372112048</v>
      </c>
      <c r="G180" s="9">
        <f>2*E180/Inputs!$C$21*1000000</f>
        <v>15.285228344443171</v>
      </c>
      <c r="H180" s="9">
        <f>SQRT(A180^2+Inputs!$C$6^2)</f>
        <v>38.288379438153292</v>
      </c>
      <c r="I180" s="9">
        <f t="shared" si="40"/>
        <v>5.4550810258419062</v>
      </c>
      <c r="J180" s="9">
        <f>DEGREES((2*PI()/Inputs!$C$13)*Inputs!$C$15*SIN(RADIANS(I180)))</f>
        <v>34.223525444306702</v>
      </c>
      <c r="K180" s="9">
        <f t="shared" si="41"/>
        <v>0.97746429550275815</v>
      </c>
      <c r="L180" s="9">
        <f t="shared" si="42"/>
        <v>-9.8990974096728052E-2</v>
      </c>
      <c r="M180" s="9">
        <f>2*(Inputs!$C$9/(Inputs!$C$10^2))*A180</f>
        <v>6.4444444444444443E-2</v>
      </c>
      <c r="N180" s="9">
        <f>M180*Inputs!$C$11</f>
        <v>0.25777777777777777</v>
      </c>
      <c r="O180" s="9">
        <f>1000*(D181-D179)/(A181-A179)*Inputs!$C$11</f>
        <v>618.15492536243255</v>
      </c>
      <c r="P180" s="9">
        <f>-2*O180/Inputs!$C$13</f>
        <v>-247.26197014497302</v>
      </c>
      <c r="Q180" s="9">
        <f>-2*O180/Inputs!$C$14</f>
        <v>-37.126421943689643</v>
      </c>
      <c r="R180" s="9">
        <f>F180-Inputs!$C$16/2</f>
        <v>1272.1899372112048</v>
      </c>
      <c r="S180" s="9">
        <f>F180+Inputs!$C$16/2</f>
        <v>1302.1899372112048</v>
      </c>
      <c r="T180" s="9">
        <f>F180-Inputs!$C$17/2</f>
        <v>1137.1899372112048</v>
      </c>
      <c r="U180" s="9">
        <f>F180+Inputs!$C$17/2</f>
        <v>1437.1899372112048</v>
      </c>
      <c r="V180" s="9">
        <f t="shared" si="43"/>
        <v>247.26197014497302</v>
      </c>
      <c r="W180" s="9">
        <f t="shared" si="44"/>
        <v>37.126421943689643</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29.3621575955436</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283.98171018669603</v>
      </c>
      <c r="Z180" s="9">
        <f t="shared" si="45"/>
        <v>400.90508228684894</v>
      </c>
      <c r="AA180" s="9">
        <f>SQRT((Inputs!$C$52+B180)^2+(Inputs!$C$52+Y180/1000)^2-2*(Inputs!$C$52+B180)*(Inputs!$C$52+Y180/1000)*COS(SQRT(A180^2+Inputs!$C$6^2)/Inputs!$C$52))</f>
        <v>402.94369157147901</v>
      </c>
      <c r="AB180" s="9">
        <f t="shared" si="46"/>
        <v>2038.6092846300699</v>
      </c>
      <c r="AC180" s="9">
        <f>AB180/Inputs!$C$12</f>
        <v>1145.2861149607133</v>
      </c>
      <c r="AD180" s="9">
        <f>2*AB180/Inputs!$C$21*1000000</f>
        <v>13.600137229803625</v>
      </c>
      <c r="AE180" s="9">
        <f t="shared" si="47"/>
        <v>5.4589242475900912</v>
      </c>
      <c r="AF180" s="9">
        <f>DEGREES((2*PI()/Inputs!$C$13)*Inputs!$C$15*SIN(RADIANS(AE180)))</f>
        <v>34.247563677721466</v>
      </c>
      <c r="AG180" s="9">
        <f t="shared" si="48"/>
        <v>0.97991589826109615</v>
      </c>
      <c r="AH180" s="9">
        <f t="shared" si="49"/>
        <v>-8.8111962345089834E-2</v>
      </c>
      <c r="AI180" s="9">
        <f t="shared" si="50"/>
        <v>-141.90382225049143</v>
      </c>
      <c r="AJ180" s="9">
        <f t="shared" si="51"/>
        <v>-1.6850911146395458</v>
      </c>
      <c r="AK180" s="9">
        <f t="shared" si="52"/>
        <v>254.61955259115243</v>
      </c>
      <c r="AL180" s="9">
        <f>1000*(AA181-AA179)/(A181-A179)*Inputs!$C$11</f>
        <v>804.89646007004012</v>
      </c>
      <c r="AM180" s="9">
        <f>-2*AL180/Inputs!$C$13</f>
        <v>-321.95858402801605</v>
      </c>
      <c r="AN180" s="9">
        <f>-2*AL180/Inputs!$C$14</f>
        <v>-48.342129733936346</v>
      </c>
      <c r="AO180" s="9">
        <f t="shared" si="53"/>
        <v>321.95858402801605</v>
      </c>
      <c r="AP180" s="9">
        <f t="shared" si="54"/>
        <v>48.342129733936346</v>
      </c>
      <c r="AQ180" s="9">
        <f>IF(OR(Inputs!$C$27=TRUE,Inputs!$C$27="TRUE",Inputs!$C$27=1),Inputs!$C$46/Inputs!$C$12,0)</f>
        <v>42.134831460674157</v>
      </c>
      <c r="AR180" s="9">
        <f t="shared" si="55"/>
        <v>1103.1512835000392</v>
      </c>
      <c r="AS180" s="9">
        <f t="shared" si="56"/>
        <v>1187.4209464213875</v>
      </c>
    </row>
    <row r="181" spans="1:45">
      <c r="A181" s="9">
        <f>Inputs!$C$7+179*(Inputs!$C$8-Inputs!$C$7)/240</f>
        <v>29.5</v>
      </c>
      <c r="B181" s="9">
        <f>Inputs!$C$5+Inputs!$C$9*(A181/Inputs!$C$10)^2</f>
        <v>400.96694444444444</v>
      </c>
      <c r="C181" s="9">
        <f t="shared" si="38"/>
        <v>400.96694444444444</v>
      </c>
      <c r="D181" s="9">
        <f>SQRT((Inputs!$C$52+B181)^2+Inputs!$C$52^2-2*(Inputs!$C$52+B181)*Inputs!$C$52*COS(SQRT(A181^2+Inputs!$C$6^2)/Inputs!$C$52))</f>
        <v>403.30357259541546</v>
      </c>
      <c r="E181" s="9">
        <f t="shared" si="39"/>
        <v>2336.6281509710234</v>
      </c>
      <c r="F181" s="9">
        <f>E181/Inputs!$C$12</f>
        <v>1312.7124443657435</v>
      </c>
      <c r="G181" s="9">
        <f>2*E181/Inputs!$C$21*1000000</f>
        <v>15.588305099863611</v>
      </c>
      <c r="H181" s="9">
        <f>SQRT(A181^2+Inputs!$C$6^2)</f>
        <v>38.668462601970617</v>
      </c>
      <c r="I181" s="9">
        <f t="shared" si="40"/>
        <v>5.5084575472448263</v>
      </c>
      <c r="J181" s="9">
        <f>DEGREES((2*PI()/Inputs!$C$13)*Inputs!$C$15*SIN(RADIANS(I181)))</f>
        <v>34.557366220189273</v>
      </c>
      <c r="K181" s="9">
        <f t="shared" si="41"/>
        <v>0.97702574464088932</v>
      </c>
      <c r="L181" s="9">
        <f t="shared" si="42"/>
        <v>-0.10093992465291421</v>
      </c>
      <c r="M181" s="9">
        <f>2*(Inputs!$C$9/(Inputs!$C$10^2))*A181</f>
        <v>6.5555555555555561E-2</v>
      </c>
      <c r="N181" s="9">
        <f>M181*Inputs!$C$11</f>
        <v>0.26222222222222225</v>
      </c>
      <c r="O181" s="9">
        <f>1000*(D182-D180)/(A182-A180)*Inputs!$C$11</f>
        <v>628.72384309639529</v>
      </c>
      <c r="P181" s="9">
        <f>-2*O181/Inputs!$C$13</f>
        <v>-251.48953723855811</v>
      </c>
      <c r="Q181" s="9">
        <f>-2*O181/Inputs!$C$14</f>
        <v>-37.76119177756128</v>
      </c>
      <c r="R181" s="9">
        <f>F181-Inputs!$C$16/2</f>
        <v>1297.7124443657435</v>
      </c>
      <c r="S181" s="9">
        <f>F181+Inputs!$C$16/2</f>
        <v>1327.7124443657435</v>
      </c>
      <c r="T181" s="9">
        <f>F181-Inputs!$C$17/2</f>
        <v>1162.7124443657435</v>
      </c>
      <c r="U181" s="9">
        <f>F181+Inputs!$C$17/2</f>
        <v>1462.7124443657435</v>
      </c>
      <c r="V181" s="9">
        <f t="shared" si="43"/>
        <v>251.48953723855811</v>
      </c>
      <c r="W181" s="9">
        <f t="shared" si="44"/>
        <v>37.76119177756128</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20.445829988997222</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263.5246591496981</v>
      </c>
      <c r="Z181" s="9">
        <f t="shared" si="45"/>
        <v>400.94649861445544</v>
      </c>
      <c r="AA181" s="9">
        <f>SQRT((Inputs!$C$52+B181)^2+(Inputs!$C$52+Y181/1000)^2-2*(Inputs!$C$52+B181)*(Inputs!$C$52+Y181/1000)*COS(SQRT(A181^2+Inputs!$C$6^2)/Inputs!$C$52))</f>
        <v>403.04196934759619</v>
      </c>
      <c r="AB181" s="9">
        <f t="shared" si="46"/>
        <v>2095.4707331407576</v>
      </c>
      <c r="AC181" s="9">
        <f>AB181/Inputs!$C$12</f>
        <v>1177.2307489554819</v>
      </c>
      <c r="AD181" s="9">
        <f>2*AB181/Inputs!$C$21*1000000</f>
        <v>13.979475982286104</v>
      </c>
      <c r="AE181" s="9">
        <f t="shared" si="47"/>
        <v>5.5120579090533761</v>
      </c>
      <c r="AF181" s="9">
        <f>DEGREES((2*PI()/Inputs!$C$13)*Inputs!$C$15*SIN(RADIANS(AE181)))</f>
        <v>34.579883426060356</v>
      </c>
      <c r="AG181" s="9">
        <f t="shared" si="48"/>
        <v>0.97936507362731073</v>
      </c>
      <c r="AH181" s="9">
        <f t="shared" si="49"/>
        <v>-9.0553879647244567E-2</v>
      </c>
      <c r="AI181" s="9">
        <f t="shared" si="50"/>
        <v>-135.48169541026164</v>
      </c>
      <c r="AJ181" s="9">
        <f t="shared" si="51"/>
        <v>-1.6088291175775069</v>
      </c>
      <c r="AK181" s="9">
        <f t="shared" si="52"/>
        <v>243.07882916070088</v>
      </c>
      <c r="AL181" s="9">
        <f>1000*(AA182-AA180)/(A182-A180)*Inputs!$C$11</f>
        <v>730.68676996126669</v>
      </c>
      <c r="AM181" s="9">
        <f>-2*AL181/Inputs!$C$13</f>
        <v>-292.27470798450668</v>
      </c>
      <c r="AN181" s="9">
        <f>-2*AL181/Inputs!$C$14</f>
        <v>-43.885091288964972</v>
      </c>
      <c r="AO181" s="9">
        <f t="shared" si="53"/>
        <v>292.27470798450668</v>
      </c>
      <c r="AP181" s="9">
        <f t="shared" si="54"/>
        <v>43.885091288964972</v>
      </c>
      <c r="AQ181" s="9">
        <f>IF(OR(Inputs!$C$27=TRUE,Inputs!$C$27="TRUE",Inputs!$C$27=1),Inputs!$C$46/Inputs!$C$12,0)</f>
        <v>42.134831460674157</v>
      </c>
      <c r="AR181" s="9">
        <f t="shared" si="55"/>
        <v>1135.0959174948077</v>
      </c>
      <c r="AS181" s="9">
        <f t="shared" si="56"/>
        <v>1219.365580416156</v>
      </c>
    </row>
    <row r="182" spans="1:45">
      <c r="A182" s="9">
        <f>Inputs!$C$7+180*(Inputs!$C$8-Inputs!$C$7)/240</f>
        <v>30</v>
      </c>
      <c r="B182" s="9">
        <f>Inputs!$C$5+Inputs!$C$9*(A182/Inputs!$C$10)^2</f>
        <v>401</v>
      </c>
      <c r="C182" s="9">
        <f t="shared" si="38"/>
        <v>401</v>
      </c>
      <c r="D182" s="9">
        <f>SQRT((Inputs!$C$52+B182)^2+Inputs!$C$52^2-2*(Inputs!$C$52+B182)*Inputs!$C$52*COS(SQRT(A182^2+Inputs!$C$6^2)/Inputs!$C$52))</f>
        <v>403.38282349345451</v>
      </c>
      <c r="E182" s="9">
        <f t="shared" si="39"/>
        <v>2382.8234934545094</v>
      </c>
      <c r="F182" s="9">
        <f>E182/Inputs!$C$12</f>
        <v>1338.6648839632076</v>
      </c>
      <c r="G182" s="9">
        <f>2*E182/Inputs!$C$21*1000000</f>
        <v>15.896487252221066</v>
      </c>
      <c r="H182" s="9">
        <f>SQRT(A182^2+Inputs!$C$6^2)</f>
        <v>39.05124837953327</v>
      </c>
      <c r="I182" s="9">
        <f t="shared" si="40"/>
        <v>5.5621907006038249</v>
      </c>
      <c r="J182" s="9">
        <f>DEGREES((2*PI()/Inputs!$C$13)*Inputs!$C$15*SIN(RADIANS(I182)))</f>
        <v>34.893407239514069</v>
      </c>
      <c r="K182" s="9">
        <f t="shared" si="41"/>
        <v>0.97658013175787806</v>
      </c>
      <c r="L182" s="9">
        <f t="shared" si="42"/>
        <v>-0.10292115558440429</v>
      </c>
      <c r="M182" s="9">
        <f>2*(Inputs!$C$9/(Inputs!$C$10^2))*A182</f>
        <v>6.6666666666666666E-2</v>
      </c>
      <c r="N182" s="9">
        <f>M182*Inputs!$C$11</f>
        <v>0.26666666666666666</v>
      </c>
      <c r="O182" s="9">
        <f>1000*(D183-D181)/(A183-A181)*Inputs!$C$11</f>
        <v>639.28825426273761</v>
      </c>
      <c r="P182" s="9">
        <f>-2*O182/Inputs!$C$13</f>
        <v>-255.71530170509504</v>
      </c>
      <c r="Q182" s="9">
        <f>-2*O182/Inputs!$C$14</f>
        <v>-38.395690946710971</v>
      </c>
      <c r="R182" s="9">
        <f>F182-Inputs!$C$16/2</f>
        <v>1323.6648839632076</v>
      </c>
      <c r="S182" s="9">
        <f>F182+Inputs!$C$16/2</f>
        <v>1353.6648839632076</v>
      </c>
      <c r="T182" s="9">
        <f>F182-Inputs!$C$17/2</f>
        <v>1188.6648839632076</v>
      </c>
      <c r="U182" s="9">
        <f>F182+Inputs!$C$17/2</f>
        <v>1488.6648839632076</v>
      </c>
      <c r="V182" s="9">
        <f t="shared" si="43"/>
        <v>255.71530170509504</v>
      </c>
      <c r="W182" s="9">
        <f t="shared" si="44"/>
        <v>38.395690946710971</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11.879118514207924</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258.38103540276461</v>
      </c>
      <c r="Z182" s="9">
        <f t="shared" si="45"/>
        <v>400.98812088148577</v>
      </c>
      <c r="AA182" s="9">
        <f>SQRT((Inputs!$C$52+B182)^2+(Inputs!$C$52+Y182/1000)^2-2*(Inputs!$C$52+B182)*(Inputs!$C$52+Y182/1000)*COS(SQRT(A182^2+Inputs!$C$6^2)/Inputs!$C$52))</f>
        <v>403.12636326396932</v>
      </c>
      <c r="AB182" s="9">
        <f t="shared" si="46"/>
        <v>2138.2423824835541</v>
      </c>
      <c r="AC182" s="9">
        <f>AB182/Inputs!$C$12</f>
        <v>1201.2597654401989</v>
      </c>
      <c r="AD182" s="9">
        <f>2*AB182/Inputs!$C$21*1000000</f>
        <v>14.264817712549354</v>
      </c>
      <c r="AE182" s="9">
        <f t="shared" si="47"/>
        <v>5.5657544519514408</v>
      </c>
      <c r="AF182" s="9">
        <f>DEGREES((2*PI()/Inputs!$C$13)*Inputs!$C$15*SIN(RADIANS(AE182)))</f>
        <v>34.915693452486558</v>
      </c>
      <c r="AG182" s="9">
        <f t="shared" si="48"/>
        <v>0.97895161102468709</v>
      </c>
      <c r="AH182" s="9">
        <f t="shared" si="49"/>
        <v>-9.2387745751417005E-2</v>
      </c>
      <c r="AI182" s="9">
        <f t="shared" si="50"/>
        <v>-137.4051185230087</v>
      </c>
      <c r="AJ182" s="9">
        <f t="shared" si="51"/>
        <v>-1.6316695396717122</v>
      </c>
      <c r="AK182" s="9">
        <f t="shared" si="52"/>
        <v>246.50191688855668</v>
      </c>
      <c r="AL182" s="9">
        <f>1000*(AA183-AA181)/(A183-A181)*Inputs!$C$11</f>
        <v>733.03198584517304</v>
      </c>
      <c r="AM182" s="9">
        <f>-2*AL182/Inputs!$C$13</f>
        <v>-293.21279433806922</v>
      </c>
      <c r="AN182" s="9">
        <f>-2*AL182/Inputs!$C$14</f>
        <v>-44.025945095806193</v>
      </c>
      <c r="AO182" s="9">
        <f t="shared" si="53"/>
        <v>293.21279433806922</v>
      </c>
      <c r="AP182" s="9">
        <f t="shared" si="54"/>
        <v>44.025945095806193</v>
      </c>
      <c r="AQ182" s="9">
        <f>IF(OR(Inputs!$C$27=TRUE,Inputs!$C$27="TRUE",Inputs!$C$27=1),Inputs!$C$46/Inputs!$C$12,0)</f>
        <v>42.134831460674157</v>
      </c>
      <c r="AR182" s="9">
        <f t="shared" si="55"/>
        <v>1159.1249339795247</v>
      </c>
      <c r="AS182" s="9">
        <f t="shared" si="56"/>
        <v>1243.394596900873</v>
      </c>
    </row>
    <row r="183" spans="1:45">
      <c r="A183" s="9">
        <f>Inputs!$C$7+181*(Inputs!$C$8-Inputs!$C$7)/240</f>
        <v>30.5</v>
      </c>
      <c r="B183" s="9">
        <f>Inputs!$C$5+Inputs!$C$9*(A183/Inputs!$C$10)^2</f>
        <v>401.0336111111111</v>
      </c>
      <c r="C183" s="9">
        <f t="shared" si="38"/>
        <v>401.0336111111111</v>
      </c>
      <c r="D183" s="9">
        <f>SQRT((Inputs!$C$52+B183)^2+Inputs!$C$52^2-2*(Inputs!$C$52+B183)*Inputs!$C$52*COS(SQRT(A183^2+Inputs!$C$6^2)/Inputs!$C$52))</f>
        <v>403.46339465898114</v>
      </c>
      <c r="E183" s="9">
        <f t="shared" si="39"/>
        <v>2429.7835478700449</v>
      </c>
      <c r="F183" s="9">
        <f>E183/Inputs!$C$12</f>
        <v>1365.0469370056433</v>
      </c>
      <c r="G183" s="9">
        <f>2*E183/Inputs!$C$21*1000000</f>
        <v>16.209771013452546</v>
      </c>
      <c r="H183" s="9">
        <f>SQRT(A183^2+Inputs!$C$6^2)</f>
        <v>39.436658073421995</v>
      </c>
      <c r="I183" s="9">
        <f t="shared" si="40"/>
        <v>5.6162687447103439</v>
      </c>
      <c r="J183" s="9">
        <f>DEGREES((2*PI()/Inputs!$C$13)*Inputs!$C$15*SIN(RADIANS(I183)))</f>
        <v>35.231574180540157</v>
      </c>
      <c r="K183" s="9">
        <f t="shared" si="41"/>
        <v>0.9761274783366205</v>
      </c>
      <c r="L183" s="9">
        <f t="shared" si="42"/>
        <v>-0.10493461510667687</v>
      </c>
      <c r="M183" s="9">
        <f>2*(Inputs!$C$9/(Inputs!$C$10^2))*A183</f>
        <v>6.7777777777777784E-2</v>
      </c>
      <c r="N183" s="9">
        <f>M183*Inputs!$C$11</f>
        <v>0.27111111111111114</v>
      </c>
      <c r="O183" s="9">
        <f>1000*(D184-D182)/(A184-A182)*Inputs!$C$11</f>
        <v>649.84808697204244</v>
      </c>
      <c r="P183" s="9">
        <f>-2*O183/Inputs!$C$13</f>
        <v>-259.93923478881698</v>
      </c>
      <c r="Q183" s="9">
        <f>-2*O183/Inputs!$C$14</f>
        <v>-39.029915133456008</v>
      </c>
      <c r="R183" s="9">
        <f>F183-Inputs!$C$16/2</f>
        <v>1350.0469370056433</v>
      </c>
      <c r="S183" s="9">
        <f>F183+Inputs!$C$16/2</f>
        <v>1380.0469370056433</v>
      </c>
      <c r="T183" s="9">
        <f>F183-Inputs!$C$17/2</f>
        <v>1215.0469370056433</v>
      </c>
      <c r="U183" s="9">
        <f>F183+Inputs!$C$17/2</f>
        <v>1515.0469370056433</v>
      </c>
      <c r="V183" s="9">
        <f t="shared" si="43"/>
        <v>259.93923478881698</v>
      </c>
      <c r="W183" s="9">
        <f t="shared" si="44"/>
        <v>39.029915133456008</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4.284803604386866</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239.98613946244137</v>
      </c>
      <c r="Z183" s="9">
        <f t="shared" si="45"/>
        <v>401.02932630750672</v>
      </c>
      <c r="AA183" s="9">
        <f>SQRT((Inputs!$C$52+B183)^2+(Inputs!$C$52+Y183/1000)^2-2*(Inputs!$C$52+B183)*(Inputs!$C$52+Y183/1000)*COS(SQRT(A183^2+Inputs!$C$6^2)/Inputs!$C$52))</f>
        <v>403.22522734405749</v>
      </c>
      <c r="AB183" s="9">
        <f t="shared" si="46"/>
        <v>2195.9010365507652</v>
      </c>
      <c r="AC183" s="9">
        <f>AB183/Inputs!$C$12</f>
        <v>1233.6522677251489</v>
      </c>
      <c r="AD183" s="9">
        <f>2*AB183/Inputs!$C$21*1000000</f>
        <v>14.649474848034805</v>
      </c>
      <c r="AE183" s="9">
        <f t="shared" si="47"/>
        <v>5.6196101200168211</v>
      </c>
      <c r="AF183" s="9">
        <f>DEGREES((2*PI()/Inputs!$C$13)*Inputs!$C$15*SIN(RADIANS(AE183)))</f>
        <v>35.252467820034639</v>
      </c>
      <c r="AG183" s="9">
        <f t="shared" si="48"/>
        <v>0.97839392847438955</v>
      </c>
      <c r="AH183" s="9">
        <f t="shared" si="49"/>
        <v>-9.4862510231312314E-2</v>
      </c>
      <c r="AI183" s="9">
        <f t="shared" si="50"/>
        <v>-131.39466928049433</v>
      </c>
      <c r="AJ183" s="9">
        <f t="shared" si="51"/>
        <v>-1.560296165417741</v>
      </c>
      <c r="AK183" s="9">
        <f t="shared" si="52"/>
        <v>235.70133585805451</v>
      </c>
      <c r="AL183" s="9">
        <f>1000*(AA184-AA182)/(A184-A182)*Inputs!$C$11</f>
        <v>724.77127682645914</v>
      </c>
      <c r="AM183" s="9">
        <f>-2*AL183/Inputs!$C$13</f>
        <v>-289.90851073058366</v>
      </c>
      <c r="AN183" s="9">
        <f>-2*AL183/Inputs!$C$14</f>
        <v>-43.529806416003559</v>
      </c>
      <c r="AO183" s="9">
        <f t="shared" si="53"/>
        <v>289.90851073058366</v>
      </c>
      <c r="AP183" s="9">
        <f t="shared" si="54"/>
        <v>43.529806416003559</v>
      </c>
      <c r="AQ183" s="9">
        <f>IF(OR(Inputs!$C$27=TRUE,Inputs!$C$27="TRUE",Inputs!$C$27=1),Inputs!$C$46/Inputs!$C$12,0)</f>
        <v>42.134831460674157</v>
      </c>
      <c r="AR183" s="9">
        <f t="shared" si="55"/>
        <v>1191.5174362644748</v>
      </c>
      <c r="AS183" s="9">
        <f t="shared" si="56"/>
        <v>1275.7870991858231</v>
      </c>
    </row>
    <row r="184" spans="1:45">
      <c r="A184" s="9">
        <f>Inputs!$C$7+182*(Inputs!$C$8-Inputs!$C$7)/240</f>
        <v>31</v>
      </c>
      <c r="B184" s="9">
        <f>Inputs!$C$5+Inputs!$C$9*(A184/Inputs!$C$10)^2</f>
        <v>401.06777777777779</v>
      </c>
      <c r="C184" s="9">
        <f t="shared" si="38"/>
        <v>401.06777777777779</v>
      </c>
      <c r="D184" s="9">
        <f>SQRT((Inputs!$C$52+B184)^2+Inputs!$C$52^2-2*(Inputs!$C$52+B184)*Inputs!$C$52*COS(SQRT(A184^2+Inputs!$C$6^2)/Inputs!$C$52))</f>
        <v>403.54528551519752</v>
      </c>
      <c r="E184" s="9">
        <f t="shared" si="39"/>
        <v>2477.5077374197281</v>
      </c>
      <c r="F184" s="9">
        <f>E184/Inputs!$C$12</f>
        <v>1391.8582794492854</v>
      </c>
      <c r="G184" s="9">
        <f>2*E184/Inputs!$C$21*1000000</f>
        <v>16.528152535576648</v>
      </c>
      <c r="H184" s="9">
        <f>SQRT(A184^2+Inputs!$C$6^2)</f>
        <v>39.824615503479755</v>
      </c>
      <c r="I184" s="9">
        <f t="shared" si="40"/>
        <v>5.6706802988679366</v>
      </c>
      <c r="J184" s="9">
        <f>DEGREES((2*PI()/Inputs!$C$13)*Inputs!$C$15*SIN(RADIANS(I184)))</f>
        <v>35.571794987296549</v>
      </c>
      <c r="K184" s="9">
        <f t="shared" si="41"/>
        <v>0.97566780617069948</v>
      </c>
      <c r="L184" s="9">
        <f t="shared" si="42"/>
        <v>-0.10698025063433281</v>
      </c>
      <c r="M184" s="9">
        <f>2*(Inputs!$C$9/(Inputs!$C$10^2))*A184</f>
        <v>6.8888888888888888E-2</v>
      </c>
      <c r="N184" s="9">
        <f>M184*Inputs!$C$11</f>
        <v>0.27555555555555555</v>
      </c>
      <c r="O184" s="9">
        <f>1000*(D185-D183)/(A185-A183)*Inputs!$C$11</f>
        <v>660.40326954157536</v>
      </c>
      <c r="P184" s="9">
        <f>-2*O184/Inputs!$C$13</f>
        <v>-264.16130781663014</v>
      </c>
      <c r="Q184" s="9">
        <f>-2*O184/Inputs!$C$14</f>
        <v>-39.663860032527054</v>
      </c>
      <c r="R184" s="9">
        <f>F184-Inputs!$C$16/2</f>
        <v>1376.8582794492854</v>
      </c>
      <c r="S184" s="9">
        <f>F184+Inputs!$C$16/2</f>
        <v>1406.8582794492854</v>
      </c>
      <c r="T184" s="9">
        <f>F184-Inputs!$C$17/2</f>
        <v>1241.8582794492854</v>
      </c>
      <c r="U184" s="9">
        <f>F184+Inputs!$C$17/2</f>
        <v>1541.8582794492854</v>
      </c>
      <c r="V184" s="9">
        <f t="shared" si="43"/>
        <v>264.16130781663014</v>
      </c>
      <c r="W184" s="9">
        <f t="shared" si="44"/>
        <v>39.663860032527054</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18.692329061381155</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239.58052306016251</v>
      </c>
      <c r="Z184" s="9">
        <f t="shared" si="45"/>
        <v>401.04908544871643</v>
      </c>
      <c r="AA184" s="9">
        <f>SQRT((Inputs!$C$52+B184)^2+(Inputs!$C$52+Y184/1000)^2-2*(Inputs!$C$52+B184)*(Inputs!$C$52+Y184/1000)*COS(SQRT(A184^2+Inputs!$C$6^2)/Inputs!$C$52))</f>
        <v>403.30755608317594</v>
      </c>
      <c r="AB184" s="9">
        <f t="shared" si="46"/>
        <v>2258.4706344595133</v>
      </c>
      <c r="AC184" s="9">
        <f>AB184/Inputs!$C$12</f>
        <v>1268.8037272244458</v>
      </c>
      <c r="AD184" s="9">
        <f>2*AB184/Inputs!$C$21*1000000</f>
        <v>15.06689427430168</v>
      </c>
      <c r="AE184" s="9">
        <f t="shared" si="47"/>
        <v>5.6740476319785937</v>
      </c>
      <c r="AF184" s="9">
        <f>DEGREES((2*PI()/Inputs!$C$13)*Inputs!$C$15*SIN(RADIANS(AE184)))</f>
        <v>35.592848964178017</v>
      </c>
      <c r="AG184" s="9">
        <f t="shared" si="48"/>
        <v>0.9777879625144863</v>
      </c>
      <c r="AH184" s="9">
        <f t="shared" si="49"/>
        <v>-9.7553136110603872E-2</v>
      </c>
      <c r="AI184" s="9">
        <f t="shared" si="50"/>
        <v>-123.05455222483965</v>
      </c>
      <c r="AJ184" s="9">
        <f t="shared" si="51"/>
        <v>-1.4612582612749687</v>
      </c>
      <c r="AK184" s="9">
        <f t="shared" si="52"/>
        <v>220.88819399878136</v>
      </c>
      <c r="AL184" s="9">
        <f>1000*(AA185-AA183)/(A185-A183)*Inputs!$C$11</f>
        <v>753.64857969543664</v>
      </c>
      <c r="AM184" s="9">
        <f>-2*AL184/Inputs!$C$13</f>
        <v>-301.45943187817466</v>
      </c>
      <c r="AN184" s="9">
        <f>-2*AL184/Inputs!$C$14</f>
        <v>-45.264178960686891</v>
      </c>
      <c r="AO184" s="9">
        <f t="shared" si="53"/>
        <v>301.45943187817466</v>
      </c>
      <c r="AP184" s="9">
        <f t="shared" si="54"/>
        <v>45.264178960686891</v>
      </c>
      <c r="AQ184" s="9">
        <f>IF(OR(Inputs!$C$27=TRUE,Inputs!$C$27="TRUE",Inputs!$C$27=1),Inputs!$C$46/Inputs!$C$12,0)</f>
        <v>42.134831460674157</v>
      </c>
      <c r="AR184" s="9">
        <f t="shared" si="55"/>
        <v>1226.6688957637716</v>
      </c>
      <c r="AS184" s="9">
        <f t="shared" si="56"/>
        <v>1310.9385586851199</v>
      </c>
    </row>
    <row r="185" spans="1:45">
      <c r="A185" s="9">
        <f>Inputs!$C$7+183*(Inputs!$C$8-Inputs!$C$7)/240</f>
        <v>31.5</v>
      </c>
      <c r="B185" s="9">
        <f>Inputs!$C$5+Inputs!$C$9*(A185/Inputs!$C$10)^2</f>
        <v>401.10250000000002</v>
      </c>
      <c r="C185" s="9">
        <f t="shared" si="38"/>
        <v>401.10250000000002</v>
      </c>
      <c r="D185" s="9">
        <f>SQRT((Inputs!$C$52+B185)^2+Inputs!$C$52^2-2*(Inputs!$C$52+B185)*Inputs!$C$52*COS(SQRT(A185^2+Inputs!$C$6^2)/Inputs!$C$52))</f>
        <v>403.62849547636654</v>
      </c>
      <c r="E185" s="9">
        <f t="shared" si="39"/>
        <v>2525.9954763665178</v>
      </c>
      <c r="F185" s="9">
        <f>E185/Inputs!$C$12</f>
        <v>1419.0985822283808</v>
      </c>
      <c r="G185" s="9">
        <f>2*E185/Inputs!$C$21*1000000</f>
        <v>16.85162791097645</v>
      </c>
      <c r="H185" s="9">
        <f>SQRT(A185^2+Inputs!$C$6^2)</f>
        <v>40.215046935195787</v>
      </c>
      <c r="I185" s="9">
        <f t="shared" si="40"/>
        <v>5.7254143327118072</v>
      </c>
      <c r="J185" s="9">
        <f>DEGREES((2*PI()/Inputs!$C$13)*Inputs!$C$15*SIN(RADIANS(I185)))</f>
        <v>35.913999805764909</v>
      </c>
      <c r="K185" s="9">
        <f t="shared" si="41"/>
        <v>0.97520113736185254</v>
      </c>
      <c r="L185" s="9">
        <f t="shared" si="42"/>
        <v>-0.10905800878509146</v>
      </c>
      <c r="M185" s="9">
        <f>2*(Inputs!$C$9/(Inputs!$C$10^2))*A185</f>
        <v>7.0000000000000007E-2</v>
      </c>
      <c r="N185" s="9">
        <f>M185*Inputs!$C$11</f>
        <v>0.28000000000000003</v>
      </c>
      <c r="O185" s="9">
        <f>1000*(D186-D184)/(A186-A184)*Inputs!$C$11</f>
        <v>670.95373055508389</v>
      </c>
      <c r="P185" s="9">
        <f>-2*O185/Inputs!$C$13</f>
        <v>-268.38149222203356</v>
      </c>
      <c r="Q185" s="9">
        <f>-2*O185/Inputs!$C$14</f>
        <v>-40.297521354659693</v>
      </c>
      <c r="R185" s="9">
        <f>F185-Inputs!$C$16/2</f>
        <v>1404.0985822283808</v>
      </c>
      <c r="S185" s="9">
        <f>F185+Inputs!$C$16/2</f>
        <v>1434.0985822283808</v>
      </c>
      <c r="T185" s="9">
        <f>F185-Inputs!$C$17/2</f>
        <v>1269.0985822283808</v>
      </c>
      <c r="U185" s="9">
        <f>F185+Inputs!$C$17/2</f>
        <v>1569.0985822283808</v>
      </c>
      <c r="V185" s="9">
        <f t="shared" si="43"/>
        <v>268.38149222203356</v>
      </c>
      <c r="W185" s="9">
        <f t="shared" si="44"/>
        <v>40.297521354659693</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18.579807279110426</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216.56157473379682</v>
      </c>
      <c r="Z185" s="9">
        <f t="shared" si="45"/>
        <v>401.08392019272088</v>
      </c>
      <c r="AA185" s="9">
        <f>SQRT((Inputs!$C$52+B185)^2+(Inputs!$C$52+Y185/1000)^2-2*(Inputs!$C$52+B185)*(Inputs!$C$52+Y185/1000)*COS(SQRT(A185^2+Inputs!$C$6^2)/Inputs!$C$52))</f>
        <v>403.41363948898135</v>
      </c>
      <c r="AB185" s="9">
        <f t="shared" si="46"/>
        <v>2329.719296260464</v>
      </c>
      <c r="AC185" s="9">
        <f>AB185/Inputs!$C$12</f>
        <v>1308.8310653148674</v>
      </c>
      <c r="AD185" s="9">
        <f>2*AB185/Inputs!$C$21*1000000</f>
        <v>15.542214182455945</v>
      </c>
      <c r="AE185" s="9">
        <f t="shared" si="47"/>
        <v>5.7284866793544591</v>
      </c>
      <c r="AF185" s="9">
        <f>DEGREES((2*PI()/Inputs!$C$13)*Inputs!$C$15*SIN(RADIANS(AE185)))</f>
        <v>35.933207577193251</v>
      </c>
      <c r="AG185" s="9">
        <f t="shared" si="48"/>
        <v>0.97709928059268736</v>
      </c>
      <c r="AH185" s="9">
        <f t="shared" si="49"/>
        <v>-0.10061306472645018</v>
      </c>
      <c r="AI185" s="9">
        <f t="shared" si="50"/>
        <v>-110.26751691351342</v>
      </c>
      <c r="AJ185" s="9">
        <f t="shared" si="51"/>
        <v>-1.3094137285205054</v>
      </c>
      <c r="AK185" s="9">
        <f t="shared" si="52"/>
        <v>197.98176745468641</v>
      </c>
      <c r="AL185" s="9">
        <f>1000*(AA186-AA184)/(A186-A184)*Inputs!$C$11</f>
        <v>739.26356328183829</v>
      </c>
      <c r="AM185" s="9">
        <f>-2*AL185/Inputs!$C$13</f>
        <v>-295.70542531273531</v>
      </c>
      <c r="AN185" s="9">
        <f>-2*AL185/Inputs!$C$14</f>
        <v>-44.400214010921225</v>
      </c>
      <c r="AO185" s="9">
        <f t="shared" si="53"/>
        <v>295.70542531273531</v>
      </c>
      <c r="AP185" s="9">
        <f t="shared" si="54"/>
        <v>44.400214010921225</v>
      </c>
      <c r="AQ185" s="9">
        <f>IF(OR(Inputs!$C$27=TRUE,Inputs!$C$27="TRUE",Inputs!$C$27=1),Inputs!$C$46/Inputs!$C$12,0)</f>
        <v>42.134831460674157</v>
      </c>
      <c r="AR185" s="9">
        <f t="shared" si="55"/>
        <v>1266.6962338541932</v>
      </c>
      <c r="AS185" s="9">
        <f t="shared" si="56"/>
        <v>1350.9658967755415</v>
      </c>
    </row>
    <row r="186" spans="1:45">
      <c r="A186" s="9">
        <f>Inputs!$C$7+184*(Inputs!$C$8-Inputs!$C$7)/240</f>
        <v>32</v>
      </c>
      <c r="B186" s="9">
        <f>Inputs!$C$5+Inputs!$C$9*(A186/Inputs!$C$10)^2</f>
        <v>401.13777777777779</v>
      </c>
      <c r="C186" s="9">
        <f t="shared" si="38"/>
        <v>401.13777777777779</v>
      </c>
      <c r="D186" s="9">
        <f>SQRT((Inputs!$C$52+B186)^2+Inputs!$C$52^2-2*(Inputs!$C$52+B186)*Inputs!$C$52*COS(SQRT(A186^2+Inputs!$C$6^2)/Inputs!$C$52))</f>
        <v>403.71302394783629</v>
      </c>
      <c r="E186" s="9">
        <f t="shared" si="39"/>
        <v>2575.2461700585059</v>
      </c>
      <c r="F186" s="9">
        <f>E186/Inputs!$C$12</f>
        <v>1446.7675112688235</v>
      </c>
      <c r="G186" s="9">
        <f>2*E186/Inputs!$C$21*1000000</f>
        <v>17.180193172561438</v>
      </c>
      <c r="H186" s="9">
        <f>SQRT(A186^2+Inputs!$C$6^2)</f>
        <v>40.607881008493905</v>
      </c>
      <c r="I186" s="9">
        <f t="shared" si="40"/>
        <v>5.7804601560821682</v>
      </c>
      <c r="J186" s="9">
        <f>DEGREES((2*PI()/Inputs!$C$13)*Inputs!$C$15*SIN(RADIANS(I186)))</f>
        <v>36.258120920394553</v>
      </c>
      <c r="K186" s="9">
        <f t="shared" si="41"/>
        <v>0.9747274943175861</v>
      </c>
      <c r="L186" s="9">
        <f t="shared" si="42"/>
        <v>-0.11116783538305441</v>
      </c>
      <c r="M186" s="9">
        <f>2*(Inputs!$C$9/(Inputs!$C$10^2))*A186</f>
        <v>7.1111111111111111E-2</v>
      </c>
      <c r="N186" s="9">
        <f>M186*Inputs!$C$11</f>
        <v>0.28444444444444444</v>
      </c>
      <c r="O186" s="9">
        <f>1000*(D187-D185)/(A187-A185)*Inputs!$C$11</f>
        <v>681.49939879981503</v>
      </c>
      <c r="P186" s="9">
        <f>-2*O186/Inputs!$C$13</f>
        <v>-272.59975951992601</v>
      </c>
      <c r="Q186" s="9">
        <f>-2*O186/Inputs!$C$14</f>
        <v>-40.930894822811716</v>
      </c>
      <c r="R186" s="9">
        <f>F186-Inputs!$C$16/2</f>
        <v>1431.7675112688235</v>
      </c>
      <c r="S186" s="9">
        <f>F186+Inputs!$C$16/2</f>
        <v>1461.7675112688235</v>
      </c>
      <c r="T186" s="9">
        <f>F186-Inputs!$C$17/2</f>
        <v>1296.7675112688235</v>
      </c>
      <c r="U186" s="9">
        <f>F186+Inputs!$C$17/2</f>
        <v>1596.7675112688235</v>
      </c>
      <c r="V186" s="9">
        <f t="shared" si="43"/>
        <v>272.59975951992601</v>
      </c>
      <c r="W186" s="9">
        <f t="shared" si="44"/>
        <v>40.930894822811716</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-1.3588316603362678</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222.43770342187699</v>
      </c>
      <c r="Z186" s="9">
        <f t="shared" si="45"/>
        <v>401.13913660943814</v>
      </c>
      <c r="AA186" s="9">
        <f>SQRT((Inputs!$C$52+B186)^2+(Inputs!$C$52+Y186/1000)^2-2*(Inputs!$C$52+B186)*(Inputs!$C$52+Y186/1000)*COS(SQRT(A186^2+Inputs!$C$6^2)/Inputs!$C$52))</f>
        <v>403.4923719739964</v>
      </c>
      <c r="AB186" s="9">
        <f t="shared" si="46"/>
        <v>2353.2353645582589</v>
      </c>
      <c r="AC186" s="9">
        <f>AB186/Inputs!$C$12</f>
        <v>1322.0423396394713</v>
      </c>
      <c r="AD186" s="9">
        <f>2*AB186/Inputs!$C$21*1000000</f>
        <v>15.699096503343382</v>
      </c>
      <c r="AE186" s="9">
        <f t="shared" si="47"/>
        <v>5.78364556166831</v>
      </c>
      <c r="AF186" s="9">
        <f>DEGREES((2*PI()/Inputs!$C$13)*Inputs!$C$15*SIN(RADIANS(AE186)))</f>
        <v>36.278033586520728</v>
      </c>
      <c r="AG186" s="9">
        <f t="shared" si="48"/>
        <v>0.97687462012454174</v>
      </c>
      <c r="AH186" s="9">
        <f t="shared" si="49"/>
        <v>-0.10161173520010972</v>
      </c>
      <c r="AI186" s="9">
        <f t="shared" si="50"/>
        <v>-124.72517162935219</v>
      </c>
      <c r="AJ186" s="9">
        <f t="shared" si="51"/>
        <v>-1.481096669218056</v>
      </c>
      <c r="AK186" s="9">
        <f t="shared" si="52"/>
        <v>223.79653508221327</v>
      </c>
      <c r="AL186" s="9">
        <f>1000*(AA187-AA185)/(A187-A185)*Inputs!$C$11</f>
        <v>636.49768669620244</v>
      </c>
      <c r="AM186" s="9">
        <f>-2*AL186/Inputs!$C$13</f>
        <v>-254.59907467848097</v>
      </c>
      <c r="AN186" s="9">
        <f>-2*AL186/Inputs!$C$14</f>
        <v>-38.228089291063213</v>
      </c>
      <c r="AO186" s="9">
        <f t="shared" si="53"/>
        <v>254.59907467848097</v>
      </c>
      <c r="AP186" s="9">
        <f t="shared" si="54"/>
        <v>38.228089291063213</v>
      </c>
      <c r="AQ186" s="9">
        <f>IF(OR(Inputs!$C$27=TRUE,Inputs!$C$27="TRUE",Inputs!$C$27=1),Inputs!$C$46/Inputs!$C$12,0)</f>
        <v>42.134831460674157</v>
      </c>
      <c r="AR186" s="9">
        <f t="shared" si="55"/>
        <v>1279.9075081787971</v>
      </c>
      <c r="AS186" s="9">
        <f t="shared" si="56"/>
        <v>1364.1771711001454</v>
      </c>
    </row>
    <row r="187" spans="1:45">
      <c r="A187" s="9">
        <f>Inputs!$C$7+185*(Inputs!$C$8-Inputs!$C$7)/240</f>
        <v>32.5</v>
      </c>
      <c r="B187" s="9">
        <f>Inputs!$C$5+Inputs!$C$9*(A187/Inputs!$C$10)^2</f>
        <v>401.17361111111109</v>
      </c>
      <c r="C187" s="9">
        <f t="shared" si="38"/>
        <v>401.17361111111109</v>
      </c>
      <c r="D187" s="9">
        <f>SQRT((Inputs!$C$52+B187)^2+Inputs!$C$52^2-2*(Inputs!$C$52+B187)*Inputs!$C$52*COS(SQRT(A187^2+Inputs!$C$6^2)/Inputs!$C$52))</f>
        <v>403.79887032606649</v>
      </c>
      <c r="E187" s="9">
        <f t="shared" si="39"/>
        <v>2625.2592149554062</v>
      </c>
      <c r="F187" s="9">
        <f>E187/Inputs!$C$12</f>
        <v>1474.8647275030371</v>
      </c>
      <c r="G187" s="9">
        <f>2*E187/Inputs!$C$21*1000000</f>
        <v>17.513844293944221</v>
      </c>
      <c r="H187" s="9">
        <f>SQRT(A187^2+Inputs!$C$6^2)</f>
        <v>41.003048667141812</v>
      </c>
      <c r="I187" s="9">
        <f t="shared" si="40"/>
        <v>5.8358074089827321</v>
      </c>
      <c r="J187" s="9">
        <f>DEGREES((2*PI()/Inputs!$C$13)*Inputs!$C$15*SIN(RADIANS(I187)))</f>
        <v>36.604092691146747</v>
      </c>
      <c r="K187" s="9">
        <f t="shared" si="41"/>
        <v>0.97424689974874612</v>
      </c>
      <c r="L187" s="9">
        <f t="shared" si="42"/>
        <v>-0.1133096754620804</v>
      </c>
      <c r="M187" s="9">
        <f>2*(Inputs!$C$9/(Inputs!$C$10^2))*A187</f>
        <v>7.2222222222222215E-2</v>
      </c>
      <c r="N187" s="9">
        <f>M187*Inputs!$C$11</f>
        <v>0.28888888888888886</v>
      </c>
      <c r="O187" s="9">
        <f>1000*(D188-D186)/(A188-A186)*Inputs!$C$11</f>
        <v>692.04020328015758</v>
      </c>
      <c r="P187" s="9">
        <f>-2*O187/Inputs!$C$13</f>
        <v>-276.81608131206303</v>
      </c>
      <c r="Q187" s="9">
        <f>-2*O187/Inputs!$C$14</f>
        <v>-41.563976172982443</v>
      </c>
      <c r="R187" s="9">
        <f>F187-Inputs!$C$16/2</f>
        <v>1459.8647275030371</v>
      </c>
      <c r="S187" s="9">
        <f>F187+Inputs!$C$16/2</f>
        <v>1489.8647275030371</v>
      </c>
      <c r="T187" s="9">
        <f>F187-Inputs!$C$17/2</f>
        <v>1324.8647275030371</v>
      </c>
      <c r="U187" s="9">
        <f>F187+Inputs!$C$17/2</f>
        <v>1624.8647275030371</v>
      </c>
      <c r="V187" s="9">
        <f t="shared" si="43"/>
        <v>276.81608131206303</v>
      </c>
      <c r="W187" s="9">
        <f t="shared" si="44"/>
        <v>41.563976172982443</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5.8468430183224456</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227.97180197682223</v>
      </c>
      <c r="Z187" s="9">
        <f t="shared" si="45"/>
        <v>401.16776426809275</v>
      </c>
      <c r="AA187" s="9">
        <f>SQRT((Inputs!$C$52+B187)^2+(Inputs!$C$52+Y187/1000)^2-2*(Inputs!$C$52+B187)*(Inputs!$C$52+Y187/1000)*COS(SQRT(A187^2+Inputs!$C$6^2)/Inputs!$C$52))</f>
        <v>403.5727639106554</v>
      </c>
      <c r="AB187" s="9">
        <f t="shared" si="46"/>
        <v>2404.9996425626432</v>
      </c>
      <c r="AC187" s="9">
        <f>AB187/Inputs!$C$12</f>
        <v>1351.1233946981142</v>
      </c>
      <c r="AD187" s="9">
        <f>2*AB187/Inputs!$C$21*1000000</f>
        <v>16.044430594465744</v>
      </c>
      <c r="AE187" s="9">
        <f t="shared" si="47"/>
        <v>5.839102642656874</v>
      </c>
      <c r="AF187" s="9">
        <f>DEGREES((2*PI()/Inputs!$C$13)*Inputs!$C$15*SIN(RADIANS(AE187)))</f>
        <v>36.624689890074933</v>
      </c>
      <c r="AG187" s="9">
        <f t="shared" si="48"/>
        <v>0.97637514650614166</v>
      </c>
      <c r="AH187" s="9">
        <f t="shared" si="49"/>
        <v>-0.10383284019918691</v>
      </c>
      <c r="AI187" s="9">
        <f t="shared" si="50"/>
        <v>-123.74133280492288</v>
      </c>
      <c r="AJ187" s="9">
        <f t="shared" si="51"/>
        <v>-1.4694136994784763</v>
      </c>
      <c r="AK187" s="9">
        <f t="shared" si="52"/>
        <v>222.1249589584998</v>
      </c>
      <c r="AL187" s="9">
        <f>1000*(AA188-AA186)/(A188-A186)*Inputs!$C$11</f>
        <v>677.85282491445287</v>
      </c>
      <c r="AM187" s="9">
        <f>-2*AL187/Inputs!$C$13</f>
        <v>-271.14112996578115</v>
      </c>
      <c r="AN187" s="9">
        <f>-2*AL187/Inputs!$C$14</f>
        <v>-40.711881376243419</v>
      </c>
      <c r="AO187" s="9">
        <f t="shared" si="53"/>
        <v>271.14112996578115</v>
      </c>
      <c r="AP187" s="9">
        <f t="shared" si="54"/>
        <v>40.711881376243419</v>
      </c>
      <c r="AQ187" s="9">
        <f>IF(OR(Inputs!$C$27=TRUE,Inputs!$C$27="TRUE",Inputs!$C$27=1),Inputs!$C$46/Inputs!$C$12,0)</f>
        <v>42.134831460674157</v>
      </c>
      <c r="AR187" s="9">
        <f t="shared" si="55"/>
        <v>1308.9885632374401</v>
      </c>
      <c r="AS187" s="9">
        <f t="shared" si="56"/>
        <v>1393.2582261587884</v>
      </c>
    </row>
    <row r="188" spans="1:45">
      <c r="A188" s="9">
        <f>Inputs!$C$7+186*(Inputs!$C$8-Inputs!$C$7)/240</f>
        <v>33</v>
      </c>
      <c r="B188" s="9">
        <f>Inputs!$C$5+Inputs!$C$9*(A188/Inputs!$C$10)^2</f>
        <v>401.21</v>
      </c>
      <c r="C188" s="9">
        <f t="shared" si="38"/>
        <v>401.21</v>
      </c>
      <c r="D188" s="9">
        <f>SQRT((Inputs!$C$52+B188)^2+Inputs!$C$52^2-2*(Inputs!$C$52+B188)*Inputs!$C$52*COS(SQRT(A188^2+Inputs!$C$6^2)/Inputs!$C$52))</f>
        <v>403.88603399865633</v>
      </c>
      <c r="E188" s="9">
        <f t="shared" si="39"/>
        <v>2676.0339986563508</v>
      </c>
      <c r="F188" s="9">
        <f>E188/Inputs!$C$12</f>
        <v>1503.3898868855904</v>
      </c>
      <c r="G188" s="9">
        <f>2*E188/Inputs!$C$21*1000000</f>
        <v>17.852577189625972</v>
      </c>
      <c r="H188" s="9">
        <f>SQRT(A188^2+Inputs!$C$6^2)</f>
        <v>41.400483088968905</v>
      </c>
      <c r="I188" s="9">
        <f t="shared" si="40"/>
        <v>5.8914460516514309</v>
      </c>
      <c r="J188" s="9">
        <f>DEGREES((2*PI()/Inputs!$C$13)*Inputs!$C$15*SIN(RADIANS(I188)))</f>
        <v>36.951851491238891</v>
      </c>
      <c r="K188" s="9">
        <f t="shared" si="41"/>
        <v>0.97375937666704759</v>
      </c>
      <c r="L188" s="9">
        <f t="shared" si="42"/>
        <v>-0.11548347326926375</v>
      </c>
      <c r="M188" s="9">
        <f>2*(Inputs!$C$9/(Inputs!$C$10^2))*A188</f>
        <v>7.3333333333333334E-2</v>
      </c>
      <c r="N188" s="9">
        <f>M188*Inputs!$C$11</f>
        <v>0.29333333333333333</v>
      </c>
      <c r="O188" s="9">
        <f>1000*(D189-D187)/(A189-A187)*Inputs!$C$11</f>
        <v>702.57607326084326</v>
      </c>
      <c r="P188" s="9">
        <f>-2*O188/Inputs!$C$13</f>
        <v>-281.0304293043373</v>
      </c>
      <c r="Q188" s="9">
        <f>-2*O188/Inputs!$C$14</f>
        <v>-42.196761156807405</v>
      </c>
      <c r="R188" s="9">
        <f>F188-Inputs!$C$16/2</f>
        <v>1488.3898868855904</v>
      </c>
      <c r="S188" s="9">
        <f>F188+Inputs!$C$16/2</f>
        <v>1518.3898868855904</v>
      </c>
      <c r="T188" s="9">
        <f>F188-Inputs!$C$17/2</f>
        <v>1353.3898868855904</v>
      </c>
      <c r="U188" s="9">
        <f>F188+Inputs!$C$17/2</f>
        <v>1653.3898868855904</v>
      </c>
      <c r="V188" s="9">
        <f t="shared" si="43"/>
        <v>281.0304293043373</v>
      </c>
      <c r="W188" s="9">
        <f t="shared" si="44"/>
        <v>42.196761156807405</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-3.6102909912474139</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226.08418221808537</v>
      </c>
      <c r="Z188" s="9">
        <f t="shared" si="45"/>
        <v>401.21361029099126</v>
      </c>
      <c r="AA188" s="9">
        <f>SQRT((Inputs!$C$52+B188)^2+(Inputs!$C$52+Y188/1000)^2-2*(Inputs!$C$52+B188)*(Inputs!$C$52+Y188/1000)*COS(SQRT(A188^2+Inputs!$C$6^2)/Inputs!$C$52))</f>
        <v>403.66183518022501</v>
      </c>
      <c r="AB188" s="9">
        <f t="shared" si="46"/>
        <v>2448.2248892337566</v>
      </c>
      <c r="AC188" s="9">
        <f>AB188/Inputs!$C$12</f>
        <v>1375.4072411425598</v>
      </c>
      <c r="AD188" s="9">
        <f>2*AB188/Inputs!$C$21*1000000</f>
        <v>16.332798400377079</v>
      </c>
      <c r="AE188" s="9">
        <f t="shared" si="47"/>
        <v>5.8947444038227719</v>
      </c>
      <c r="AF188" s="9">
        <f>DEGREES((2*PI()/Inputs!$C$13)*Inputs!$C$15*SIN(RADIANS(AE188)))</f>
        <v>36.972466126055991</v>
      </c>
      <c r="AG188" s="9">
        <f t="shared" si="48"/>
        <v>0.97595966000981416</v>
      </c>
      <c r="AH188" s="9">
        <f t="shared" si="49"/>
        <v>-0.1056813294519752</v>
      </c>
      <c r="AI188" s="9">
        <f t="shared" si="50"/>
        <v>-127.98264574303062</v>
      </c>
      <c r="AJ188" s="9">
        <f t="shared" si="51"/>
        <v>-1.5197787892488925</v>
      </c>
      <c r="AK188" s="9">
        <f t="shared" si="52"/>
        <v>229.69447320933278</v>
      </c>
      <c r="AL188" s="9">
        <f>1000*(AA189-AA187)/(A189-A187)*Inputs!$C$11</f>
        <v>709.73456680576419</v>
      </c>
      <c r="AM188" s="9">
        <f>-2*AL188/Inputs!$C$13</f>
        <v>-283.89382672230568</v>
      </c>
      <c r="AN188" s="9">
        <f>-2*AL188/Inputs!$C$14</f>
        <v>-42.626700709054909</v>
      </c>
      <c r="AO188" s="9">
        <f t="shared" si="53"/>
        <v>283.89382672230568</v>
      </c>
      <c r="AP188" s="9">
        <f t="shared" si="54"/>
        <v>42.626700709054909</v>
      </c>
      <c r="AQ188" s="9">
        <f>IF(OR(Inputs!$C$27=TRUE,Inputs!$C$27="TRUE",Inputs!$C$27=1),Inputs!$C$46/Inputs!$C$12,0)</f>
        <v>42.134831460674157</v>
      </c>
      <c r="AR188" s="9">
        <f t="shared" si="55"/>
        <v>1333.2724096818856</v>
      </c>
      <c r="AS188" s="9">
        <f t="shared" si="56"/>
        <v>1417.5420726032339</v>
      </c>
    </row>
    <row r="189" spans="1:45">
      <c r="A189" s="9">
        <f>Inputs!$C$7+187*(Inputs!$C$8-Inputs!$C$7)/240</f>
        <v>33.5</v>
      </c>
      <c r="B189" s="9">
        <f>Inputs!$C$5+Inputs!$C$9*(A189/Inputs!$C$10)^2</f>
        <v>401.24694444444447</v>
      </c>
      <c r="C189" s="9">
        <f t="shared" si="38"/>
        <v>401.24694444444447</v>
      </c>
      <c r="D189" s="9">
        <f>SQRT((Inputs!$C$52+B189)^2+Inputs!$C$52^2-2*(Inputs!$C$52+B189)*Inputs!$C$52*COS(SQRT(A189^2+Inputs!$C$6^2)/Inputs!$C$52))</f>
        <v>403.9745143443817</v>
      </c>
      <c r="E189" s="9">
        <f t="shared" si="39"/>
        <v>2727.5698999372366</v>
      </c>
      <c r="F189" s="9">
        <f>E189/Inputs!$C$12</f>
        <v>1532.3426404141778</v>
      </c>
      <c r="G189" s="9">
        <f>2*E189/Inputs!$C$21*1000000</f>
        <v>18.196387715245571</v>
      </c>
      <c r="H189" s="9">
        <f>SQRT(A189^2+Inputs!$C$6^2)</f>
        <v>41.800119617053731</v>
      </c>
      <c r="I189" s="9">
        <f t="shared" si="40"/>
        <v>5.9473663547666744</v>
      </c>
      <c r="J189" s="9">
        <f>DEGREES((2*PI()/Inputs!$C$13)*Inputs!$C$15*SIN(RADIANS(I189)))</f>
        <v>37.301335645735293</v>
      </c>
      <c r="K189" s="9">
        <f t="shared" si="41"/>
        <v>0.97326494838249344</v>
      </c>
      <c r="L189" s="9">
        <f t="shared" si="42"/>
        <v>-0.11768917226882726</v>
      </c>
      <c r="M189" s="9">
        <f>2*(Inputs!$C$9/(Inputs!$C$10^2))*A189</f>
        <v>7.4444444444444438E-2</v>
      </c>
      <c r="N189" s="9">
        <f>M189*Inputs!$C$11</f>
        <v>0.29777777777777775</v>
      </c>
      <c r="O189" s="9">
        <f>1000*(D190-D188)/(A190-A188)*Inputs!$C$11</f>
        <v>713.10693823488691</v>
      </c>
      <c r="P189" s="9">
        <f>-2*O189/Inputs!$C$13</f>
        <v>-285.24277529395476</v>
      </c>
      <c r="Q189" s="9">
        <f>-2*O189/Inputs!$C$14</f>
        <v>-42.829245539632851</v>
      </c>
      <c r="R189" s="9">
        <f>F189-Inputs!$C$16/2</f>
        <v>1517.3426404141778</v>
      </c>
      <c r="S189" s="9">
        <f>F189+Inputs!$C$16/2</f>
        <v>1547.3426404141778</v>
      </c>
      <c r="T189" s="9">
        <f>F189-Inputs!$C$17/2</f>
        <v>1382.3426404141778</v>
      </c>
      <c r="U189" s="9">
        <f>F189+Inputs!$C$17/2</f>
        <v>1682.3426404141778</v>
      </c>
      <c r="V189" s="9">
        <f t="shared" si="43"/>
        <v>285.24277529395476</v>
      </c>
      <c r="W189" s="9">
        <f t="shared" si="44"/>
        <v>42.829245539632851</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2.8193818928466783</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226.23942491258683</v>
      </c>
      <c r="Z189" s="9">
        <f t="shared" si="45"/>
        <v>401.24412506255163</v>
      </c>
      <c r="AA189" s="9">
        <f>SQRT((Inputs!$C$52+B189)^2+(Inputs!$C$52+Y189/1000)^2-2*(Inputs!$C$52+B189)*(Inputs!$C$52+Y189/1000)*COS(SQRT(A189^2+Inputs!$C$6^2)/Inputs!$C$52))</f>
        <v>403.75019755235684</v>
      </c>
      <c r="AB189" s="9">
        <f t="shared" si="46"/>
        <v>2506.0724898052058</v>
      </c>
      <c r="AC189" s="9">
        <f>AB189/Inputs!$C$12</f>
        <v>1407.9058931489919</v>
      </c>
      <c r="AD189" s="9">
        <f>2*AB189/Inputs!$C$21*1000000</f>
        <v>16.718716051257072</v>
      </c>
      <c r="AE189" s="9">
        <f t="shared" si="47"/>
        <v>5.9506975452816011</v>
      </c>
      <c r="AF189" s="9">
        <f>DEGREES((2*PI()/Inputs!$C$13)*Inputs!$C$15*SIN(RADIANS(AE189)))</f>
        <v>37.322153411603701</v>
      </c>
      <c r="AG189" s="9">
        <f t="shared" si="48"/>
        <v>0.97540225452038187</v>
      </c>
      <c r="AH189" s="9">
        <f t="shared" si="49"/>
        <v>-0.10816244925886122</v>
      </c>
      <c r="AI189" s="9">
        <f t="shared" si="50"/>
        <v>-124.43674726518589</v>
      </c>
      <c r="AJ189" s="9">
        <f t="shared" si="51"/>
        <v>-1.4776716639884988</v>
      </c>
      <c r="AK189" s="9">
        <f t="shared" si="52"/>
        <v>223.42004301974015</v>
      </c>
      <c r="AL189" s="9">
        <f>1000*(AA190-AA188)/(A190-A188)*Inputs!$C$11</f>
        <v>645.24727165007789</v>
      </c>
      <c r="AM189" s="9">
        <f>-2*AL189/Inputs!$C$13</f>
        <v>-258.09890866003116</v>
      </c>
      <c r="AN189" s="9">
        <f>-2*AL189/Inputs!$C$14</f>
        <v>-38.753589888893572</v>
      </c>
      <c r="AO189" s="9">
        <f t="shared" si="53"/>
        <v>258.09890866003116</v>
      </c>
      <c r="AP189" s="9">
        <f t="shared" si="54"/>
        <v>38.753589888893572</v>
      </c>
      <c r="AQ189" s="9">
        <f>IF(OR(Inputs!$C$27=TRUE,Inputs!$C$27="TRUE",Inputs!$C$27=1),Inputs!$C$46/Inputs!$C$12,0)</f>
        <v>42.134831460674157</v>
      </c>
      <c r="AR189" s="9">
        <f t="shared" si="55"/>
        <v>1365.7710616883178</v>
      </c>
      <c r="AS189" s="9">
        <f t="shared" si="56"/>
        <v>1450.0407246096661</v>
      </c>
    </row>
    <row r="190" spans="1:45">
      <c r="A190" s="9">
        <f>Inputs!$C$7+188*(Inputs!$C$8-Inputs!$C$7)/240</f>
        <v>34</v>
      </c>
      <c r="B190" s="9">
        <f>Inputs!$C$5+Inputs!$C$9*(A190/Inputs!$C$10)^2</f>
        <v>401.28444444444443</v>
      </c>
      <c r="C190" s="9">
        <f t="shared" si="38"/>
        <v>401.28444444444443</v>
      </c>
      <c r="D190" s="9">
        <f>SQRT((Inputs!$C$52+B190)^2+Inputs!$C$52^2-2*(Inputs!$C$52+B190)*Inputs!$C$52*COS(SQRT(A190^2+Inputs!$C$6^2)/Inputs!$C$52))</f>
        <v>404.06431073321505</v>
      </c>
      <c r="E190" s="9">
        <f t="shared" si="39"/>
        <v>2779.86628877062</v>
      </c>
      <c r="F190" s="9">
        <f>E190/Inputs!$C$12</f>
        <v>1561.7226341407977</v>
      </c>
      <c r="G190" s="9">
        <f>2*E190/Inputs!$C$21*1000000</f>
        <v>18.545271667712335</v>
      </c>
      <c r="H190" s="9">
        <f>SQRT(A190^2+Inputs!$C$6^2)</f>
        <v>42.201895692018383</v>
      </c>
      <c r="I190" s="9">
        <f t="shared" si="40"/>
        <v>6.0035588898090326</v>
      </c>
      <c r="J190" s="9">
        <f>DEGREES((2*PI()/Inputs!$C$13)*Inputs!$C$15*SIN(RADIANS(I190)))</f>
        <v>37.652485371109634</v>
      </c>
      <c r="K190" s="9">
        <f t="shared" si="41"/>
        <v>0.97276363850093261</v>
      </c>
      <c r="L190" s="9">
        <f t="shared" si="42"/>
        <v>-0.1199267151453179</v>
      </c>
      <c r="M190" s="9">
        <f>2*(Inputs!$C$9/(Inputs!$C$10^2))*A190</f>
        <v>7.5555555555555556E-2</v>
      </c>
      <c r="N190" s="9">
        <f>M190*Inputs!$C$11</f>
        <v>0.30222222222222223</v>
      </c>
      <c r="O190" s="9">
        <f>1000*(D191-D189)/(A191-A189)*Inputs!$C$11</f>
        <v>723.63272791653799</v>
      </c>
      <c r="P190" s="9">
        <f>-2*O190/Inputs!$C$13</f>
        <v>-289.4530911666152</v>
      </c>
      <c r="Q190" s="9">
        <f>-2*O190/Inputs!$C$14</f>
        <v>-43.461425100092377</v>
      </c>
      <c r="R190" s="9">
        <f>F190-Inputs!$C$16/2</f>
        <v>1546.7226341407977</v>
      </c>
      <c r="S190" s="9">
        <f>F190+Inputs!$C$16/2</f>
        <v>1576.7226341407977</v>
      </c>
      <c r="T190" s="9">
        <f>F190-Inputs!$C$17/2</f>
        <v>1411.7226341407977</v>
      </c>
      <c r="U190" s="9">
        <f>F190+Inputs!$C$17/2</f>
        <v>1711.7226341407977</v>
      </c>
      <c r="V190" s="9">
        <f t="shared" si="43"/>
        <v>289.4530911666152</v>
      </c>
      <c r="W190" s="9">
        <f t="shared" si="44"/>
        <v>43.461425100092377</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9.9015781941524494</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243.27042748832011</v>
      </c>
      <c r="Z190" s="9">
        <f t="shared" si="45"/>
        <v>401.27454286625027</v>
      </c>
      <c r="AA190" s="9">
        <f>SQRT((Inputs!$C$52+B190)^2+(Inputs!$C$52+Y190/1000)^2-2*(Inputs!$C$52+B190)*(Inputs!$C$52+Y190/1000)*COS(SQRT(A190^2+Inputs!$C$6^2)/Inputs!$C$52))</f>
        <v>403.82314699813753</v>
      </c>
      <c r="AB190" s="9">
        <f t="shared" si="46"/>
        <v>2548.6041318872594</v>
      </c>
      <c r="AC190" s="9">
        <f>AB190/Inputs!$C$12</f>
        <v>1431.800074093966</v>
      </c>
      <c r="AD190" s="9">
        <f>2*AB190/Inputs!$C$21*1000000</f>
        <v>17.002456625424909</v>
      </c>
      <c r="AE190" s="9">
        <f t="shared" si="47"/>
        <v>6.0071740102093871</v>
      </c>
      <c r="AF190" s="9">
        <f>DEGREES((2*PI()/Inputs!$C$13)*Inputs!$C$15*SIN(RADIANS(AE190)))</f>
        <v>37.675075187756065</v>
      </c>
      <c r="AG190" s="9">
        <f t="shared" si="48"/>
        <v>0.97499322739337624</v>
      </c>
      <c r="AH190" s="9">
        <f t="shared" si="49"/>
        <v>-0.10998401035719994</v>
      </c>
      <c r="AI190" s="9">
        <f t="shared" si="50"/>
        <v>-129.92256004683168</v>
      </c>
      <c r="AJ190" s="9">
        <f t="shared" si="51"/>
        <v>-1.5428150422874261</v>
      </c>
      <c r="AK190" s="9">
        <f t="shared" si="52"/>
        <v>233.36884929416766</v>
      </c>
      <c r="AL190" s="9">
        <f>1000*(AA191-AA189)/(A191-A189)*Inputs!$C$11</f>
        <v>634.31684191959903</v>
      </c>
      <c r="AM190" s="9">
        <f>-2*AL190/Inputs!$C$13</f>
        <v>-253.72673676783961</v>
      </c>
      <c r="AN190" s="9">
        <f>-2*AL190/Inputs!$C$14</f>
        <v>-38.097107622798745</v>
      </c>
      <c r="AO190" s="9">
        <f t="shared" si="53"/>
        <v>253.72673676783961</v>
      </c>
      <c r="AP190" s="9">
        <f t="shared" si="54"/>
        <v>38.097107622798745</v>
      </c>
      <c r="AQ190" s="9">
        <f>IF(OR(Inputs!$C$27=TRUE,Inputs!$C$27="TRUE",Inputs!$C$27=1),Inputs!$C$46/Inputs!$C$12,0)</f>
        <v>42.134831460674157</v>
      </c>
      <c r="AR190" s="9">
        <f t="shared" si="55"/>
        <v>1389.6652426332919</v>
      </c>
      <c r="AS190" s="9">
        <f t="shared" si="56"/>
        <v>1473.9349055546402</v>
      </c>
    </row>
    <row r="191" spans="1:45">
      <c r="A191" s="9">
        <f>Inputs!$C$7+189*(Inputs!$C$8-Inputs!$C$7)/240</f>
        <v>34.5</v>
      </c>
      <c r="B191" s="9">
        <f>Inputs!$C$5+Inputs!$C$9*(A191/Inputs!$C$10)^2</f>
        <v>401.32249999999999</v>
      </c>
      <c r="C191" s="9">
        <f t="shared" si="38"/>
        <v>401.32249999999999</v>
      </c>
      <c r="D191" s="9">
        <f>SQRT((Inputs!$C$52+B191)^2+Inputs!$C$52^2-2*(Inputs!$C$52+B191)*Inputs!$C$52*COS(SQRT(A191^2+Inputs!$C$6^2)/Inputs!$C$52))</f>
        <v>404.15542252636084</v>
      </c>
      <c r="E191" s="9">
        <f t="shared" si="39"/>
        <v>2832.9225263608464</v>
      </c>
      <c r="F191" s="9">
        <f>E191/Inputs!$C$12</f>
        <v>1591.5295091914868</v>
      </c>
      <c r="G191" s="9">
        <f>2*E191/Inputs!$C$21*1000000</f>
        <v>18.899224785440378</v>
      </c>
      <c r="H191" s="9">
        <f>SQRT(A191^2+Inputs!$C$6^2)</f>
        <v>42.605750785545368</v>
      </c>
      <c r="I191" s="9">
        <f t="shared" si="40"/>
        <v>6.0600145195950779</v>
      </c>
      <c r="J191" s="9">
        <f>DEGREES((2*PI()/Inputs!$C$13)*Inputs!$C$15*SIN(RADIANS(I191)))</f>
        <v>38.005242715884584</v>
      </c>
      <c r="K191" s="9">
        <f t="shared" si="41"/>
        <v>0.97225547092145215</v>
      </c>
      <c r="L191" s="9">
        <f t="shared" si="42"/>
        <v>-0.12219604380746735</v>
      </c>
      <c r="M191" s="9">
        <f>2*(Inputs!$C$9/(Inputs!$C$10^2))*A191</f>
        <v>7.6666666666666661E-2</v>
      </c>
      <c r="N191" s="9">
        <f>M191*Inputs!$C$11</f>
        <v>0.30666666666666664</v>
      </c>
      <c r="O191" s="9">
        <f>1000*(D192-D190)/(A192-A190)*Inputs!$C$11</f>
        <v>734.15337228061617</v>
      </c>
      <c r="P191" s="9">
        <f>-2*O191/Inputs!$C$13</f>
        <v>-293.66134891224647</v>
      </c>
      <c r="Q191" s="9">
        <f>-2*O191/Inputs!$C$14</f>
        <v>-44.093295632469442</v>
      </c>
      <c r="R191" s="9">
        <f>F191-Inputs!$C$16/2</f>
        <v>1576.5295091914868</v>
      </c>
      <c r="S191" s="9">
        <f>F191+Inputs!$C$16/2</f>
        <v>1606.5295091914868</v>
      </c>
      <c r="T191" s="9">
        <f>F191-Inputs!$C$17/2</f>
        <v>1441.5295091914868</v>
      </c>
      <c r="U191" s="9">
        <f>F191+Inputs!$C$17/2</f>
        <v>1741.5295091914868</v>
      </c>
      <c r="V191" s="9">
        <f t="shared" si="43"/>
        <v>293.66134891224647</v>
      </c>
      <c r="W191" s="9">
        <f t="shared" si="44"/>
        <v>44.093295632469442</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22.306190725387925</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248.84143597822731</v>
      </c>
      <c r="Z191" s="9">
        <f t="shared" si="45"/>
        <v>401.30019380927462</v>
      </c>
      <c r="AA191" s="9">
        <f>SQRT((Inputs!$C$52+B191)^2+(Inputs!$C$52+Y191/1000)^2-2*(Inputs!$C$52+B191)*(Inputs!$C$52+Y191/1000)*COS(SQRT(A191^2+Inputs!$C$6^2)/Inputs!$C$52))</f>
        <v>403.90877676283674</v>
      </c>
      <c r="AB191" s="9">
        <f t="shared" si="46"/>
        <v>2608.5829535621201</v>
      </c>
      <c r="AC191" s="9">
        <f>AB191/Inputs!$C$12</f>
        <v>1465.4960413270337</v>
      </c>
      <c r="AD191" s="9">
        <f>2*AB191/Inputs!$C$21*1000000</f>
        <v>17.402592253085434</v>
      </c>
      <c r="AE191" s="9">
        <f t="shared" si="47"/>
        <v>6.0637463808897563</v>
      </c>
      <c r="AF191" s="9">
        <f>DEGREES((2*PI()/Inputs!$C$13)*Inputs!$C$15*SIN(RADIANS(AE191)))</f>
        <v>38.028559580767002</v>
      </c>
      <c r="AG191" s="9">
        <f t="shared" si="48"/>
        <v>0.9744157985059001</v>
      </c>
      <c r="AH191" s="9">
        <f t="shared" si="49"/>
        <v>-0.1125568330283265</v>
      </c>
      <c r="AI191" s="9">
        <f t="shared" si="50"/>
        <v>-126.03346786445309</v>
      </c>
      <c r="AJ191" s="9">
        <f t="shared" si="51"/>
        <v>-1.4966325323549441</v>
      </c>
      <c r="AK191" s="9">
        <f t="shared" si="52"/>
        <v>226.53524525283939</v>
      </c>
      <c r="AL191" s="9">
        <f>1000*(AA192-AA190)/(A192-A190)*Inputs!$C$11</f>
        <v>739.47463149761461</v>
      </c>
      <c r="AM191" s="9">
        <f>-2*AL191/Inputs!$C$13</f>
        <v>-295.78985259904584</v>
      </c>
      <c r="AN191" s="9">
        <f>-2*AL191/Inputs!$C$14</f>
        <v>-44.412890780637518</v>
      </c>
      <c r="AO191" s="9">
        <f t="shared" si="53"/>
        <v>295.78985259904584</v>
      </c>
      <c r="AP191" s="9">
        <f t="shared" si="54"/>
        <v>44.412890780637518</v>
      </c>
      <c r="AQ191" s="9">
        <f>IF(OR(Inputs!$C$27=TRUE,Inputs!$C$27="TRUE",Inputs!$C$27=1),Inputs!$C$46/Inputs!$C$12,0)</f>
        <v>42.134831460674157</v>
      </c>
      <c r="AR191" s="9">
        <f t="shared" si="55"/>
        <v>1423.3612098663596</v>
      </c>
      <c r="AS191" s="9">
        <f t="shared" si="56"/>
        <v>1507.6308727877079</v>
      </c>
    </row>
    <row r="192" spans="1:45">
      <c r="A192" s="9">
        <f>Inputs!$C$7+190*(Inputs!$C$8-Inputs!$C$7)/240</f>
        <v>35</v>
      </c>
      <c r="B192" s="9">
        <f>Inputs!$C$5+Inputs!$C$9*(A192/Inputs!$C$10)^2</f>
        <v>401.36111111111109</v>
      </c>
      <c r="C192" s="9">
        <f t="shared" si="38"/>
        <v>401.36111111111109</v>
      </c>
      <c r="D192" s="9">
        <f>SQRT((Inputs!$C$52+B192)^2+Inputs!$C$52^2-2*(Inputs!$C$52+B192)*Inputs!$C$52*COS(SQRT(A192^2+Inputs!$C$6^2)/Inputs!$C$52))</f>
        <v>404.24784907628521</v>
      </c>
      <c r="E192" s="9">
        <f t="shared" si="39"/>
        <v>2886.7379651741203</v>
      </c>
      <c r="F192" s="9">
        <f>E192/Inputs!$C$12</f>
        <v>1621.7629017832137</v>
      </c>
      <c r="G192" s="9">
        <f>2*E192/Inputs!$C$21*1000000</f>
        <v>19.258242748549197</v>
      </c>
      <c r="H192" s="9">
        <f>SQRT(A192^2+Inputs!$C$6^2)</f>
        <v>43.011626335213137</v>
      </c>
      <c r="I192" s="9">
        <f t="shared" si="40"/>
        <v>6.116724388997361</v>
      </c>
      <c r="J192" s="9">
        <f>DEGREES((2*PI()/Inputs!$C$13)*Inputs!$C$15*SIN(RADIANS(I192)))</f>
        <v>38.359551502436567</v>
      </c>
      <c r="K192" s="9">
        <f t="shared" si="41"/>
        <v>0.97174046983379292</v>
      </c>
      <c r="L192" s="9">
        <f t="shared" si="42"/>
        <v>-0.12449709939187389</v>
      </c>
      <c r="M192" s="9">
        <f>2*(Inputs!$C$9/(Inputs!$C$10^2))*A192</f>
        <v>7.7777777777777779E-2</v>
      </c>
      <c r="N192" s="9">
        <f>M192*Inputs!$C$11</f>
        <v>0.31111111111111112</v>
      </c>
      <c r="O192" s="9">
        <f>1000*(D193-D191)/(A193-A191)*Inputs!$C$11</f>
        <v>744.66880155273429</v>
      </c>
      <c r="P192" s="9">
        <f>-2*O192/Inputs!$C$13</f>
        <v>-297.86752062109372</v>
      </c>
      <c r="Q192" s="9">
        <f>-2*O192/Inputs!$C$14</f>
        <v>-44.724852946110168</v>
      </c>
      <c r="R192" s="9">
        <f>F192-Inputs!$C$16/2</f>
        <v>1606.7629017832137</v>
      </c>
      <c r="S192" s="9">
        <f>F192+Inputs!$C$16/2</f>
        <v>1636.7629017832137</v>
      </c>
      <c r="T192" s="9">
        <f>F192-Inputs!$C$17/2</f>
        <v>1471.7629017832137</v>
      </c>
      <c r="U192" s="9">
        <f>F192+Inputs!$C$17/2</f>
        <v>1771.7629017832137</v>
      </c>
      <c r="V192" s="9">
        <f t="shared" si="43"/>
        <v>297.86752062109372</v>
      </c>
      <c r="W192" s="9">
        <f t="shared" si="44"/>
        <v>44.724852946110168</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28.92396994213728</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242.00890812042311</v>
      </c>
      <c r="Z192" s="9">
        <f t="shared" si="45"/>
        <v>401.33218714116896</v>
      </c>
      <c r="AA192" s="9">
        <f>SQRT((Inputs!$C$52+B192)^2+(Inputs!$C$52+Y192/1000)^2-2*(Inputs!$C$52+B192)*(Inputs!$C$52+Y192/1000)*COS(SQRT(A192^2+Inputs!$C$6^2)/Inputs!$C$52))</f>
        <v>404.00801565601193</v>
      </c>
      <c r="AB192" s="9">
        <f t="shared" si="46"/>
        <v>2675.8285148429763</v>
      </c>
      <c r="AC192" s="9">
        <f>AB192/Inputs!$C$12</f>
        <v>1503.2744465409978</v>
      </c>
      <c r="AD192" s="9">
        <f>2*AB192/Inputs!$C$21*1000000</f>
        <v>17.851206349180249</v>
      </c>
      <c r="AE192" s="9">
        <f t="shared" si="47"/>
        <v>6.1203868172929434</v>
      </c>
      <c r="AF192" s="9">
        <f>DEGREES((2*PI()/Inputs!$C$13)*Inputs!$C$15*SIN(RADIANS(AE192)))</f>
        <v>38.382432131336515</v>
      </c>
      <c r="AG192" s="9">
        <f t="shared" si="48"/>
        <v>0.97376921495802005</v>
      </c>
      <c r="AH192" s="9">
        <f t="shared" si="49"/>
        <v>-0.11543959493547082</v>
      </c>
      <c r="AI192" s="9">
        <f t="shared" si="50"/>
        <v>-118.48845524221588</v>
      </c>
      <c r="AJ192" s="9">
        <f t="shared" si="51"/>
        <v>-1.4070363993689483</v>
      </c>
      <c r="AK192" s="9">
        <f t="shared" si="52"/>
        <v>213.08493817828582</v>
      </c>
      <c r="AL192" s="9">
        <f>1000*(AA193-AA191)/(A193-A191)*Inputs!$C$11</f>
        <v>769.58808290464731</v>
      </c>
      <c r="AM192" s="9">
        <f>-2*AL192/Inputs!$C$13</f>
        <v>-307.83523316185892</v>
      </c>
      <c r="AN192" s="9">
        <f>-2*AL192/Inputs!$C$14</f>
        <v>-46.221506480759601</v>
      </c>
      <c r="AO192" s="9">
        <f t="shared" si="53"/>
        <v>307.83523316185892</v>
      </c>
      <c r="AP192" s="9">
        <f t="shared" si="54"/>
        <v>46.221506480759601</v>
      </c>
      <c r="AQ192" s="9">
        <f>IF(OR(Inputs!$C$27=TRUE,Inputs!$C$27="TRUE",Inputs!$C$27=1),Inputs!$C$46/Inputs!$C$12,0)</f>
        <v>42.134831460674157</v>
      </c>
      <c r="AR192" s="9">
        <f t="shared" si="55"/>
        <v>1461.1396150803237</v>
      </c>
      <c r="AS192" s="9">
        <f t="shared" si="56"/>
        <v>1545.409278001672</v>
      </c>
    </row>
    <row r="193" spans="1:45">
      <c r="A193" s="9">
        <f>Inputs!$C$7+191*(Inputs!$C$8-Inputs!$C$7)/240</f>
        <v>35.5</v>
      </c>
      <c r="B193" s="9">
        <f>Inputs!$C$5+Inputs!$C$9*(A193/Inputs!$C$10)^2</f>
        <v>401.40027777777777</v>
      </c>
      <c r="C193" s="9">
        <f t="shared" si="38"/>
        <v>401.40027777777777</v>
      </c>
      <c r="D193" s="9">
        <f>SQRT((Inputs!$C$52+B193)^2+Inputs!$C$52^2-2*(Inputs!$C$52+B193)*Inputs!$C$52*COS(SQRT(A193^2+Inputs!$C$6^2)/Inputs!$C$52))</f>
        <v>404.34158972674902</v>
      </c>
      <c r="E193" s="9">
        <f t="shared" si="39"/>
        <v>2941.3119489712471</v>
      </c>
      <c r="F193" s="9">
        <f>E193/Inputs!$C$12</f>
        <v>1652.4224432422736</v>
      </c>
      <c r="G193" s="9">
        <f>2*E193/Inputs!$C$21*1000000</f>
        <v>19.622321179082146</v>
      </c>
      <c r="H193" s="9">
        <f>SQRT(A193^2+Inputs!$C$6^2)</f>
        <v>43.419465680728962</v>
      </c>
      <c r="I193" s="9">
        <f t="shared" si="40"/>
        <v>6.1736799158619622</v>
      </c>
      <c r="J193" s="9">
        <f>DEGREES((2*PI()/Inputs!$C$13)*Inputs!$C$15*SIN(RADIANS(I193)))</f>
        <v>38.715357270037714</v>
      </c>
      <c r="K193" s="9">
        <f t="shared" si="41"/>
        <v>0.97121865971571986</v>
      </c>
      <c r="L193" s="9">
        <f t="shared" si="42"/>
        <v>-0.1268298222668158</v>
      </c>
      <c r="M193" s="9">
        <f>2*(Inputs!$C$9/(Inputs!$C$10^2))*A193</f>
        <v>7.8888888888888883E-2</v>
      </c>
      <c r="N193" s="9">
        <f>M193*Inputs!$C$11</f>
        <v>0.31555555555555553</v>
      </c>
      <c r="O193" s="9">
        <f>1000*(D194-D192)/(A194-A192)*Inputs!$C$11</f>
        <v>755.17894620224979</v>
      </c>
      <c r="P193" s="9">
        <f>-2*O193/Inputs!$C$13</f>
        <v>-302.07157848089992</v>
      </c>
      <c r="Q193" s="9">
        <f>-2*O193/Inputs!$C$14</f>
        <v>-45.356092864999994</v>
      </c>
      <c r="R193" s="9">
        <f>F193-Inputs!$C$16/2</f>
        <v>1637.4224432422736</v>
      </c>
      <c r="S193" s="9">
        <f>F193+Inputs!$C$16/2</f>
        <v>1667.4224432422736</v>
      </c>
      <c r="T193" s="9">
        <f>F193-Inputs!$C$17/2</f>
        <v>1502.4224432422736</v>
      </c>
      <c r="U193" s="9">
        <f>F193+Inputs!$C$17/2</f>
        <v>1802.4224432422736</v>
      </c>
      <c r="V193" s="9">
        <f t="shared" si="43"/>
        <v>302.07157848089992</v>
      </c>
      <c r="W193" s="9">
        <f t="shared" si="44"/>
        <v>45.356092864999994</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32.227616256478356</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242.63788270086079</v>
      </c>
      <c r="Z193" s="9">
        <f t="shared" si="45"/>
        <v>401.3680501615213</v>
      </c>
      <c r="AA193" s="9">
        <f>SQRT((Inputs!$C$52+B193)^2+(Inputs!$C$52+Y193/1000)^2-2*(Inputs!$C$52+B193)*(Inputs!$C$52+Y193/1000)*COS(SQRT(A193^2+Inputs!$C$6^2)/Inputs!$C$52))</f>
        <v>404.1011737835629</v>
      </c>
      <c r="AB193" s="9">
        <f t="shared" si="46"/>
        <v>2733.1236220416031</v>
      </c>
      <c r="AC193" s="9">
        <f>AB193/Inputs!$C$12</f>
        <v>1535.4627090121364</v>
      </c>
      <c r="AD193" s="9">
        <f>2*AB193/Inputs!$C$21*1000000</f>
        <v>18.233438161020072</v>
      </c>
      <c r="AE193" s="9">
        <f t="shared" si="47"/>
        <v>6.1773851688733448</v>
      </c>
      <c r="AF193" s="9">
        <f>DEGREES((2*PI()/Inputs!$C$13)*Inputs!$C$15*SIN(RADIANS(AE193)))</f>
        <v>38.738502962722194</v>
      </c>
      <c r="AG193" s="9">
        <f t="shared" si="48"/>
        <v>0.97321937635673028</v>
      </c>
      <c r="AH193" s="9">
        <f t="shared" si="49"/>
        <v>-0.11789253048826079</v>
      </c>
      <c r="AI193" s="9">
        <f t="shared" si="50"/>
        <v>-116.9597342301372</v>
      </c>
      <c r="AJ193" s="9">
        <f t="shared" si="51"/>
        <v>-1.3888830180620744</v>
      </c>
      <c r="AK193" s="9">
        <f t="shared" si="52"/>
        <v>210.41026644438244</v>
      </c>
      <c r="AL193" s="9">
        <f>1000*(AA194-AA192)/(A194-A192)*Inputs!$C$11</f>
        <v>716.51748597878395</v>
      </c>
      <c r="AM193" s="9">
        <f>-2*AL193/Inputs!$C$13</f>
        <v>-286.60699439151358</v>
      </c>
      <c r="AN193" s="9">
        <f>-2*AL193/Inputs!$C$14</f>
        <v>-43.034083241969007</v>
      </c>
      <c r="AO193" s="9">
        <f t="shared" si="53"/>
        <v>286.60699439151358</v>
      </c>
      <c r="AP193" s="9">
        <f t="shared" si="54"/>
        <v>43.034083241969007</v>
      </c>
      <c r="AQ193" s="9">
        <f>IF(OR(Inputs!$C$27=TRUE,Inputs!$C$27="TRUE",Inputs!$C$27=1),Inputs!$C$46/Inputs!$C$12,0)</f>
        <v>42.134831460674157</v>
      </c>
      <c r="AR193" s="9">
        <f t="shared" si="55"/>
        <v>1493.3278775514623</v>
      </c>
      <c r="AS193" s="9">
        <f t="shared" si="56"/>
        <v>1577.5975404728106</v>
      </c>
    </row>
    <row r="194" spans="1:45">
      <c r="A194" s="9">
        <f>Inputs!$C$7+192*(Inputs!$C$8-Inputs!$C$7)/240</f>
        <v>36</v>
      </c>
      <c r="B194" s="9">
        <f>Inputs!$C$5+Inputs!$C$9*(A194/Inputs!$C$10)^2</f>
        <v>401.44</v>
      </c>
      <c r="C194" s="9">
        <f t="shared" ref="C194:C242" si="57">B194</f>
        <v>401.44</v>
      </c>
      <c r="D194" s="9">
        <f>SQRT((Inputs!$C$52+B194)^2+Inputs!$C$52^2-2*(Inputs!$C$52+B194)*Inputs!$C$52*COS(SQRT(A194^2+Inputs!$C$6^2)/Inputs!$C$52))</f>
        <v>404.43664381283577</v>
      </c>
      <c r="E194" s="9">
        <f t="shared" ref="E194:E242" si="58">(D194-C194)*1000</f>
        <v>2996.6438128357709</v>
      </c>
      <c r="F194" s="9">
        <f>E194/Inputs!$C$12</f>
        <v>1683.5077600200959</v>
      </c>
      <c r="G194" s="9">
        <f>2*E194/Inputs!$C$21*1000000</f>
        <v>19.99145564119409</v>
      </c>
      <c r="H194" s="9">
        <f>SQRT(A194^2+Inputs!$C$6^2)</f>
        <v>43.829214001622255</v>
      </c>
      <c r="I194" s="9">
        <f t="shared" ref="I194:I242" si="59">DEGREES(ATAN(H194/B194))</f>
        <v>6.2308727821328196</v>
      </c>
      <c r="J194" s="9">
        <f>DEGREES((2*PI()/Inputs!$C$13)*Inputs!$C$15*SIN(RADIANS(I194)))</f>
        <v>39.072607219193102</v>
      </c>
      <c r="K194" s="9">
        <f t="shared" ref="K194:K242" si="60">(C194/D194)^4</f>
        <v>0.97069006533041091</v>
      </c>
      <c r="L194" s="9">
        <f t="shared" ref="L194:L242" si="61">10*LOG10(K194)</f>
        <v>-0.12919415203591073</v>
      </c>
      <c r="M194" s="9">
        <f>2*(Inputs!$C$9/(Inputs!$C$10^2))*A194</f>
        <v>0.08</v>
      </c>
      <c r="N194" s="9">
        <f>M194*Inputs!$C$11</f>
        <v>0.32</v>
      </c>
      <c r="O194" s="9">
        <f>1000*(D195-D193)/(A195-A193)*Inputs!$C$11</f>
        <v>765.68373692771274</v>
      </c>
      <c r="P194" s="9">
        <f>-2*O194/Inputs!$C$13</f>
        <v>-306.2734947710851</v>
      </c>
      <c r="Q194" s="9">
        <f>-2*O194/Inputs!$C$14</f>
        <v>-45.987011226889656</v>
      </c>
      <c r="R194" s="9">
        <f>F194-Inputs!$C$16/2</f>
        <v>1668.5077600200959</v>
      </c>
      <c r="S194" s="9">
        <f>F194+Inputs!$C$16/2</f>
        <v>1698.5077600200959</v>
      </c>
      <c r="T194" s="9">
        <f>F194-Inputs!$C$17/2</f>
        <v>1533.5077600200959</v>
      </c>
      <c r="U194" s="9">
        <f>F194+Inputs!$C$17/2</f>
        <v>1833.5077600200959</v>
      </c>
      <c r="V194" s="9">
        <f t="shared" ref="V194:V242" si="62">ABS(P194)</f>
        <v>306.2734947710851</v>
      </c>
      <c r="W194" s="9">
        <f t="shared" ref="W194:W242" si="63">ABS(Q194)</f>
        <v>45.987011226889656</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45.422536466318</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251.84803304144381</v>
      </c>
      <c r="Z194" s="9">
        <f t="shared" ref="Z194:Z242" si="64">B194-X194/1000</f>
        <v>401.39457746353366</v>
      </c>
      <c r="AA194" s="9">
        <f>SQRT((Inputs!$C$52+B194)^2+(Inputs!$C$52+Y194/1000)^2-2*(Inputs!$C$52+B194)*(Inputs!$C$52+Y194/1000)*COS(SQRT(A194^2+Inputs!$C$6^2)/Inputs!$C$52))</f>
        <v>404.18714502750663</v>
      </c>
      <c r="AB194" s="9">
        <f t="shared" ref="AB194:AB242" si="65">(AA194-Z194)*1000</f>
        <v>2792.5675639729661</v>
      </c>
      <c r="AC194" s="9">
        <f>AB194/Inputs!$C$12</f>
        <v>1568.8581820072843</v>
      </c>
      <c r="AD194" s="9">
        <f>2*AB194/Inputs!$C$21*1000000</f>
        <v>18.630005455127002</v>
      </c>
      <c r="AE194" s="9">
        <f t="shared" ref="AE194:AE242" si="66">DEGREES(ATAN(H194/(B194-Y194/1000)))</f>
        <v>6.2347534513702838</v>
      </c>
      <c r="AF194" s="9">
        <f>DEGREES((2*PI()/Inputs!$C$13)*Inputs!$C$15*SIN(RADIANS(AE194)))</f>
        <v>39.096846054205457</v>
      </c>
      <c r="AG194" s="9">
        <f t="shared" ref="AG194:AG242" si="67">(Z194/AA194)^4</f>
        <v>0.97264871484568549</v>
      </c>
      <c r="AH194" s="9">
        <f t="shared" ref="AH194:AH242" si="68">10*LOG10(AG194)</f>
        <v>-0.12043982702400188</v>
      </c>
      <c r="AI194" s="9">
        <f t="shared" ref="AI194:AI242" si="69">AC194-F194</f>
        <v>-114.64957801281162</v>
      </c>
      <c r="AJ194" s="9">
        <f t="shared" ref="AJ194:AJ242" si="70">AD194-G194</f>
        <v>-1.3614501860670885</v>
      </c>
      <c r="AK194" s="9">
        <f t="shared" ref="AK194:AK242" si="71">Y194-X194</f>
        <v>206.42549657512581</v>
      </c>
      <c r="AL194" s="9">
        <f>1000*(AA195-AA193)/(A195-A193)*Inputs!$C$11</f>
        <v>640.52021048701135</v>
      </c>
      <c r="AM194" s="9">
        <f>-2*AL194/Inputs!$C$13</f>
        <v>-256.20808419480454</v>
      </c>
      <c r="AN194" s="9">
        <f>-2*AL194/Inputs!$C$14</f>
        <v>-38.469682311532218</v>
      </c>
      <c r="AO194" s="9">
        <f t="shared" ref="AO194:AO242" si="72">ABS(AM194)</f>
        <v>256.20808419480454</v>
      </c>
      <c r="AP194" s="9">
        <f t="shared" ref="AP194:AP242" si="73">ABS(AN194)</f>
        <v>38.469682311532218</v>
      </c>
      <c r="AQ194" s="9">
        <f>IF(OR(Inputs!$C$27=TRUE,Inputs!$C$27="TRUE",Inputs!$C$27=1),Inputs!$C$46/Inputs!$C$12,0)</f>
        <v>42.134831460674157</v>
      </c>
      <c r="AR194" s="9">
        <f t="shared" ref="AR194:AR242" si="74">AC194-AQ194</f>
        <v>1526.7233505466102</v>
      </c>
      <c r="AS194" s="9">
        <f t="shared" ref="AS194:AS242" si="75">AC194+AQ194</f>
        <v>1610.9930134679585</v>
      </c>
    </row>
    <row r="195" spans="1:45">
      <c r="A195" s="9">
        <f>Inputs!$C$7+193*(Inputs!$C$8-Inputs!$C$7)/240</f>
        <v>36.5</v>
      </c>
      <c r="B195" s="9">
        <f>Inputs!$C$5+Inputs!$C$9*(A195/Inputs!$C$10)^2</f>
        <v>401.48027777777776</v>
      </c>
      <c r="C195" s="9">
        <f t="shared" si="57"/>
        <v>401.48027777777776</v>
      </c>
      <c r="D195" s="9">
        <f>SQRT((Inputs!$C$52+B195)^2+Inputs!$C$52^2-2*(Inputs!$C$52+B195)*Inputs!$C$52*COS(SQRT(A195^2+Inputs!$C$6^2)/Inputs!$C$52))</f>
        <v>404.53301066098095</v>
      </c>
      <c r="E195" s="9">
        <f t="shared" si="58"/>
        <v>3052.7328832031912</v>
      </c>
      <c r="F195" s="9">
        <f>E195/Inputs!$C$12</f>
        <v>1715.0184737096579</v>
      </c>
      <c r="G195" s="9">
        <f>2*E195/Inputs!$C$21*1000000</f>
        <v>20.365641641346372</v>
      </c>
      <c r="H195" s="9">
        <f>SQRT(A195^2+Inputs!$C$6^2)</f>
        <v>44.240818256447291</v>
      </c>
      <c r="I195" s="9">
        <f t="shared" si="59"/>
        <v>6.2882949251900104</v>
      </c>
      <c r="J195" s="9">
        <f>DEGREES((2*PI()/Inputs!$C$13)*Inputs!$C$15*SIN(RADIANS(I195)))</f>
        <v>39.431250157318473</v>
      </c>
      <c r="K195" s="9">
        <f t="shared" si="60"/>
        <v>0.97015471172381817</v>
      </c>
      <c r="L195" s="9">
        <f t="shared" si="61"/>
        <v>-0.1315900275418308</v>
      </c>
      <c r="M195" s="9">
        <f>2*(Inputs!$C$9/(Inputs!$C$10^2))*A195</f>
        <v>8.1111111111111106E-2</v>
      </c>
      <c r="N195" s="9">
        <f>M195*Inputs!$C$11</f>
        <v>0.32444444444444442</v>
      </c>
      <c r="O195" s="9">
        <f>1000*(D196-D194)/(A196-A194)*Inputs!$C$11</f>
        <v>776.18310471439145</v>
      </c>
      <c r="P195" s="9">
        <f>-2*O195/Inputs!$C$13</f>
        <v>-310.47324188575658</v>
      </c>
      <c r="Q195" s="9">
        <f>-2*O195/Inputs!$C$14</f>
        <v>-46.617603886750238</v>
      </c>
      <c r="R195" s="9">
        <f>F195-Inputs!$C$16/2</f>
        <v>1700.0184737096579</v>
      </c>
      <c r="S195" s="9">
        <f>F195+Inputs!$C$16/2</f>
        <v>1730.0184737096579</v>
      </c>
      <c r="T195" s="9">
        <f>F195-Inputs!$C$17/2</f>
        <v>1565.0184737096579</v>
      </c>
      <c r="U195" s="9">
        <f>F195+Inputs!$C$17/2</f>
        <v>1865.0184737096579</v>
      </c>
      <c r="V195" s="9">
        <f t="shared" si="62"/>
        <v>310.47324188575658</v>
      </c>
      <c r="W195" s="9">
        <f t="shared" si="63"/>
        <v>46.617603886750238</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44.982194799694888</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274.31313500223371</v>
      </c>
      <c r="Z195" s="9">
        <f t="shared" si="64"/>
        <v>401.43529558297809</v>
      </c>
      <c r="AA195" s="9">
        <f>SQRT((Inputs!$C$52+B195)^2+(Inputs!$C$52+Y195/1000)^2-2*(Inputs!$C$52+B195)*(Inputs!$C$52+Y195/1000)*COS(SQRT(A195^2+Inputs!$C$6^2)/Inputs!$C$52))</f>
        <v>404.26130383618465</v>
      </c>
      <c r="AB195" s="9">
        <f t="shared" si="65"/>
        <v>2826.0082532065667</v>
      </c>
      <c r="AC195" s="9">
        <f>AB195/Inputs!$C$12</f>
        <v>1587.6450860711047</v>
      </c>
      <c r="AD195" s="9">
        <f>2*AB195/Inputs!$C$21*1000000</f>
        <v>18.853097720067172</v>
      </c>
      <c r="AE195" s="9">
        <f t="shared" si="66"/>
        <v>6.2925598899623232</v>
      </c>
      <c r="AF195" s="9">
        <f>DEGREES((2*PI()/Inputs!$C$13)*Inputs!$C$15*SIN(RADIANS(AE195)))</f>
        <v>39.457886380548622</v>
      </c>
      <c r="AG195" s="9">
        <f t="shared" si="67"/>
        <v>0.97232964852800441</v>
      </c>
      <c r="AH195" s="9">
        <f t="shared" si="68"/>
        <v>-0.1218647142616444</v>
      </c>
      <c r="AI195" s="9">
        <f t="shared" si="69"/>
        <v>-127.37338763855314</v>
      </c>
      <c r="AJ195" s="9">
        <f t="shared" si="70"/>
        <v>-1.5125439212791996</v>
      </c>
      <c r="AK195" s="9">
        <f t="shared" si="71"/>
        <v>229.33094020253881</v>
      </c>
      <c r="AL195" s="9">
        <f>1000*(AA196-AA194)/(A196-A194)*Inputs!$C$11</f>
        <v>675.83029110028292</v>
      </c>
      <c r="AM195" s="9">
        <f>-2*AL195/Inputs!$C$13</f>
        <v>-270.33211644011317</v>
      </c>
      <c r="AN195" s="9">
        <f>-2*AL195/Inputs!$C$14</f>
        <v>-40.590407873890868</v>
      </c>
      <c r="AO195" s="9">
        <f t="shared" si="72"/>
        <v>270.33211644011317</v>
      </c>
      <c r="AP195" s="9">
        <f t="shared" si="73"/>
        <v>40.590407873890868</v>
      </c>
      <c r="AQ195" s="9">
        <f>IF(OR(Inputs!$C$27=TRUE,Inputs!$C$27="TRUE",Inputs!$C$27=1),Inputs!$C$46/Inputs!$C$12,0)</f>
        <v>42.134831460674157</v>
      </c>
      <c r="AR195" s="9">
        <f t="shared" si="74"/>
        <v>1545.5102546104306</v>
      </c>
      <c r="AS195" s="9">
        <f t="shared" si="75"/>
        <v>1629.7799175317789</v>
      </c>
    </row>
    <row r="196" spans="1:45">
      <c r="A196" s="9">
        <f>Inputs!$C$7+194*(Inputs!$C$8-Inputs!$C$7)/240</f>
        <v>37</v>
      </c>
      <c r="B196" s="9">
        <f>Inputs!$C$5+Inputs!$C$9*(A196/Inputs!$C$10)^2</f>
        <v>401.52111111111111</v>
      </c>
      <c r="C196" s="9">
        <f t="shared" si="57"/>
        <v>401.52111111111111</v>
      </c>
      <c r="D196" s="9">
        <f>SQRT((Inputs!$C$52+B196)^2+Inputs!$C$52^2-2*(Inputs!$C$52+B196)*Inputs!$C$52*COS(SQRT(A196^2+Inputs!$C$6^2)/Inputs!$C$52))</f>
        <v>404.63068958901437</v>
      </c>
      <c r="E196" s="9">
        <f t="shared" si="58"/>
        <v>3109.5784779032556</v>
      </c>
      <c r="F196" s="9">
        <f>E196/Inputs!$C$12</f>
        <v>1746.9542010692446</v>
      </c>
      <c r="G196" s="9">
        <f>2*E196/Inputs!$C$21*1000000</f>
        <v>20.744874628588924</v>
      </c>
      <c r="H196" s="9">
        <f>SQRT(A196^2+Inputs!$C$6^2)</f>
        <v>44.654227123532216</v>
      </c>
      <c r="I196" s="9">
        <f t="shared" si="59"/>
        <v>6.3459385294073707</v>
      </c>
      <c r="J196" s="9">
        <f>DEGREES((2*PI()/Inputs!$C$13)*Inputs!$C$15*SIN(RADIANS(I196)))</f>
        <v>39.791236445792514</v>
      </c>
      <c r="K196" s="9">
        <f t="shared" si="60"/>
        <v>0.96961262422188055</v>
      </c>
      <c r="L196" s="9">
        <f t="shared" si="61"/>
        <v>-0.13401738687061548</v>
      </c>
      <c r="M196" s="9">
        <f>2*(Inputs!$C$9/(Inputs!$C$10^2))*A196</f>
        <v>8.2222222222222224E-2</v>
      </c>
      <c r="N196" s="9">
        <f>M196*Inputs!$C$11</f>
        <v>0.3288888888888889</v>
      </c>
      <c r="O196" s="9">
        <f>1000*(D197-D195)/(A197-A195)*Inputs!$C$11</f>
        <v>786.67698078584181</v>
      </c>
      <c r="P196" s="9">
        <f>-2*O196/Inputs!$C$13</f>
        <v>-314.67079231433672</v>
      </c>
      <c r="Q196" s="9">
        <f>-2*O196/Inputs!$C$14</f>
        <v>-47.247866713864376</v>
      </c>
      <c r="R196" s="9">
        <f>F196-Inputs!$C$16/2</f>
        <v>1731.9542010692446</v>
      </c>
      <c r="S196" s="9">
        <f>F196+Inputs!$C$16/2</f>
        <v>1761.9542010692446</v>
      </c>
      <c r="T196" s="9">
        <f>F196-Inputs!$C$17/2</f>
        <v>1596.9542010692446</v>
      </c>
      <c r="U196" s="9">
        <f>F196+Inputs!$C$17/2</f>
        <v>1896.9542010692446</v>
      </c>
      <c r="V196" s="9">
        <f t="shared" si="62"/>
        <v>314.67079231433672</v>
      </c>
      <c r="W196" s="9">
        <f t="shared" si="63"/>
        <v>47.247866713864376</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58.360988043050376</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277.26991348245565</v>
      </c>
      <c r="Z196" s="9">
        <f t="shared" si="64"/>
        <v>401.46275012306808</v>
      </c>
      <c r="AA196" s="9">
        <f>SQRT((Inputs!$C$52+B196)^2+(Inputs!$C$52+Y196/1000)^2-2*(Inputs!$C$52+B196)*(Inputs!$C$52+Y196/1000)*COS(SQRT(A196^2+Inputs!$C$6^2)/Inputs!$C$52))</f>
        <v>404.3561026002817</v>
      </c>
      <c r="AB196" s="9">
        <f t="shared" si="65"/>
        <v>2893.3524772136252</v>
      </c>
      <c r="AC196" s="9">
        <f>AB196/Inputs!$C$12</f>
        <v>1625.4789197829355</v>
      </c>
      <c r="AD196" s="9">
        <f>2*AB196/Inputs!$C$21*1000000</f>
        <v>19.302370023021897</v>
      </c>
      <c r="AE196" s="9">
        <f t="shared" si="66"/>
        <v>6.350287925973654</v>
      </c>
      <c r="AF196" s="9">
        <f>DEGREES((2*PI()/Inputs!$C$13)*Inputs!$C$15*SIN(RADIANS(AE196)))</f>
        <v>39.818396947193001</v>
      </c>
      <c r="AG196" s="9">
        <f t="shared" si="67"/>
        <v>0.97168391476079718</v>
      </c>
      <c r="AH196" s="9">
        <f t="shared" si="68"/>
        <v>-0.12474986514213735</v>
      </c>
      <c r="AI196" s="9">
        <f t="shared" si="69"/>
        <v>-121.47528128630915</v>
      </c>
      <c r="AJ196" s="9">
        <f t="shared" si="70"/>
        <v>-1.4425046055670272</v>
      </c>
      <c r="AK196" s="9">
        <f t="shared" si="71"/>
        <v>218.90892543940527</v>
      </c>
      <c r="AL196" s="9">
        <f>1000*(AA197-AA195)/(A197-A195)*Inputs!$C$11</f>
        <v>761.83000642072329</v>
      </c>
      <c r="AM196" s="9">
        <f>-2*AL196/Inputs!$C$13</f>
        <v>-304.73200256828932</v>
      </c>
      <c r="AN196" s="9">
        <f>-2*AL196/Inputs!$C$14</f>
        <v>-45.755555941184589</v>
      </c>
      <c r="AO196" s="9">
        <f t="shared" si="72"/>
        <v>304.73200256828932</v>
      </c>
      <c r="AP196" s="9">
        <f t="shared" si="73"/>
        <v>45.755555941184589</v>
      </c>
      <c r="AQ196" s="9">
        <f>IF(OR(Inputs!$C$27=TRUE,Inputs!$C$27="TRUE",Inputs!$C$27=1),Inputs!$C$46/Inputs!$C$12,0)</f>
        <v>42.134831460674157</v>
      </c>
      <c r="AR196" s="9">
        <f t="shared" si="74"/>
        <v>1583.3440883222613</v>
      </c>
      <c r="AS196" s="9">
        <f t="shared" si="75"/>
        <v>1667.6137512436096</v>
      </c>
    </row>
    <row r="197" spans="1:45">
      <c r="A197" s="9">
        <f>Inputs!$C$7+195*(Inputs!$C$8-Inputs!$C$7)/240</f>
        <v>37.5</v>
      </c>
      <c r="B197" s="9">
        <f>Inputs!$C$5+Inputs!$C$9*(A197/Inputs!$C$10)^2</f>
        <v>401.5625</v>
      </c>
      <c r="C197" s="9">
        <f t="shared" si="57"/>
        <v>401.5625</v>
      </c>
      <c r="D197" s="9">
        <f>SQRT((Inputs!$C$52+B197)^2+Inputs!$C$52^2-2*(Inputs!$C$52+B197)*Inputs!$C$52*COS(SQRT(A197^2+Inputs!$C$6^2)/Inputs!$C$52))</f>
        <v>404.72967990617741</v>
      </c>
      <c r="E197" s="9">
        <f t="shared" si="58"/>
        <v>3167.1799061774095</v>
      </c>
      <c r="F197" s="9">
        <f>E197/Inputs!$C$12</f>
        <v>1779.3145540322525</v>
      </c>
      <c r="G197" s="9">
        <f>2*E197/Inputs!$C$21*1000000</f>
        <v>21.129149994676713</v>
      </c>
      <c r="H197" s="9">
        <f>SQRT(A197^2+Inputs!$C$6^2)</f>
        <v>45.069390943299865</v>
      </c>
      <c r="I197" s="9">
        <f t="shared" si="59"/>
        <v>6.4037960179333062</v>
      </c>
      <c r="J197" s="9">
        <f>DEGREES((2*PI()/Inputs!$C$13)*Inputs!$C$15*SIN(RADIANS(I197)))</f>
        <v>40.152517948407976</v>
      </c>
      <c r="K197" s="9">
        <f t="shared" si="60"/>
        <v>0.96906382842795635</v>
      </c>
      <c r="L197" s="9">
        <f t="shared" si="61"/>
        <v>-0.13647616735493498</v>
      </c>
      <c r="M197" s="9">
        <f>2*(Inputs!$C$9/(Inputs!$C$10^2))*A197</f>
        <v>8.3333333333333329E-2</v>
      </c>
      <c r="N197" s="9">
        <f>M197*Inputs!$C$11</f>
        <v>0.33333333333333331</v>
      </c>
      <c r="O197" s="9">
        <f>1000*(D198-D196)/(A198-A196)*Inputs!$C$11</f>
        <v>797.16529662255198</v>
      </c>
      <c r="P197" s="9">
        <f>-2*O197/Inputs!$C$13</f>
        <v>-318.86611864902079</v>
      </c>
      <c r="Q197" s="9">
        <f>-2*O197/Inputs!$C$14</f>
        <v>-47.877795592946072</v>
      </c>
      <c r="R197" s="9">
        <f>F197-Inputs!$C$16/2</f>
        <v>1764.3145540322525</v>
      </c>
      <c r="S197" s="9">
        <f>F197+Inputs!$C$16/2</f>
        <v>1794.3145540322525</v>
      </c>
      <c r="T197" s="9">
        <f>F197-Inputs!$C$17/2</f>
        <v>1629.3145540322525</v>
      </c>
      <c r="U197" s="9">
        <f>F197+Inputs!$C$17/2</f>
        <v>1929.3145540322525</v>
      </c>
      <c r="V197" s="9">
        <f t="shared" si="62"/>
        <v>318.86611864902079</v>
      </c>
      <c r="W197" s="9">
        <f t="shared" si="63"/>
        <v>47.877795592946072</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56.081084744036659</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280.68428636923539</v>
      </c>
      <c r="Z197" s="9">
        <f t="shared" si="64"/>
        <v>401.50641891525595</v>
      </c>
      <c r="AA197" s="9">
        <f>SQRT((Inputs!$C$52+B197)^2+(Inputs!$C$52+Y197/1000)^2-2*(Inputs!$C$52+B197)*(Inputs!$C$52+Y197/1000)*COS(SQRT(A197^2+Inputs!$C$6^2)/Inputs!$C$52))</f>
        <v>404.45176133778983</v>
      </c>
      <c r="AB197" s="9">
        <f t="shared" si="65"/>
        <v>2945.3424225338836</v>
      </c>
      <c r="AC197" s="9">
        <f>AB197/Inputs!$C$12</f>
        <v>1654.6867542325188</v>
      </c>
      <c r="AD197" s="9">
        <f>2*AB197/Inputs!$C$21*1000000</f>
        <v>19.649209604424964</v>
      </c>
      <c r="AE197" s="9">
        <f t="shared" si="66"/>
        <v>6.4082380276193209</v>
      </c>
      <c r="AF197" s="9">
        <f>DEGREES((2*PI()/Inputs!$C$13)*Inputs!$C$15*SIN(RADIANS(AE197)))</f>
        <v>40.180253654335004</v>
      </c>
      <c r="AG197" s="9">
        <f t="shared" si="67"/>
        <v>0.97118741687689947</v>
      </c>
      <c r="AH197" s="9">
        <f t="shared" si="68"/>
        <v>-0.12696953139008688</v>
      </c>
      <c r="AI197" s="9">
        <f t="shared" si="69"/>
        <v>-124.62779979973379</v>
      </c>
      <c r="AJ197" s="9">
        <f t="shared" si="70"/>
        <v>-1.4799403902517483</v>
      </c>
      <c r="AK197" s="9">
        <f t="shared" si="71"/>
        <v>224.60320162519872</v>
      </c>
      <c r="AL197" s="9">
        <f>1000*(AA198-AA196)/(A198-A196)*Inputs!$C$11</f>
        <v>777.35827214360143</v>
      </c>
      <c r="AM197" s="9">
        <f>-2*AL197/Inputs!$C$13</f>
        <v>-310.94330885744057</v>
      </c>
      <c r="AN197" s="9">
        <f>-2*AL197/Inputs!$C$14</f>
        <v>-46.688184513129215</v>
      </c>
      <c r="AO197" s="9">
        <f t="shared" si="72"/>
        <v>310.94330885744057</v>
      </c>
      <c r="AP197" s="9">
        <f t="shared" si="73"/>
        <v>46.688184513129215</v>
      </c>
      <c r="AQ197" s="9">
        <f>IF(OR(Inputs!$C$27=TRUE,Inputs!$C$27="TRUE",Inputs!$C$27=1),Inputs!$C$46/Inputs!$C$12,0)</f>
        <v>42.134831460674157</v>
      </c>
      <c r="AR197" s="9">
        <f t="shared" si="74"/>
        <v>1612.5519227718446</v>
      </c>
      <c r="AS197" s="9">
        <f t="shared" si="75"/>
        <v>1696.8215856931929</v>
      </c>
    </row>
    <row r="198" spans="1:45">
      <c r="A198" s="9">
        <f>Inputs!$C$7+196*(Inputs!$C$8-Inputs!$C$7)/240</f>
        <v>38</v>
      </c>
      <c r="B198" s="9">
        <f>Inputs!$C$5+Inputs!$C$9*(A198/Inputs!$C$10)^2</f>
        <v>401.60444444444443</v>
      </c>
      <c r="C198" s="9">
        <f t="shared" si="57"/>
        <v>401.60444444444443</v>
      </c>
      <c r="D198" s="9">
        <f>SQRT((Inputs!$C$52+B198)^2+Inputs!$C$52^2-2*(Inputs!$C$52+B198)*Inputs!$C$52*COS(SQRT(A198^2+Inputs!$C$6^2)/Inputs!$C$52))</f>
        <v>404.82998091317</v>
      </c>
      <c r="E198" s="9">
        <f t="shared" si="58"/>
        <v>3225.5364687255792</v>
      </c>
      <c r="F198" s="9">
        <f>E198/Inputs!$C$12</f>
        <v>1812.0991397334715</v>
      </c>
      <c r="G198" s="9">
        <f>2*E198/Inputs!$C$21*1000000</f>
        <v>21.518463074381806</v>
      </c>
      <c r="H198" s="9">
        <f>SQRT(A198^2+Inputs!$C$6^2)</f>
        <v>45.486261662176638</v>
      </c>
      <c r="I198" s="9">
        <f t="shared" si="59"/>
        <v>6.4618600446971843</v>
      </c>
      <c r="J198" s="9">
        <f>DEGREES((2*PI()/Inputs!$C$13)*Inputs!$C$15*SIN(RADIANS(I198)))</f>
        <v>40.515047981236947</v>
      </c>
      <c r="K198" s="9">
        <f t="shared" si="60"/>
        <v>0.96850835021994941</v>
      </c>
      <c r="L198" s="9">
        <f t="shared" si="61"/>
        <v>-0.13896630557866255</v>
      </c>
      <c r="M198" s="9">
        <f>2*(Inputs!$C$9/(Inputs!$C$10^2))*A198</f>
        <v>8.4444444444444447E-2</v>
      </c>
      <c r="N198" s="9">
        <f>M198*Inputs!$C$11</f>
        <v>0.33777777777777779</v>
      </c>
      <c r="O198" s="9">
        <f>1000*(D199-D197)/(A199-A197)*Inputs!$C$11</f>
        <v>807.64798399150095</v>
      </c>
      <c r="P198" s="9">
        <f>-2*O198/Inputs!$C$13</f>
        <v>-323.05919359660038</v>
      </c>
      <c r="Q198" s="9">
        <f>-2*O198/Inputs!$C$14</f>
        <v>-48.507386425915975</v>
      </c>
      <c r="R198" s="9">
        <f>F198-Inputs!$C$16/2</f>
        <v>1797.0991397334715</v>
      </c>
      <c r="S198" s="9">
        <f>F198+Inputs!$C$16/2</f>
        <v>1827.0991397334715</v>
      </c>
      <c r="T198" s="9">
        <f>F198-Inputs!$C$17/2</f>
        <v>1662.0991397334715</v>
      </c>
      <c r="U198" s="9">
        <f>F198+Inputs!$C$17/2</f>
        <v>1962.0991397334715</v>
      </c>
      <c r="V198" s="9">
        <f t="shared" si="62"/>
        <v>323.05919359660038</v>
      </c>
      <c r="W198" s="9">
        <f t="shared" si="63"/>
        <v>48.507386425915975</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74.89136844725374</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282.3717678695042</v>
      </c>
      <c r="Z198" s="9">
        <f t="shared" si="64"/>
        <v>401.52955307599717</v>
      </c>
      <c r="AA198" s="9">
        <f>SQRT((Inputs!$C$52+B198)^2+(Inputs!$C$52+Y198/1000)^2-2*(Inputs!$C$52+B198)*(Inputs!$C$52+Y198/1000)*COS(SQRT(A198^2+Inputs!$C$6^2)/Inputs!$C$52))</f>
        <v>404.5504421683176</v>
      </c>
      <c r="AB198" s="9">
        <f t="shared" si="65"/>
        <v>3020.8890923204308</v>
      </c>
      <c r="AC198" s="9">
        <f>AB198/Inputs!$C$12</f>
        <v>1697.1287035508037</v>
      </c>
      <c r="AD198" s="9">
        <f>2*AB198/Inputs!$C$21*1000000</f>
        <v>20.153202735476626</v>
      </c>
      <c r="AE198" s="9">
        <f t="shared" si="66"/>
        <v>6.4663681387296696</v>
      </c>
      <c r="AF198" s="9">
        <f>DEGREES((2*PI()/Inputs!$C$13)*Inputs!$C$15*SIN(RADIANS(AE198)))</f>
        <v>40.543193095807212</v>
      </c>
      <c r="AG198" s="9">
        <f t="shared" si="67"/>
        <v>0.97046380178184277</v>
      </c>
      <c r="AH198" s="9">
        <f t="shared" si="68"/>
        <v>-0.13020659121148417</v>
      </c>
      <c r="AI198" s="9">
        <f t="shared" si="69"/>
        <v>-114.97043618266775</v>
      </c>
      <c r="AJ198" s="9">
        <f t="shared" si="70"/>
        <v>-1.3652603389051805</v>
      </c>
      <c r="AK198" s="9">
        <f t="shared" si="71"/>
        <v>207.48039942225046</v>
      </c>
      <c r="AL198" s="9">
        <f>1000*(AA199-AA197)/(A199-A197)*Inputs!$C$11</f>
        <v>687.30990868743902</v>
      </c>
      <c r="AM198" s="9">
        <f>-2*AL198/Inputs!$C$13</f>
        <v>-274.92396347497561</v>
      </c>
      <c r="AN198" s="9">
        <f>-2*AL198/Inputs!$C$14</f>
        <v>-41.27987439564199</v>
      </c>
      <c r="AO198" s="9">
        <f t="shared" si="72"/>
        <v>274.92396347497561</v>
      </c>
      <c r="AP198" s="9">
        <f t="shared" si="73"/>
        <v>41.27987439564199</v>
      </c>
      <c r="AQ198" s="9">
        <f>IF(OR(Inputs!$C$27=TRUE,Inputs!$C$27="TRUE",Inputs!$C$27=1),Inputs!$C$46/Inputs!$C$12,0)</f>
        <v>42.134831460674157</v>
      </c>
      <c r="AR198" s="9">
        <f t="shared" si="74"/>
        <v>1654.9938720901296</v>
      </c>
      <c r="AS198" s="9">
        <f t="shared" si="75"/>
        <v>1739.2635350114779</v>
      </c>
    </row>
    <row r="199" spans="1:45">
      <c r="A199" s="9">
        <f>Inputs!$C$7+197*(Inputs!$C$8-Inputs!$C$7)/240</f>
        <v>38.5</v>
      </c>
      <c r="B199" s="9">
        <f>Inputs!$C$5+Inputs!$C$9*(A199/Inputs!$C$10)^2</f>
        <v>401.64694444444444</v>
      </c>
      <c r="C199" s="9">
        <f t="shared" si="57"/>
        <v>401.64694444444444</v>
      </c>
      <c r="D199" s="9">
        <f>SQRT((Inputs!$C$52+B199)^2+Inputs!$C$52^2-2*(Inputs!$C$52+B199)*Inputs!$C$52*COS(SQRT(A199^2+Inputs!$C$6^2)/Inputs!$C$52))</f>
        <v>404.93159190217528</v>
      </c>
      <c r="E199" s="9">
        <f t="shared" si="58"/>
        <v>3284.6474577308413</v>
      </c>
      <c r="F199" s="9">
        <f>E199/Inputs!$C$12</f>
        <v>1845.3075605229446</v>
      </c>
      <c r="G199" s="9">
        <f>2*E199/Inputs!$C$21*1000000</f>
        <v>21.91280914565797</v>
      </c>
      <c r="H199" s="9">
        <f>SQRT(A199^2+Inputs!$C$6^2)</f>
        <v>45.904792778096713</v>
      </c>
      <c r="I199" s="9">
        <f t="shared" si="59"/>
        <v>6.5201234866425004</v>
      </c>
      <c r="J199" s="9">
        <f>DEGREES((2*PI()/Inputs!$C$13)*Inputs!$C$15*SIN(RADIANS(I199)))</f>
        <v>40.87878126391778</v>
      </c>
      <c r="K199" s="9">
        <f t="shared" si="60"/>
        <v>0.96794621574763717</v>
      </c>
      <c r="L199" s="9">
        <f t="shared" si="61"/>
        <v>-0.14148773738048093</v>
      </c>
      <c r="M199" s="9">
        <f>2*(Inputs!$C$9/(Inputs!$C$10^2))*A199</f>
        <v>8.5555555555555551E-2</v>
      </c>
      <c r="N199" s="9">
        <f>M199*Inputs!$C$11</f>
        <v>0.34222222222222221</v>
      </c>
      <c r="O199" s="9">
        <f>1000*(D200-D198)/(A200-A198)*Inputs!$C$11</f>
        <v>818.12497490614078</v>
      </c>
      <c r="P199" s="9">
        <f>-2*O199/Inputs!$C$13</f>
        <v>-327.24998996245631</v>
      </c>
      <c r="Q199" s="9">
        <f>-2*O199/Inputs!$C$14</f>
        <v>-49.136635129497947</v>
      </c>
      <c r="R199" s="9">
        <f>F199-Inputs!$C$16/2</f>
        <v>1830.3075605229446</v>
      </c>
      <c r="S199" s="9">
        <f>F199+Inputs!$C$16/2</f>
        <v>1860.3075605229446</v>
      </c>
      <c r="T199" s="9">
        <f>F199-Inputs!$C$17/2</f>
        <v>1695.3075605229446</v>
      </c>
      <c r="U199" s="9">
        <f>F199+Inputs!$C$17/2</f>
        <v>1995.3075605229446</v>
      </c>
      <c r="V199" s="9">
        <f t="shared" si="62"/>
        <v>327.24998996245631</v>
      </c>
      <c r="W199" s="9">
        <f t="shared" si="63"/>
        <v>49.136635129497947</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81.229436651819583</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311.18191933727104</v>
      </c>
      <c r="Z199" s="9">
        <f t="shared" si="64"/>
        <v>401.56571500779262</v>
      </c>
      <c r="AA199" s="9">
        <f>SQRT((Inputs!$C$52+B199)^2+(Inputs!$C$52+Y199/1000)^2-2*(Inputs!$C$52+B199)*(Inputs!$C$52+Y199/1000)*COS(SQRT(A199^2+Inputs!$C$6^2)/Inputs!$C$52))</f>
        <v>404.62358881496169</v>
      </c>
      <c r="AB199" s="9">
        <f t="shared" si="65"/>
        <v>3057.8738071690736</v>
      </c>
      <c r="AC199" s="9">
        <f>AB199/Inputs!$C$12</f>
        <v>1717.9066332410525</v>
      </c>
      <c r="AD199" s="9">
        <f>2*AB199/Inputs!$C$21*1000000</f>
        <v>20.399938194369611</v>
      </c>
      <c r="AE199" s="9">
        <f t="shared" si="66"/>
        <v>6.5251353831822403</v>
      </c>
      <c r="AF199" s="9">
        <f>DEGREES((2*PI()/Inputs!$C$13)*Inputs!$C$15*SIN(RADIANS(AE199)))</f>
        <v>40.910068101600466</v>
      </c>
      <c r="AG199" s="9">
        <f t="shared" si="67"/>
        <v>0.97011163792051658</v>
      </c>
      <c r="AH199" s="9">
        <f t="shared" si="68"/>
        <v>-0.13178285380091603</v>
      </c>
      <c r="AI199" s="9">
        <f t="shared" si="69"/>
        <v>-127.40092728189211</v>
      </c>
      <c r="AJ199" s="9">
        <f t="shared" si="70"/>
        <v>-1.5128709512883596</v>
      </c>
      <c r="AK199" s="9">
        <f t="shared" si="71"/>
        <v>229.95248268545146</v>
      </c>
      <c r="AL199" s="9">
        <f>1000*(AA200-AA198)/(A200-A198)*Inputs!$C$11</f>
        <v>737.50290633347504</v>
      </c>
      <c r="AM199" s="9">
        <f>-2*AL199/Inputs!$C$13</f>
        <v>-295.00116253339002</v>
      </c>
      <c r="AN199" s="9">
        <f>-2*AL199/Inputs!$C$14</f>
        <v>-44.294468848857363</v>
      </c>
      <c r="AO199" s="9">
        <f t="shared" si="72"/>
        <v>295.00116253339002</v>
      </c>
      <c r="AP199" s="9">
        <f t="shared" si="73"/>
        <v>44.294468848857363</v>
      </c>
      <c r="AQ199" s="9">
        <f>IF(OR(Inputs!$C$27=TRUE,Inputs!$C$27="TRUE",Inputs!$C$27=1),Inputs!$C$46/Inputs!$C$12,0)</f>
        <v>42.134831460674157</v>
      </c>
      <c r="AR199" s="9">
        <f t="shared" si="74"/>
        <v>1675.7718017803784</v>
      </c>
      <c r="AS199" s="9">
        <f t="shared" si="75"/>
        <v>1760.0414647017267</v>
      </c>
    </row>
    <row r="200" spans="1:45">
      <c r="A200" s="9">
        <f>Inputs!$C$7+198*(Inputs!$C$8-Inputs!$C$7)/240</f>
        <v>39</v>
      </c>
      <c r="B200" s="9">
        <f>Inputs!$C$5+Inputs!$C$9*(A200/Inputs!$C$10)^2</f>
        <v>401.69</v>
      </c>
      <c r="C200" s="9">
        <f t="shared" si="57"/>
        <v>401.69</v>
      </c>
      <c r="D200" s="9">
        <f>SQRT((Inputs!$C$52+B200)^2+Inputs!$C$52^2-2*(Inputs!$C$52+B200)*Inputs!$C$52*COS(SQRT(A200^2+Inputs!$C$6^2)/Inputs!$C$52))</f>
        <v>405.03451215689654</v>
      </c>
      <c r="E200" s="9">
        <f t="shared" si="58"/>
        <v>3344.5121568965419</v>
      </c>
      <c r="F200" s="9">
        <f>E200/Inputs!$C$12</f>
        <v>1878.9394139868214</v>
      </c>
      <c r="G200" s="9">
        <f>2*E200/Inputs!$C$21*1000000</f>
        <v>22.3121834298883</v>
      </c>
      <c r="H200" s="9">
        <f>SQRT(A200^2+Inputs!$C$6^2)</f>
        <v>46.324939287601879</v>
      </c>
      <c r="I200" s="9">
        <f t="shared" si="59"/>
        <v>6.5785794361869598</v>
      </c>
      <c r="J200" s="9">
        <f>DEGREES((2*PI()/Inputs!$C$13)*Inputs!$C$15*SIN(RADIANS(I200)))</f>
        <v>41.243673872364795</v>
      </c>
      <c r="K200" s="9">
        <f t="shared" si="60"/>
        <v>0.96737745142985054</v>
      </c>
      <c r="L200" s="9">
        <f t="shared" si="61"/>
        <v>-0.14404039785809303</v>
      </c>
      <c r="M200" s="9">
        <f>2*(Inputs!$C$9/(Inputs!$C$10^2))*A200</f>
        <v>8.666666666666667E-2</v>
      </c>
      <c r="N200" s="9">
        <f>M200*Inputs!$C$11</f>
        <v>0.34666666666666668</v>
      </c>
      <c r="O200" s="9">
        <f>1000*(D201-D199)/(A201-A199)*Inputs!$C$11</f>
        <v>828.59620164936132</v>
      </c>
      <c r="P200" s="9">
        <f>-2*O200/Inputs!$C$13</f>
        <v>-331.43848065974453</v>
      </c>
      <c r="Q200" s="9">
        <f>-2*O200/Inputs!$C$14</f>
        <v>-49.765537636598282</v>
      </c>
      <c r="R200" s="9">
        <f>F200-Inputs!$C$16/2</f>
        <v>1863.9394139868214</v>
      </c>
      <c r="S200" s="9">
        <f>F200+Inputs!$C$16/2</f>
        <v>1893.9394139868214</v>
      </c>
      <c r="T200" s="9">
        <f>F200-Inputs!$C$17/2</f>
        <v>1728.9394139868214</v>
      </c>
      <c r="U200" s="9">
        <f>F200+Inputs!$C$17/2</f>
        <v>2028.9394139868214</v>
      </c>
      <c r="V200" s="9">
        <f t="shared" si="62"/>
        <v>331.43848065974453</v>
      </c>
      <c r="W200" s="9">
        <f t="shared" si="63"/>
        <v>49.765537636598282</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82.757717027313632</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302.84354967777892</v>
      </c>
      <c r="Z200" s="9">
        <f t="shared" si="64"/>
        <v>401.60724228297266</v>
      </c>
      <c r="AA200" s="9">
        <f>SQRT((Inputs!$C$52+B200)^2+(Inputs!$C$52+Y200/1000)^2-2*(Inputs!$C$52+B200)*(Inputs!$C$52+Y200/1000)*COS(SQRT(A200^2+Inputs!$C$6^2)/Inputs!$C$52))</f>
        <v>404.73481789490097</v>
      </c>
      <c r="AB200" s="9">
        <f t="shared" si="65"/>
        <v>3127.5756119283074</v>
      </c>
      <c r="AC200" s="9">
        <f>AB200/Inputs!$C$12</f>
        <v>1757.064950521521</v>
      </c>
      <c r="AD200" s="9">
        <f>2*AB200/Inputs!$C$21*1000000</f>
        <v>20.864938583133451</v>
      </c>
      <c r="AE200" s="9">
        <f t="shared" si="66"/>
        <v>6.5834993674439071</v>
      </c>
      <c r="AF200" s="9">
        <f>DEGREES((2*PI()/Inputs!$C$13)*Inputs!$C$15*SIN(RADIANS(AE200)))</f>
        <v>41.274383019611882</v>
      </c>
      <c r="AG200" s="9">
        <f t="shared" si="67"/>
        <v>0.96944656589844536</v>
      </c>
      <c r="AH200" s="9">
        <f t="shared" si="68"/>
        <v>-0.13476123434144838</v>
      </c>
      <c r="AI200" s="9">
        <f t="shared" si="69"/>
        <v>-121.87446346530032</v>
      </c>
      <c r="AJ200" s="9">
        <f t="shared" si="70"/>
        <v>-1.4472448467548489</v>
      </c>
      <c r="AK200" s="9">
        <f t="shared" si="71"/>
        <v>220.08583265046531</v>
      </c>
      <c r="AL200" s="9">
        <f>1000*(AA201-AA199)/(A201-A199)*Inputs!$C$11</f>
        <v>877.54772871085152</v>
      </c>
      <c r="AM200" s="9">
        <f>-2*AL200/Inputs!$C$13</f>
        <v>-351.01909148434061</v>
      </c>
      <c r="AN200" s="9">
        <f>-2*AL200/Inputs!$C$14</f>
        <v>-52.705569291943036</v>
      </c>
      <c r="AO200" s="9">
        <f t="shared" si="72"/>
        <v>351.01909148434061</v>
      </c>
      <c r="AP200" s="9">
        <f t="shared" si="73"/>
        <v>52.705569291943036</v>
      </c>
      <c r="AQ200" s="9">
        <f>IF(OR(Inputs!$C$27=TRUE,Inputs!$C$27="TRUE",Inputs!$C$27=1),Inputs!$C$46/Inputs!$C$12,0)</f>
        <v>42.134831460674157</v>
      </c>
      <c r="AR200" s="9">
        <f t="shared" si="74"/>
        <v>1714.9301190608469</v>
      </c>
      <c r="AS200" s="9">
        <f t="shared" si="75"/>
        <v>1799.1997819821952</v>
      </c>
    </row>
    <row r="201" spans="1:45">
      <c r="A201" s="9">
        <f>Inputs!$C$7+199*(Inputs!$C$8-Inputs!$C$7)/240</f>
        <v>39.5</v>
      </c>
      <c r="B201" s="9">
        <f>Inputs!$C$5+Inputs!$C$9*(A201/Inputs!$C$10)^2</f>
        <v>401.73361111111109</v>
      </c>
      <c r="C201" s="9">
        <f t="shared" si="57"/>
        <v>401.73361111111109</v>
      </c>
      <c r="D201" s="9">
        <f>SQRT((Inputs!$C$52+B201)^2+Inputs!$C$52^2-2*(Inputs!$C$52+B201)*Inputs!$C$52*COS(SQRT(A201^2+Inputs!$C$6^2)/Inputs!$C$52))</f>
        <v>405.13874095258763</v>
      </c>
      <c r="E201" s="9">
        <f t="shared" si="58"/>
        <v>3405.129841476537</v>
      </c>
      <c r="F201" s="9">
        <f>E201/Inputs!$C$12</f>
        <v>1912.9942929643466</v>
      </c>
      <c r="G201" s="9">
        <f>2*E201/Inputs!$C$21*1000000</f>
        <v>22.716581092086958</v>
      </c>
      <c r="H201" s="9">
        <f>SQRT(A201^2+Inputs!$C$6^2)</f>
        <v>46.746657634530408</v>
      </c>
      <c r="I201" s="9">
        <f t="shared" si="59"/>
        <v>6.6372211939086254</v>
      </c>
      <c r="J201" s="9">
        <f>DEGREES((2*PI()/Inputs!$C$13)*Inputs!$C$15*SIN(RADIANS(I201)))</f>
        <v>41.609683192895538</v>
      </c>
      <c r="K201" s="9">
        <f t="shared" si="60"/>
        <v>0.96680208395170664</v>
      </c>
      <c r="L201" s="9">
        <f t="shared" si="61"/>
        <v>-0.1466242213721376</v>
      </c>
      <c r="M201" s="9">
        <f>2*(Inputs!$C$9/(Inputs!$C$10^2))*A201</f>
        <v>8.7777777777777774E-2</v>
      </c>
      <c r="N201" s="9">
        <f>M201*Inputs!$C$11</f>
        <v>0.3511111111111111</v>
      </c>
      <c r="O201" s="9">
        <f>1000*(D202-D200)/(A202-A200)*Inputs!$C$11</f>
        <v>839.06159677599135</v>
      </c>
      <c r="P201" s="9">
        <f>-2*O201/Inputs!$C$13</f>
        <v>-335.62463871039654</v>
      </c>
      <c r="Q201" s="9">
        <f>-2*O201/Inputs!$C$14</f>
        <v>-50.394089896455938</v>
      </c>
      <c r="R201" s="9">
        <f>F201-Inputs!$C$16/2</f>
        <v>1897.9942929643466</v>
      </c>
      <c r="S201" s="9">
        <f>F201+Inputs!$C$16/2</f>
        <v>1927.9942929643466</v>
      </c>
      <c r="T201" s="9">
        <f>F201-Inputs!$C$17/2</f>
        <v>1762.9942929643466</v>
      </c>
      <c r="U201" s="9">
        <f>F201+Inputs!$C$17/2</f>
        <v>2062.9942929643466</v>
      </c>
      <c r="V201" s="9">
        <f t="shared" si="62"/>
        <v>335.62463871039654</v>
      </c>
      <c r="W201" s="9">
        <f t="shared" si="63"/>
        <v>50.394089896455938</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76.312714900519723</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298.92940490778824</v>
      </c>
      <c r="Z201" s="9">
        <f t="shared" si="64"/>
        <v>401.65729839621059</v>
      </c>
      <c r="AA201" s="9">
        <f>SQRT((Inputs!$C$52+B201)^2+(Inputs!$C$52+Y201/1000)^2-2*(Inputs!$C$52+B201)*(Inputs!$C$52+Y201/1000)*COS(SQRT(A201^2+Inputs!$C$6^2)/Inputs!$C$52))</f>
        <v>404.84297574713941</v>
      </c>
      <c r="AB201" s="9">
        <f t="shared" si="65"/>
        <v>3185.6773509288132</v>
      </c>
      <c r="AC201" s="9">
        <f>AB201/Inputs!$C$12</f>
        <v>1789.7063769262995</v>
      </c>
      <c r="AD201" s="9">
        <f>2*AB201/Inputs!$C$21*1000000</f>
        <v>21.252551663116311</v>
      </c>
      <c r="AE201" s="9">
        <f t="shared" si="66"/>
        <v>6.6421194724658417</v>
      </c>
      <c r="AF201" s="9">
        <f>DEGREES((2*PI()/Inputs!$C$13)*Inputs!$C$15*SIN(RADIANS(AE201)))</f>
        <v>41.640253563190321</v>
      </c>
      <c r="AG201" s="9">
        <f t="shared" si="67"/>
        <v>0.9688938907798772</v>
      </c>
      <c r="AH201" s="9">
        <f t="shared" si="68"/>
        <v>-0.1372378246634105</v>
      </c>
      <c r="AI201" s="9">
        <f t="shared" si="69"/>
        <v>-123.28791603804711</v>
      </c>
      <c r="AJ201" s="9">
        <f t="shared" si="70"/>
        <v>-1.4640294289706475</v>
      </c>
      <c r="AK201" s="9">
        <f t="shared" si="71"/>
        <v>222.61669000726852</v>
      </c>
      <c r="AL201" s="9">
        <f>1000*(AA202-AA200)/(A202-A200)*Inputs!$C$11</f>
        <v>831.69008356753693</v>
      </c>
      <c r="AM201" s="9">
        <f>-2*AL201/Inputs!$C$13</f>
        <v>-332.67603342701477</v>
      </c>
      <c r="AN201" s="9">
        <f>-2*AL201/Inputs!$C$14</f>
        <v>-49.951356370422644</v>
      </c>
      <c r="AO201" s="9">
        <f t="shared" si="72"/>
        <v>332.67603342701477</v>
      </c>
      <c r="AP201" s="9">
        <f t="shared" si="73"/>
        <v>49.951356370422644</v>
      </c>
      <c r="AQ201" s="9">
        <f>IF(OR(Inputs!$C$27=TRUE,Inputs!$C$27="TRUE",Inputs!$C$27=1),Inputs!$C$46/Inputs!$C$12,0)</f>
        <v>42.134831460674157</v>
      </c>
      <c r="AR201" s="9">
        <f t="shared" si="74"/>
        <v>1747.5715454656254</v>
      </c>
      <c r="AS201" s="9">
        <f t="shared" si="75"/>
        <v>1831.8412083869737</v>
      </c>
    </row>
    <row r="202" spans="1:45">
      <c r="A202" s="9">
        <f>Inputs!$C$7+200*(Inputs!$C$8-Inputs!$C$7)/240</f>
        <v>40</v>
      </c>
      <c r="B202" s="9">
        <f>Inputs!$C$5+Inputs!$C$9*(A202/Inputs!$C$10)^2</f>
        <v>401.77777777777777</v>
      </c>
      <c r="C202" s="9">
        <f t="shared" si="57"/>
        <v>401.77777777777777</v>
      </c>
      <c r="D202" s="9">
        <f>SQRT((Inputs!$C$52+B202)^2+Inputs!$C$52^2-2*(Inputs!$C$52+B202)*Inputs!$C$52*COS(SQRT(A202^2+Inputs!$C$6^2)/Inputs!$C$52))</f>
        <v>405.24427755609054</v>
      </c>
      <c r="E202" s="9">
        <f t="shared" si="58"/>
        <v>3466.499778312766</v>
      </c>
      <c r="F202" s="9">
        <f>E202/Inputs!$C$12</f>
        <v>1947.4717855689696</v>
      </c>
      <c r="G202" s="9">
        <f>2*E202/Inputs!$C$21*1000000</f>
        <v>23.12599724114985</v>
      </c>
      <c r="H202" s="9">
        <f>SQRT(A202^2+Inputs!$C$6^2)</f>
        <v>47.169905660283021</v>
      </c>
      <c r="I202" s="9">
        <f t="shared" si="59"/>
        <v>6.6960422614565118</v>
      </c>
      <c r="J202" s="9">
        <f>DEGREES((2*PI()/Inputs!$C$13)*Inputs!$C$15*SIN(RADIANS(I202)))</f>
        <v>41.976767877765525</v>
      </c>
      <c r="K202" s="9">
        <f t="shared" si="60"/>
        <v>0.96622014026175418</v>
      </c>
      <c r="L202" s="9">
        <f t="shared" si="61"/>
        <v>-0.14923914155044041</v>
      </c>
      <c r="M202" s="9">
        <f>2*(Inputs!$C$9/(Inputs!$C$10^2))*A202</f>
        <v>8.8888888888888892E-2</v>
      </c>
      <c r="N202" s="9">
        <f>M202*Inputs!$C$11</f>
        <v>0.35555555555555557</v>
      </c>
      <c r="O202" s="9">
        <f>1000*(D203-D201)/(A203-A201)*Inputs!$C$11</f>
        <v>849.52109312484936</v>
      </c>
      <c r="P202" s="9">
        <f>-2*O202/Inputs!$C$13</f>
        <v>-339.80843724993974</v>
      </c>
      <c r="Q202" s="9">
        <f>-2*O202/Inputs!$C$14</f>
        <v>-51.022287875366331</v>
      </c>
      <c r="R202" s="9">
        <f>F202-Inputs!$C$16/2</f>
        <v>1932.4717855689696</v>
      </c>
      <c r="S202" s="9">
        <f>F202+Inputs!$C$16/2</f>
        <v>1962.4717855689696</v>
      </c>
      <c r="T202" s="9">
        <f>F202-Inputs!$C$17/2</f>
        <v>1797.4717855689696</v>
      </c>
      <c r="U202" s="9">
        <f>F202+Inputs!$C$17/2</f>
        <v>2097.4717855689696</v>
      </c>
      <c r="V202" s="9">
        <f t="shared" si="62"/>
        <v>339.80843724993974</v>
      </c>
      <c r="W202" s="9">
        <f t="shared" si="63"/>
        <v>51.022287875366331</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66.26609020115302</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304.82117281226778</v>
      </c>
      <c r="Z202" s="9">
        <f t="shared" si="64"/>
        <v>401.7115116875766</v>
      </c>
      <c r="AA202" s="9">
        <f>SQRT((Inputs!$C$52+B202)^2+(Inputs!$C$52+Y202/1000)^2-2*(Inputs!$C$52+B202)*(Inputs!$C$52+Y202/1000)*COS(SQRT(A202^2+Inputs!$C$6^2)/Inputs!$C$52))</f>
        <v>404.94274041579285</v>
      </c>
      <c r="AB202" s="9">
        <f t="shared" si="65"/>
        <v>3231.2287282162515</v>
      </c>
      <c r="AC202" s="9">
        <f>AB202/Inputs!$C$12</f>
        <v>1815.2970383237368</v>
      </c>
      <c r="AD202" s="9">
        <f>2*AB202/Inputs!$C$21*1000000</f>
        <v>21.556437742114593</v>
      </c>
      <c r="AE202" s="9">
        <f t="shared" si="66"/>
        <v>6.7010800609249275</v>
      </c>
      <c r="AF202" s="9">
        <f>DEGREES((2*PI()/Inputs!$C$13)*Inputs!$C$15*SIN(RADIANS(AE202)))</f>
        <v>42.008205225736653</v>
      </c>
      <c r="AG202" s="9">
        <f t="shared" si="67"/>
        <v>0.96846212073573557</v>
      </c>
      <c r="AH202" s="9">
        <f t="shared" si="68"/>
        <v>-0.13917361085460939</v>
      </c>
      <c r="AI202" s="9">
        <f t="shared" si="69"/>
        <v>-132.17474724523277</v>
      </c>
      <c r="AJ202" s="9">
        <f t="shared" si="70"/>
        <v>-1.5695594990352575</v>
      </c>
      <c r="AK202" s="9">
        <f t="shared" si="71"/>
        <v>238.55508261111476</v>
      </c>
      <c r="AL202" s="9">
        <f>1000*(AA203-AA201)/(A203-A201)*Inputs!$C$11</f>
        <v>842.97942978491847</v>
      </c>
      <c r="AM202" s="9">
        <f>-2*AL202/Inputs!$C$13</f>
        <v>-337.19177191396739</v>
      </c>
      <c r="AN202" s="9">
        <f>-2*AL202/Inputs!$C$14</f>
        <v>-50.629395182277392</v>
      </c>
      <c r="AO202" s="9">
        <f t="shared" si="72"/>
        <v>337.19177191396739</v>
      </c>
      <c r="AP202" s="9">
        <f t="shared" si="73"/>
        <v>50.629395182277392</v>
      </c>
      <c r="AQ202" s="9">
        <f>IF(OR(Inputs!$C$27=TRUE,Inputs!$C$27="TRUE",Inputs!$C$27=1),Inputs!$C$46/Inputs!$C$12,0)</f>
        <v>42.134831460674157</v>
      </c>
      <c r="AR202" s="9">
        <f t="shared" si="74"/>
        <v>1773.1622068630627</v>
      </c>
      <c r="AS202" s="9">
        <f t="shared" si="75"/>
        <v>1857.431869784411</v>
      </c>
    </row>
    <row r="203" spans="1:45">
      <c r="A203" s="9">
        <f>Inputs!$C$7+201*(Inputs!$C$8-Inputs!$C$7)/240</f>
        <v>40.5</v>
      </c>
      <c r="B203" s="9">
        <f>Inputs!$C$5+Inputs!$C$9*(A203/Inputs!$C$10)^2</f>
        <v>401.82249999999999</v>
      </c>
      <c r="C203" s="9">
        <f t="shared" si="57"/>
        <v>401.82249999999999</v>
      </c>
      <c r="D203" s="9">
        <f>SQRT((Inputs!$C$52+B203)^2+Inputs!$C$52^2-2*(Inputs!$C$52+B203)*Inputs!$C$52*COS(SQRT(A203^2+Inputs!$C$6^2)/Inputs!$C$52))</f>
        <v>405.35112122586884</v>
      </c>
      <c r="E203" s="9">
        <f t="shared" si="58"/>
        <v>3528.6212258688465</v>
      </c>
      <c r="F203" s="9">
        <f>E203/Inputs!$C$12</f>
        <v>1982.3714752072171</v>
      </c>
      <c r="G203" s="9">
        <f>2*E203/Inputs!$C$21*1000000</f>
        <v>23.540426930078716</v>
      </c>
      <c r="H203" s="9">
        <f>SQRT(A203^2+Inputs!$C$6^2)</f>
        <v>47.594642555649052</v>
      </c>
      <c r="I203" s="9">
        <f t="shared" si="59"/>
        <v>6.7550363346833162</v>
      </c>
      <c r="J203" s="9">
        <f>DEGREES((2*PI()/Inputs!$C$13)*Inputs!$C$15*SIN(RADIANS(I203)))</f>
        <v>42.344887802096068</v>
      </c>
      <c r="K203" s="9">
        <f t="shared" si="60"/>
        <v>0.96563164756913622</v>
      </c>
      <c r="L203" s="9">
        <f t="shared" si="61"/>
        <v>-0.15188509129213362</v>
      </c>
      <c r="M203" s="9">
        <f>2*(Inputs!$C$9/(Inputs!$C$10^2))*A203</f>
        <v>0.09</v>
      </c>
      <c r="N203" s="9">
        <f>M203*Inputs!$C$11</f>
        <v>0.36</v>
      </c>
      <c r="O203" s="9">
        <f>1000*(D204-D202)/(A204-A202)*Inputs!$C$11</f>
        <v>859.97462381146761</v>
      </c>
      <c r="P203" s="9">
        <f>-2*O203/Inputs!$C$13</f>
        <v>-343.98984952458704</v>
      </c>
      <c r="Q203" s="9">
        <f>-2*O203/Inputs!$C$14</f>
        <v>-51.650127556244307</v>
      </c>
      <c r="R203" s="9">
        <f>F203-Inputs!$C$16/2</f>
        <v>1967.3714752072171</v>
      </c>
      <c r="S203" s="9">
        <f>F203+Inputs!$C$16/2</f>
        <v>1997.3714752072171</v>
      </c>
      <c r="T203" s="9">
        <f>F203-Inputs!$C$17/2</f>
        <v>1832.3714752072171</v>
      </c>
      <c r="U203" s="9">
        <f>F203+Inputs!$C$17/2</f>
        <v>2132.3714752072174</v>
      </c>
      <c r="V203" s="9">
        <f t="shared" si="62"/>
        <v>343.98984952458704</v>
      </c>
      <c r="W203" s="9">
        <f t="shared" si="63"/>
        <v>51.650127556244307</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60.152205166209214</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300.69750601512629</v>
      </c>
      <c r="Z203" s="9">
        <f t="shared" si="64"/>
        <v>401.76234779483377</v>
      </c>
      <c r="AA203" s="9">
        <f>SQRT((Inputs!$C$52+B203)^2+(Inputs!$C$52+Y203/1000)^2-2*(Inputs!$C$52+B203)*(Inputs!$C$52+Y203/1000)*COS(SQRT(A203^2+Inputs!$C$6^2)/Inputs!$C$52))</f>
        <v>405.05372060458564</v>
      </c>
      <c r="AB203" s="9">
        <f t="shared" si="65"/>
        <v>3291.3728097518629</v>
      </c>
      <c r="AC203" s="9">
        <f>AB203/Inputs!$C$12</f>
        <v>1849.0858481752039</v>
      </c>
      <c r="AD203" s="9">
        <f>2*AB203/Inputs!$C$21*1000000</f>
        <v>21.957675864893591</v>
      </c>
      <c r="AE203" s="9">
        <f t="shared" si="66"/>
        <v>6.7600483452562825</v>
      </c>
      <c r="AF203" s="9">
        <f>DEGREES((2*PI()/Inputs!$C$13)*Inputs!$C$15*SIN(RADIANS(AE203)))</f>
        <v>42.376160421823549</v>
      </c>
      <c r="AG203" s="9">
        <f t="shared" si="67"/>
        <v>0.96789095248152945</v>
      </c>
      <c r="AH203" s="9">
        <f t="shared" si="68"/>
        <v>-0.14173569761105143</v>
      </c>
      <c r="AI203" s="9">
        <f t="shared" si="69"/>
        <v>-133.28562703201328</v>
      </c>
      <c r="AJ203" s="9">
        <f t="shared" si="70"/>
        <v>-1.5827510651851249</v>
      </c>
      <c r="AK203" s="9">
        <f t="shared" si="71"/>
        <v>240.54530084891707</v>
      </c>
      <c r="AL203" s="9">
        <f>1000*(AA204-AA202)/(A204-A202)*Inputs!$C$11</f>
        <v>972.23614309609729</v>
      </c>
      <c r="AM203" s="9">
        <f>-2*AL203/Inputs!$C$13</f>
        <v>-388.89445723843892</v>
      </c>
      <c r="AN203" s="9">
        <f>-2*AL203/Inputs!$C$14</f>
        <v>-58.392561146912755</v>
      </c>
      <c r="AO203" s="9">
        <f t="shared" si="72"/>
        <v>388.89445723843892</v>
      </c>
      <c r="AP203" s="9">
        <f t="shared" si="73"/>
        <v>58.392561146912755</v>
      </c>
      <c r="AQ203" s="9">
        <f>IF(OR(Inputs!$C$27=TRUE,Inputs!$C$27="TRUE",Inputs!$C$27=1),Inputs!$C$46/Inputs!$C$12,0)</f>
        <v>42.134831460674157</v>
      </c>
      <c r="AR203" s="9">
        <f t="shared" si="74"/>
        <v>1806.9510167145297</v>
      </c>
      <c r="AS203" s="9">
        <f t="shared" si="75"/>
        <v>1891.220679635878</v>
      </c>
    </row>
    <row r="204" spans="1:45">
      <c r="A204" s="9">
        <f>Inputs!$C$7+202*(Inputs!$C$8-Inputs!$C$7)/240</f>
        <v>41</v>
      </c>
      <c r="B204" s="9">
        <f>Inputs!$C$5+Inputs!$C$9*(A204/Inputs!$C$10)^2</f>
        <v>401.8677777777778</v>
      </c>
      <c r="C204" s="9">
        <f t="shared" si="57"/>
        <v>401.8677777777778</v>
      </c>
      <c r="D204" s="9">
        <f>SQRT((Inputs!$C$52+B204)^2+Inputs!$C$52^2-2*(Inputs!$C$52+B204)*Inputs!$C$52*COS(SQRT(A204^2+Inputs!$C$6^2)/Inputs!$C$52))</f>
        <v>405.4592712120434</v>
      </c>
      <c r="E204" s="9">
        <f t="shared" si="58"/>
        <v>3591.4934342656011</v>
      </c>
      <c r="F204" s="9">
        <f>E204/Inputs!$C$12</f>
        <v>2017.6929405986523</v>
      </c>
      <c r="G204" s="9">
        <f>2*E204/Inputs!$C$21*1000000</f>
        <v>23.959865156218179</v>
      </c>
      <c r="H204" s="9">
        <f>SQRT(A204^2+Inputs!$C$6^2)</f>
        <v>48.020828814171878</v>
      </c>
      <c r="I204" s="9">
        <f t="shared" si="59"/>
        <v>6.8141972969973379</v>
      </c>
      <c r="J204" s="9">
        <f>DEGREES((2*PI()/Inputs!$C$13)*Inputs!$C$15*SIN(RADIANS(I204)))</f>
        <v>42.714004022176852</v>
      </c>
      <c r="K204" s="9">
        <f t="shared" si="60"/>
        <v>0.96503663334071799</v>
      </c>
      <c r="L204" s="9">
        <f t="shared" si="61"/>
        <v>-0.15456200277187909</v>
      </c>
      <c r="M204" s="9">
        <f>2*(Inputs!$C$9/(Inputs!$C$10^2))*A204</f>
        <v>9.1111111111111115E-2</v>
      </c>
      <c r="N204" s="9">
        <f>M204*Inputs!$C$11</f>
        <v>0.36444444444444446</v>
      </c>
      <c r="O204" s="9">
        <f>1000*(D205-D203)/(A205-A203)*Inputs!$C$11</f>
        <v>870.42212220785586</v>
      </c>
      <c r="P204" s="9">
        <f>-2*O204/Inputs!$C$13</f>
        <v>-348.16884888314235</v>
      </c>
      <c r="Q204" s="9">
        <f>-2*O204/Inputs!$C$14</f>
        <v>-52.277604937408768</v>
      </c>
      <c r="R204" s="9">
        <f>F204-Inputs!$C$16/2</f>
        <v>2002.6929405986523</v>
      </c>
      <c r="S204" s="9">
        <f>F204+Inputs!$C$16/2</f>
        <v>2032.6929405986523</v>
      </c>
      <c r="T204" s="9">
        <f>F204-Inputs!$C$17/2</f>
        <v>1867.6929405986523</v>
      </c>
      <c r="U204" s="9">
        <f>F204+Inputs!$C$17/2</f>
        <v>2167.6929405986521</v>
      </c>
      <c r="V204" s="9">
        <f t="shared" si="62"/>
        <v>348.16884888314235</v>
      </c>
      <c r="W204" s="9">
        <f t="shared" si="63"/>
        <v>52.277604937408768</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52.609338989159092</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276.55710773826542</v>
      </c>
      <c r="Z204" s="9">
        <f t="shared" si="64"/>
        <v>401.81516843878865</v>
      </c>
      <c r="AA204" s="9">
        <f>SQRT((Inputs!$C$52+B204)^2+(Inputs!$C$52+Y204/1000)^2-2*(Inputs!$C$52+B204)*(Inputs!$C$52+Y204/1000)*COS(SQRT(A204^2+Inputs!$C$6^2)/Inputs!$C$52))</f>
        <v>405.18579945156688</v>
      </c>
      <c r="AB204" s="9">
        <f t="shared" si="65"/>
        <v>3370.6310127782331</v>
      </c>
      <c r="AC204" s="9">
        <f>AB204/Inputs!$C$12</f>
        <v>1893.6129285270972</v>
      </c>
      <c r="AD204" s="9">
        <f>2*AB204/Inputs!$C$21*1000000</f>
        <v>22.486429680484044</v>
      </c>
      <c r="AE204" s="9">
        <f t="shared" si="66"/>
        <v>6.8188457467044747</v>
      </c>
      <c r="AF204" s="9">
        <f>DEGREES((2*PI()/Inputs!$C$13)*Inputs!$C$15*SIN(RADIANS(AE204)))</f>
        <v>42.743004637762105</v>
      </c>
      <c r="AG204" s="9">
        <f t="shared" si="67"/>
        <v>0.967137992167864</v>
      </c>
      <c r="AH204" s="9">
        <f t="shared" si="68"/>
        <v>-0.14511555946506494</v>
      </c>
      <c r="AI204" s="9">
        <f t="shared" si="69"/>
        <v>-124.08001207155507</v>
      </c>
      <c r="AJ204" s="9">
        <f t="shared" si="70"/>
        <v>-1.473435475734135</v>
      </c>
      <c r="AK204" s="9">
        <f t="shared" si="71"/>
        <v>223.94776874910633</v>
      </c>
      <c r="AL204" s="9">
        <f>1000*(AA205-AA203)/(A205-A203)*Inputs!$C$11</f>
        <v>995.38599462107413</v>
      </c>
      <c r="AM204" s="9">
        <f>-2*AL204/Inputs!$C$13</f>
        <v>-398.15439784842965</v>
      </c>
      <c r="AN204" s="9">
        <f>-2*AL204/Inputs!$C$14</f>
        <v>-59.782942619884338</v>
      </c>
      <c r="AO204" s="9">
        <f t="shared" si="72"/>
        <v>398.15439784842965</v>
      </c>
      <c r="AP204" s="9">
        <f t="shared" si="73"/>
        <v>59.782942619884338</v>
      </c>
      <c r="AQ204" s="9">
        <f>IF(OR(Inputs!$C$27=TRUE,Inputs!$C$27="TRUE",Inputs!$C$27=1),Inputs!$C$46/Inputs!$C$12,0)</f>
        <v>42.134831460674157</v>
      </c>
      <c r="AR204" s="9">
        <f t="shared" si="74"/>
        <v>1851.4780970664231</v>
      </c>
      <c r="AS204" s="9">
        <f t="shared" si="75"/>
        <v>1935.7477599877714</v>
      </c>
    </row>
    <row r="205" spans="1:45">
      <c r="A205" s="9">
        <f>Inputs!$C$7+203*(Inputs!$C$8-Inputs!$C$7)/240</f>
        <v>41.5</v>
      </c>
      <c r="B205" s="9">
        <f>Inputs!$C$5+Inputs!$C$9*(A205/Inputs!$C$10)^2</f>
        <v>401.91361111111109</v>
      </c>
      <c r="C205" s="9">
        <f t="shared" si="57"/>
        <v>401.91361111111109</v>
      </c>
      <c r="D205" s="9">
        <f>SQRT((Inputs!$C$52+B205)^2+Inputs!$C$52^2-2*(Inputs!$C$52+B205)*Inputs!$C$52*COS(SQRT(A205^2+Inputs!$C$6^2)/Inputs!$C$52))</f>
        <v>405.5687267564208</v>
      </c>
      <c r="E205" s="9">
        <f t="shared" si="58"/>
        <v>3655.1156453097065</v>
      </c>
      <c r="F205" s="9">
        <f>E205/Inputs!$C$12</f>
        <v>2053.4357557919698</v>
      </c>
      <c r="G205" s="9">
        <f>2*E205/Inputs!$C$21*1000000</f>
        <v>24.384306861446838</v>
      </c>
      <c r="H205" s="9">
        <f>SQRT(A205^2+Inputs!$C$6^2)</f>
        <v>48.448426187029028</v>
      </c>
      <c r="I205" s="9">
        <f t="shared" si="59"/>
        <v>6.8735192129301588</v>
      </c>
      <c r="J205" s="9">
        <f>DEGREES((2*PI()/Inputs!$C$13)*Inputs!$C$15*SIN(RADIANS(I205)))</f>
        <v>43.084078735121693</v>
      </c>
      <c r="K205" s="9">
        <f t="shared" si="60"/>
        <v>0.96443512529826658</v>
      </c>
      <c r="L205" s="9">
        <f t="shared" si="61"/>
        <v>-0.15726980744380722</v>
      </c>
      <c r="M205" s="9">
        <f>2*(Inputs!$C$9/(Inputs!$C$10^2))*A205</f>
        <v>9.2222222222222219E-2</v>
      </c>
      <c r="N205" s="9">
        <f>M205*Inputs!$C$11</f>
        <v>0.36888888888888888</v>
      </c>
      <c r="O205" s="9">
        <f>1000*(D206-D204)/(A206-A204)*Inputs!$C$11</f>
        <v>880.86352199184148</v>
      </c>
      <c r="P205" s="9">
        <f>-2*O205/Inputs!$C$13</f>
        <v>-352.34540879673659</v>
      </c>
      <c r="Q205" s="9">
        <f>-2*O205/Inputs!$C$14</f>
        <v>-52.904716035546038</v>
      </c>
      <c r="R205" s="9">
        <f>F205-Inputs!$C$16/2</f>
        <v>2038.4357557919698</v>
      </c>
      <c r="S205" s="9">
        <f>F205+Inputs!$C$16/2</f>
        <v>2068.4357557919698</v>
      </c>
      <c r="T205" s="9">
        <f>F205-Inputs!$C$17/2</f>
        <v>1903.4357557919698</v>
      </c>
      <c r="U205" s="9">
        <f>F205+Inputs!$C$17/2</f>
        <v>2203.4357557919698</v>
      </c>
      <c r="V205" s="9">
        <f t="shared" si="62"/>
        <v>352.34540879673659</v>
      </c>
      <c r="W205" s="9">
        <f t="shared" si="63"/>
        <v>52.904716035546038</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58.380951897935333</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269.21554101681534</v>
      </c>
      <c r="Z205" s="9">
        <f t="shared" si="64"/>
        <v>401.85523015921314</v>
      </c>
      <c r="AA205" s="9">
        <f>SQRT((Inputs!$C$52+B205)^2+(Inputs!$C$52+Y205/1000)^2-2*(Inputs!$C$52+B205)*(Inputs!$C$52+Y205/1000)*COS(SQRT(A205^2+Inputs!$C$6^2)/Inputs!$C$52))</f>
        <v>405.3025671032409</v>
      </c>
      <c r="AB205" s="9">
        <f t="shared" si="65"/>
        <v>3447.3369440277679</v>
      </c>
      <c r="AC205" s="9">
        <f>AB205/Inputs!$C$12</f>
        <v>1936.7061483302066</v>
      </c>
      <c r="AD205" s="9">
        <f>2*AB205/Inputs!$C$21*1000000</f>
        <v>22.998156571555697</v>
      </c>
      <c r="AE205" s="9">
        <f t="shared" si="66"/>
        <v>6.8780822977133367</v>
      </c>
      <c r="AF205" s="9">
        <f>DEGREES((2*PI()/Inputs!$C$13)*Inputs!$C$15*SIN(RADIANS(AE205)))</f>
        <v>43.112543242479312</v>
      </c>
      <c r="AG205" s="9">
        <f t="shared" si="67"/>
        <v>0.96640925923158061</v>
      </c>
      <c r="AH205" s="9">
        <f t="shared" si="68"/>
        <v>-0.14838917698607496</v>
      </c>
      <c r="AI205" s="9">
        <f t="shared" si="69"/>
        <v>-116.72960746176318</v>
      </c>
      <c r="AJ205" s="9">
        <f t="shared" si="70"/>
        <v>-1.3861502898911411</v>
      </c>
      <c r="AK205" s="9">
        <f t="shared" si="71"/>
        <v>210.83458911887999</v>
      </c>
      <c r="AL205" s="9">
        <f>1000*(AA206-AA204)/(A206-A204)*Inputs!$C$11</f>
        <v>902.7699962027782</v>
      </c>
      <c r="AM205" s="9">
        <f>-2*AL205/Inputs!$C$13</f>
        <v>-361.10799848111128</v>
      </c>
      <c r="AN205" s="9">
        <f>-2*AL205/Inputs!$C$14</f>
        <v>-54.220420192359057</v>
      </c>
      <c r="AO205" s="9">
        <f t="shared" si="72"/>
        <v>361.10799848111128</v>
      </c>
      <c r="AP205" s="9">
        <f t="shared" si="73"/>
        <v>54.220420192359057</v>
      </c>
      <c r="AQ205" s="9">
        <f>IF(OR(Inputs!$C$27=TRUE,Inputs!$C$27="TRUE",Inputs!$C$27=1),Inputs!$C$46/Inputs!$C$12,0)</f>
        <v>42.134831460674157</v>
      </c>
      <c r="AR205" s="9">
        <f t="shared" si="74"/>
        <v>1894.5713168695324</v>
      </c>
      <c r="AS205" s="9">
        <f t="shared" si="75"/>
        <v>1978.8409797908807</v>
      </c>
    </row>
    <row r="206" spans="1:45">
      <c r="A206" s="9">
        <f>Inputs!$C$7+204*(Inputs!$C$8-Inputs!$C$7)/240</f>
        <v>42</v>
      </c>
      <c r="B206" s="9">
        <f>Inputs!$C$5+Inputs!$C$9*(A206/Inputs!$C$10)^2</f>
        <v>401.96</v>
      </c>
      <c r="C206" s="9">
        <f t="shared" si="57"/>
        <v>401.96</v>
      </c>
      <c r="D206" s="9">
        <f>SQRT((Inputs!$C$52+B206)^2+Inputs!$C$52^2-2*(Inputs!$C$52+B206)*Inputs!$C$52*COS(SQRT(A206^2+Inputs!$C$6^2)/Inputs!$C$52))</f>
        <v>405.67948709254136</v>
      </c>
      <c r="E206" s="9">
        <f t="shared" si="58"/>
        <v>3719.4870925413852</v>
      </c>
      <c r="F206" s="9">
        <f>E206/Inputs!$C$12</f>
        <v>2089.5994901917893</v>
      </c>
      <c r="G206" s="9">
        <f>2*E206/Inputs!$C$21*1000000</f>
        <v>24.813746932495448</v>
      </c>
      <c r="H206" s="9">
        <f>SQRT(A206^2+Inputs!$C$6^2)</f>
        <v>48.877397639399746</v>
      </c>
      <c r="I206" s="9">
        <f t="shared" si="59"/>
        <v>6.9329963219162467</v>
      </c>
      <c r="J206" s="9">
        <f>DEGREES((2*PI()/Inputs!$C$13)*Inputs!$C$15*SIN(RADIANS(I206)))</f>
        <v>43.455075239853677</v>
      </c>
      <c r="K206" s="9">
        <f t="shared" si="60"/>
        <v>0.96382715141542996</v>
      </c>
      <c r="L206" s="9">
        <f t="shared" si="61"/>
        <v>-0.16000843604631027</v>
      </c>
      <c r="M206" s="9">
        <f>2*(Inputs!$C$9/(Inputs!$C$10^2))*A206</f>
        <v>9.3333333333333338E-2</v>
      </c>
      <c r="N206" s="9">
        <f>M206*Inputs!$C$11</f>
        <v>0.37333333333333335</v>
      </c>
      <c r="O206" s="9">
        <f>1000*(D207-D205)/(A207-A205)*Inputs!$C$11</f>
        <v>891.298757131608</v>
      </c>
      <c r="P206" s="9">
        <f>-2*O206/Inputs!$C$13</f>
        <v>-356.5195028526432</v>
      </c>
      <c r="Q206" s="9">
        <f>-2*O206/Inputs!$C$14</f>
        <v>-53.531456884781264</v>
      </c>
      <c r="R206" s="9">
        <f>F206-Inputs!$C$16/2</f>
        <v>2074.5994901917893</v>
      </c>
      <c r="S206" s="9">
        <f>F206+Inputs!$C$16/2</f>
        <v>2104.5994901917893</v>
      </c>
      <c r="T206" s="9">
        <f>F206-Inputs!$C$17/2</f>
        <v>1939.5994901917893</v>
      </c>
      <c r="U206" s="9">
        <f>F206+Inputs!$C$17/2</f>
        <v>2239.5994901917893</v>
      </c>
      <c r="V206" s="9">
        <f t="shared" si="62"/>
        <v>356.5195028526432</v>
      </c>
      <c r="W206" s="9">
        <f t="shared" si="63"/>
        <v>53.531456884781264</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34.521242112789622</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271.12620211290232</v>
      </c>
      <c r="Z206" s="9">
        <f t="shared" si="64"/>
        <v>401.92547875788716</v>
      </c>
      <c r="AA206" s="9">
        <f>SQRT((Inputs!$C$52+B206)^2+(Inputs!$C$52+Y206/1000)^2-2*(Inputs!$C$52+B206)*(Inputs!$C$52+Y206/1000)*COS(SQRT(A206^2+Inputs!$C$6^2)/Inputs!$C$52))</f>
        <v>405.41149195061757</v>
      </c>
      <c r="AB206" s="9">
        <f t="shared" si="65"/>
        <v>3486.013192730411</v>
      </c>
      <c r="AC206" s="9">
        <f>AB206/Inputs!$C$12</f>
        <v>1958.434377938433</v>
      </c>
      <c r="AD206" s="9">
        <f>2*AB206/Inputs!$C$21*1000000</f>
        <v>23.256176729638817</v>
      </c>
      <c r="AE206" s="9">
        <f t="shared" si="66"/>
        <v>6.9376302663516594</v>
      </c>
      <c r="AF206" s="9">
        <f>DEGREES((2*PI()/Inputs!$C$13)*Inputs!$C$15*SIN(RADIANS(AE206)))</f>
        <v>43.483978133340251</v>
      </c>
      <c r="AG206" s="9">
        <f t="shared" si="67"/>
        <v>0.96604627481651562</v>
      </c>
      <c r="AH206" s="9">
        <f t="shared" si="68"/>
        <v>-0.15002069841108154</v>
      </c>
      <c r="AI206" s="9">
        <f t="shared" si="69"/>
        <v>-131.16511225335626</v>
      </c>
      <c r="AJ206" s="9">
        <f t="shared" si="70"/>
        <v>-1.5575702028566312</v>
      </c>
      <c r="AK206" s="9">
        <f t="shared" si="71"/>
        <v>236.6049600001127</v>
      </c>
      <c r="AL206" s="9">
        <f>1000*(AA207-AA205)/(A207-A205)*Inputs!$C$11</f>
        <v>929.03679725418442</v>
      </c>
      <c r="AM206" s="9">
        <f>-2*AL206/Inputs!$C$13</f>
        <v>-371.61471890167377</v>
      </c>
      <c r="AN206" s="9">
        <f>-2*AL206/Inputs!$C$14</f>
        <v>-55.798005841092163</v>
      </c>
      <c r="AO206" s="9">
        <f t="shared" si="72"/>
        <v>371.61471890167377</v>
      </c>
      <c r="AP206" s="9">
        <f t="shared" si="73"/>
        <v>55.798005841092163</v>
      </c>
      <c r="AQ206" s="9">
        <f>IF(OR(Inputs!$C$27=TRUE,Inputs!$C$27="TRUE",Inputs!$C$27=1),Inputs!$C$46/Inputs!$C$12,0)</f>
        <v>42.134831460674157</v>
      </c>
      <c r="AR206" s="9">
        <f t="shared" si="74"/>
        <v>1916.2995464777589</v>
      </c>
      <c r="AS206" s="9">
        <f t="shared" si="75"/>
        <v>2000.5692093991072</v>
      </c>
    </row>
    <row r="207" spans="1:45">
      <c r="A207" s="9">
        <f>Inputs!$C$7+205*(Inputs!$C$8-Inputs!$C$7)/240</f>
        <v>42.5</v>
      </c>
      <c r="B207" s="9">
        <f>Inputs!$C$5+Inputs!$C$9*(A207/Inputs!$C$10)^2</f>
        <v>402.00694444444446</v>
      </c>
      <c r="C207" s="9">
        <f t="shared" si="57"/>
        <v>402.00694444444446</v>
      </c>
      <c r="D207" s="9">
        <f>SQRT((Inputs!$C$52+B207)^2+Inputs!$C$52^2-2*(Inputs!$C$52+B207)*Inputs!$C$52*COS(SQRT(A207^2+Inputs!$C$6^2)/Inputs!$C$52))</f>
        <v>405.7915514457037</v>
      </c>
      <c r="E207" s="9">
        <f t="shared" si="58"/>
        <v>3784.6070012592463</v>
      </c>
      <c r="F207" s="9">
        <f>E207/Inputs!$C$12</f>
        <v>2126.1837085726102</v>
      </c>
      <c r="G207" s="9">
        <f>2*E207/Inputs!$C$21*1000000</f>
        <v>25.248180201112639</v>
      </c>
      <c r="H207" s="9">
        <f>SQRT(A207^2+Inputs!$C$6^2)</f>
        <v>49.307707308290048</v>
      </c>
      <c r="I207" s="9">
        <f t="shared" si="59"/>
        <v>6.9926230322802692</v>
      </c>
      <c r="J207" s="9">
        <f>DEGREES((2*PI()/Inputs!$C$13)*Inputs!$C$15*SIN(RADIANS(I207)))</f>
        <v>43.826957899393037</v>
      </c>
      <c r="K207" s="9">
        <f t="shared" si="60"/>
        <v>0.96321273991492051</v>
      </c>
      <c r="L207" s="9">
        <f t="shared" si="61"/>
        <v>-0.16277781860586732</v>
      </c>
      <c r="M207" s="9">
        <f>2*(Inputs!$C$9/(Inputs!$C$10^2))*A207</f>
        <v>9.4444444444444442E-2</v>
      </c>
      <c r="N207" s="9">
        <f>M207*Inputs!$C$11</f>
        <v>0.37777777777777777</v>
      </c>
      <c r="O207" s="9">
        <f>1000*(D208-D206)/(A208-A206)*Inputs!$C$11</f>
        <v>901.72776185045223</v>
      </c>
      <c r="P207" s="9">
        <f>-2*O207/Inputs!$C$13</f>
        <v>-360.69110474018089</v>
      </c>
      <c r="Q207" s="9">
        <f>-2*O207/Inputs!$C$14</f>
        <v>-54.1578235345617</v>
      </c>
      <c r="R207" s="9">
        <f>F207-Inputs!$C$16/2</f>
        <v>2111.1837085726102</v>
      </c>
      <c r="S207" s="9">
        <f>F207+Inputs!$C$16/2</f>
        <v>2141.1837085726102</v>
      </c>
      <c r="T207" s="9">
        <f>F207-Inputs!$C$17/2</f>
        <v>1976.1837085726102</v>
      </c>
      <c r="U207" s="9">
        <f>F207+Inputs!$C$17/2</f>
        <v>2276.1837085726102</v>
      </c>
      <c r="V207" s="9">
        <f t="shared" si="62"/>
        <v>360.69110474018089</v>
      </c>
      <c r="W207" s="9">
        <f t="shared" si="63"/>
        <v>54.1578235345617</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40.251276360901549</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259.77685513673219</v>
      </c>
      <c r="Z207" s="9">
        <f t="shared" si="64"/>
        <v>401.96669316808357</v>
      </c>
      <c r="AA207" s="9">
        <f>SQRT((Inputs!$C$52+B207)^2+(Inputs!$C$52+Y207/1000)^2-2*(Inputs!$C$52+B207)*(Inputs!$C$52+Y207/1000)*COS(SQRT(A207^2+Inputs!$C$6^2)/Inputs!$C$52))</f>
        <v>405.53482630255445</v>
      </c>
      <c r="AB207" s="9">
        <f t="shared" si="65"/>
        <v>3568.1331344708838</v>
      </c>
      <c r="AC207" s="9">
        <f>AB207/Inputs!$C$12</f>
        <v>2004.5691766690359</v>
      </c>
      <c r="AD207" s="9">
        <f>2*AB207/Inputs!$C$21*1000000</f>
        <v>23.804022010926531</v>
      </c>
      <c r="AE207" s="9">
        <f t="shared" si="66"/>
        <v>6.9970997787367342</v>
      </c>
      <c r="AF207" s="9">
        <f>DEGREES((2*PI()/Inputs!$C$13)*Inputs!$C$15*SIN(RADIANS(AE207)))</f>
        <v>43.854876770728765</v>
      </c>
      <c r="AG207" s="9">
        <f t="shared" si="67"/>
        <v>0.96526742725517423</v>
      </c>
      <c r="AH207" s="9">
        <f t="shared" si="68"/>
        <v>-0.15352348737910851</v>
      </c>
      <c r="AI207" s="9">
        <f t="shared" si="69"/>
        <v>-121.61453190357429</v>
      </c>
      <c r="AJ207" s="9">
        <f t="shared" si="70"/>
        <v>-1.4441581901861085</v>
      </c>
      <c r="AK207" s="9">
        <f t="shared" si="71"/>
        <v>219.52557877583064</v>
      </c>
      <c r="AL207" s="9">
        <f>1000*(AA208-AA206)/(A208-A206)*Inputs!$C$11</f>
        <v>996.4743057389569</v>
      </c>
      <c r="AM207" s="9">
        <f>-2*AL207/Inputs!$C$13</f>
        <v>-398.58972229558276</v>
      </c>
      <c r="AN207" s="9">
        <f>-2*AL207/Inputs!$C$14</f>
        <v>-59.848306650988405</v>
      </c>
      <c r="AO207" s="9">
        <f t="shared" si="72"/>
        <v>398.58972229558276</v>
      </c>
      <c r="AP207" s="9">
        <f t="shared" si="73"/>
        <v>59.848306650988405</v>
      </c>
      <c r="AQ207" s="9">
        <f>IF(OR(Inputs!$C$27=TRUE,Inputs!$C$27="TRUE",Inputs!$C$27=1),Inputs!$C$46/Inputs!$C$12,0)</f>
        <v>42.134831460674157</v>
      </c>
      <c r="AR207" s="9">
        <f t="shared" si="74"/>
        <v>1962.4343452083617</v>
      </c>
      <c r="AS207" s="9">
        <f t="shared" si="75"/>
        <v>2046.70400812971</v>
      </c>
    </row>
    <row r="208" spans="1:45">
      <c r="A208" s="9">
        <f>Inputs!$C$7+206*(Inputs!$C$8-Inputs!$C$7)/240</f>
        <v>43</v>
      </c>
      <c r="B208" s="9">
        <f>Inputs!$C$5+Inputs!$C$9*(A208/Inputs!$C$10)^2</f>
        <v>402.05444444444447</v>
      </c>
      <c r="C208" s="9">
        <f t="shared" si="57"/>
        <v>402.05444444444447</v>
      </c>
      <c r="D208" s="9">
        <f>SQRT((Inputs!$C$52+B208)^2+Inputs!$C$52^2-2*(Inputs!$C$52+B208)*Inputs!$C$52*COS(SQRT(A208^2+Inputs!$C$6^2)/Inputs!$C$52))</f>
        <v>405.90491903300398</v>
      </c>
      <c r="E208" s="9">
        <f t="shared" si="58"/>
        <v>3850.4745885595071</v>
      </c>
      <c r="F208" s="9">
        <f>E208/Inputs!$C$12</f>
        <v>2163.1879711008464</v>
      </c>
      <c r="G208" s="9">
        <f>2*E208/Inputs!$C$21*1000000</f>
        <v>25.687601444326575</v>
      </c>
      <c r="H208" s="9">
        <f>SQRT(A208^2+Inputs!$C$6^2)</f>
        <v>49.739320461783549</v>
      </c>
      <c r="I208" s="9">
        <f t="shared" si="59"/>
        <v>7.0523939154276203</v>
      </c>
      <c r="J208" s="9">
        <f>DEGREES((2*PI()/Inputs!$C$13)*Inputs!$C$15*SIN(RADIANS(I208)))</f>
        <v>44.19969210441981</v>
      </c>
      <c r="K208" s="9">
        <f t="shared" si="60"/>
        <v>0.96259191926554377</v>
      </c>
      <c r="L208" s="9">
        <f t="shared" si="61"/>
        <v>-0.16557788444152105</v>
      </c>
      <c r="M208" s="9">
        <f>2*(Inputs!$C$9/(Inputs!$C$10^2))*A208</f>
        <v>9.555555555555556E-2</v>
      </c>
      <c r="N208" s="9">
        <f>M208*Inputs!$C$11</f>
        <v>0.38222222222222224</v>
      </c>
      <c r="O208" s="9">
        <f>1000*(D209-D207)/(A209-A207)*Inputs!$C$11</f>
        <v>912.15047069840693</v>
      </c>
      <c r="P208" s="9">
        <f>-2*O208/Inputs!$C$13</f>
        <v>-364.86018827936277</v>
      </c>
      <c r="Q208" s="9">
        <f>-2*O208/Inputs!$C$14</f>
        <v>-54.783812053958378</v>
      </c>
      <c r="R208" s="9">
        <f>F208-Inputs!$C$16/2</f>
        <v>2148.1879711008464</v>
      </c>
      <c r="S208" s="9">
        <f>F208+Inputs!$C$16/2</f>
        <v>2178.1879711008464</v>
      </c>
      <c r="T208" s="9">
        <f>F208-Inputs!$C$17/2</f>
        <v>2013.1879711008464</v>
      </c>
      <c r="U208" s="9">
        <f>F208+Inputs!$C$17/2</f>
        <v>2313.1879711008464</v>
      </c>
      <c r="V208" s="9">
        <f t="shared" si="62"/>
        <v>364.86018827936277</v>
      </c>
      <c r="W208" s="9">
        <f t="shared" si="63"/>
        <v>54.783812053958378</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33.32797910139238</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247.2629698422237</v>
      </c>
      <c r="Z208" s="9">
        <f t="shared" si="64"/>
        <v>402.02111646534308</v>
      </c>
      <c r="AA208" s="9">
        <f>SQRT((Inputs!$C$52+B208)^2+(Inputs!$C$52+Y208/1000)^2-2*(Inputs!$C$52+B208)*(Inputs!$C$52+Y208/1000)*COS(SQRT(A208^2+Inputs!$C$6^2)/Inputs!$C$52))</f>
        <v>405.66061052705231</v>
      </c>
      <c r="AB208" s="9">
        <f t="shared" si="65"/>
        <v>3639.4940617092288</v>
      </c>
      <c r="AC208" s="9">
        <f>AB208/Inputs!$C$12</f>
        <v>2044.6595852299038</v>
      </c>
      <c r="AD208" s="9">
        <f>2*AB208/Inputs!$C$21*1000000</f>
        <v>24.280090873461724</v>
      </c>
      <c r="AE208" s="9">
        <f t="shared" si="66"/>
        <v>7.0566900561236876</v>
      </c>
      <c r="AF208" s="9">
        <f>DEGREES((2*PI()/Inputs!$C$13)*Inputs!$C$15*SIN(RADIANS(AE208)))</f>
        <v>44.226481203741976</v>
      </c>
      <c r="AG208" s="9">
        <f t="shared" si="67"/>
        <v>0.96459299026157586</v>
      </c>
      <c r="AH208" s="9">
        <f t="shared" si="68"/>
        <v>-0.15655898439202154</v>
      </c>
      <c r="AI208" s="9">
        <f t="shared" si="69"/>
        <v>-118.52838587094266</v>
      </c>
      <c r="AJ208" s="9">
        <f t="shared" si="70"/>
        <v>-1.4075105708648508</v>
      </c>
      <c r="AK208" s="9">
        <f t="shared" si="71"/>
        <v>213.93499074083132</v>
      </c>
      <c r="AL208" s="9">
        <f>1000*(AA209-AA207)/(A209-A207)*Inputs!$C$11</f>
        <v>1048.583804247528</v>
      </c>
      <c r="AM208" s="9">
        <f>-2*AL208/Inputs!$C$13</f>
        <v>-419.43352169901118</v>
      </c>
      <c r="AN208" s="9">
        <f>-2*AL208/Inputs!$C$14</f>
        <v>-62.978006261112796</v>
      </c>
      <c r="AO208" s="9">
        <f t="shared" si="72"/>
        <v>419.43352169901118</v>
      </c>
      <c r="AP208" s="9">
        <f t="shared" si="73"/>
        <v>62.978006261112796</v>
      </c>
      <c r="AQ208" s="9">
        <f>IF(OR(Inputs!$C$27=TRUE,Inputs!$C$27="TRUE",Inputs!$C$27=1),Inputs!$C$46/Inputs!$C$12,0)</f>
        <v>42.134831460674157</v>
      </c>
      <c r="AR208" s="9">
        <f t="shared" si="74"/>
        <v>2002.5247537692296</v>
      </c>
      <c r="AS208" s="9">
        <f t="shared" si="75"/>
        <v>2086.7944166905781</v>
      </c>
    </row>
    <row r="209" spans="1:45">
      <c r="A209" s="9">
        <f>Inputs!$C$7+207*(Inputs!$C$8-Inputs!$C$7)/240</f>
        <v>43.5</v>
      </c>
      <c r="B209" s="9">
        <f>Inputs!$C$5+Inputs!$C$9*(A209/Inputs!$C$10)^2</f>
        <v>402.10250000000002</v>
      </c>
      <c r="C209" s="9">
        <f t="shared" si="57"/>
        <v>402.10250000000002</v>
      </c>
      <c r="D209" s="9">
        <f>SQRT((Inputs!$C$52+B209)^2+Inputs!$C$52^2-2*(Inputs!$C$52+B209)*Inputs!$C$52*COS(SQRT(A209^2+Inputs!$C$6^2)/Inputs!$C$52))</f>
        <v>406.01958906337831</v>
      </c>
      <c r="E209" s="9">
        <f t="shared" si="58"/>
        <v>3917.0890633782847</v>
      </c>
      <c r="F209" s="9">
        <f>E209/Inputs!$C$12</f>
        <v>2200.6118333585869</v>
      </c>
      <c r="G209" s="9">
        <f>2*E209/Inputs!$C$21*1000000</f>
        <v>26.132005384727087</v>
      </c>
      <c r="H209" s="9">
        <f>SQRT(A209^2+Inputs!$C$6^2)</f>
        <v>50.172203459684724</v>
      </c>
      <c r="I209" s="9">
        <f t="shared" si="59"/>
        <v>7.1123037002334444</v>
      </c>
      <c r="J209" s="9">
        <f>DEGREES((2*PI()/Inputs!$C$13)*Inputs!$C$15*SIN(RADIANS(I209)))</f>
        <v>44.573244238081699</v>
      </c>
      <c r="K209" s="9">
        <f t="shared" si="60"/>
        <v>0.9619647181791855</v>
      </c>
      <c r="L209" s="9">
        <f t="shared" si="61"/>
        <v>-0.16840856216949901</v>
      </c>
      <c r="M209" s="9">
        <f>2*(Inputs!$C$9/(Inputs!$C$10^2))*A209</f>
        <v>9.6666666666666665E-2</v>
      </c>
      <c r="N209" s="9">
        <f>M209*Inputs!$C$11</f>
        <v>0.38666666666666666</v>
      </c>
      <c r="O209" s="9">
        <f>1000*(D210-D208)/(A210-A208)*Inputs!$C$11</f>
        <v>922.56681849630695</v>
      </c>
      <c r="P209" s="9">
        <f>-2*O209/Inputs!$C$13</f>
        <v>-369.02672739852278</v>
      </c>
      <c r="Q209" s="9">
        <f>-2*O209/Inputs!$C$14</f>
        <v>-55.40941852830673</v>
      </c>
      <c r="R209" s="9">
        <f>F209-Inputs!$C$16/2</f>
        <v>2185.6118333585869</v>
      </c>
      <c r="S209" s="9">
        <f>F209+Inputs!$C$16/2</f>
        <v>2215.6118333585869</v>
      </c>
      <c r="T209" s="9">
        <f>F209-Inputs!$C$17/2</f>
        <v>2050.6118333585869</v>
      </c>
      <c r="U209" s="9">
        <f>F209+Inputs!$C$17/2</f>
        <v>2350.6118333585869</v>
      </c>
      <c r="V209" s="9">
        <f t="shared" si="62"/>
        <v>369.02672739852278</v>
      </c>
      <c r="W209" s="9">
        <f t="shared" si="63"/>
        <v>55.40941852830673</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20.522948331557505</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225.35528260314678</v>
      </c>
      <c r="Z209" s="9">
        <f t="shared" si="64"/>
        <v>402.08197705166845</v>
      </c>
      <c r="AA209" s="9">
        <f>SQRT((Inputs!$C$52+B209)^2+(Inputs!$C$52+Y209/1000)^2-2*(Inputs!$C$52+B209)*(Inputs!$C$52+Y209/1000)*COS(SQRT(A209^2+Inputs!$C$6^2)/Inputs!$C$52))</f>
        <v>405.79697225361633</v>
      </c>
      <c r="AB209" s="9">
        <f t="shared" si="65"/>
        <v>3714.995201947886</v>
      </c>
      <c r="AC209" s="9">
        <f>AB209/Inputs!$C$12</f>
        <v>2087.0759561504979</v>
      </c>
      <c r="AD209" s="9">
        <f>2*AB209/Inputs!$C$21*1000000</f>
        <v>24.783780264064458</v>
      </c>
      <c r="AE209" s="9">
        <f t="shared" si="66"/>
        <v>7.116251093722707</v>
      </c>
      <c r="AF209" s="9">
        <f>DEGREES((2*PI()/Inputs!$C$13)*Inputs!$C$15*SIN(RADIANS(AE209)))</f>
        <v>44.59785549333256</v>
      </c>
      <c r="AG209" s="9">
        <f t="shared" si="67"/>
        <v>0.96388055141892226</v>
      </c>
      <c r="AH209" s="9">
        <f t="shared" si="68"/>
        <v>-0.15976782563818509</v>
      </c>
      <c r="AI209" s="9">
        <f t="shared" si="69"/>
        <v>-113.535877208089</v>
      </c>
      <c r="AJ209" s="9">
        <f t="shared" si="70"/>
        <v>-1.3482251206626295</v>
      </c>
      <c r="AK209" s="9">
        <f t="shared" si="71"/>
        <v>204.83233427158927</v>
      </c>
      <c r="AL209" s="9">
        <f>1000*(AA210-AA208)/(A210-A208)*Inputs!$C$11</f>
        <v>1074.7629693883027</v>
      </c>
      <c r="AM209" s="9">
        <f>-2*AL209/Inputs!$C$13</f>
        <v>-429.90518775532109</v>
      </c>
      <c r="AN209" s="9">
        <f>-2*AL209/Inputs!$C$14</f>
        <v>-64.550328491789955</v>
      </c>
      <c r="AO209" s="9">
        <f t="shared" si="72"/>
        <v>429.90518775532109</v>
      </c>
      <c r="AP209" s="9">
        <f t="shared" si="73"/>
        <v>64.550328491789955</v>
      </c>
      <c r="AQ209" s="9">
        <f>IF(OR(Inputs!$C$27=TRUE,Inputs!$C$27="TRUE",Inputs!$C$27=1),Inputs!$C$46/Inputs!$C$12,0)</f>
        <v>42.134831460674157</v>
      </c>
      <c r="AR209" s="9">
        <f t="shared" si="74"/>
        <v>2044.9411246898237</v>
      </c>
      <c r="AS209" s="9">
        <f t="shared" si="75"/>
        <v>2129.2107876111722</v>
      </c>
    </row>
    <row r="210" spans="1:45">
      <c r="A210" s="9">
        <f>Inputs!$C$7+208*(Inputs!$C$8-Inputs!$C$7)/240</f>
        <v>44</v>
      </c>
      <c r="B210" s="9">
        <f>Inputs!$C$5+Inputs!$C$9*(A210/Inputs!$C$10)^2</f>
        <v>402.15111111111111</v>
      </c>
      <c r="C210" s="9">
        <f t="shared" si="57"/>
        <v>402.15111111111111</v>
      </c>
      <c r="D210" s="9">
        <f>SQRT((Inputs!$C$52+B210)^2+Inputs!$C$52^2-2*(Inputs!$C$52+B210)*Inputs!$C$52*COS(SQRT(A210^2+Inputs!$C$6^2)/Inputs!$C$52))</f>
        <v>406.13556073762805</v>
      </c>
      <c r="E210" s="9">
        <f t="shared" si="58"/>
        <v>3984.4496265169482</v>
      </c>
      <c r="F210" s="9">
        <f>E210/Inputs!$C$12</f>
        <v>2238.4548463578362</v>
      </c>
      <c r="G210" s="9">
        <f>2*E210/Inputs!$C$21*1000000</f>
        <v>26.581386690634812</v>
      </c>
      <c r="H210" s="9">
        <f>SQRT(A210^2+Inputs!$C$6^2)</f>
        <v>50.606323715519977</v>
      </c>
      <c r="I210" s="9">
        <f t="shared" si="59"/>
        <v>7.1723472676252644</v>
      </c>
      <c r="J210" s="9">
        <f>DEGREES((2*PI()/Inputs!$C$13)*Inputs!$C$15*SIN(RADIANS(I210)))</f>
        <v>44.947581642016367</v>
      </c>
      <c r="K210" s="9">
        <f t="shared" si="60"/>
        <v>0.96133116560794785</v>
      </c>
      <c r="L210" s="9">
        <f t="shared" si="61"/>
        <v>-0.17126977970712021</v>
      </c>
      <c r="M210" s="9">
        <f>2*(Inputs!$C$9/(Inputs!$C$10^2))*A210</f>
        <v>9.7777777777777783E-2</v>
      </c>
      <c r="N210" s="9">
        <f>M210*Inputs!$C$11</f>
        <v>0.39111111111111113</v>
      </c>
      <c r="O210" s="9">
        <f>1000*(D211-D209)/(A211-A209)*Inputs!$C$11</f>
        <v>932.97674036443823</v>
      </c>
      <c r="P210" s="9">
        <f>-2*O210/Inputs!$C$13</f>
        <v>-373.19069614577529</v>
      </c>
      <c r="Q210" s="9">
        <f>-2*O210/Inputs!$C$14</f>
        <v>-56.034639060927226</v>
      </c>
      <c r="R210" s="9">
        <f>F210-Inputs!$C$16/2</f>
        <v>2223.4548463578362</v>
      </c>
      <c r="S210" s="9">
        <f>F210+Inputs!$C$16/2</f>
        <v>2253.4548463578362</v>
      </c>
      <c r="T210" s="9">
        <f>F210-Inputs!$C$17/2</f>
        <v>2088.4548463578362</v>
      </c>
      <c r="U210" s="9">
        <f>F210+Inputs!$C$17/2</f>
        <v>2388.4548463578362</v>
      </c>
      <c r="V210" s="9">
        <f t="shared" si="62"/>
        <v>373.19069614577529</v>
      </c>
      <c r="W210" s="9">
        <f t="shared" si="63"/>
        <v>56.034639060927226</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7.0518996381457164</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208.84015984832814</v>
      </c>
      <c r="Z210" s="9">
        <f t="shared" si="64"/>
        <v>402.14405921147295</v>
      </c>
      <c r="AA210" s="9">
        <f>SQRT((Inputs!$C$52+B210)^2+(Inputs!$C$52+Y210/1000)^2-2*(Inputs!$C$52+B210)*(Inputs!$C$52+Y210/1000)*COS(SQRT(A210^2+Inputs!$C$6^2)/Inputs!$C$52))</f>
        <v>405.92930126939939</v>
      </c>
      <c r="AB210" s="9">
        <f t="shared" si="65"/>
        <v>3785.242057926439</v>
      </c>
      <c r="AC210" s="9">
        <f>AB210/Inputs!$C$12</f>
        <v>2126.5404819811456</v>
      </c>
      <c r="AD210" s="9">
        <f>2*AB210/Inputs!$C$21*1000000</f>
        <v>25.252416843164472</v>
      </c>
      <c r="AE210" s="9">
        <f t="shared" si="66"/>
        <v>7.1760350186413948</v>
      </c>
      <c r="AF210" s="9">
        <f>DEGREES((2*PI()/Inputs!$C$13)*Inputs!$C$15*SIN(RADIANS(AE210)))</f>
        <v>44.97057106195993</v>
      </c>
      <c r="AG210" s="9">
        <f t="shared" si="67"/>
        <v>0.96321896422704045</v>
      </c>
      <c r="AH210" s="9">
        <f t="shared" si="68"/>
        <v>-0.16274975444556999</v>
      </c>
      <c r="AI210" s="9">
        <f t="shared" si="69"/>
        <v>-111.91436437669063</v>
      </c>
      <c r="AJ210" s="9">
        <f t="shared" si="70"/>
        <v>-1.32896984747034</v>
      </c>
      <c r="AK210" s="9">
        <f t="shared" si="71"/>
        <v>201.78826021018241</v>
      </c>
      <c r="AL210" s="9">
        <f>1000*(AA211-AA209)/(A211-A209)*Inputs!$C$11</f>
        <v>1116.5864190365937</v>
      </c>
      <c r="AM210" s="9">
        <f>-2*AL210/Inputs!$C$13</f>
        <v>-446.63456761463749</v>
      </c>
      <c r="AN210" s="9">
        <f>-2*AL210/Inputs!$C$14</f>
        <v>-67.06224738958521</v>
      </c>
      <c r="AO210" s="9">
        <f t="shared" si="72"/>
        <v>446.63456761463749</v>
      </c>
      <c r="AP210" s="9">
        <f t="shared" si="73"/>
        <v>67.06224738958521</v>
      </c>
      <c r="AQ210" s="9">
        <f>IF(OR(Inputs!$C$27=TRUE,Inputs!$C$27="TRUE",Inputs!$C$27=1),Inputs!$C$46/Inputs!$C$12,0)</f>
        <v>42.134831460674157</v>
      </c>
      <c r="AR210" s="9">
        <f t="shared" si="74"/>
        <v>2084.4056505204712</v>
      </c>
      <c r="AS210" s="9">
        <f t="shared" si="75"/>
        <v>2168.67531344182</v>
      </c>
    </row>
    <row r="211" spans="1:45">
      <c r="A211" s="9">
        <f>Inputs!$C$7+209*(Inputs!$C$8-Inputs!$C$7)/240</f>
        <v>44.5</v>
      </c>
      <c r="B211" s="9">
        <f>Inputs!$C$5+Inputs!$C$9*(A211/Inputs!$C$10)^2</f>
        <v>402.20027777777779</v>
      </c>
      <c r="C211" s="9">
        <f t="shared" si="57"/>
        <v>402.20027777777779</v>
      </c>
      <c r="D211" s="9">
        <f>SQRT((Inputs!$C$52+B211)^2+Inputs!$C$52^2-2*(Inputs!$C$52+B211)*Inputs!$C$52*COS(SQRT(A211^2+Inputs!$C$6^2)/Inputs!$C$52))</f>
        <v>406.25283324846941</v>
      </c>
      <c r="E211" s="9">
        <f t="shared" si="58"/>
        <v>4052.5554706916296</v>
      </c>
      <c r="F211" s="9">
        <f>E211/Inputs!$C$12</f>
        <v>2276.7165565683313</v>
      </c>
      <c r="G211" s="9">
        <f>2*E211/Inputs!$C$21*1000000</f>
        <v>27.035739976431493</v>
      </c>
      <c r="H211" s="9">
        <f>SQRT(A211^2+Inputs!$C$6^2)</f>
        <v>51.041649659861115</v>
      </c>
      <c r="I211" s="9">
        <f t="shared" si="59"/>
        <v>7.2325196453541665</v>
      </c>
      <c r="J211" s="9">
        <f>DEGREES((2*PI()/Inputs!$C$13)*Inputs!$C$15*SIN(RADIANS(I211)))</f>
        <v>45.322672583556667</v>
      </c>
      <c r="K211" s="9">
        <f t="shared" si="60"/>
        <v>0.9606912907410361</v>
      </c>
      <c r="L211" s="9">
        <f t="shared" si="61"/>
        <v>-0.17416146427778792</v>
      </c>
      <c r="M211" s="9">
        <f>2*(Inputs!$C$9/(Inputs!$C$10^2))*A211</f>
        <v>9.8888888888888887E-2</v>
      </c>
      <c r="N211" s="9">
        <f>M211*Inputs!$C$11</f>
        <v>0.39555555555555555</v>
      </c>
      <c r="O211" s="9">
        <f>1000*(D212-D210)/(A212-A210)*Inputs!$C$11</f>
        <v>943.38017172549371</v>
      </c>
      <c r="P211" s="9">
        <f>-2*O211/Inputs!$C$13</f>
        <v>-377.35206869019748</v>
      </c>
      <c r="Q211" s="9">
        <f>-2*O211/Inputs!$C$14</f>
        <v>-56.659469773302931</v>
      </c>
      <c r="R211" s="9">
        <f>F211-Inputs!$C$16/2</f>
        <v>2261.7165565683313</v>
      </c>
      <c r="S211" s="9">
        <f>F211+Inputs!$C$16/2</f>
        <v>2291.7165565683313</v>
      </c>
      <c r="T211" s="9">
        <f>F211-Inputs!$C$17/2</f>
        <v>2126.7165565683313</v>
      </c>
      <c r="U211" s="9">
        <f>F211+Inputs!$C$17/2</f>
        <v>2426.7165565683313</v>
      </c>
      <c r="V211" s="9">
        <f t="shared" si="62"/>
        <v>377.35206869019748</v>
      </c>
      <c r="W211" s="9">
        <f t="shared" si="63"/>
        <v>56.659469773302931</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-3.2837161089439029</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178.96296340227542</v>
      </c>
      <c r="Z211" s="9">
        <f t="shared" si="64"/>
        <v>402.20356149388675</v>
      </c>
      <c r="AA211" s="9">
        <f>SQRT((Inputs!$C$52+B211)^2+(Inputs!$C$52+Y211/1000)^2-2*(Inputs!$C$52+B211)*(Inputs!$C$52+Y211/1000)*COS(SQRT(A211^2+Inputs!$C$6^2)/Inputs!$C$52))</f>
        <v>406.07611885837548</v>
      </c>
      <c r="AB211" s="9">
        <f t="shared" si="65"/>
        <v>3872.5573644887277</v>
      </c>
      <c r="AC211" s="9">
        <f>AB211/Inputs!$C$12</f>
        <v>2175.5940249936671</v>
      </c>
      <c r="AD211" s="9">
        <f>2*AB211/Inputs!$C$21*1000000</f>
        <v>25.834921867772454</v>
      </c>
      <c r="AE211" s="9">
        <f t="shared" si="66"/>
        <v>7.235705143347186</v>
      </c>
      <c r="AF211" s="9">
        <f>DEGREES((2*PI()/Inputs!$C$13)*Inputs!$C$15*SIN(RADIANS(AE211)))</f>
        <v>45.342528335855626</v>
      </c>
      <c r="AG211" s="9">
        <f t="shared" si="67"/>
        <v>0.96239608885406525</v>
      </c>
      <c r="AH211" s="9">
        <f t="shared" si="68"/>
        <v>-0.16646150623062961</v>
      </c>
      <c r="AI211" s="9">
        <f t="shared" si="69"/>
        <v>-101.12253157466421</v>
      </c>
      <c r="AJ211" s="9">
        <f t="shared" si="70"/>
        <v>-1.200818108659039</v>
      </c>
      <c r="AK211" s="9">
        <f t="shared" si="71"/>
        <v>182.24667951121933</v>
      </c>
      <c r="AL211" s="9">
        <f>1000*(AA212-AA210)/(A212-A210)*Inputs!$C$11</f>
        <v>1115.7997388834247</v>
      </c>
      <c r="AM211" s="9">
        <f>-2*AL211/Inputs!$C$13</f>
        <v>-446.31989555336986</v>
      </c>
      <c r="AN211" s="9">
        <f>-2*AL211/Inputs!$C$14</f>
        <v>-67.014999332337823</v>
      </c>
      <c r="AO211" s="9">
        <f t="shared" si="72"/>
        <v>446.31989555336986</v>
      </c>
      <c r="AP211" s="9">
        <f t="shared" si="73"/>
        <v>67.014999332337823</v>
      </c>
      <c r="AQ211" s="9">
        <f>IF(OR(Inputs!$C$27=TRUE,Inputs!$C$27="TRUE",Inputs!$C$27=1),Inputs!$C$46/Inputs!$C$12,0)</f>
        <v>42.134831460674157</v>
      </c>
      <c r="AR211" s="9">
        <f t="shared" si="74"/>
        <v>2133.4591935329927</v>
      </c>
      <c r="AS211" s="9">
        <f t="shared" si="75"/>
        <v>2217.7288564543414</v>
      </c>
    </row>
    <row r="212" spans="1:45">
      <c r="A212" s="9">
        <f>Inputs!$C$7+210*(Inputs!$C$8-Inputs!$C$7)/240</f>
        <v>45</v>
      </c>
      <c r="B212" s="9">
        <f>Inputs!$C$5+Inputs!$C$9*(A212/Inputs!$C$10)^2</f>
        <v>402.25</v>
      </c>
      <c r="C212" s="9">
        <f t="shared" si="57"/>
        <v>402.25</v>
      </c>
      <c r="D212" s="9">
        <f>SQRT((Inputs!$C$52+B212)^2+Inputs!$C$52^2-2*(Inputs!$C$52+B212)*Inputs!$C$52*COS(SQRT(A212^2+Inputs!$C$6^2)/Inputs!$C$52))</f>
        <v>406.37140578055943</v>
      </c>
      <c r="E212" s="9">
        <f t="shared" si="58"/>
        <v>4121.4057805594275</v>
      </c>
      <c r="F212" s="9">
        <f>E212/Inputs!$C$12</f>
        <v>2315.3965059322627</v>
      </c>
      <c r="G212" s="9">
        <f>2*E212/Inputs!$C$21*1000000</f>
        <v>27.495059802734779</v>
      </c>
      <c r="H212" s="9">
        <f>SQRT(A212^2+Inputs!$C$6^2)</f>
        <v>51.478150704935004</v>
      </c>
      <c r="I212" s="9">
        <f t="shared" si="59"/>
        <v>7.2928160029494338</v>
      </c>
      <c r="J212" s="9">
        <f>DEGREES((2*PI()/Inputs!$C$13)*Inputs!$C$15*SIN(RADIANS(I212)))</f>
        <v>45.698486224086679</v>
      </c>
      <c r="K212" s="9">
        <f t="shared" si="60"/>
        <v>0.96004512300185918</v>
      </c>
      <c r="L212" s="9">
        <f t="shared" si="61"/>
        <v>-0.17708354241497856</v>
      </c>
      <c r="M212" s="9">
        <f>2*(Inputs!$C$9/(Inputs!$C$10^2))*A212</f>
        <v>0.1</v>
      </c>
      <c r="N212" s="9">
        <f>M212*Inputs!$C$11</f>
        <v>0.4</v>
      </c>
      <c r="O212" s="9">
        <f>1000*(D213-D211)/(A213-A211)*Inputs!$C$11</f>
        <v>953.77704829843424</v>
      </c>
      <c r="P212" s="9">
        <f>-2*O212/Inputs!$C$13</f>
        <v>-381.5108193193737</v>
      </c>
      <c r="Q212" s="9">
        <f>-2*O212/Inputs!$C$14</f>
        <v>-57.283906804710767</v>
      </c>
      <c r="R212" s="9">
        <f>F212-Inputs!$C$16/2</f>
        <v>2300.3965059322627</v>
      </c>
      <c r="S212" s="9">
        <f>F212+Inputs!$C$16/2</f>
        <v>2330.3965059322627</v>
      </c>
      <c r="T212" s="9">
        <f>F212-Inputs!$C$17/2</f>
        <v>2165.3965059322627</v>
      </c>
      <c r="U212" s="9">
        <f>F212+Inputs!$C$17/2</f>
        <v>2465.3965059322627</v>
      </c>
      <c r="V212" s="9">
        <f t="shared" si="62"/>
        <v>381.5108193193737</v>
      </c>
      <c r="W212" s="9">
        <f t="shared" si="63"/>
        <v>57.283906804710767</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-4.7462079682678002</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165.26573251393552</v>
      </c>
      <c r="Z212" s="9">
        <f t="shared" si="64"/>
        <v>402.25474620796825</v>
      </c>
      <c r="AA212" s="9">
        <f>SQRT((Inputs!$C$52+B212)^2+(Inputs!$C$52+Y212/1000)^2-2*(Inputs!$C$52+B212)*(Inputs!$C$52+Y212/1000)*COS(SQRT(A212^2+Inputs!$C$6^2)/Inputs!$C$52))</f>
        <v>406.20825120412024</v>
      </c>
      <c r="AB212" s="9">
        <f t="shared" si="65"/>
        <v>3953.5049961519917</v>
      </c>
      <c r="AC212" s="9">
        <f>AB212/Inputs!$C$12</f>
        <v>2221.0702225572986</v>
      </c>
      <c r="AD212" s="9">
        <f>2*AB212/Inputs!$C$21*1000000</f>
        <v>26.374946338056255</v>
      </c>
      <c r="AE212" s="9">
        <f t="shared" si="66"/>
        <v>7.2957812216224553</v>
      </c>
      <c r="AF212" s="9">
        <f>DEGREES((2*PI()/Inputs!$C$13)*Inputs!$C$15*SIN(RADIANS(AE212)))</f>
        <v>45.716966463172334</v>
      </c>
      <c r="AG212" s="9">
        <f t="shared" si="67"/>
        <v>0.96163385528765233</v>
      </c>
      <c r="AH212" s="9">
        <f t="shared" si="68"/>
        <v>-0.16990255297879206</v>
      </c>
      <c r="AI212" s="9">
        <f t="shared" si="69"/>
        <v>-94.326283374964078</v>
      </c>
      <c r="AJ212" s="9">
        <f t="shared" si="70"/>
        <v>-1.1201134646785249</v>
      </c>
      <c r="AK212" s="9">
        <f t="shared" si="71"/>
        <v>170.01194048220333</v>
      </c>
      <c r="AL212" s="9">
        <f>1000*(AA213-AA211)/(A213-A211)*Inputs!$C$11</f>
        <v>994.27487577577267</v>
      </c>
      <c r="AM212" s="9">
        <f>-2*AL212/Inputs!$C$13</f>
        <v>-397.70995031030907</v>
      </c>
      <c r="AN212" s="9">
        <f>-2*AL212/Inputs!$C$14</f>
        <v>-59.716208755301665</v>
      </c>
      <c r="AO212" s="9">
        <f t="shared" si="72"/>
        <v>397.70995031030907</v>
      </c>
      <c r="AP212" s="9">
        <f t="shared" si="73"/>
        <v>59.716208755301665</v>
      </c>
      <c r="AQ212" s="9">
        <f>IF(OR(Inputs!$C$27=TRUE,Inputs!$C$27="TRUE",Inputs!$C$27=1),Inputs!$C$46/Inputs!$C$12,0)</f>
        <v>42.134831460674157</v>
      </c>
      <c r="AR212" s="9">
        <f t="shared" si="74"/>
        <v>2178.9353910966242</v>
      </c>
      <c r="AS212" s="9">
        <f t="shared" si="75"/>
        <v>2263.205054017973</v>
      </c>
    </row>
    <row r="213" spans="1:45">
      <c r="A213" s="9">
        <f>Inputs!$C$7+211*(Inputs!$C$8-Inputs!$C$7)/240</f>
        <v>45.5</v>
      </c>
      <c r="B213" s="9">
        <f>Inputs!$C$5+Inputs!$C$9*(A213/Inputs!$C$10)^2</f>
        <v>402.30027777777775</v>
      </c>
      <c r="C213" s="9">
        <f t="shared" si="57"/>
        <v>402.30027777777775</v>
      </c>
      <c r="D213" s="9">
        <f>SQRT((Inputs!$C$52+B213)^2+Inputs!$C$52^2-2*(Inputs!$C$52+B213)*Inputs!$C$52*COS(SQRT(A213^2+Inputs!$C$6^2)/Inputs!$C$52))</f>
        <v>406.49127751054402</v>
      </c>
      <c r="E213" s="9">
        <f t="shared" si="58"/>
        <v>4190.9997327662722</v>
      </c>
      <c r="F213" s="9">
        <f>E213/Inputs!$C$12</f>
        <v>2354.494231891164</v>
      </c>
      <c r="G213" s="9">
        <f>2*E213/Inputs!$C$21*1000000</f>
        <v>27.959340676717574</v>
      </c>
      <c r="H213" s="9">
        <f>SQRT(A213^2+Inputs!$C$6^2)</f>
        <v>51.915797210483056</v>
      </c>
      <c r="I213" s="9">
        <f t="shared" si="59"/>
        <v>7.3532316468514338</v>
      </c>
      <c r="J213" s="9">
        <f>DEGREES((2*PI()/Inputs!$C$13)*Inputs!$C$15*SIN(RADIANS(I213)))</f>
        <v>46.07499258851599</v>
      </c>
      <c r="K213" s="9">
        <f t="shared" si="60"/>
        <v>0.9593926920449114</v>
      </c>
      <c r="L213" s="9">
        <f t="shared" si="61"/>
        <v>-0.18003593996718301</v>
      </c>
      <c r="M213" s="9">
        <f>2*(Inputs!$C$9/(Inputs!$C$10^2))*A213</f>
        <v>0.10111111111111111</v>
      </c>
      <c r="N213" s="9">
        <f>M213*Inputs!$C$11</f>
        <v>0.40444444444444444</v>
      </c>
      <c r="O213" s="9">
        <f>1000*(D214-D212)/(A214-A212)*Inputs!$C$11</f>
        <v>964.16730609553269</v>
      </c>
      <c r="P213" s="9">
        <f>-2*O213/Inputs!$C$13</f>
        <v>-385.66692243821308</v>
      </c>
      <c r="Q213" s="9">
        <f>-2*O213/Inputs!$C$14</f>
        <v>-57.907946312044011</v>
      </c>
      <c r="R213" s="9">
        <f>F213-Inputs!$C$16/2</f>
        <v>2339.494231891164</v>
      </c>
      <c r="S213" s="9">
        <f>F213+Inputs!$C$16/2</f>
        <v>2369.494231891164</v>
      </c>
      <c r="T213" s="9">
        <f>F213-Inputs!$C$17/2</f>
        <v>2204.494231891164</v>
      </c>
      <c r="U213" s="9">
        <f>F213+Inputs!$C$17/2</f>
        <v>2504.494231891164</v>
      </c>
      <c r="V213" s="9">
        <f t="shared" si="62"/>
        <v>385.66692243821308</v>
      </c>
      <c r="W213" s="9">
        <f t="shared" si="63"/>
        <v>57.907946312044011</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-4.9547764189191454</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168.78187987738474</v>
      </c>
      <c r="Z213" s="9">
        <f t="shared" si="64"/>
        <v>402.30523255419666</v>
      </c>
      <c r="AA213" s="9">
        <f>SQRT((Inputs!$C$52+B213)^2+(Inputs!$C$52+Y213/1000)^2-2*(Inputs!$C$52+B213)*(Inputs!$C$52+Y213/1000)*COS(SQRT(A213^2+Inputs!$C$6^2)/Inputs!$C$52))</f>
        <v>406.32468757731942</v>
      </c>
      <c r="AB213" s="9">
        <f t="shared" si="65"/>
        <v>4019.4550231227595</v>
      </c>
      <c r="AC213" s="9">
        <f>AB213/Inputs!$C$12</f>
        <v>2258.1207995071682</v>
      </c>
      <c r="AD213" s="9">
        <f>2*AB213/Inputs!$C$21*1000000</f>
        <v>26.81491755955221</v>
      </c>
      <c r="AE213" s="9">
        <f t="shared" si="66"/>
        <v>7.3562841331839328</v>
      </c>
      <c r="AF213" s="9">
        <f>DEGREES((2*PI()/Inputs!$C$13)*Inputs!$C$15*SIN(RADIANS(AE213)))</f>
        <v>46.094014128812951</v>
      </c>
      <c r="AG213" s="9">
        <f t="shared" si="67"/>
        <v>0.96101437621095664</v>
      </c>
      <c r="AH213" s="9">
        <f t="shared" si="68"/>
        <v>-0.17270115492339866</v>
      </c>
      <c r="AI213" s="9">
        <f t="shared" si="69"/>
        <v>-96.373432383995805</v>
      </c>
      <c r="AJ213" s="9">
        <f t="shared" si="70"/>
        <v>-1.1444231171653634</v>
      </c>
      <c r="AK213" s="9">
        <f t="shared" si="71"/>
        <v>173.73665629630389</v>
      </c>
      <c r="AL213" s="9">
        <f>1000*(AA214-AA212)/(A214-A212)*Inputs!$C$11</f>
        <v>1035.664864365117</v>
      </c>
      <c r="AM213" s="9">
        <f>-2*AL213/Inputs!$C$13</f>
        <v>-414.26594574604678</v>
      </c>
      <c r="AN213" s="9">
        <f>-2*AL213/Inputs!$C$14</f>
        <v>-62.202093955862885</v>
      </c>
      <c r="AO213" s="9">
        <f t="shared" si="72"/>
        <v>414.26594574604678</v>
      </c>
      <c r="AP213" s="9">
        <f t="shared" si="73"/>
        <v>62.202093955862885</v>
      </c>
      <c r="AQ213" s="9">
        <f>IF(OR(Inputs!$C$27=TRUE,Inputs!$C$27="TRUE",Inputs!$C$27=1),Inputs!$C$46/Inputs!$C$12,0)</f>
        <v>42.134831460674157</v>
      </c>
      <c r="AR213" s="9">
        <f t="shared" si="74"/>
        <v>2215.9859680464938</v>
      </c>
      <c r="AS213" s="9">
        <f t="shared" si="75"/>
        <v>2300.2556309678425</v>
      </c>
    </row>
    <row r="214" spans="1:45">
      <c r="A214" s="9">
        <f>Inputs!$C$7+212*(Inputs!$C$8-Inputs!$C$7)/240</f>
        <v>46</v>
      </c>
      <c r="B214" s="9">
        <f>Inputs!$C$5+Inputs!$C$9*(A214/Inputs!$C$10)^2</f>
        <v>402.35111111111109</v>
      </c>
      <c r="C214" s="9">
        <f t="shared" si="57"/>
        <v>402.35111111111109</v>
      </c>
      <c r="D214" s="9">
        <f>SQRT((Inputs!$C$52+B214)^2+Inputs!$C$52^2-2*(Inputs!$C$52+B214)*Inputs!$C$52*COS(SQRT(A214^2+Inputs!$C$6^2)/Inputs!$C$52))</f>
        <v>406.61244760708331</v>
      </c>
      <c r="E214" s="9">
        <f t="shared" si="58"/>
        <v>4261.3364959722167</v>
      </c>
      <c r="F214" s="9">
        <f>E214/Inputs!$C$12</f>
        <v>2394.0092674001216</v>
      </c>
      <c r="G214" s="9">
        <f>2*E214/Inputs!$C$21*1000000</f>
        <v>28.428577052276722</v>
      </c>
      <c r="H214" s="9">
        <f>SQRT(A214^2+Inputs!$C$6^2)</f>
        <v>52.354560450833695</v>
      </c>
      <c r="I214" s="9">
        <f t="shared" si="59"/>
        <v>7.4137620157175332</v>
      </c>
      <c r="J214" s="9">
        <f>DEGREES((2*PI()/Inputs!$C$13)*Inputs!$C$15*SIN(RADIANS(I214)))</f>
        <v>46.452162535839577</v>
      </c>
      <c r="K214" s="9">
        <f t="shared" si="60"/>
        <v>0.95873402775285366</v>
      </c>
      <c r="L214" s="9">
        <f t="shared" si="61"/>
        <v>-0.18301858210191152</v>
      </c>
      <c r="M214" s="9">
        <f>2*(Inputs!$C$9/(Inputs!$C$10^2))*A214</f>
        <v>0.10222222222222223</v>
      </c>
      <c r="N214" s="9">
        <f>M214*Inputs!$C$11</f>
        <v>0.40888888888888891</v>
      </c>
      <c r="O214" s="9">
        <f>1000*(D215-D213)/(A215-A213)*Inputs!$C$11</f>
        <v>974.55088145738955</v>
      </c>
      <c r="P214" s="9">
        <f>-2*O214/Inputs!$C$13</f>
        <v>-389.82035258295582</v>
      </c>
      <c r="Q214" s="9">
        <f>-2*O214/Inputs!$C$14</f>
        <v>-58.531584471915295</v>
      </c>
      <c r="R214" s="9">
        <f>F214-Inputs!$C$16/2</f>
        <v>2379.0092674001216</v>
      </c>
      <c r="S214" s="9">
        <f>F214+Inputs!$C$16/2</f>
        <v>2409.0092674001216</v>
      </c>
      <c r="T214" s="9">
        <f>F214-Inputs!$C$17/2</f>
        <v>2244.0092674001216</v>
      </c>
      <c r="U214" s="9">
        <f>F214+Inputs!$C$17/2</f>
        <v>2544.0092674001216</v>
      </c>
      <c r="V214" s="9">
        <f t="shared" si="62"/>
        <v>389.82035258295582</v>
      </c>
      <c r="W214" s="9">
        <f t="shared" si="63"/>
        <v>58.531584471915295</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-4.8192565136201182E-2</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147.22365110398141</v>
      </c>
      <c r="Z214" s="9">
        <f t="shared" si="64"/>
        <v>402.35115930367624</v>
      </c>
      <c r="AA214" s="9">
        <f>SQRT((Inputs!$C$52+B214)^2+(Inputs!$C$52+Y214/1000)^2-2*(Inputs!$C$52+B214)*(Inputs!$C$52+Y214/1000)*COS(SQRT(A214^2+Inputs!$C$6^2)/Inputs!$C$52))</f>
        <v>406.46716742021152</v>
      </c>
      <c r="AB214" s="9">
        <f t="shared" si="65"/>
        <v>4116.008116535284</v>
      </c>
      <c r="AC214" s="9">
        <f>AB214/Inputs!$C$12</f>
        <v>2312.3641104130807</v>
      </c>
      <c r="AD214" s="9">
        <f>2*AB214/Inputs!$C$21*1000000</f>
        <v>27.45905046440684</v>
      </c>
      <c r="AE214" s="9">
        <f t="shared" si="66"/>
        <v>7.4164455606099589</v>
      </c>
      <c r="AF214" s="9">
        <f>DEGREES((2*PI()/Inputs!$C$13)*Inputs!$C$15*SIN(RADIANS(AE214)))</f>
        <v>46.468882738347205</v>
      </c>
      <c r="AG214" s="9">
        <f t="shared" si="67"/>
        <v>0.96010591218761898</v>
      </c>
      <c r="AH214" s="9">
        <f t="shared" si="68"/>
        <v>-0.17680855979684207</v>
      </c>
      <c r="AI214" s="9">
        <f t="shared" si="69"/>
        <v>-81.645156987040991</v>
      </c>
      <c r="AJ214" s="9">
        <f t="shared" si="70"/>
        <v>-0.96952658786988266</v>
      </c>
      <c r="AK214" s="9">
        <f t="shared" si="71"/>
        <v>147.2718436691176</v>
      </c>
      <c r="AL214" s="9">
        <f>1000*(AA215-AA213)/(A215-A213)*Inputs!$C$11</f>
        <v>1146.5767878601127</v>
      </c>
      <c r="AM214" s="9">
        <f>-2*AL214/Inputs!$C$13</f>
        <v>-458.6307151440451</v>
      </c>
      <c r="AN214" s="9">
        <f>-2*AL214/Inputs!$C$14</f>
        <v>-68.863470742349122</v>
      </c>
      <c r="AO214" s="9">
        <f t="shared" si="72"/>
        <v>458.6307151440451</v>
      </c>
      <c r="AP214" s="9">
        <f t="shared" si="73"/>
        <v>68.863470742349122</v>
      </c>
      <c r="AQ214" s="9">
        <f>IF(OR(Inputs!$C$27=TRUE,Inputs!$C$27="TRUE",Inputs!$C$27=1),Inputs!$C$46/Inputs!$C$12,0)</f>
        <v>42.134831460674157</v>
      </c>
      <c r="AR214" s="9">
        <f t="shared" si="74"/>
        <v>2270.2292789524063</v>
      </c>
      <c r="AS214" s="9">
        <f t="shared" si="75"/>
        <v>2354.498941873755</v>
      </c>
    </row>
    <row r="215" spans="1:45">
      <c r="A215" s="9">
        <f>Inputs!$C$7+213*(Inputs!$C$8-Inputs!$C$7)/240</f>
        <v>46.5</v>
      </c>
      <c r="B215" s="9">
        <f>Inputs!$C$5+Inputs!$C$9*(A215/Inputs!$C$10)^2</f>
        <v>402.40249999999997</v>
      </c>
      <c r="C215" s="9">
        <f t="shared" si="57"/>
        <v>402.40249999999997</v>
      </c>
      <c r="D215" s="9">
        <f>SQRT((Inputs!$C$52+B215)^2+Inputs!$C$52^2-2*(Inputs!$C$52+B215)*Inputs!$C$52*COS(SQRT(A215^2+Inputs!$C$6^2)/Inputs!$C$52))</f>
        <v>406.73491523090837</v>
      </c>
      <c r="E215" s="9">
        <f t="shared" si="58"/>
        <v>4332.4152309083956</v>
      </c>
      <c r="F215" s="9">
        <f>E215/Inputs!$C$12</f>
        <v>2433.9411409597728</v>
      </c>
      <c r="G215" s="9">
        <f>2*E215/Inputs!$C$21*1000000</f>
        <v>28.902763330413041</v>
      </c>
      <c r="H215" s="9">
        <f>SQRT(A215^2+Inputs!$C$6^2)</f>
        <v>52.794412583151257</v>
      </c>
      <c r="I215" s="9">
        <f t="shared" si="59"/>
        <v>7.4744026758958535</v>
      </c>
      <c r="J215" s="9">
        <f>DEGREES((2*PI()/Inputs!$C$13)*Inputs!$C$15*SIN(RADIANS(I215)))</f>
        <v>46.829967730750575</v>
      </c>
      <c r="K215" s="9">
        <f t="shared" si="60"/>
        <v>0.95806916023328526</v>
      </c>
      <c r="L215" s="9">
        <f t="shared" si="61"/>
        <v>-0.18603139331106608</v>
      </c>
      <c r="M215" s="9">
        <f>2*(Inputs!$C$9/(Inputs!$C$10^2))*A215</f>
        <v>0.10333333333333333</v>
      </c>
      <c r="N215" s="9">
        <f>M215*Inputs!$C$11</f>
        <v>0.41333333333333333</v>
      </c>
      <c r="O215" s="9">
        <f>1000*(D216-D214)/(A216-A214)*Inputs!$C$11</f>
        <v>984.92771102746701</v>
      </c>
      <c r="P215" s="9">
        <f>-2*O215/Inputs!$C$13</f>
        <v>-393.9710844109868</v>
      </c>
      <c r="Q215" s="9">
        <f>-2*O215/Inputs!$C$14</f>
        <v>-59.154817479127153</v>
      </c>
      <c r="R215" s="9">
        <f>F215-Inputs!$C$16/2</f>
        <v>2418.9411409597728</v>
      </c>
      <c r="S215" s="9">
        <f>F215+Inputs!$C$16/2</f>
        <v>2448.9411409597728</v>
      </c>
      <c r="T215" s="9">
        <f>F215-Inputs!$C$17/2</f>
        <v>2283.9411409597728</v>
      </c>
      <c r="U215" s="9">
        <f>F215+Inputs!$C$17/2</f>
        <v>2583.9411409597728</v>
      </c>
      <c r="V215" s="9">
        <f t="shared" si="62"/>
        <v>393.9710844109868</v>
      </c>
      <c r="W215" s="9">
        <f t="shared" si="63"/>
        <v>59.154817479127153</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-12.323766405407561</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125.26409736726505</v>
      </c>
      <c r="Z215" s="9">
        <f t="shared" si="64"/>
        <v>402.41482376640539</v>
      </c>
      <c r="AA215" s="9">
        <f>SQRT((Inputs!$C$52+B215)^2+(Inputs!$C$52+Y215/1000)^2-2*(Inputs!$C$52+B215)*(Inputs!$C$52+Y215/1000)*COS(SQRT(A215^2+Inputs!$C$6^2)/Inputs!$C$52))</f>
        <v>406.61133177428445</v>
      </c>
      <c r="AB215" s="9">
        <f t="shared" si="65"/>
        <v>4196.5080078790606</v>
      </c>
      <c r="AC215" s="9">
        <f>AB215/Inputs!$C$12</f>
        <v>2357.5887684713825</v>
      </c>
      <c r="AD215" s="9">
        <f>2*AB215/Inputs!$C$21*1000000</f>
        <v>27.996087932799568</v>
      </c>
      <c r="AE215" s="9">
        <f t="shared" si="66"/>
        <v>7.4767037834776495</v>
      </c>
      <c r="AF215" s="9">
        <f>DEGREES((2*PI()/Inputs!$C$13)*Inputs!$C$15*SIN(RADIANS(AE215)))</f>
        <v>46.844303127375206</v>
      </c>
      <c r="AG215" s="9">
        <f t="shared" si="67"/>
        <v>0.95935196818070911</v>
      </c>
      <c r="AH215" s="9">
        <f t="shared" si="68"/>
        <v>-0.18022029122427427</v>
      </c>
      <c r="AI215" s="9">
        <f t="shared" si="69"/>
        <v>-76.352372488390301</v>
      </c>
      <c r="AJ215" s="9">
        <f t="shared" si="70"/>
        <v>-0.90667539761347271</v>
      </c>
      <c r="AK215" s="9">
        <f t="shared" si="71"/>
        <v>137.58786377267262</v>
      </c>
      <c r="AL215" s="9">
        <f>1000*(AA216-AA214)/(A216-A214)*Inputs!$C$11</f>
        <v>1096.243634253824</v>
      </c>
      <c r="AM215" s="9">
        <f>-2*AL215/Inputs!$C$13</f>
        <v>-438.49745370152959</v>
      </c>
      <c r="AN215" s="9">
        <f>-2*AL215/Inputs!$C$14</f>
        <v>-65.840458513743187</v>
      </c>
      <c r="AO215" s="9">
        <f t="shared" si="72"/>
        <v>438.49745370152959</v>
      </c>
      <c r="AP215" s="9">
        <f t="shared" si="73"/>
        <v>65.840458513743187</v>
      </c>
      <c r="AQ215" s="9">
        <f>IF(OR(Inputs!$C$27=TRUE,Inputs!$C$27="TRUE",Inputs!$C$27=1),Inputs!$C$46/Inputs!$C$12,0)</f>
        <v>42.134831460674157</v>
      </c>
      <c r="AR215" s="9">
        <f t="shared" si="74"/>
        <v>2315.4539370107082</v>
      </c>
      <c r="AS215" s="9">
        <f t="shared" si="75"/>
        <v>2399.7235999320569</v>
      </c>
    </row>
    <row r="216" spans="1:45">
      <c r="A216" s="9">
        <f>Inputs!$C$7+214*(Inputs!$C$8-Inputs!$C$7)/240</f>
        <v>47</v>
      </c>
      <c r="B216" s="9">
        <f>Inputs!$C$5+Inputs!$C$9*(A216/Inputs!$C$10)^2</f>
        <v>402.45444444444445</v>
      </c>
      <c r="C216" s="9">
        <f t="shared" si="57"/>
        <v>402.45444444444445</v>
      </c>
      <c r="D216" s="9">
        <f>SQRT((Inputs!$C$52+B216)^2+Inputs!$C$52^2-2*(Inputs!$C$52+B216)*Inputs!$C$52*COS(SQRT(A216^2+Inputs!$C$6^2)/Inputs!$C$52))</f>
        <v>406.85867953484018</v>
      </c>
      <c r="E216" s="9">
        <f t="shared" si="58"/>
        <v>4404.2350903957304</v>
      </c>
      <c r="F216" s="9">
        <f>E216/Inputs!$C$12</f>
        <v>2474.2893766268148</v>
      </c>
      <c r="G216" s="9">
        <f>2*E216/Inputs!$C$21*1000000</f>
        <v>29.381893859356065</v>
      </c>
      <c r="H216" s="9">
        <f>SQRT(A216^2+Inputs!$C$6^2)</f>
        <v>53.235326616824658</v>
      </c>
      <c r="I216" s="9">
        <f t="shared" si="59"/>
        <v>7.5351493170616237</v>
      </c>
      <c r="J216" s="9">
        <f>DEGREES((2*PI()/Inputs!$C$13)*Inputs!$C$15*SIN(RADIANS(I216)))</f>
        <v>47.208380616273161</v>
      </c>
      <c r="K216" s="9">
        <f t="shared" si="60"/>
        <v>0.95739811981586398</v>
      </c>
      <c r="L216" s="9">
        <f t="shared" si="61"/>
        <v>-0.18907429741470522</v>
      </c>
      <c r="M216" s="9">
        <f>2*(Inputs!$C$9/(Inputs!$C$10^2))*A216</f>
        <v>0.10444444444444445</v>
      </c>
      <c r="N216" s="9">
        <f>M216*Inputs!$C$11</f>
        <v>0.4177777777777778</v>
      </c>
      <c r="O216" s="9">
        <f>1000*(D217-D215)/(A217-A215)*Inputs!$C$11</f>
        <v>995.29773172275782</v>
      </c>
      <c r="P216" s="9">
        <f>-2*O216/Inputs!$C$13</f>
        <v>-398.11909268910313</v>
      </c>
      <c r="Q216" s="9">
        <f>-2*O216/Inputs!$C$14</f>
        <v>-59.777641544910388</v>
      </c>
      <c r="R216" s="9">
        <f>F216-Inputs!$C$16/2</f>
        <v>2459.2893766268148</v>
      </c>
      <c r="S216" s="9">
        <f>F216+Inputs!$C$16/2</f>
        <v>2489.2893766268148</v>
      </c>
      <c r="T216" s="9">
        <f>F216-Inputs!$C$17/2</f>
        <v>2324.2893766268148</v>
      </c>
      <c r="U216" s="9">
        <f>F216+Inputs!$C$17/2</f>
        <v>2624.2893766268148</v>
      </c>
      <c r="V216" s="9">
        <f t="shared" si="62"/>
        <v>398.11909268910313</v>
      </c>
      <c r="W216" s="9">
        <f t="shared" si="63"/>
        <v>59.777641544910388</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5.6247334384920968</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119.07484471646131</v>
      </c>
      <c r="Z216" s="9">
        <f t="shared" si="64"/>
        <v>402.44881971100597</v>
      </c>
      <c r="AA216" s="9">
        <f>SQRT((Inputs!$C$52+B216)^2+(Inputs!$C$52+Y216/1000)^2-2*(Inputs!$C$52+B216)*(Inputs!$C$52+Y216/1000)*COS(SQRT(A216^2+Inputs!$C$6^2)/Inputs!$C$52))</f>
        <v>406.74122832877498</v>
      </c>
      <c r="AB216" s="9">
        <f t="shared" si="65"/>
        <v>4292.4086177690133</v>
      </c>
      <c r="AC216" s="9">
        <f>AB216/Inputs!$C$12</f>
        <v>2411.4655156005692</v>
      </c>
      <c r="AD216" s="9">
        <f>2*AB216/Inputs!$C$21*1000000</f>
        <v>28.63586793613743</v>
      </c>
      <c r="AE216" s="9">
        <f t="shared" si="66"/>
        <v>7.5373537771580006</v>
      </c>
      <c r="AF216" s="9">
        <f>DEGREES((2*PI()/Inputs!$C$13)*Inputs!$C$15*SIN(RADIANS(AE216)))</f>
        <v>47.222112003430219</v>
      </c>
      <c r="AG216" s="9">
        <f t="shared" si="67"/>
        <v>0.95845085435586819</v>
      </c>
      <c r="AH216" s="9">
        <f t="shared" si="68"/>
        <v>-0.18430151152384233</v>
      </c>
      <c r="AI216" s="9">
        <f t="shared" si="69"/>
        <v>-62.823861026245595</v>
      </c>
      <c r="AJ216" s="9">
        <f t="shared" si="70"/>
        <v>-0.74602592321863526</v>
      </c>
      <c r="AK216" s="9">
        <f t="shared" si="71"/>
        <v>113.45011127796921</v>
      </c>
      <c r="AL216" s="9">
        <f>1000*(AA217-AA215)/(A217-A215)*Inputs!$C$11</f>
        <v>1064.5928352605551</v>
      </c>
      <c r="AM216" s="9">
        <f>-2*AL216/Inputs!$C$13</f>
        <v>-425.83713410422206</v>
      </c>
      <c r="AN216" s="9">
        <f>-2*AL216/Inputs!$C$14</f>
        <v>-63.939509625258573</v>
      </c>
      <c r="AO216" s="9">
        <f t="shared" si="72"/>
        <v>425.83713410422206</v>
      </c>
      <c r="AP216" s="9">
        <f t="shared" si="73"/>
        <v>63.939509625258573</v>
      </c>
      <c r="AQ216" s="9">
        <f>IF(OR(Inputs!$C$27=TRUE,Inputs!$C$27="TRUE",Inputs!$C$27=1),Inputs!$C$46/Inputs!$C$12,0)</f>
        <v>42.134831460674157</v>
      </c>
      <c r="AR216" s="9">
        <f t="shared" si="74"/>
        <v>2369.3306841398949</v>
      </c>
      <c r="AS216" s="9">
        <f t="shared" si="75"/>
        <v>2453.6003470612436</v>
      </c>
    </row>
    <row r="217" spans="1:45">
      <c r="A217" s="9">
        <f>Inputs!$C$7+215*(Inputs!$C$8-Inputs!$C$7)/240</f>
        <v>47.5</v>
      </c>
      <c r="B217" s="9">
        <f>Inputs!$C$5+Inputs!$C$9*(A217/Inputs!$C$10)^2</f>
        <v>402.50694444444446</v>
      </c>
      <c r="C217" s="9">
        <f t="shared" si="57"/>
        <v>402.50694444444446</v>
      </c>
      <c r="D217" s="9">
        <f>SQRT((Inputs!$C$52+B217)^2+Inputs!$C$52^2-2*(Inputs!$C$52+B217)*Inputs!$C$52*COS(SQRT(A217^2+Inputs!$C$6^2)/Inputs!$C$52))</f>
        <v>406.98373966383906</v>
      </c>
      <c r="E217" s="9">
        <f t="shared" si="58"/>
        <v>4476.795219394603</v>
      </c>
      <c r="F217" s="9">
        <f>E217/Inputs!$C$12</f>
        <v>2515.0534940419116</v>
      </c>
      <c r="G217" s="9">
        <f>2*E217/Inputs!$C$21*1000000</f>
        <v>29.865962934895467</v>
      </c>
      <c r="H217" s="9">
        <f>SQRT(A217^2+Inputs!$C$6^2)</f>
        <v>53.677276383959722</v>
      </c>
      <c r="I217" s="9">
        <f t="shared" si="59"/>
        <v>7.595997748011027</v>
      </c>
      <c r="J217" s="9">
        <f>DEGREES((2*PI()/Inputs!$C$13)*Inputs!$C$15*SIN(RADIANS(I217)))</f>
        <v>47.587374387383477</v>
      </c>
      <c r="K217" s="9">
        <f t="shared" si="60"/>
        <v>0.95672093704912897</v>
      </c>
      <c r="L217" s="9">
        <f t="shared" si="61"/>
        <v>-0.19214721756612593</v>
      </c>
      <c r="M217" s="9">
        <f>2*(Inputs!$C$9/(Inputs!$C$10^2))*A217</f>
        <v>0.10555555555555556</v>
      </c>
      <c r="N217" s="9">
        <f>M217*Inputs!$C$11</f>
        <v>0.42222222222222222</v>
      </c>
      <c r="O217" s="9">
        <f>1000*(D218-D216)/(A218-A216)*Inputs!$C$11</f>
        <v>1005.6608808090459</v>
      </c>
      <c r="P217" s="9">
        <f>-2*O217/Inputs!$C$13</f>
        <v>-402.26435232361837</v>
      </c>
      <c r="Q217" s="9">
        <f>-2*O217/Inputs!$C$14</f>
        <v>-60.400052901444205</v>
      </c>
      <c r="R217" s="9">
        <f>F217-Inputs!$C$16/2</f>
        <v>2500.0534940419116</v>
      </c>
      <c r="S217" s="9">
        <f>F217+Inputs!$C$16/2</f>
        <v>2530.0534940419116</v>
      </c>
      <c r="T217" s="9">
        <f>F217-Inputs!$C$17/2</f>
        <v>2365.0534940419116</v>
      </c>
      <c r="U217" s="9">
        <f>F217+Inputs!$C$17/2</f>
        <v>2665.0534940419116</v>
      </c>
      <c r="V217" s="9">
        <f t="shared" si="62"/>
        <v>402.26435232361837</v>
      </c>
      <c r="W217" s="9">
        <f t="shared" si="63"/>
        <v>60.400052901444205</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4.7258194939479337</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107.7527102272833</v>
      </c>
      <c r="Z217" s="9">
        <f t="shared" si="64"/>
        <v>402.5022186249505</v>
      </c>
      <c r="AA217" s="9">
        <f>SQRT((Inputs!$C$52+B217)^2+(Inputs!$C$52+Y217/1000)^2-2*(Inputs!$C$52+B217)*(Inputs!$C$52+Y217/1000)*COS(SQRT(A217^2+Inputs!$C$6^2)/Inputs!$C$52))</f>
        <v>406.87747998309959</v>
      </c>
      <c r="AB217" s="9">
        <f t="shared" si="65"/>
        <v>4375.2613581490896</v>
      </c>
      <c r="AC217" s="9">
        <f>AB217/Inputs!$C$12</f>
        <v>2458.0119989601626</v>
      </c>
      <c r="AD217" s="9">
        <f>2*AB217/Inputs!$C$21*1000000</f>
        <v>29.188601923728779</v>
      </c>
      <c r="AE217" s="9">
        <f t="shared" si="66"/>
        <v>7.5980080120075364</v>
      </c>
      <c r="AF217" s="9">
        <f>DEGREES((2*PI()/Inputs!$C$13)*Inputs!$C$15*SIN(RADIANS(AE217)))</f>
        <v>47.599894380664111</v>
      </c>
      <c r="AG217" s="9">
        <f t="shared" si="67"/>
        <v>0.9576757759664779</v>
      </c>
      <c r="AH217" s="9">
        <f t="shared" si="68"/>
        <v>-0.18781497749824028</v>
      </c>
      <c r="AI217" s="9">
        <f t="shared" si="69"/>
        <v>-57.041495081748963</v>
      </c>
      <c r="AJ217" s="9">
        <f t="shared" si="70"/>
        <v>-0.67736101116668834</v>
      </c>
      <c r="AK217" s="9">
        <f t="shared" si="71"/>
        <v>103.02689073333536</v>
      </c>
      <c r="AL217" s="9">
        <f>1000*(AA218-AA216)/(A218-A216)*Inputs!$C$11</f>
        <v>982.51683209059593</v>
      </c>
      <c r="AM217" s="9">
        <f>-2*AL217/Inputs!$C$13</f>
        <v>-393.00673283623837</v>
      </c>
      <c r="AN217" s="9">
        <f>-2*AL217/Inputs!$C$14</f>
        <v>-59.010019945381138</v>
      </c>
      <c r="AO217" s="9">
        <f t="shared" si="72"/>
        <v>393.00673283623837</v>
      </c>
      <c r="AP217" s="9">
        <f t="shared" si="73"/>
        <v>59.010019945381138</v>
      </c>
      <c r="AQ217" s="9">
        <f>IF(OR(Inputs!$C$27=TRUE,Inputs!$C$27="TRUE",Inputs!$C$27=1),Inputs!$C$46/Inputs!$C$12,0)</f>
        <v>42.134831460674157</v>
      </c>
      <c r="AR217" s="9">
        <f t="shared" si="74"/>
        <v>2415.8771674994882</v>
      </c>
      <c r="AS217" s="9">
        <f t="shared" si="75"/>
        <v>2500.146830420837</v>
      </c>
    </row>
    <row r="218" spans="1:45">
      <c r="A218" s="9">
        <f>Inputs!$C$7+216*(Inputs!$C$8-Inputs!$C$7)/240</f>
        <v>48</v>
      </c>
      <c r="B218" s="9">
        <f>Inputs!$C$5+Inputs!$C$9*(A218/Inputs!$C$10)^2</f>
        <v>402.56</v>
      </c>
      <c r="C218" s="9">
        <f t="shared" si="57"/>
        <v>402.56</v>
      </c>
      <c r="D218" s="9">
        <f>SQRT((Inputs!$C$52+B218)^2+Inputs!$C$52^2-2*(Inputs!$C$52+B218)*Inputs!$C$52*COS(SQRT(A218^2+Inputs!$C$6^2)/Inputs!$C$52))</f>
        <v>407.11009475504244</v>
      </c>
      <c r="E218" s="9">
        <f t="shared" si="58"/>
        <v>4550.0947550424371</v>
      </c>
      <c r="F218" s="9">
        <f>E218/Inputs!$C$12</f>
        <v>2556.2330084508071</v>
      </c>
      <c r="G218" s="9">
        <f>2*E218/Inputs!$C$21*1000000</f>
        <v>30.354964800631755</v>
      </c>
      <c r="H218" s="9">
        <f>SQRT(A218^2+Inputs!$C$6^2)</f>
        <v>54.120236510939236</v>
      </c>
      <c r="I218" s="9">
        <f t="shared" si="59"/>
        <v>7.6569438926073863</v>
      </c>
      <c r="J218" s="9">
        <f>DEGREES((2*PI()/Inputs!$C$13)*Inputs!$C$15*SIN(RADIANS(I218)))</f>
        <v>47.966922965586392</v>
      </c>
      <c r="K218" s="9">
        <f t="shared" si="60"/>
        <v>0.9560376426974182</v>
      </c>
      <c r="L218" s="9">
        <f t="shared" si="61"/>
        <v>-0.19525007625649005</v>
      </c>
      <c r="M218" s="9">
        <f>2*(Inputs!$C$9/(Inputs!$C$10^2))*A218</f>
        <v>0.10666666666666666</v>
      </c>
      <c r="N218" s="9">
        <f>M218*Inputs!$C$11</f>
        <v>0.42666666666666664</v>
      </c>
      <c r="O218" s="9">
        <f>1000*(D219-D217)/(A219-A217)*Inputs!$C$11</f>
        <v>1016.0170958615709</v>
      </c>
      <c r="P218" s="9">
        <f>-2*O218/Inputs!$C$13</f>
        <v>-406.40683834462834</v>
      </c>
      <c r="Q218" s="9">
        <f>-2*O218/Inputs!$C$14</f>
        <v>-61.022047799493748</v>
      </c>
      <c r="R218" s="9">
        <f>F218-Inputs!$C$16/2</f>
        <v>2541.2330084508071</v>
      </c>
      <c r="S218" s="9">
        <f>F218+Inputs!$C$16/2</f>
        <v>2571.2330084508071</v>
      </c>
      <c r="T218" s="9">
        <f>F218-Inputs!$C$17/2</f>
        <v>2406.2330084508071</v>
      </c>
      <c r="U218" s="9">
        <f>F218+Inputs!$C$17/2</f>
        <v>2706.2330084508071</v>
      </c>
      <c r="V218" s="9">
        <f t="shared" si="62"/>
        <v>406.40683834462834</v>
      </c>
      <c r="W218" s="9">
        <f t="shared" si="63"/>
        <v>61.022047799493748</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-9.0769147289597925</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124.99715373473305</v>
      </c>
      <c r="Z218" s="9">
        <f t="shared" si="64"/>
        <v>402.56907691472895</v>
      </c>
      <c r="AA218" s="9">
        <f>SQRT((Inputs!$C$52+B218)^2+(Inputs!$C$52+Y218/1000)^2-2*(Inputs!$C$52+B218)*(Inputs!$C$52+Y218/1000)*COS(SQRT(A218^2+Inputs!$C$6^2)/Inputs!$C$52))</f>
        <v>406.98685753679763</v>
      </c>
      <c r="AB218" s="9">
        <f t="shared" si="65"/>
        <v>4417.7806220686762</v>
      </c>
      <c r="AC218" s="9">
        <f>AB218/Inputs!$C$12</f>
        <v>2481.8992258812787</v>
      </c>
      <c r="AD218" s="9">
        <f>2*AB218/Inputs!$C$21*1000000</f>
        <v>29.472259919685346</v>
      </c>
      <c r="AE218" s="9">
        <f t="shared" si="66"/>
        <v>7.6592939272550291</v>
      </c>
      <c r="AF218" s="9">
        <f>DEGREES((2*PI()/Inputs!$C$13)*Inputs!$C$15*SIN(RADIANS(AE218)))</f>
        <v>47.981556971586194</v>
      </c>
      <c r="AG218" s="9">
        <f t="shared" si="67"/>
        <v>0.95728247084176321</v>
      </c>
      <c r="AH218" s="9">
        <f t="shared" si="68"/>
        <v>-0.18959893543104989</v>
      </c>
      <c r="AI218" s="9">
        <f t="shared" si="69"/>
        <v>-74.333782569528466</v>
      </c>
      <c r="AJ218" s="9">
        <f t="shared" si="70"/>
        <v>-0.88270488094640953</v>
      </c>
      <c r="AK218" s="9">
        <f t="shared" si="71"/>
        <v>134.07406846369284</v>
      </c>
      <c r="AL218" s="9">
        <f>1000*(AA219-AA217)/(A219-A217)*Inputs!$C$11</f>
        <v>990.5345235411005</v>
      </c>
      <c r="AM218" s="9">
        <f>-2*AL218/Inputs!$C$13</f>
        <v>-396.2138094164402</v>
      </c>
      <c r="AN218" s="9">
        <f>-2*AL218/Inputs!$C$14</f>
        <v>-59.491562975441475</v>
      </c>
      <c r="AO218" s="9">
        <f t="shared" si="72"/>
        <v>396.2138094164402</v>
      </c>
      <c r="AP218" s="9">
        <f t="shared" si="73"/>
        <v>59.491562975441475</v>
      </c>
      <c r="AQ218" s="9">
        <f>IF(OR(Inputs!$C$27=TRUE,Inputs!$C$27="TRUE",Inputs!$C$27=1),Inputs!$C$46/Inputs!$C$12,0)</f>
        <v>42.134831460674157</v>
      </c>
      <c r="AR218" s="9">
        <f t="shared" si="74"/>
        <v>2439.7643944206043</v>
      </c>
      <c r="AS218" s="9">
        <f t="shared" si="75"/>
        <v>2524.034057341953</v>
      </c>
    </row>
    <row r="219" spans="1:45">
      <c r="A219" s="9">
        <f>Inputs!$C$7+217*(Inputs!$C$8-Inputs!$C$7)/240</f>
        <v>48.5</v>
      </c>
      <c r="B219" s="9">
        <f>Inputs!$C$5+Inputs!$C$9*(A219/Inputs!$C$10)^2</f>
        <v>402.61361111111108</v>
      </c>
      <c r="C219" s="9">
        <f t="shared" si="57"/>
        <v>402.61361111111108</v>
      </c>
      <c r="D219" s="9">
        <f>SQRT((Inputs!$C$52+B219)^2+Inputs!$C$52^2-2*(Inputs!$C$52+B219)*Inputs!$C$52*COS(SQRT(A219^2+Inputs!$C$6^2)/Inputs!$C$52))</f>
        <v>407.23774393780445</v>
      </c>
      <c r="E219" s="9">
        <f t="shared" si="58"/>
        <v>4624.1328266933688</v>
      </c>
      <c r="F219" s="9">
        <f>E219/Inputs!$C$12</f>
        <v>2597.8274307266115</v>
      </c>
      <c r="G219" s="9">
        <f>2*E219/Inputs!$C$21*1000000</f>
        <v>30.848893648240939</v>
      </c>
      <c r="H219" s="9">
        <f>SQRT(A219^2+Inputs!$C$6^2)</f>
        <v>54.564182391015443</v>
      </c>
      <c r="I219" s="9">
        <f t="shared" si="59"/>
        <v>7.7179837858747007</v>
      </c>
      <c r="J219" s="9">
        <f>DEGREES((2*PI()/Inputs!$C$13)*Inputs!$C$15*SIN(RADIANS(I219)))</f>
        <v>48.347000974416595</v>
      </c>
      <c r="K219" s="9">
        <f t="shared" si="60"/>
        <v>0.95534826773776638</v>
      </c>
      <c r="L219" s="9">
        <f t="shared" si="61"/>
        <v>-0.19838279531951419</v>
      </c>
      <c r="M219" s="9">
        <f>2*(Inputs!$C$9/(Inputs!$C$10^2))*A219</f>
        <v>0.10777777777777778</v>
      </c>
      <c r="N219" s="9">
        <f>M219*Inputs!$C$11</f>
        <v>0.43111111111111111</v>
      </c>
      <c r="O219" s="9">
        <f>1000*(D220-D218)/(A220-A218)*Inputs!$C$11</f>
        <v>1026.3663147777606</v>
      </c>
      <c r="P219" s="9">
        <f>-2*O219/Inputs!$C$13</f>
        <v>-410.54652591110425</v>
      </c>
      <c r="Q219" s="9">
        <f>-2*O219/Inputs!$C$14</f>
        <v>-61.643622509174818</v>
      </c>
      <c r="R219" s="9">
        <f>F219-Inputs!$C$16/2</f>
        <v>2582.8274307266115</v>
      </c>
      <c r="S219" s="9">
        <f>F219+Inputs!$C$16/2</f>
        <v>2612.8274307266115</v>
      </c>
      <c r="T219" s="9">
        <f>F219-Inputs!$C$17/2</f>
        <v>2447.8274307266115</v>
      </c>
      <c r="U219" s="9">
        <f>F219+Inputs!$C$17/2</f>
        <v>2747.8274307266115</v>
      </c>
      <c r="V219" s="9">
        <f t="shared" si="62"/>
        <v>410.54652591110425</v>
      </c>
      <c r="W219" s="9">
        <f t="shared" si="63"/>
        <v>61.643622509174818</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-2.0408727900443155</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114.26484888006172</v>
      </c>
      <c r="Z219" s="9">
        <f t="shared" si="64"/>
        <v>402.6156519839011</v>
      </c>
      <c r="AA219" s="9">
        <f>SQRT((Inputs!$C$52+B219)^2+(Inputs!$C$52+Y219/1000)^2-2*(Inputs!$C$52+B219)*(Inputs!$C$52+Y219/1000)*COS(SQRT(A219^2+Inputs!$C$6^2)/Inputs!$C$52))</f>
        <v>407.12511361398487</v>
      </c>
      <c r="AB219" s="9">
        <f t="shared" si="65"/>
        <v>4509.4616300837624</v>
      </c>
      <c r="AC219" s="9">
        <f>AB219/Inputs!$C$12</f>
        <v>2533.405410159417</v>
      </c>
      <c r="AD219" s="9">
        <f>2*AB219/Inputs!$C$21*1000000</f>
        <v>30.083889769393483</v>
      </c>
      <c r="AE219" s="9">
        <f t="shared" si="66"/>
        <v>7.7201484113091103</v>
      </c>
      <c r="AF219" s="9">
        <f>DEGREES((2*PI()/Inputs!$C$13)*Inputs!$C$15*SIN(RADIANS(AE219)))</f>
        <v>48.360478474810002</v>
      </c>
      <c r="AG219" s="9">
        <f t="shared" si="67"/>
        <v>0.95642527950320377</v>
      </c>
      <c r="AH219" s="9">
        <f t="shared" si="68"/>
        <v>-0.19348953464194213</v>
      </c>
      <c r="AI219" s="9">
        <f t="shared" si="69"/>
        <v>-64.422020567194522</v>
      </c>
      <c r="AJ219" s="9">
        <f t="shared" si="70"/>
        <v>-0.76500387884745535</v>
      </c>
      <c r="AK219" s="9">
        <f t="shared" si="71"/>
        <v>116.30572167010604</v>
      </c>
      <c r="AL219" s="9">
        <f>1000*(AA220-AA218)/(A220-A218)*Inputs!$C$11</f>
        <v>1087.5066376124778</v>
      </c>
      <c r="AM219" s="9">
        <f>-2*AL219/Inputs!$C$13</f>
        <v>-435.00265504499112</v>
      </c>
      <c r="AN219" s="9">
        <f>-2*AL219/Inputs!$C$14</f>
        <v>-65.315713970719386</v>
      </c>
      <c r="AO219" s="9">
        <f t="shared" si="72"/>
        <v>435.00265504499112</v>
      </c>
      <c r="AP219" s="9">
        <f t="shared" si="73"/>
        <v>65.315713970719386</v>
      </c>
      <c r="AQ219" s="9">
        <f>IF(OR(Inputs!$C$27=TRUE,Inputs!$C$27="TRUE",Inputs!$C$27=1),Inputs!$C$46/Inputs!$C$12,0)</f>
        <v>42.134831460674157</v>
      </c>
      <c r="AR219" s="9">
        <f t="shared" si="74"/>
        <v>2491.2705786987426</v>
      </c>
      <c r="AS219" s="9">
        <f t="shared" si="75"/>
        <v>2575.5402416200914</v>
      </c>
    </row>
    <row r="220" spans="1:45">
      <c r="A220" s="9">
        <f>Inputs!$C$7+218*(Inputs!$C$8-Inputs!$C$7)/240</f>
        <v>49</v>
      </c>
      <c r="B220" s="9">
        <f>Inputs!$C$5+Inputs!$C$9*(A220/Inputs!$C$10)^2</f>
        <v>402.66777777777776</v>
      </c>
      <c r="C220" s="9">
        <f t="shared" si="57"/>
        <v>402.66777777777776</v>
      </c>
      <c r="D220" s="9">
        <f>SQRT((Inputs!$C$52+B220)^2+Inputs!$C$52^2-2*(Inputs!$C$52+B220)*Inputs!$C$52*COS(SQRT(A220^2+Inputs!$C$6^2)/Inputs!$C$52))</f>
        <v>407.36668633373688</v>
      </c>
      <c r="E220" s="9">
        <f t="shared" si="58"/>
        <v>4698.9085559591222</v>
      </c>
      <c r="F220" s="9">
        <f>E220/Inputs!$C$12</f>
        <v>2639.8362673927654</v>
      </c>
      <c r="G220" s="9">
        <f>2*E220/Inputs!$C$21*1000000</f>
        <v>31.347743617747195</v>
      </c>
      <c r="H220" s="9">
        <f>SQRT(A220^2+Inputs!$C$6^2)</f>
        <v>55.009090157900268</v>
      </c>
      <c r="I220" s="9">
        <f t="shared" si="59"/>
        <v>7.7791135702335419</v>
      </c>
      <c r="J220" s="9">
        <f>DEGREES((2*PI()/Inputs!$C$13)*Inputs!$C$15*SIN(RADIANS(I220)))</f>
        <v>48.727583715832836</v>
      </c>
      <c r="K220" s="9">
        <f t="shared" si="60"/>
        <v>0.95465284335677503</v>
      </c>
      <c r="L220" s="9">
        <f t="shared" si="61"/>
        <v>-0.20154529593626289</v>
      </c>
      <c r="M220" s="9">
        <f>2*(Inputs!$C$9/(Inputs!$C$10^2))*A220</f>
        <v>0.10888888888888888</v>
      </c>
      <c r="N220" s="9">
        <f>M220*Inputs!$C$11</f>
        <v>0.43555555555555553</v>
      </c>
      <c r="O220" s="9">
        <f>1000*(D221-D219)/(A221-A219)*Inputs!$C$11</f>
        <v>1036.7084757508565</v>
      </c>
      <c r="P220" s="9">
        <f>-2*O220/Inputs!$C$13</f>
        <v>-414.68339030034258</v>
      </c>
      <c r="Q220" s="9">
        <f>-2*O220/Inputs!$C$14</f>
        <v>-62.264773318369762</v>
      </c>
      <c r="R220" s="9">
        <f>F220-Inputs!$C$16/2</f>
        <v>2624.8362673927654</v>
      </c>
      <c r="S220" s="9">
        <f>F220+Inputs!$C$16/2</f>
        <v>2654.8362673927654</v>
      </c>
      <c r="T220" s="9">
        <f>F220-Inputs!$C$17/2</f>
        <v>2489.8362673927654</v>
      </c>
      <c r="U220" s="9">
        <f>F220+Inputs!$C$17/2</f>
        <v>2789.8362673927654</v>
      </c>
      <c r="V220" s="9">
        <f t="shared" si="62"/>
        <v>414.68339030034258</v>
      </c>
      <c r="W220" s="9">
        <f t="shared" si="63"/>
        <v>62.264773318369762</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10.431027200722241</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109.54402369059221</v>
      </c>
      <c r="Z220" s="9">
        <f t="shared" si="64"/>
        <v>402.65734675057706</v>
      </c>
      <c r="AA220" s="9">
        <f>SQRT((Inputs!$C$52+B220)^2+(Inputs!$C$52+Y220/1000)^2-2*(Inputs!$C$52+B220)*(Inputs!$C$52+Y220/1000)*COS(SQRT(A220^2+Inputs!$C$6^2)/Inputs!$C$52))</f>
        <v>407.25873419620075</v>
      </c>
      <c r="AB220" s="9">
        <f t="shared" si="65"/>
        <v>4601.3874456236863</v>
      </c>
      <c r="AC220" s="9">
        <f>AB220/Inputs!$C$12</f>
        <v>2585.04912675488</v>
      </c>
      <c r="AD220" s="9">
        <f>2*AB220/Inputs!$C$21*1000000</f>
        <v>30.697152799112022</v>
      </c>
      <c r="AE220" s="9">
        <f t="shared" si="66"/>
        <v>7.7812044911608735</v>
      </c>
      <c r="AF220" s="9">
        <f>DEGREES((2*PI()/Inputs!$C$13)*Inputs!$C$15*SIN(RADIANS(AE220)))</f>
        <v>48.740600424555431</v>
      </c>
      <c r="AG220" s="9">
        <f t="shared" si="67"/>
        <v>0.95556642437759942</v>
      </c>
      <c r="AH220" s="9">
        <f t="shared" si="68"/>
        <v>-0.19739118406996359</v>
      </c>
      <c r="AI220" s="9">
        <f t="shared" si="69"/>
        <v>-54.787140637885386</v>
      </c>
      <c r="AJ220" s="9">
        <f t="shared" si="70"/>
        <v>-0.65059081863517321</v>
      </c>
      <c r="AK220" s="9">
        <f t="shared" si="71"/>
        <v>99.112996489869971</v>
      </c>
      <c r="AL220" s="9">
        <f>1000*(AA221-AA219)/(A221-A219)*Inputs!$C$11</f>
        <v>1030.793517861639</v>
      </c>
      <c r="AM220" s="9">
        <f>-2*AL220/Inputs!$C$13</f>
        <v>-412.31740714465559</v>
      </c>
      <c r="AN220" s="9">
        <f>-2*AL220/Inputs!$C$14</f>
        <v>-61.909520592290633</v>
      </c>
      <c r="AO220" s="9">
        <f t="shared" si="72"/>
        <v>412.31740714465559</v>
      </c>
      <c r="AP220" s="9">
        <f t="shared" si="73"/>
        <v>61.909520592290633</v>
      </c>
      <c r="AQ220" s="9">
        <f>IF(OR(Inputs!$C$27=TRUE,Inputs!$C$27="TRUE",Inputs!$C$27=1),Inputs!$C$46/Inputs!$C$12,0)</f>
        <v>42.134831460674157</v>
      </c>
      <c r="AR220" s="9">
        <f t="shared" si="74"/>
        <v>2542.9142952942057</v>
      </c>
      <c r="AS220" s="9">
        <f t="shared" si="75"/>
        <v>2627.1839582155544</v>
      </c>
    </row>
    <row r="221" spans="1:45">
      <c r="A221" s="9">
        <f>Inputs!$C$7+219*(Inputs!$C$8-Inputs!$C$7)/240</f>
        <v>49.5</v>
      </c>
      <c r="B221" s="9">
        <f>Inputs!$C$5+Inputs!$C$9*(A221/Inputs!$C$10)^2</f>
        <v>402.72250000000003</v>
      </c>
      <c r="C221" s="9">
        <f t="shared" si="57"/>
        <v>402.72250000000003</v>
      </c>
      <c r="D221" s="9">
        <f>SQRT((Inputs!$C$52+B221)^2+Inputs!$C$52^2-2*(Inputs!$C$52+B221)*Inputs!$C$52*COS(SQRT(A221^2+Inputs!$C$6^2)/Inputs!$C$52))</f>
        <v>407.49692105674217</v>
      </c>
      <c r="E221" s="9">
        <f t="shared" si="58"/>
        <v>4774.4210567421414</v>
      </c>
      <c r="F221" s="9">
        <f>E221/Inputs!$C$12</f>
        <v>2682.2590206416526</v>
      </c>
      <c r="G221" s="9">
        <f>2*E221/Inputs!$C$21*1000000</f>
        <v>31.851508797743943</v>
      </c>
      <c r="H221" s="9">
        <f>SQRT(A221^2+Inputs!$C$6^2)</f>
        <v>55.454936660319071</v>
      </c>
      <c r="I221" s="9">
        <f t="shared" si="59"/>
        <v>7.8403294918744804</v>
      </c>
      <c r="J221" s="9">
        <f>DEGREES((2*PI()/Inputs!$C$13)*Inputs!$C$15*SIN(RADIANS(I221)))</f>
        <v>49.108647147475075</v>
      </c>
      <c r="K221" s="9">
        <f t="shared" si="60"/>
        <v>0.95395140094755182</v>
      </c>
      <c r="L221" s="9">
        <f t="shared" si="61"/>
        <v>-0.204737498639605</v>
      </c>
      <c r="M221" s="9">
        <f>2*(Inputs!$C$9/(Inputs!$C$10^2))*A221</f>
        <v>0.11</v>
      </c>
      <c r="N221" s="9">
        <f>M221*Inputs!$C$11</f>
        <v>0.44</v>
      </c>
      <c r="O221" s="9">
        <f>1000*(D222-D220)/(A222-A220)*Inputs!$C$11</f>
        <v>1047.0435173044734</v>
      </c>
      <c r="P221" s="9">
        <f>-2*O221/Inputs!$C$13</f>
        <v>-418.81740692178937</v>
      </c>
      <c r="Q221" s="9">
        <f>-2*O221/Inputs!$C$14</f>
        <v>-62.885496534803217</v>
      </c>
      <c r="R221" s="9">
        <f>F221-Inputs!$C$16/2</f>
        <v>2667.2590206416526</v>
      </c>
      <c r="S221" s="9">
        <f>F221+Inputs!$C$16/2</f>
        <v>2697.2590206416526</v>
      </c>
      <c r="T221" s="9">
        <f>F221-Inputs!$C$17/2</f>
        <v>2532.2590206416526</v>
      </c>
      <c r="U221" s="9">
        <f>F221+Inputs!$C$17/2</f>
        <v>2832.2590206416526</v>
      </c>
      <c r="V221" s="9">
        <f t="shared" si="62"/>
        <v>418.81740692178937</v>
      </c>
      <c r="W221" s="9">
        <f t="shared" si="63"/>
        <v>62.885496534803217</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-2.2699304094542576</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115.81874031490976</v>
      </c>
      <c r="Z221" s="9">
        <f t="shared" si="64"/>
        <v>402.72476993040948</v>
      </c>
      <c r="AA221" s="9">
        <f>SQRT((Inputs!$C$52+B221)^2+(Inputs!$C$52+Y221/1000)^2-2*(Inputs!$C$52+B221)*(Inputs!$C$52+Y221/1000)*COS(SQRT(A221^2+Inputs!$C$6^2)/Inputs!$C$52))</f>
        <v>407.38281199345028</v>
      </c>
      <c r="AB221" s="9">
        <f t="shared" si="65"/>
        <v>4658.0420630407953</v>
      </c>
      <c r="AC221" s="9">
        <f>AB221/Inputs!$C$12</f>
        <v>2616.8775635060647</v>
      </c>
      <c r="AD221" s="9">
        <f>2*AB221/Inputs!$C$21*1000000</f>
        <v>31.075111723062729</v>
      </c>
      <c r="AE221" s="9">
        <f t="shared" si="66"/>
        <v>7.8425568742881735</v>
      </c>
      <c r="AF221" s="9">
        <f>DEGREES((2*PI()/Inputs!$C$13)*Inputs!$C$15*SIN(RADIANS(AE221)))</f>
        <v>49.122511341971659</v>
      </c>
      <c r="AG221" s="9">
        <f t="shared" si="67"/>
        <v>0.95504219984139016</v>
      </c>
      <c r="AH221" s="9">
        <f t="shared" si="68"/>
        <v>-0.19977438098618325</v>
      </c>
      <c r="AI221" s="9">
        <f t="shared" si="69"/>
        <v>-65.38145713558788</v>
      </c>
      <c r="AJ221" s="9">
        <f t="shared" si="70"/>
        <v>-0.77639707468121344</v>
      </c>
      <c r="AK221" s="9">
        <f t="shared" si="71"/>
        <v>118.08867072436402</v>
      </c>
      <c r="AL221" s="9">
        <f>1000*(AA222-AA220)/(A222-A220)*Inputs!$C$11</f>
        <v>1024.822068342246</v>
      </c>
      <c r="AM221" s="9">
        <f>-2*AL221/Inputs!$C$13</f>
        <v>-409.92882733689839</v>
      </c>
      <c r="AN221" s="9">
        <f>-2*AL221/Inputs!$C$14</f>
        <v>-61.550874975510276</v>
      </c>
      <c r="AO221" s="9">
        <f t="shared" si="72"/>
        <v>409.92882733689839</v>
      </c>
      <c r="AP221" s="9">
        <f t="shared" si="73"/>
        <v>61.550874975510276</v>
      </c>
      <c r="AQ221" s="9">
        <f>IF(OR(Inputs!$C$27=TRUE,Inputs!$C$27="TRUE",Inputs!$C$27=1),Inputs!$C$46/Inputs!$C$12,0)</f>
        <v>42.134831460674157</v>
      </c>
      <c r="AR221" s="9">
        <f t="shared" si="74"/>
        <v>2574.7427320453903</v>
      </c>
      <c r="AS221" s="9">
        <f t="shared" si="75"/>
        <v>2659.0123949667391</v>
      </c>
    </row>
    <row r="222" spans="1:45">
      <c r="A222" s="9">
        <f>Inputs!$C$7+220*(Inputs!$C$8-Inputs!$C$7)/240</f>
        <v>50</v>
      </c>
      <c r="B222" s="9">
        <f>Inputs!$C$5+Inputs!$C$9*(A222/Inputs!$C$10)^2</f>
        <v>402.77777777777777</v>
      </c>
      <c r="C222" s="9">
        <f t="shared" si="57"/>
        <v>402.77777777777777</v>
      </c>
      <c r="D222" s="9">
        <f>SQRT((Inputs!$C$52+B222)^2+Inputs!$C$52^2-2*(Inputs!$C$52+B222)*Inputs!$C$52*COS(SQRT(A222^2+Inputs!$C$6^2)/Inputs!$C$52))</f>
        <v>407.628447213063</v>
      </c>
      <c r="E222" s="9">
        <f t="shared" si="58"/>
        <v>4850.6694352852264</v>
      </c>
      <c r="F222" s="9">
        <f>E222/Inputs!$C$12</f>
        <v>2725.0951883624866</v>
      </c>
      <c r="G222" s="9">
        <f>2*E222/Inputs!$C$21*1000000</f>
        <v>32.360183225724953</v>
      </c>
      <c r="H222" s="9">
        <f>SQRT(A222^2+Inputs!$C$6^2)</f>
        <v>55.901699437494742</v>
      </c>
      <c r="I222" s="9">
        <f t="shared" si="59"/>
        <v>7.9016278972643068</v>
      </c>
      <c r="J222" s="9">
        <f>DEGREES((2*PI()/Inputs!$C$13)*Inputs!$C$15*SIN(RADIANS(I222)))</f>
        <v>49.490167860754674</v>
      </c>
      <c r="K222" s="9">
        <f t="shared" si="60"/>
        <v>0.95324397210648193</v>
      </c>
      <c r="L222" s="9">
        <f t="shared" si="61"/>
        <v>-0.20795932331941441</v>
      </c>
      <c r="M222" s="9">
        <f>2*(Inputs!$C$9/(Inputs!$C$10^2))*A222</f>
        <v>0.1111111111111111</v>
      </c>
      <c r="N222" s="9">
        <f>M222*Inputs!$C$11</f>
        <v>0.44444444444444442</v>
      </c>
      <c r="O222" s="9">
        <f>1000*(D223-D221)/(A223-A221)*Inputs!$C$11</f>
        <v>1057.3713783037419</v>
      </c>
      <c r="P222" s="9">
        <f>-2*O222/Inputs!$C$13</f>
        <v>-422.94855132149678</v>
      </c>
      <c r="Q222" s="9">
        <f>-2*O222/Inputs!$C$14</f>
        <v>-63.505788486711232</v>
      </c>
      <c r="R222" s="9">
        <f>F222-Inputs!$C$16/2</f>
        <v>2710.0951883624866</v>
      </c>
      <c r="S222" s="9">
        <f>F222+Inputs!$C$16/2</f>
        <v>2740.0951883624866</v>
      </c>
      <c r="T222" s="9">
        <f>F222-Inputs!$C$17/2</f>
        <v>2575.0951883624866</v>
      </c>
      <c r="U222" s="9">
        <f>F222+Inputs!$C$17/2</f>
        <v>2875.0951883624866</v>
      </c>
      <c r="V222" s="9">
        <f t="shared" si="62"/>
        <v>422.94855132149678</v>
      </c>
      <c r="W222" s="9">
        <f t="shared" si="63"/>
        <v>63.505788486711232</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8.1725883775596202</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115.23525161719914</v>
      </c>
      <c r="Z222" s="9">
        <f t="shared" si="64"/>
        <v>402.76960518940024</v>
      </c>
      <c r="AA222" s="9">
        <f>SQRT((Inputs!$C$52+B222)^2+(Inputs!$C$52+Y222/1000)^2-2*(Inputs!$C$52+B222)*(Inputs!$C$52+Y222/1000)*COS(SQRT(A222^2+Inputs!$C$6^2)/Inputs!$C$52))</f>
        <v>407.51493971328631</v>
      </c>
      <c r="AB222" s="9">
        <f t="shared" si="65"/>
        <v>4745.334523886072</v>
      </c>
      <c r="AC222" s="9">
        <f>AB222/Inputs!$C$12</f>
        <v>2665.9182718461079</v>
      </c>
      <c r="AD222" s="9">
        <f>2*AB222/Inputs!$C$21*1000000</f>
        <v>31.657464337452222</v>
      </c>
      <c r="AE222" s="9">
        <f t="shared" si="66"/>
        <v>7.903860635188158</v>
      </c>
      <c r="AF222" s="9">
        <f>DEGREES((2*PI()/Inputs!$C$13)*Inputs!$C$15*SIN(RADIANS(AE222)))</f>
        <v>49.504063334552129</v>
      </c>
      <c r="AG222" s="9">
        <f t="shared" si="67"/>
        <v>0.95422901489786249</v>
      </c>
      <c r="AH222" s="9">
        <f t="shared" si="68"/>
        <v>-0.20347382140480313</v>
      </c>
      <c r="AI222" s="9">
        <f t="shared" si="69"/>
        <v>-59.176916516378697</v>
      </c>
      <c r="AJ222" s="9">
        <f t="shared" si="70"/>
        <v>-0.70271888827273088</v>
      </c>
      <c r="AK222" s="9">
        <f t="shared" si="71"/>
        <v>107.06266323963952</v>
      </c>
      <c r="AL222" s="9">
        <f>1000*(AA223-AA221)/(A223-A221)*Inputs!$C$11</f>
        <v>974.20681388666708</v>
      </c>
      <c r="AM222" s="9">
        <f>-2*AL222/Inputs!$C$13</f>
        <v>-389.68272555466683</v>
      </c>
      <c r="AN222" s="9">
        <f>-2*AL222/Inputs!$C$14</f>
        <v>-58.510919752952979</v>
      </c>
      <c r="AO222" s="9">
        <f t="shared" si="72"/>
        <v>389.68272555466683</v>
      </c>
      <c r="AP222" s="9">
        <f t="shared" si="73"/>
        <v>58.510919752952979</v>
      </c>
      <c r="AQ222" s="9">
        <f>IF(OR(Inputs!$C$27=TRUE,Inputs!$C$27="TRUE",Inputs!$C$27=1),Inputs!$C$46/Inputs!$C$12,0)</f>
        <v>42.134831460674157</v>
      </c>
      <c r="AR222" s="9">
        <f t="shared" si="74"/>
        <v>2623.7834403854336</v>
      </c>
      <c r="AS222" s="9">
        <f t="shared" si="75"/>
        <v>2708.0531033067823</v>
      </c>
    </row>
    <row r="223" spans="1:45">
      <c r="A223" s="9">
        <f>Inputs!$C$7+221*(Inputs!$C$8-Inputs!$C$7)/240</f>
        <v>50.5</v>
      </c>
      <c r="B223" s="9">
        <f>Inputs!$C$5+Inputs!$C$9*(A223/Inputs!$C$10)^2</f>
        <v>402.83361111111111</v>
      </c>
      <c r="C223" s="9">
        <f t="shared" si="57"/>
        <v>402.83361111111111</v>
      </c>
      <c r="D223" s="9">
        <f>SQRT((Inputs!$C$52+B223)^2+Inputs!$C$52^2-2*(Inputs!$C$52+B223)*Inputs!$C$52*COS(SQRT(A223^2+Inputs!$C$6^2)/Inputs!$C$52))</f>
        <v>407.7612639013181</v>
      </c>
      <c r="E223" s="9">
        <f t="shared" si="58"/>
        <v>4927.652790206992</v>
      </c>
      <c r="F223" s="9">
        <f>E223/Inputs!$C$12</f>
        <v>2768.3442641612314</v>
      </c>
      <c r="G223" s="9">
        <f>2*E223/Inputs!$C$21*1000000</f>
        <v>32.873760888320895</v>
      </c>
      <c r="H223" s="9">
        <f>SQRT(A223^2+Inputs!$C$6^2)</f>
        <v>56.349356695529366</v>
      </c>
      <c r="I223" s="9">
        <f t="shared" si="59"/>
        <v>7.9630052297803147</v>
      </c>
      <c r="J223" s="9">
        <f>DEGREES((2*PI()/Inputs!$C$13)*Inputs!$C$15*SIN(RADIANS(I223)))</f>
        <v>49.87212305974802</v>
      </c>
      <c r="K223" s="9">
        <f t="shared" si="60"/>
        <v>0.95253058863013107</v>
      </c>
      <c r="L223" s="9">
        <f t="shared" si="61"/>
        <v>-0.21121068922715408</v>
      </c>
      <c r="M223" s="9">
        <f>2*(Inputs!$C$9/(Inputs!$C$10^2))*A223</f>
        <v>0.11222222222222222</v>
      </c>
      <c r="N223" s="9">
        <f>M223*Inputs!$C$11</f>
        <v>0.44888888888888889</v>
      </c>
      <c r="O223" s="9">
        <f>1000*(D224-D222)/(A224-A222)*Inputs!$C$11</f>
        <v>1067.691997902557</v>
      </c>
      <c r="P223" s="9">
        <f>-2*O223/Inputs!$C$13</f>
        <v>-427.07679916102279</v>
      </c>
      <c r="Q223" s="9">
        <f>-2*O223/Inputs!$C$14</f>
        <v>-64.1256455196731</v>
      </c>
      <c r="R223" s="9">
        <f>F223-Inputs!$C$16/2</f>
        <v>2753.3442641612314</v>
      </c>
      <c r="S223" s="9">
        <f>F223+Inputs!$C$16/2</f>
        <v>2783.3442641612314</v>
      </c>
      <c r="T223" s="9">
        <f>F223-Inputs!$C$17/2</f>
        <v>2618.3442641612314</v>
      </c>
      <c r="U223" s="9">
        <f>F223+Inputs!$C$17/2</f>
        <v>2918.3442641612314</v>
      </c>
      <c r="V223" s="9">
        <f t="shared" si="62"/>
        <v>427.07679916102279</v>
      </c>
      <c r="W223" s="9">
        <f t="shared" si="63"/>
        <v>64.1256455196731</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7.1754118877202355</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136.98620076238512</v>
      </c>
      <c r="Z223" s="9">
        <f t="shared" si="64"/>
        <v>402.8264356992234</v>
      </c>
      <c r="AA223" s="9">
        <f>SQRT((Inputs!$C$52+B223)^2+(Inputs!$C$52+Y223/1000)^2-2*(Inputs!$C$52+B223)*(Inputs!$C$52+Y223/1000)*COS(SQRT(A223^2+Inputs!$C$6^2)/Inputs!$C$52))</f>
        <v>407.62636369692194</v>
      </c>
      <c r="AB223" s="9">
        <f t="shared" si="65"/>
        <v>4799.9279976985463</v>
      </c>
      <c r="AC223" s="9">
        <f>AB223/Inputs!$C$12</f>
        <v>2696.5887627519924</v>
      </c>
      <c r="AD223" s="9">
        <f>2*AB223/Inputs!$C$21*1000000</f>
        <v>32.02167279137187</v>
      </c>
      <c r="AE223" s="9">
        <f t="shared" si="66"/>
        <v>7.9656792585579161</v>
      </c>
      <c r="AF223" s="9">
        <f>DEGREES((2*PI()/Inputs!$C$13)*Inputs!$C$15*SIN(RADIANS(AE223)))</f>
        <v>49.888762419835878</v>
      </c>
      <c r="AG223" s="9">
        <f t="shared" si="67"/>
        <v>0.95372418444555818</v>
      </c>
      <c r="AH223" s="9">
        <f t="shared" si="68"/>
        <v>-0.20577204428494852</v>
      </c>
      <c r="AI223" s="9">
        <f t="shared" si="69"/>
        <v>-71.755501409239059</v>
      </c>
      <c r="AJ223" s="9">
        <f t="shared" si="70"/>
        <v>-0.85208809694902499</v>
      </c>
      <c r="AK223" s="9">
        <f t="shared" si="71"/>
        <v>129.81078887466489</v>
      </c>
      <c r="AL223" s="9">
        <f>1000*(AA224-AA222)/(A224-A222)*Inputs!$C$11</f>
        <v>981.86960160614944</v>
      </c>
      <c r="AM223" s="9">
        <f>-2*AL223/Inputs!$C$13</f>
        <v>-392.74784064245978</v>
      </c>
      <c r="AN223" s="9">
        <f>-2*AL223/Inputs!$C$14</f>
        <v>-58.971147243612585</v>
      </c>
      <c r="AO223" s="9">
        <f t="shared" si="72"/>
        <v>392.74784064245978</v>
      </c>
      <c r="AP223" s="9">
        <f t="shared" si="73"/>
        <v>58.971147243612585</v>
      </c>
      <c r="AQ223" s="9">
        <f>IF(OR(Inputs!$C$27=TRUE,Inputs!$C$27="TRUE",Inputs!$C$27=1),Inputs!$C$46/Inputs!$C$12,0)</f>
        <v>42.134831460674157</v>
      </c>
      <c r="AR223" s="9">
        <f t="shared" si="74"/>
        <v>2654.453931291318</v>
      </c>
      <c r="AS223" s="9">
        <f t="shared" si="75"/>
        <v>2738.7235942126667</v>
      </c>
    </row>
    <row r="224" spans="1:45">
      <c r="A224" s="9">
        <f>Inputs!$C$7+222*(Inputs!$C$8-Inputs!$C$7)/240</f>
        <v>51</v>
      </c>
      <c r="B224" s="9">
        <f>Inputs!$C$5+Inputs!$C$9*(A224/Inputs!$C$10)^2</f>
        <v>402.89</v>
      </c>
      <c r="C224" s="9">
        <f t="shared" si="57"/>
        <v>402.89</v>
      </c>
      <c r="D224" s="9">
        <f>SQRT((Inputs!$C$52+B224)^2+Inputs!$C$52^2-2*(Inputs!$C$52+B224)*Inputs!$C$52*COS(SQRT(A224^2+Inputs!$C$6^2)/Inputs!$C$52))</f>
        <v>407.89537021253864</v>
      </c>
      <c r="E224" s="9">
        <f t="shared" si="58"/>
        <v>5005.3702125386508</v>
      </c>
      <c r="F224" s="9">
        <f>E224/Inputs!$C$12</f>
        <v>2812.0057373812642</v>
      </c>
      <c r="G224" s="9">
        <f>2*E224/Inputs!$C$21*1000000</f>
        <v>33.392235721544743</v>
      </c>
      <c r="H224" s="9">
        <f>SQRT(A224^2+Inputs!$C$6^2)</f>
        <v>56.797887284651708</v>
      </c>
      <c r="I224" s="9">
        <f t="shared" si="59"/>
        <v>8.0244580264682188</v>
      </c>
      <c r="J224" s="9">
        <f>DEGREES((2*PI()/Inputs!$C$13)*Inputs!$C$15*SIN(RADIANS(I224)))</f>
        <v>50.25449054086581</v>
      </c>
      <c r="K224" s="9">
        <f t="shared" si="60"/>
        <v>0.9518112825121221</v>
      </c>
      <c r="L224" s="9">
        <f t="shared" si="61"/>
        <v>-0.21449151498056357</v>
      </c>
      <c r="M224" s="9">
        <f>2*(Inputs!$C$9/(Inputs!$C$10^2))*A224</f>
        <v>0.11333333333333333</v>
      </c>
      <c r="N224" s="9">
        <f>M224*Inputs!$C$11</f>
        <v>0.45333333333333331</v>
      </c>
      <c r="O224" s="9">
        <f>1000*(D225-D223)/(A225-A223)*Inputs!$C$11</f>
        <v>1078.0053156152007</v>
      </c>
      <c r="P224" s="9">
        <f>-2*O224/Inputs!$C$13</f>
        <v>-431.2021262460803</v>
      </c>
      <c r="Q224" s="9">
        <f>-2*O224/Inputs!$C$14</f>
        <v>-64.745064000912961</v>
      </c>
      <c r="R224" s="9">
        <f>F224-Inputs!$C$16/2</f>
        <v>2797.0057373812642</v>
      </c>
      <c r="S224" s="9">
        <f>F224+Inputs!$C$16/2</f>
        <v>2827.0057373812642</v>
      </c>
      <c r="T224" s="9">
        <f>F224-Inputs!$C$17/2</f>
        <v>2662.0057373812642</v>
      </c>
      <c r="U224" s="9">
        <f>F224+Inputs!$C$17/2</f>
        <v>2962.0057373812642</v>
      </c>
      <c r="V224" s="9">
        <f t="shared" si="62"/>
        <v>431.2021262460803</v>
      </c>
      <c r="W224" s="9">
        <f t="shared" si="63"/>
        <v>64.745064000912961</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11.525237738664625</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137.08289632779307</v>
      </c>
      <c r="Z224" s="9">
        <f t="shared" si="64"/>
        <v>402.87847476226131</v>
      </c>
      <c r="AA224" s="9">
        <f>SQRT((Inputs!$C$52+B224)^2+(Inputs!$C$52+Y224/1000)^2-2*(Inputs!$C$52+B224)*(Inputs!$C$52+Y224/1000)*COS(SQRT(A224^2+Inputs!$C$6^2)/Inputs!$C$52))</f>
        <v>407.76040711368785</v>
      </c>
      <c r="AB224" s="9">
        <f t="shared" si="65"/>
        <v>4881.9323514265416</v>
      </c>
      <c r="AC224" s="9">
        <f>AB224/Inputs!$C$12</f>
        <v>2742.6586243969336</v>
      </c>
      <c r="AD224" s="9">
        <f>2*AB224/Inputs!$C$21*1000000</f>
        <v>32.568746952443625</v>
      </c>
      <c r="AE224" s="9">
        <f t="shared" si="66"/>
        <v>8.0271536757214843</v>
      </c>
      <c r="AF224" s="9">
        <f>DEGREES((2*PI()/Inputs!$C$13)*Inputs!$C$15*SIN(RADIANS(AE224)))</f>
        <v>50.271261908976541</v>
      </c>
      <c r="AG224" s="9">
        <f t="shared" si="67"/>
        <v>0.95296300296416681</v>
      </c>
      <c r="AH224" s="9">
        <f t="shared" si="68"/>
        <v>-0.20923959718864327</v>
      </c>
      <c r="AI224" s="9">
        <f t="shared" si="69"/>
        <v>-69.347112984330579</v>
      </c>
      <c r="AJ224" s="9">
        <f t="shared" si="70"/>
        <v>-0.82348876910111812</v>
      </c>
      <c r="AK224" s="9">
        <f t="shared" si="71"/>
        <v>125.55765858912844</v>
      </c>
      <c r="AL224" s="9">
        <f>1000*(AA225-AA223)/(A225-A223)*Inputs!$C$11</f>
        <v>989.15844152543286</v>
      </c>
      <c r="AM224" s="9">
        <f>-2*AL224/Inputs!$C$13</f>
        <v>-395.66337661017315</v>
      </c>
      <c r="AN224" s="9">
        <f>-2*AL224/Inputs!$C$14</f>
        <v>-59.408915406932913</v>
      </c>
      <c r="AO224" s="9">
        <f t="shared" si="72"/>
        <v>395.66337661017315</v>
      </c>
      <c r="AP224" s="9">
        <f t="shared" si="73"/>
        <v>59.408915406932913</v>
      </c>
      <c r="AQ224" s="9">
        <f>IF(OR(Inputs!$C$27=TRUE,Inputs!$C$27="TRUE",Inputs!$C$27=1),Inputs!$C$46/Inputs!$C$12,0)</f>
        <v>42.134831460674157</v>
      </c>
      <c r="AR224" s="9">
        <f t="shared" si="74"/>
        <v>2700.5237929362593</v>
      </c>
      <c r="AS224" s="9">
        <f t="shared" si="75"/>
        <v>2784.793455857608</v>
      </c>
    </row>
    <row r="225" spans="1:45">
      <c r="A225" s="9">
        <f>Inputs!$C$7+223*(Inputs!$C$8-Inputs!$C$7)/240</f>
        <v>51.5</v>
      </c>
      <c r="B225" s="9">
        <f>Inputs!$C$5+Inputs!$C$9*(A225/Inputs!$C$10)^2</f>
        <v>402.94694444444445</v>
      </c>
      <c r="C225" s="9">
        <f t="shared" si="57"/>
        <v>402.94694444444445</v>
      </c>
      <c r="D225" s="9">
        <f>SQRT((Inputs!$C$52+B225)^2+Inputs!$C$52^2-2*(Inputs!$C$52+B225)*Inputs!$C$52*COS(SQRT(A225^2+Inputs!$C$6^2)/Inputs!$C$52))</f>
        <v>408.0307652302219</v>
      </c>
      <c r="E225" s="9">
        <f t="shared" si="58"/>
        <v>5083.8207857774478</v>
      </c>
      <c r="F225" s="9">
        <f>E225/Inputs!$C$12</f>
        <v>2856.0790931333977</v>
      </c>
      <c r="G225" s="9">
        <f>2*E225/Inputs!$C$21*1000000</f>
        <v>33.915601611148261</v>
      </c>
      <c r="H225" s="9">
        <f>SQRT(A225^2+Inputs!$C$6^2)</f>
        <v>57.247270677299539</v>
      </c>
      <c r="I225" s="9">
        <f t="shared" si="59"/>
        <v>8.0859829149192013</v>
      </c>
      <c r="J225" s="9">
        <f>DEGREES((2*PI()/Inputs!$C$13)*Inputs!$C$15*SIN(RADIANS(I225)))</f>
        <v>50.63724867326966</v>
      </c>
      <c r="K225" s="9">
        <f t="shared" si="60"/>
        <v>0.95108608593985455</v>
      </c>
      <c r="L225" s="9">
        <f t="shared" si="61"/>
        <v>-0.21780171856904923</v>
      </c>
      <c r="M225" s="9">
        <f>2*(Inputs!$C$9/(Inputs!$C$10^2))*A225</f>
        <v>0.11444444444444445</v>
      </c>
      <c r="N225" s="9">
        <f>M225*Inputs!$C$11</f>
        <v>0.45777777777777778</v>
      </c>
      <c r="O225" s="9">
        <f>1000*(D226-D224)/(A226-A224)*Inputs!$C$11</f>
        <v>1088.3112712756429</v>
      </c>
      <c r="P225" s="9">
        <f>-2*O225/Inputs!$C$13</f>
        <v>-435.32450851025715</v>
      </c>
      <c r="Q225" s="9">
        <f>-2*O225/Inputs!$C$14</f>
        <v>-65.364040316855437</v>
      </c>
      <c r="R225" s="9">
        <f>F225-Inputs!$C$16/2</f>
        <v>2841.0790931333977</v>
      </c>
      <c r="S225" s="9">
        <f>F225+Inputs!$C$16/2</f>
        <v>2871.0790931333977</v>
      </c>
      <c r="T225" s="9">
        <f>F225-Inputs!$C$17/2</f>
        <v>2706.0790931333977</v>
      </c>
      <c r="U225" s="9">
        <f>F225+Inputs!$C$17/2</f>
        <v>3006.0790931333977</v>
      </c>
      <c r="V225" s="9">
        <f t="shared" si="62"/>
        <v>435.32450851025715</v>
      </c>
      <c r="W225" s="9">
        <f t="shared" si="63"/>
        <v>65.364040316855437</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-4.5509465319165372</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159.61831316527434</v>
      </c>
      <c r="Z225" s="9">
        <f t="shared" si="64"/>
        <v>402.95149539097639</v>
      </c>
      <c r="AA225" s="9">
        <f>SQRT((Inputs!$C$52+B225)^2+(Inputs!$C$52+Y225/1000)^2-2*(Inputs!$C$52+B225)*(Inputs!$C$52+Y225/1000)*COS(SQRT(A225^2+Inputs!$C$6^2)/Inputs!$C$52))</f>
        <v>407.8736533073033</v>
      </c>
      <c r="AB225" s="9">
        <f t="shared" si="65"/>
        <v>4922.1579163269098</v>
      </c>
      <c r="AC225" s="9">
        <f>AB225/Inputs!$C$12</f>
        <v>2765.2572563634326</v>
      </c>
      <c r="AD225" s="9">
        <f>2*AB225/Inputs!$C$21*1000000</f>
        <v>32.837103035640141</v>
      </c>
      <c r="AE225" s="9">
        <f t="shared" si="66"/>
        <v>8.0891448607650744</v>
      </c>
      <c r="AF225" s="9">
        <f>DEGREES((2*PI()/Inputs!$C$13)*Inputs!$C$15*SIN(RADIANS(AE225)))</f>
        <v>50.656918171168599</v>
      </c>
      <c r="AG225" s="9">
        <f t="shared" si="67"/>
        <v>0.95259539074713762</v>
      </c>
      <c r="AH225" s="9">
        <f t="shared" si="68"/>
        <v>-0.21091524207933193</v>
      </c>
      <c r="AI225" s="9">
        <f t="shared" si="69"/>
        <v>-90.821836769965103</v>
      </c>
      <c r="AJ225" s="9">
        <f t="shared" si="70"/>
        <v>-1.0784985755081209</v>
      </c>
      <c r="AK225" s="9">
        <f t="shared" si="71"/>
        <v>164.16925969719088</v>
      </c>
      <c r="AL225" s="9">
        <f>1000*(AA226-AA224)/(A226-A224)*Inputs!$C$11</f>
        <v>970.84046176473748</v>
      </c>
      <c r="AM225" s="9">
        <f>-2*AL225/Inputs!$C$13</f>
        <v>-388.33618470589499</v>
      </c>
      <c r="AN225" s="9">
        <f>-2*AL225/Inputs!$C$14</f>
        <v>-58.308736442326584</v>
      </c>
      <c r="AO225" s="9">
        <f t="shared" si="72"/>
        <v>388.33618470589499</v>
      </c>
      <c r="AP225" s="9">
        <f t="shared" si="73"/>
        <v>58.308736442326584</v>
      </c>
      <c r="AQ225" s="9">
        <f>IF(OR(Inputs!$C$27=TRUE,Inputs!$C$27="TRUE",Inputs!$C$27=1),Inputs!$C$46/Inputs!$C$12,0)</f>
        <v>42.134831460674157</v>
      </c>
      <c r="AR225" s="9">
        <f t="shared" si="74"/>
        <v>2723.1224249027582</v>
      </c>
      <c r="AS225" s="9">
        <f t="shared" si="75"/>
        <v>2807.392087824107</v>
      </c>
    </row>
    <row r="226" spans="1:45">
      <c r="A226" s="9">
        <f>Inputs!$C$7+224*(Inputs!$C$8-Inputs!$C$7)/240</f>
        <v>52</v>
      </c>
      <c r="B226" s="9">
        <f>Inputs!$C$5+Inputs!$C$9*(A226/Inputs!$C$10)^2</f>
        <v>403.00444444444446</v>
      </c>
      <c r="C226" s="9">
        <f t="shared" si="57"/>
        <v>403.00444444444446</v>
      </c>
      <c r="D226" s="9">
        <f>SQRT((Inputs!$C$52+B226)^2+Inputs!$C$52^2-2*(Inputs!$C$52+B226)*Inputs!$C$52*COS(SQRT(A226^2+Inputs!$C$6^2)/Inputs!$C$52))</f>
        <v>408.16744803035755</v>
      </c>
      <c r="E226" s="9">
        <f t="shared" si="58"/>
        <v>5163.0035859130885</v>
      </c>
      <c r="F226" s="9">
        <f>E226/Inputs!$C$12</f>
        <v>2900.5638123107237</v>
      </c>
      <c r="G226" s="9">
        <f>2*E226/Inputs!$C$21*1000000</f>
        <v>34.443852392798277</v>
      </c>
      <c r="H226" s="9">
        <f>SQRT(A226^2+Inputs!$C$6^2)</f>
        <v>57.697486947006624</v>
      </c>
      <c r="I226" s="9">
        <f t="shared" si="59"/>
        <v>8.1475766102618188</v>
      </c>
      <c r="J226" s="9">
        <f>DEGREES((2*PI()/Inputs!$C$13)*Inputs!$C$15*SIN(RADIANS(I226)))</f>
        <v>51.020376380009324</v>
      </c>
      <c r="K226" s="9">
        <f t="shared" si="60"/>
        <v>0.95035503129146714</v>
      </c>
      <c r="L226" s="9">
        <f t="shared" si="61"/>
        <v>-0.2211412173579535</v>
      </c>
      <c r="M226" s="9">
        <f>2*(Inputs!$C$9/(Inputs!$C$10^2))*A226</f>
        <v>0.11555555555555555</v>
      </c>
      <c r="N226" s="9">
        <f>M226*Inputs!$C$11</f>
        <v>0.4622222222222222</v>
      </c>
      <c r="O226" s="9">
        <f>1000*(D227-D225)/(A227-A225)*Inputs!$C$11</f>
        <v>1098.6098050404962</v>
      </c>
      <c r="P226" s="9">
        <f>-2*O226/Inputs!$C$13</f>
        <v>-439.44392201619848</v>
      </c>
      <c r="Q226" s="9">
        <f>-2*O226/Inputs!$C$14</f>
        <v>-65.982570873303075</v>
      </c>
      <c r="R226" s="9">
        <f>F226-Inputs!$C$16/2</f>
        <v>2885.5638123107237</v>
      </c>
      <c r="S226" s="9">
        <f>F226+Inputs!$C$16/2</f>
        <v>2915.5638123107237</v>
      </c>
      <c r="T226" s="9">
        <f>F226-Inputs!$C$17/2</f>
        <v>2750.5638123107237</v>
      </c>
      <c r="U226" s="9">
        <f>F226+Inputs!$C$17/2</f>
        <v>3050.5638123107237</v>
      </c>
      <c r="V226" s="9">
        <f t="shared" si="62"/>
        <v>439.44392201619848</v>
      </c>
      <c r="W226" s="9">
        <f t="shared" si="63"/>
        <v>65.982570873303075</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-7.8509490215719673</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166.99312244433131</v>
      </c>
      <c r="Z226" s="9">
        <f t="shared" si="64"/>
        <v>403.01229539346605</v>
      </c>
      <c r="AA226" s="9">
        <f>SQRT((Inputs!$C$52+B226)^2+(Inputs!$C$52+Y226/1000)^2-2*(Inputs!$C$52+B226)*(Inputs!$C$52+Y226/1000)*COS(SQRT(A226^2+Inputs!$C$6^2)/Inputs!$C$52))</f>
        <v>408.00311722912903</v>
      </c>
      <c r="AB226" s="9">
        <f t="shared" si="65"/>
        <v>4990.8218356629841</v>
      </c>
      <c r="AC226" s="9">
        <f>AB226/Inputs!$C$12</f>
        <v>2803.8324919454967</v>
      </c>
      <c r="AD226" s="9">
        <f>2*AB226/Inputs!$C$21*1000000</f>
        <v>33.29517939816207</v>
      </c>
      <c r="AE226" s="9">
        <f t="shared" si="66"/>
        <v>8.1509087485298988</v>
      </c>
      <c r="AF226" s="9">
        <f>DEGREES((2*PI()/Inputs!$C$13)*Inputs!$C$15*SIN(RADIANS(AE226)))</f>
        <v>51.041101410102392</v>
      </c>
      <c r="AG226" s="9">
        <f t="shared" si="67"/>
        <v>0.95196122601136557</v>
      </c>
      <c r="AH226" s="9">
        <f t="shared" si="68"/>
        <v>-0.21380740346869115</v>
      </c>
      <c r="AI226" s="9">
        <f t="shared" si="69"/>
        <v>-96.73132036522702</v>
      </c>
      <c r="AJ226" s="9">
        <f t="shared" si="70"/>
        <v>-1.1486729946362075</v>
      </c>
      <c r="AK226" s="9">
        <f t="shared" si="71"/>
        <v>174.84407146590328</v>
      </c>
      <c r="AL226" s="9">
        <f>1000*(AA227-AA225)/(A227-A225)*Inputs!$C$11</f>
        <v>1081.4053825761221</v>
      </c>
      <c r="AM226" s="9">
        <f>-2*AL226/Inputs!$C$13</f>
        <v>-432.56215303044883</v>
      </c>
      <c r="AN226" s="9">
        <f>-2*AL226/Inputs!$C$14</f>
        <v>-64.949272226794122</v>
      </c>
      <c r="AO226" s="9">
        <f t="shared" si="72"/>
        <v>432.56215303044883</v>
      </c>
      <c r="AP226" s="9">
        <f t="shared" si="73"/>
        <v>64.949272226794122</v>
      </c>
      <c r="AQ226" s="9">
        <f>IF(OR(Inputs!$C$27=TRUE,Inputs!$C$27="TRUE",Inputs!$C$27=1),Inputs!$C$46/Inputs!$C$12,0)</f>
        <v>42.134831460674157</v>
      </c>
      <c r="AR226" s="9">
        <f t="shared" si="74"/>
        <v>2761.6976604848223</v>
      </c>
      <c r="AS226" s="9">
        <f t="shared" si="75"/>
        <v>2845.9673234061711</v>
      </c>
    </row>
    <row r="227" spans="1:45">
      <c r="A227" s="9">
        <f>Inputs!$C$7+225*(Inputs!$C$8-Inputs!$C$7)/240</f>
        <v>52.5</v>
      </c>
      <c r="B227" s="9">
        <f>Inputs!$C$5+Inputs!$C$9*(A227/Inputs!$C$10)^2</f>
        <v>403.0625</v>
      </c>
      <c r="C227" s="9">
        <f t="shared" si="57"/>
        <v>403.0625</v>
      </c>
      <c r="D227" s="9">
        <f>SQRT((Inputs!$C$52+B227)^2+Inputs!$C$52^2-2*(Inputs!$C$52+B227)*Inputs!$C$52*COS(SQRT(A227^2+Inputs!$C$6^2)/Inputs!$C$52))</f>
        <v>408.30541768148203</v>
      </c>
      <c r="E227" s="9">
        <f t="shared" si="58"/>
        <v>5242.9176814820266</v>
      </c>
      <c r="F227" s="9">
        <f>E227/Inputs!$C$12</f>
        <v>2945.4593716191162</v>
      </c>
      <c r="G227" s="9">
        <f>2*E227/Inputs!$C$21*1000000</f>
        <v>34.976981852438911</v>
      </c>
      <c r="H227" s="9">
        <f>SQRT(A227^2+Inputs!$C$6^2)</f>
        <v>58.148516748065035</v>
      </c>
      <c r="I227" s="9">
        <f t="shared" si="59"/>
        <v>8.2092359122645995</v>
      </c>
      <c r="J227" s="9">
        <f>DEGREES((2*PI()/Inputs!$C$13)*Inputs!$C$15*SIN(RADIANS(I227)))</f>
        <v>51.403853119854354</v>
      </c>
      <c r="K227" s="9">
        <f t="shared" si="60"/>
        <v>0.94961815113253667</v>
      </c>
      <c r="L227" s="9">
        <f t="shared" si="61"/>
        <v>-0.22450992809401674</v>
      </c>
      <c r="M227" s="9">
        <f>2*(Inputs!$C$9/(Inputs!$C$10^2))*A227</f>
        <v>0.11666666666666667</v>
      </c>
      <c r="N227" s="9">
        <f>M227*Inputs!$C$11</f>
        <v>0.46666666666666667</v>
      </c>
      <c r="O227" s="9">
        <f>1000*(D228-D226)/(A228-A226)*Inputs!$C$11</f>
        <v>1108.9008574281252</v>
      </c>
      <c r="P227" s="9">
        <f>-2*O227/Inputs!$C$13</f>
        <v>-443.56034297125007</v>
      </c>
      <c r="Q227" s="9">
        <f>-2*O227/Inputs!$C$14</f>
        <v>-66.6006520977853</v>
      </c>
      <c r="R227" s="9">
        <f>F227-Inputs!$C$16/2</f>
        <v>2930.4593716191162</v>
      </c>
      <c r="S227" s="9">
        <f>F227+Inputs!$C$16/2</f>
        <v>2960.4593716191162</v>
      </c>
      <c r="T227" s="9">
        <f>F227-Inputs!$C$17/2</f>
        <v>2795.4593716191162</v>
      </c>
      <c r="U227" s="9">
        <f>F227+Inputs!$C$17/2</f>
        <v>3095.4593716191162</v>
      </c>
      <c r="V227" s="9">
        <f t="shared" si="62"/>
        <v>443.56034297125007</v>
      </c>
      <c r="W227" s="9">
        <f t="shared" si="63"/>
        <v>66.6006520977853</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6.5883469319652015</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164.06842387185546</v>
      </c>
      <c r="Z227" s="9">
        <f t="shared" si="64"/>
        <v>403.05591165306805</v>
      </c>
      <c r="AA227" s="9">
        <f>SQRT((Inputs!$C$52+B227)^2+(Inputs!$C$52+Y227/1000)^2-2*(Inputs!$C$52+B227)*(Inputs!$C$52+Y227/1000)*COS(SQRT(A227^2+Inputs!$C$6^2)/Inputs!$C$52))</f>
        <v>408.14400465294733</v>
      </c>
      <c r="AB227" s="9">
        <f t="shared" si="65"/>
        <v>5088.0929998792799</v>
      </c>
      <c r="AC227" s="9">
        <f>AB227/Inputs!$C$12</f>
        <v>2858.4792134153258</v>
      </c>
      <c r="AD227" s="9">
        <f>2*AB227/Inputs!$C$21*1000000</f>
        <v>33.94410275577566</v>
      </c>
      <c r="AE227" s="9">
        <f t="shared" si="66"/>
        <v>8.2125332888897535</v>
      </c>
      <c r="AF227" s="9">
        <f>DEGREES((2*PI()/Inputs!$C$13)*Inputs!$C$15*SIN(RADIANS(AE227)))</f>
        <v>51.424358770141112</v>
      </c>
      <c r="AG227" s="9">
        <f t="shared" si="67"/>
        <v>0.95105907914938381</v>
      </c>
      <c r="AH227" s="9">
        <f t="shared" si="68"/>
        <v>-0.21792504143936858</v>
      </c>
      <c r="AI227" s="9">
        <f t="shared" si="69"/>
        <v>-86.980158203790324</v>
      </c>
      <c r="AJ227" s="9">
        <f t="shared" si="70"/>
        <v>-1.0328790966632511</v>
      </c>
      <c r="AK227" s="9">
        <f t="shared" si="71"/>
        <v>157.48007693989027</v>
      </c>
      <c r="AL227" s="9">
        <f>1000*(AA228-AA226)/(A228-A226)*Inputs!$C$11</f>
        <v>1044.1918139285917</v>
      </c>
      <c r="AM227" s="9">
        <f>-2*AL227/Inputs!$C$13</f>
        <v>-417.67672557143669</v>
      </c>
      <c r="AN227" s="9">
        <f>-2*AL227/Inputs!$C$14</f>
        <v>-62.71422305877428</v>
      </c>
      <c r="AO227" s="9">
        <f t="shared" si="72"/>
        <v>417.67672557143669</v>
      </c>
      <c r="AP227" s="9">
        <f t="shared" si="73"/>
        <v>62.71422305877428</v>
      </c>
      <c r="AQ227" s="9">
        <f>IF(OR(Inputs!$C$27=TRUE,Inputs!$C$27="TRUE",Inputs!$C$27=1),Inputs!$C$46/Inputs!$C$12,0)</f>
        <v>42.134831460674157</v>
      </c>
      <c r="AR227" s="9">
        <f t="shared" si="74"/>
        <v>2816.3443819546515</v>
      </c>
      <c r="AS227" s="9">
        <f t="shared" si="75"/>
        <v>2900.6140448760002</v>
      </c>
    </row>
    <row r="228" spans="1:45">
      <c r="A228" s="9">
        <f>Inputs!$C$7+226*(Inputs!$C$8-Inputs!$C$7)/240</f>
        <v>53</v>
      </c>
      <c r="B228" s="9">
        <f>Inputs!$C$5+Inputs!$C$9*(A228/Inputs!$C$10)^2</f>
        <v>403.12111111111113</v>
      </c>
      <c r="C228" s="9">
        <f t="shared" si="57"/>
        <v>403.12111111111113</v>
      </c>
      <c r="D228" s="9">
        <f>SQRT((Inputs!$C$52+B228)^2+Inputs!$C$52^2-2*(Inputs!$C$52+B228)*Inputs!$C$52*COS(SQRT(A228^2+Inputs!$C$6^2)/Inputs!$C$52))</f>
        <v>408.44467324471458</v>
      </c>
      <c r="E228" s="9">
        <f t="shared" si="58"/>
        <v>5323.5621336034455</v>
      </c>
      <c r="F228" s="9">
        <f>E228/Inputs!$C$12</f>
        <v>2990.7652435974414</v>
      </c>
      <c r="G228" s="9">
        <f>2*E228/Inputs!$C$21*1000000</f>
        <v>35.51498372653154</v>
      </c>
      <c r="H228" s="9">
        <f>SQRT(A228^2+Inputs!$C$6^2)</f>
        <v>58.600341295934449</v>
      </c>
      <c r="I228" s="9">
        <f t="shared" si="59"/>
        <v>8.2709577025452408</v>
      </c>
      <c r="J228" s="9">
        <f>DEGREES((2*PI()/Inputs!$C$13)*Inputs!$C$15*SIN(RADIANS(I228)))</f>
        <v>51.787658869794335</v>
      </c>
      <c r="K228" s="9">
        <f t="shared" si="60"/>
        <v>0.94887547821294138</v>
      </c>
      <c r="L228" s="9">
        <f t="shared" si="61"/>
        <v>-0.2279077669100798</v>
      </c>
      <c r="M228" s="9">
        <f>2*(Inputs!$C$9/(Inputs!$C$10^2))*A228</f>
        <v>0.11777777777777777</v>
      </c>
      <c r="N228" s="9">
        <f>M228*Inputs!$C$11</f>
        <v>0.47111111111111109</v>
      </c>
      <c r="O228" s="9">
        <f>1000*(D229-D227)/(A229-A227)*Inputs!$C$11</f>
        <v>1119.1843692326984</v>
      </c>
      <c r="P228" s="9">
        <f>-2*O228/Inputs!$C$13</f>
        <v>-447.67374769307935</v>
      </c>
      <c r="Q228" s="9">
        <f>-2*O228/Inputs!$C$14</f>
        <v>-67.218280434396306</v>
      </c>
      <c r="R228" s="9">
        <f>F228-Inputs!$C$16/2</f>
        <v>2975.7652435974414</v>
      </c>
      <c r="S228" s="9">
        <f>F228+Inputs!$C$16/2</f>
        <v>3005.7652435974414</v>
      </c>
      <c r="T228" s="9">
        <f>F228-Inputs!$C$17/2</f>
        <v>2840.7652435974414</v>
      </c>
      <c r="U228" s="9">
        <f>F228+Inputs!$C$17/2</f>
        <v>3140.7652435974414</v>
      </c>
      <c r="V228" s="9">
        <f t="shared" si="62"/>
        <v>447.67374769307935</v>
      </c>
      <c r="W228" s="9">
        <f t="shared" si="63"/>
        <v>67.218280434396306</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4.5083965407611828</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183.52328091519169</v>
      </c>
      <c r="Z228" s="9">
        <f t="shared" si="64"/>
        <v>403.11660271457038</v>
      </c>
      <c r="AA228" s="9">
        <f>SQRT((Inputs!$C$52+B228)^2+(Inputs!$C$52+Y228/1000)^2-2*(Inputs!$C$52+B228)*(Inputs!$C$52+Y228/1000)*COS(SQRT(A228^2+Inputs!$C$6^2)/Inputs!$C$52))</f>
        <v>408.26416518261118</v>
      </c>
      <c r="AB228" s="9">
        <f t="shared" si="65"/>
        <v>5147.5624680408037</v>
      </c>
      <c r="AC228" s="9">
        <f>AB228/Inputs!$C$12</f>
        <v>2891.8890269892154</v>
      </c>
      <c r="AD228" s="9">
        <f>2*AB228/Inputs!$C$21*1000000</f>
        <v>34.340840342559943</v>
      </c>
      <c r="AE228" s="9">
        <f t="shared" si="66"/>
        <v>8.2746726688029</v>
      </c>
      <c r="AF228" s="9">
        <f>DEGREES((2*PI()/Inputs!$C$13)*Inputs!$C$15*SIN(RADIANS(AE228)))</f>
        <v>51.81075780016188</v>
      </c>
      <c r="AG228" s="9">
        <f t="shared" si="67"/>
        <v>0.95051219517632324</v>
      </c>
      <c r="AH228" s="9">
        <f t="shared" si="68"/>
        <v>-0.22042306716679214</v>
      </c>
      <c r="AI228" s="9">
        <f t="shared" si="69"/>
        <v>-98.876216608226059</v>
      </c>
      <c r="AJ228" s="9">
        <f t="shared" si="70"/>
        <v>-1.1741433839715967</v>
      </c>
      <c r="AK228" s="9">
        <f t="shared" si="71"/>
        <v>179.01488437443049</v>
      </c>
      <c r="AL228" s="9">
        <f>1000*(AA229-AA227)/(A229-A227)*Inputs!$C$11</f>
        <v>1052.7450629535906</v>
      </c>
      <c r="AM228" s="9">
        <f>-2*AL228/Inputs!$C$13</f>
        <v>-421.09802518143624</v>
      </c>
      <c r="AN228" s="9">
        <f>-2*AL228/Inputs!$C$14</f>
        <v>-63.227931708924366</v>
      </c>
      <c r="AO228" s="9">
        <f t="shared" si="72"/>
        <v>421.09802518143624</v>
      </c>
      <c r="AP228" s="9">
        <f t="shared" si="73"/>
        <v>63.227931708924366</v>
      </c>
      <c r="AQ228" s="9">
        <f>IF(OR(Inputs!$C$27=TRUE,Inputs!$C$27="TRUE",Inputs!$C$27=1),Inputs!$C$46/Inputs!$C$12,0)</f>
        <v>42.134831460674157</v>
      </c>
      <c r="AR228" s="9">
        <f t="shared" si="74"/>
        <v>2849.754195528541</v>
      </c>
      <c r="AS228" s="9">
        <f t="shared" si="75"/>
        <v>2934.0238584498898</v>
      </c>
    </row>
    <row r="229" spans="1:45">
      <c r="A229" s="9">
        <f>Inputs!$C$7+227*(Inputs!$C$8-Inputs!$C$7)/240</f>
        <v>53.5</v>
      </c>
      <c r="B229" s="9">
        <f>Inputs!$C$5+Inputs!$C$9*(A229/Inputs!$C$10)^2</f>
        <v>403.1802777777778</v>
      </c>
      <c r="C229" s="9">
        <f t="shared" si="57"/>
        <v>403.1802777777778</v>
      </c>
      <c r="D229" s="9">
        <f>SQRT((Inputs!$C$52+B229)^2+Inputs!$C$52^2-2*(Inputs!$C$52+B229)*Inputs!$C$52*COS(SQRT(A229^2+Inputs!$C$6^2)/Inputs!$C$52))</f>
        <v>408.5852137737902</v>
      </c>
      <c r="E229" s="9">
        <f t="shared" si="58"/>
        <v>5404.9359960123984</v>
      </c>
      <c r="F229" s="9">
        <f>E229/Inputs!$C$12</f>
        <v>3036.4808966361788</v>
      </c>
      <c r="G229" s="9">
        <f>2*E229/Inputs!$C$21*1000000</f>
        <v>36.057851702275968</v>
      </c>
      <c r="H229" s="9">
        <f>SQRT(A229^2+Inputs!$C$6^2)</f>
        <v>59.052942348370756</v>
      </c>
      <c r="I229" s="9">
        <f t="shared" si="59"/>
        <v>8.3327389418825106</v>
      </c>
      <c r="J229" s="9">
        <f>DEGREES((2*PI()/Inputs!$C$13)*Inputs!$C$15*SIN(RADIANS(I229)))</f>
        <v>52.171774108183619</v>
      </c>
      <c r="K229" s="9">
        <f t="shared" si="60"/>
        <v>0.94812704546374582</v>
      </c>
      <c r="L229" s="9">
        <f t="shared" si="61"/>
        <v>-0.23133464932968043</v>
      </c>
      <c r="M229" s="9">
        <f>2*(Inputs!$C$9/(Inputs!$C$10^2))*A229</f>
        <v>0.11888888888888889</v>
      </c>
      <c r="N229" s="9">
        <f>M229*Inputs!$C$11</f>
        <v>0.47555555555555556</v>
      </c>
      <c r="O229" s="9">
        <f>1000*(D230-D228)/(A230-A228)*Inputs!$C$11</f>
        <v>1129.4602816408315</v>
      </c>
      <c r="P229" s="9">
        <f>-2*O229/Inputs!$C$13</f>
        <v>-451.78411265633258</v>
      </c>
      <c r="Q229" s="9">
        <f>-2*O229/Inputs!$C$14</f>
        <v>-67.835452350800693</v>
      </c>
      <c r="R229" s="9">
        <f>F229-Inputs!$C$16/2</f>
        <v>3021.4808966361788</v>
      </c>
      <c r="S229" s="9">
        <f>F229+Inputs!$C$16/2</f>
        <v>3051.4808966361788</v>
      </c>
      <c r="T229" s="9">
        <f>F229-Inputs!$C$17/2</f>
        <v>2886.4808966361788</v>
      </c>
      <c r="U229" s="9">
        <f>F229+Inputs!$C$17/2</f>
        <v>3186.4808966361788</v>
      </c>
      <c r="V229" s="9">
        <f t="shared" si="62"/>
        <v>451.78411265633258</v>
      </c>
      <c r="W229" s="9">
        <f t="shared" si="63"/>
        <v>67.835452350800693</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-0.1280560890739677</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181.04186719105834</v>
      </c>
      <c r="Z229" s="9">
        <f t="shared" si="64"/>
        <v>403.18040583386687</v>
      </c>
      <c r="AA229" s="9">
        <f>SQRT((Inputs!$C$52+B229)^2+(Inputs!$C$52+Y229/1000)^2-2*(Inputs!$C$52+B229)*(Inputs!$C$52+Y229/1000)*COS(SQRT(A229^2+Inputs!$C$6^2)/Inputs!$C$52))</f>
        <v>408.40719091868573</v>
      </c>
      <c r="AB229" s="9">
        <f t="shared" si="65"/>
        <v>5226.7850848188573</v>
      </c>
      <c r="AC229" s="9">
        <f>AB229/Inputs!$C$12</f>
        <v>2936.3961150667737</v>
      </c>
      <c r="AD229" s="9">
        <f>2*AB229/Inputs!$C$21*1000000</f>
        <v>34.869356752255975</v>
      </c>
      <c r="AE229" s="9">
        <f t="shared" si="66"/>
        <v>8.33642971440627</v>
      </c>
      <c r="AF229" s="9">
        <f>DEGREES((2*PI()/Inputs!$C$13)*Inputs!$C$15*SIN(RADIANS(AE229)))</f>
        <v>52.194718996114013</v>
      </c>
      <c r="AG229" s="9">
        <f t="shared" si="67"/>
        <v>0.94978247056550547</v>
      </c>
      <c r="AH229" s="9">
        <f t="shared" si="68"/>
        <v>-0.22375850132948241</v>
      </c>
      <c r="AI229" s="9">
        <f t="shared" si="69"/>
        <v>-100.0847815694051</v>
      </c>
      <c r="AJ229" s="9">
        <f t="shared" si="70"/>
        <v>-1.1884949500199937</v>
      </c>
      <c r="AK229" s="9">
        <f t="shared" si="71"/>
        <v>181.16992328013231</v>
      </c>
      <c r="AL229" s="9">
        <f>1000*(AA230-AA228)/(A230-A228)*Inputs!$C$11</f>
        <v>1137.6148807951267</v>
      </c>
      <c r="AM229" s="9">
        <f>-2*AL229/Inputs!$C$13</f>
        <v>-455.04595231805069</v>
      </c>
      <c r="AN229" s="9">
        <f>-2*AL229/Inputs!$C$14</f>
        <v>-68.325218065773385</v>
      </c>
      <c r="AO229" s="9">
        <f t="shared" si="72"/>
        <v>455.04595231805069</v>
      </c>
      <c r="AP229" s="9">
        <f t="shared" si="73"/>
        <v>68.325218065773385</v>
      </c>
      <c r="AQ229" s="9">
        <f>IF(OR(Inputs!$C$27=TRUE,Inputs!$C$27="TRUE",Inputs!$C$27=1),Inputs!$C$46/Inputs!$C$12,0)</f>
        <v>42.134831460674157</v>
      </c>
      <c r="AR229" s="9">
        <f t="shared" si="74"/>
        <v>2894.2612836060994</v>
      </c>
      <c r="AS229" s="9">
        <f t="shared" si="75"/>
        <v>2978.5309465274481</v>
      </c>
    </row>
    <row r="230" spans="1:45">
      <c r="A230" s="9">
        <f>Inputs!$C$7+228*(Inputs!$C$8-Inputs!$C$7)/240</f>
        <v>54</v>
      </c>
      <c r="B230" s="9">
        <f>Inputs!$C$5+Inputs!$C$9*(A230/Inputs!$C$10)^2</f>
        <v>403.24</v>
      </c>
      <c r="C230" s="9">
        <f t="shared" si="57"/>
        <v>403.24</v>
      </c>
      <c r="D230" s="9">
        <f>SQRT((Inputs!$C$52+B230)^2+Inputs!$C$52^2-2*(Inputs!$C$52+B230)*Inputs!$C$52*COS(SQRT(A230^2+Inputs!$C$6^2)/Inputs!$C$52))</f>
        <v>408.72703831512479</v>
      </c>
      <c r="E230" s="9">
        <f t="shared" si="58"/>
        <v>5487.0383151247779</v>
      </c>
      <c r="F230" s="9">
        <f>E230/Inputs!$C$12</f>
        <v>3082.6057950139202</v>
      </c>
      <c r="G230" s="9">
        <f>2*E230/Inputs!$C$21*1000000</f>
        <v>36.605579418043781</v>
      </c>
      <c r="H230" s="9">
        <f>SQRT(A230^2+Inputs!$C$6^2)</f>
        <v>59.506302187247357</v>
      </c>
      <c r="I230" s="9">
        <f t="shared" si="59"/>
        <v>8.3945766676270033</v>
      </c>
      <c r="J230" s="9">
        <f>DEGREES((2*PI()/Inputs!$C$13)*Inputs!$C$15*SIN(RADIANS(I230)))</f>
        <v>52.556179798506058</v>
      </c>
      <c r="K230" s="9">
        <f t="shared" si="60"/>
        <v>0.947372885993786</v>
      </c>
      <c r="L230" s="9">
        <f t="shared" si="61"/>
        <v>-0.23479049027301646</v>
      </c>
      <c r="M230" s="9">
        <f>2*(Inputs!$C$9/(Inputs!$C$10^2))*A230</f>
        <v>0.12</v>
      </c>
      <c r="N230" s="9">
        <f>M230*Inputs!$C$11</f>
        <v>0.48</v>
      </c>
      <c r="O230" s="9">
        <f>1000*(D231-D229)/(A231-A229)*Inputs!$C$11</f>
        <v>1139.7285361831564</v>
      </c>
      <c r="P230" s="9">
        <f>-2*O230/Inputs!$C$13</f>
        <v>-455.89141447326256</v>
      </c>
      <c r="Q230" s="9">
        <f>-2*O230/Inputs!$C$14</f>
        <v>-68.45216433532471</v>
      </c>
      <c r="R230" s="9">
        <f>F230-Inputs!$C$16/2</f>
        <v>3067.6057950139202</v>
      </c>
      <c r="S230" s="9">
        <f>F230+Inputs!$C$16/2</f>
        <v>3097.6057950139202</v>
      </c>
      <c r="T230" s="9">
        <f>F230-Inputs!$C$17/2</f>
        <v>2932.6057950139202</v>
      </c>
      <c r="U230" s="9">
        <f>F230+Inputs!$C$17/2</f>
        <v>3232.6057950139202</v>
      </c>
      <c r="V230" s="9">
        <f t="shared" si="62"/>
        <v>455.89141447326256</v>
      </c>
      <c r="W230" s="9">
        <f t="shared" si="63"/>
        <v>68.45216433532471</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-7.8528378251423838</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181.54184215615243</v>
      </c>
      <c r="Z230" s="9">
        <f t="shared" si="64"/>
        <v>403.24785283782518</v>
      </c>
      <c r="AA230" s="9">
        <f>SQRT((Inputs!$C$52+B230)^2+(Inputs!$C$52+Y230/1000)^2-2*(Inputs!$C$52+B230)*(Inputs!$C$52+Y230/1000)*COS(SQRT(A230^2+Inputs!$C$6^2)/Inputs!$C$52))</f>
        <v>408.54856890280996</v>
      </c>
      <c r="AB230" s="9">
        <f t="shared" si="65"/>
        <v>5300.7160649847829</v>
      </c>
      <c r="AC230" s="9">
        <f>AB230/Inputs!$C$12</f>
        <v>2977.9303735869566</v>
      </c>
      <c r="AD230" s="9">
        <f>2*AB230/Inputs!$C$21*1000000</f>
        <v>35.362571162379162</v>
      </c>
      <c r="AE230" s="9">
        <f t="shared" si="66"/>
        <v>8.3983037619366012</v>
      </c>
      <c r="AF230" s="9">
        <f>DEGREES((2*PI()/Inputs!$C$13)*Inputs!$C$15*SIN(RADIANS(AE230)))</f>
        <v>52.579346814440598</v>
      </c>
      <c r="AG230" s="9">
        <f t="shared" si="67"/>
        <v>0.9491032928300156</v>
      </c>
      <c r="AH230" s="9">
        <f t="shared" si="68"/>
        <v>-0.22686519854127754</v>
      </c>
      <c r="AI230" s="9">
        <f t="shared" si="69"/>
        <v>-104.67542142696357</v>
      </c>
      <c r="AJ230" s="9">
        <f t="shared" si="70"/>
        <v>-1.2430082556646198</v>
      </c>
      <c r="AK230" s="9">
        <f t="shared" si="71"/>
        <v>189.39467998129481</v>
      </c>
      <c r="AL230" s="9">
        <f>1000*(AA231-AA229)/(A231-A229)*Inputs!$C$11</f>
        <v>1157.2392067002966</v>
      </c>
      <c r="AM230" s="9">
        <f>-2*AL230/Inputs!$C$13</f>
        <v>-462.89568268011863</v>
      </c>
      <c r="AN230" s="9">
        <f>-2*AL230/Inputs!$C$14</f>
        <v>-69.503856258276073</v>
      </c>
      <c r="AO230" s="9">
        <f t="shared" si="72"/>
        <v>462.89568268011863</v>
      </c>
      <c r="AP230" s="9">
        <f t="shared" si="73"/>
        <v>69.503856258276073</v>
      </c>
      <c r="AQ230" s="9">
        <f>IF(OR(Inputs!$C$27=TRUE,Inputs!$C$27="TRUE",Inputs!$C$27=1),Inputs!$C$46/Inputs!$C$12,0)</f>
        <v>42.134831460674157</v>
      </c>
      <c r="AR230" s="9">
        <f t="shared" si="74"/>
        <v>2935.7955421262823</v>
      </c>
      <c r="AS230" s="9">
        <f t="shared" si="75"/>
        <v>3020.065205047631</v>
      </c>
    </row>
    <row r="231" spans="1:45">
      <c r="A231" s="9">
        <f>Inputs!$C$7+229*(Inputs!$C$8-Inputs!$C$7)/240</f>
        <v>54.5</v>
      </c>
      <c r="B231" s="9">
        <f>Inputs!$C$5+Inputs!$C$9*(A231/Inputs!$C$10)^2</f>
        <v>403.30027777777775</v>
      </c>
      <c r="C231" s="9">
        <f t="shared" si="57"/>
        <v>403.30027777777775</v>
      </c>
      <c r="D231" s="9">
        <f>SQRT((Inputs!$C$52+B231)^2+Inputs!$C$52^2-2*(Inputs!$C$52+B231)*Inputs!$C$52*COS(SQRT(A231^2+Inputs!$C$6^2)/Inputs!$C$52))</f>
        <v>408.87014590783599</v>
      </c>
      <c r="E231" s="9">
        <f t="shared" si="58"/>
        <v>5569.8681300582393</v>
      </c>
      <c r="F231" s="9">
        <f>E231/Inputs!$C$12</f>
        <v>3129.139398909123</v>
      </c>
      <c r="G231" s="9">
        <f>2*E231/Inputs!$C$21*1000000</f>
        <v>37.158160463517994</v>
      </c>
      <c r="H231" s="9">
        <f>SQRT(A231^2+Inputs!$C$6^2)</f>
        <v>59.960403601043247</v>
      </c>
      <c r="I231" s="9">
        <f t="shared" si="59"/>
        <v>8.4564679912070897</v>
      </c>
      <c r="J231" s="9">
        <f>DEGREES((2*PI()/Inputs!$C$13)*Inputs!$C$15*SIN(RADIANS(I231)))</f>
        <v>52.940857373736847</v>
      </c>
      <c r="K231" s="9">
        <f t="shared" si="60"/>
        <v>0.94661303308665978</v>
      </c>
      <c r="L231" s="9">
        <f t="shared" si="61"/>
        <v>-0.23827520406105102</v>
      </c>
      <c r="M231" s="9">
        <f>2*(Inputs!$C$9/(Inputs!$C$10^2))*A231</f>
        <v>0.12111111111111111</v>
      </c>
      <c r="N231" s="9">
        <f>M231*Inputs!$C$11</f>
        <v>0.48444444444444446</v>
      </c>
      <c r="O231" s="9">
        <f>1000*(D232-D230)/(A232-A230)*Inputs!$C$11</f>
        <v>1149.9890746863457</v>
      </c>
      <c r="P231" s="9">
        <f>-2*O231/Inputs!$C$13</f>
        <v>-459.99562987453828</v>
      </c>
      <c r="Q231" s="9">
        <f>-2*O231/Inputs!$C$14</f>
        <v>-69.068412894074825</v>
      </c>
      <c r="R231" s="9">
        <f>F231-Inputs!$C$16/2</f>
        <v>3114.139398909123</v>
      </c>
      <c r="S231" s="9">
        <f>F231+Inputs!$C$16/2</f>
        <v>3144.139398909123</v>
      </c>
      <c r="T231" s="9">
        <f>F231-Inputs!$C$17/2</f>
        <v>2979.139398909123</v>
      </c>
      <c r="U231" s="9">
        <f>F231+Inputs!$C$17/2</f>
        <v>3279.139398909123</v>
      </c>
      <c r="V231" s="9">
        <f t="shared" si="62"/>
        <v>459.99562987453828</v>
      </c>
      <c r="W231" s="9">
        <f t="shared" si="63"/>
        <v>69.068412894074825</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-10.88592803052483</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176.67952286622949</v>
      </c>
      <c r="Z231" s="9">
        <f t="shared" si="64"/>
        <v>403.31116370580827</v>
      </c>
      <c r="AA231" s="9">
        <f>SQRT((Inputs!$C$52+B231)^2+(Inputs!$C$52+Y231/1000)^2-2*(Inputs!$C$52+B231)*(Inputs!$C$52+Y231/1000)*COS(SQRT(A231^2+Inputs!$C$6^2)/Inputs!$C$52))</f>
        <v>408.6965007203608</v>
      </c>
      <c r="AB231" s="9">
        <f t="shared" si="65"/>
        <v>5385.3370145525332</v>
      </c>
      <c r="AC231" s="9">
        <f>AB231/Inputs!$C$12</f>
        <v>3025.4702328946814</v>
      </c>
      <c r="AD231" s="9">
        <f>2*AB231/Inputs!$C$21*1000000</f>
        <v>35.927101371926668</v>
      </c>
      <c r="AE231" s="9">
        <f t="shared" si="66"/>
        <v>8.4601206358629071</v>
      </c>
      <c r="AF231" s="9">
        <f>DEGREES((2*PI()/Inputs!$C$13)*Inputs!$C$15*SIN(RADIANS(AE231)))</f>
        <v>52.963557991578512</v>
      </c>
      <c r="AG231" s="9">
        <f t="shared" si="67"/>
        <v>0.94832521225235789</v>
      </c>
      <c r="AH231" s="9">
        <f t="shared" si="68"/>
        <v>-0.23042703098333103</v>
      </c>
      <c r="AI231" s="9">
        <f t="shared" si="69"/>
        <v>-103.66916601444154</v>
      </c>
      <c r="AJ231" s="9">
        <f t="shared" si="70"/>
        <v>-1.2310590915913266</v>
      </c>
      <c r="AK231" s="9">
        <f t="shared" si="71"/>
        <v>187.56545089675433</v>
      </c>
      <c r="AL231" s="9">
        <f>1000*(AA232-AA230)/(A232-A230)*Inputs!$C$11</f>
        <v>1122.9829585383868</v>
      </c>
      <c r="AM231" s="9">
        <f>-2*AL231/Inputs!$C$13</f>
        <v>-449.19318341535472</v>
      </c>
      <c r="AN231" s="9">
        <f>-2*AL231/Inputs!$C$14</f>
        <v>-67.446423936239455</v>
      </c>
      <c r="AO231" s="9">
        <f t="shared" si="72"/>
        <v>449.19318341535472</v>
      </c>
      <c r="AP231" s="9">
        <f t="shared" si="73"/>
        <v>67.446423936239455</v>
      </c>
      <c r="AQ231" s="9">
        <f>IF(OR(Inputs!$C$27=TRUE,Inputs!$C$27="TRUE",Inputs!$C$27=1),Inputs!$C$46/Inputs!$C$12,0)</f>
        <v>42.134831460674157</v>
      </c>
      <c r="AR231" s="9">
        <f t="shared" si="74"/>
        <v>2983.3354014340071</v>
      </c>
      <c r="AS231" s="9">
        <f t="shared" si="75"/>
        <v>3067.6050643553558</v>
      </c>
    </row>
    <row r="232" spans="1:45">
      <c r="A232" s="9">
        <f>Inputs!$C$7+230*(Inputs!$C$8-Inputs!$C$7)/240</f>
        <v>55</v>
      </c>
      <c r="B232" s="9">
        <f>Inputs!$C$5+Inputs!$C$9*(A232/Inputs!$C$10)^2</f>
        <v>403.36111111111109</v>
      </c>
      <c r="C232" s="9">
        <f t="shared" si="57"/>
        <v>403.36111111111109</v>
      </c>
      <c r="D232" s="9">
        <f>SQRT((Inputs!$C$52+B232)^2+Inputs!$C$52^2-2*(Inputs!$C$52+B232)*Inputs!$C$52*COS(SQRT(A232^2+Inputs!$C$6^2)/Inputs!$C$52))</f>
        <v>409.01453558379637</v>
      </c>
      <c r="E232" s="9">
        <f t="shared" si="58"/>
        <v>5653.4244726852876</v>
      </c>
      <c r="F232" s="9">
        <f>E232/Inputs!$C$12</f>
        <v>3176.081164429937</v>
      </c>
      <c r="G232" s="9">
        <f>2*E232/Inputs!$C$21*1000000</f>
        <v>37.715588380047159</v>
      </c>
      <c r="H232" s="9">
        <f>SQRT(A232^2+Inputs!$C$6^2)</f>
        <v>60.415229867972862</v>
      </c>
      <c r="I232" s="9">
        <f t="shared" si="59"/>
        <v>8.5184100957264786</v>
      </c>
      <c r="J232" s="9">
        <f>DEGREES((2*PI()/Inputs!$C$13)*Inputs!$C$15*SIN(RADIANS(I232)))</f>
        <v>53.325788721279181</v>
      </c>
      <c r="K232" s="9">
        <f t="shared" si="60"/>
        <v>0.9458475201974168</v>
      </c>
      <c r="L232" s="9">
        <f t="shared" si="61"/>
        <v>-0.24178870442099248</v>
      </c>
      <c r="M232" s="9">
        <f>2*(Inputs!$C$9/(Inputs!$C$10^2))*A232</f>
        <v>0.12222222222222222</v>
      </c>
      <c r="N232" s="9">
        <f>M232*Inputs!$C$11</f>
        <v>0.48888888888888887</v>
      </c>
      <c r="O232" s="9">
        <f>1000*(D233-D231)/(A233-A231)*Inputs!$C$11</f>
        <v>1160.241839347691</v>
      </c>
      <c r="P232" s="9">
        <f>-2*O232/Inputs!$C$13</f>
        <v>-464.09673573907639</v>
      </c>
      <c r="Q232" s="9">
        <f>-2*O232/Inputs!$C$14</f>
        <v>-69.68419455541688</v>
      </c>
      <c r="R232" s="9">
        <f>F232-Inputs!$C$16/2</f>
        <v>3161.081164429937</v>
      </c>
      <c r="S232" s="9">
        <f>F232+Inputs!$C$16/2</f>
        <v>3191.081164429937</v>
      </c>
      <c r="T232" s="9">
        <f>F232-Inputs!$C$17/2</f>
        <v>3026.081164429937</v>
      </c>
      <c r="U232" s="9">
        <f>F232+Inputs!$C$17/2</f>
        <v>3326.081164429937</v>
      </c>
      <c r="V232" s="9">
        <f t="shared" si="62"/>
        <v>464.09673573907639</v>
      </c>
      <c r="W232" s="9">
        <f t="shared" si="63"/>
        <v>69.68419455541688</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-2.7391578251359494</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188.50605986382979</v>
      </c>
      <c r="Z232" s="9">
        <f t="shared" si="64"/>
        <v>403.36385026893623</v>
      </c>
      <c r="AA232" s="9">
        <f>SQRT((Inputs!$C$52+B232)^2+(Inputs!$C$52+Y232/1000)^2-2*(Inputs!$C$52+B232)*(Inputs!$C$52+Y232/1000)*COS(SQRT(A232^2+Inputs!$C$6^2)/Inputs!$C$52))</f>
        <v>408.82931464244456</v>
      </c>
      <c r="AB232" s="9">
        <f t="shared" si="65"/>
        <v>5465.4643735083255</v>
      </c>
      <c r="AC232" s="9">
        <f>AB232/Inputs!$C$12</f>
        <v>3070.4856030945648</v>
      </c>
      <c r="AD232" s="9">
        <f>2*AB232/Inputs!$C$21*1000000</f>
        <v>36.46165357174079</v>
      </c>
      <c r="AE232" s="9">
        <f t="shared" si="66"/>
        <v>8.5223344629848139</v>
      </c>
      <c r="AF232" s="9">
        <f>DEGREES((2*PI()/Inputs!$C$13)*Inputs!$C$15*SIN(RADIANS(AE232)))</f>
        <v>53.350174108896702</v>
      </c>
      <c r="AG232" s="9">
        <f t="shared" si="67"/>
        <v>0.94758849708590154</v>
      </c>
      <c r="AH232" s="9">
        <f t="shared" si="68"/>
        <v>-0.2338021988093158</v>
      </c>
      <c r="AI232" s="9">
        <f t="shared" si="69"/>
        <v>-105.59556133537217</v>
      </c>
      <c r="AJ232" s="9">
        <f t="shared" si="70"/>
        <v>-1.2539348083063686</v>
      </c>
      <c r="AK232" s="9">
        <f t="shared" si="71"/>
        <v>191.24521768896574</v>
      </c>
      <c r="AL232" s="9">
        <f>1000*(AA233-AA231)/(A233-A231)*Inputs!$C$11</f>
        <v>1137.5245610488491</v>
      </c>
      <c r="AM232" s="9">
        <f>-2*AL232/Inputs!$C$13</f>
        <v>-455.00982441953965</v>
      </c>
      <c r="AN232" s="9">
        <f>-2*AL232/Inputs!$C$14</f>
        <v>-68.319793456387345</v>
      </c>
      <c r="AO232" s="9">
        <f t="shared" si="72"/>
        <v>455.00982441953965</v>
      </c>
      <c r="AP232" s="9">
        <f t="shared" si="73"/>
        <v>68.319793456387345</v>
      </c>
      <c r="AQ232" s="9">
        <f>IF(OR(Inputs!$C$27=TRUE,Inputs!$C$27="TRUE",Inputs!$C$27=1),Inputs!$C$46/Inputs!$C$12,0)</f>
        <v>42.134831460674157</v>
      </c>
      <c r="AR232" s="9">
        <f t="shared" si="74"/>
        <v>3028.3507716338904</v>
      </c>
      <c r="AS232" s="9">
        <f t="shared" si="75"/>
        <v>3112.6204345552392</v>
      </c>
    </row>
    <row r="233" spans="1:45">
      <c r="A233" s="9">
        <f>Inputs!$C$7+231*(Inputs!$C$8-Inputs!$C$7)/240</f>
        <v>55.5</v>
      </c>
      <c r="B233" s="9">
        <f>Inputs!$C$5+Inputs!$C$9*(A233/Inputs!$C$10)^2</f>
        <v>403.42250000000001</v>
      </c>
      <c r="C233" s="9">
        <f t="shared" si="57"/>
        <v>403.42250000000001</v>
      </c>
      <c r="D233" s="9">
        <f>SQRT((Inputs!$C$52+B233)^2+Inputs!$C$52^2-2*(Inputs!$C$52+B233)*Inputs!$C$52*COS(SQRT(A233^2+Inputs!$C$6^2)/Inputs!$C$52))</f>
        <v>409.16020636767291</v>
      </c>
      <c r="E233" s="9">
        <f t="shared" si="58"/>
        <v>5737.7063676728994</v>
      </c>
      <c r="F233" s="9">
        <f>E233/Inputs!$C$12</f>
        <v>3223.4305436364602</v>
      </c>
      <c r="G233" s="9">
        <f>2*E233/Inputs!$C$21*1000000</f>
        <v>38.277856660909727</v>
      </c>
      <c r="H233" s="9">
        <f>SQRT(A233^2+Inputs!$C$6^2)</f>
        <v>60.870764739733637</v>
      </c>
      <c r="I233" s="9">
        <f t="shared" si="59"/>
        <v>8.5804002336499341</v>
      </c>
      <c r="J233" s="9">
        <f>DEGREES((2*PI()/Inputs!$C$13)*Inputs!$C$15*SIN(RADIANS(I233)))</f>
        <v>53.71095616845377</v>
      </c>
      <c r="K233" s="9">
        <f t="shared" si="60"/>
        <v>0.94507638094936786</v>
      </c>
      <c r="L233" s="9">
        <f t="shared" si="61"/>
        <v>-0.24533090449122652</v>
      </c>
      <c r="M233" s="9">
        <f>2*(Inputs!$C$9/(Inputs!$C$10^2))*A233</f>
        <v>0.12333333333333334</v>
      </c>
      <c r="N233" s="9">
        <f>M233*Inputs!$C$11</f>
        <v>0.49333333333333335</v>
      </c>
      <c r="O233" s="9">
        <f>1000*(D234-D232)/(A234-A232)*Inputs!$C$11</f>
        <v>1170.4867727003148</v>
      </c>
      <c r="P233" s="9">
        <f>-2*O233/Inputs!$C$13</f>
        <v>-468.1947090801259</v>
      </c>
      <c r="Q233" s="9">
        <f>-2*O233/Inputs!$C$14</f>
        <v>-70.299505867886779</v>
      </c>
      <c r="R233" s="9">
        <f>F233-Inputs!$C$16/2</f>
        <v>3208.4305436364602</v>
      </c>
      <c r="S233" s="9">
        <f>F233+Inputs!$C$16/2</f>
        <v>3238.4305436364602</v>
      </c>
      <c r="T233" s="9">
        <f>F233-Inputs!$C$17/2</f>
        <v>3073.4305436364602</v>
      </c>
      <c r="U233" s="9">
        <f>F233+Inputs!$C$17/2</f>
        <v>3373.4305436364602</v>
      </c>
      <c r="V233" s="9">
        <f t="shared" si="62"/>
        <v>468.1947090801259</v>
      </c>
      <c r="W233" s="9">
        <f t="shared" si="63"/>
        <v>70.299505867886779</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-6.5380942800848239</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182.552269274569</v>
      </c>
      <c r="Z233" s="9">
        <f t="shared" si="64"/>
        <v>403.42903809428009</v>
      </c>
      <c r="AA233" s="9">
        <f>SQRT((Inputs!$C$52+B233)^2+(Inputs!$C$52+Y233/1000)^2-2*(Inputs!$C$52+B233)*(Inputs!$C$52+Y233/1000)*COS(SQRT(A233^2+Inputs!$C$6^2)/Inputs!$C$52))</f>
        <v>408.98088186062301</v>
      </c>
      <c r="AB233" s="9">
        <f t="shared" si="65"/>
        <v>5551.8437663429268</v>
      </c>
      <c r="AC233" s="9">
        <f>AB233/Inputs!$C$12</f>
        <v>3119.0133518780485</v>
      </c>
      <c r="AD233" s="9">
        <f>2*AB233/Inputs!$C$21*1000000</f>
        <v>37.037914852033587</v>
      </c>
      <c r="AE233" s="9">
        <f t="shared" si="66"/>
        <v>8.5842268424499526</v>
      </c>
      <c r="AF233" s="9">
        <f>DEGREES((2*PI()/Inputs!$C$13)*Inputs!$C$15*SIN(RADIANS(AE233)))</f>
        <v>53.734730235718665</v>
      </c>
      <c r="AG233" s="9">
        <f t="shared" si="67"/>
        <v>0.94679638440031177</v>
      </c>
      <c r="AH233" s="9">
        <f t="shared" si="68"/>
        <v>-0.237434092114715</v>
      </c>
      <c r="AI233" s="9">
        <f t="shared" si="69"/>
        <v>-104.41719175841172</v>
      </c>
      <c r="AJ233" s="9">
        <f t="shared" si="70"/>
        <v>-1.2399418088761394</v>
      </c>
      <c r="AK233" s="9">
        <f t="shared" si="71"/>
        <v>189.09036355465383</v>
      </c>
      <c r="AL233" s="9">
        <f>1000*(AA234-AA232)/(A234-A232)*Inputs!$C$11</f>
        <v>1177.1656114422058</v>
      </c>
      <c r="AM233" s="9">
        <f>-2*AL233/Inputs!$C$13</f>
        <v>-470.86624457688231</v>
      </c>
      <c r="AN233" s="9">
        <f>-2*AL233/Inputs!$C$14</f>
        <v>-70.700637323856213</v>
      </c>
      <c r="AO233" s="9">
        <f t="shared" si="72"/>
        <v>470.86624457688231</v>
      </c>
      <c r="AP233" s="9">
        <f t="shared" si="73"/>
        <v>70.700637323856213</v>
      </c>
      <c r="AQ233" s="9">
        <f>IF(OR(Inputs!$C$27=TRUE,Inputs!$C$27="TRUE",Inputs!$C$27=1),Inputs!$C$46/Inputs!$C$12,0)</f>
        <v>42.134831460674157</v>
      </c>
      <c r="AR233" s="9">
        <f t="shared" si="74"/>
        <v>3076.8785204173741</v>
      </c>
      <c r="AS233" s="9">
        <f t="shared" si="75"/>
        <v>3161.1481833387229</v>
      </c>
    </row>
    <row r="234" spans="1:45">
      <c r="A234" s="9">
        <f>Inputs!$C$7+232*(Inputs!$C$8-Inputs!$C$7)/240</f>
        <v>56</v>
      </c>
      <c r="B234" s="9">
        <f>Inputs!$C$5+Inputs!$C$9*(A234/Inputs!$C$10)^2</f>
        <v>403.48444444444442</v>
      </c>
      <c r="C234" s="9">
        <f t="shared" si="57"/>
        <v>403.48444444444442</v>
      </c>
      <c r="D234" s="9">
        <f>SQRT((Inputs!$C$52+B234)^2+Inputs!$C$52^2-2*(Inputs!$C$52+B234)*Inputs!$C$52*COS(SQRT(A234^2+Inputs!$C$6^2)/Inputs!$C$52))</f>
        <v>409.30715727697145</v>
      </c>
      <c r="E234" s="9">
        <f t="shared" si="58"/>
        <v>5822.7128325270314</v>
      </c>
      <c r="F234" s="9">
        <f>E234/Inputs!$C$12</f>
        <v>3271.1869845657479</v>
      </c>
      <c r="G234" s="9">
        <f>2*E234/Inputs!$C$21*1000000</f>
        <v>38.844958751610967</v>
      </c>
      <c r="H234" s="9">
        <f>SQRT(A234^2+Inputs!$C$6^2)</f>
        <v>61.326992425847855</v>
      </c>
      <c r="I234" s="9">
        <f t="shared" si="59"/>
        <v>8.6424357245738488</v>
      </c>
      <c r="J234" s="9">
        <f>DEGREES((2*PI()/Inputs!$C$13)*Inputs!$C$15*SIN(RADIANS(I234)))</f>
        <v>54.096342468520554</v>
      </c>
      <c r="K234" s="9">
        <f t="shared" si="60"/>
        <v>0.94429964913085007</v>
      </c>
      <c r="L234" s="9">
        <f t="shared" si="61"/>
        <v>-0.2489017168264544</v>
      </c>
      <c r="M234" s="9">
        <f>2*(Inputs!$C$9/(Inputs!$C$10^2))*A234</f>
        <v>0.12444444444444444</v>
      </c>
      <c r="N234" s="9">
        <f>M234*Inputs!$C$11</f>
        <v>0.49777777777777776</v>
      </c>
      <c r="O234" s="9">
        <f>1000*(D235-D233)/(A235-A233)*Inputs!$C$11</f>
        <v>1180.7238176422743</v>
      </c>
      <c r="P234" s="9">
        <f>-2*O234/Inputs!$C$13</f>
        <v>-472.28952705690972</v>
      </c>
      <c r="Q234" s="9">
        <f>-2*O234/Inputs!$C$14</f>
        <v>-70.914343401938396</v>
      </c>
      <c r="R234" s="9">
        <f>F234-Inputs!$C$16/2</f>
        <v>3256.1869845657479</v>
      </c>
      <c r="S234" s="9">
        <f>F234+Inputs!$C$16/2</f>
        <v>3286.1869845657479</v>
      </c>
      <c r="T234" s="9">
        <f>F234-Inputs!$C$17/2</f>
        <v>3121.1869845657479</v>
      </c>
      <c r="U234" s="9">
        <f>F234+Inputs!$C$17/2</f>
        <v>3421.1869845657479</v>
      </c>
      <c r="V234" s="9">
        <f t="shared" si="62"/>
        <v>472.28952705690972</v>
      </c>
      <c r="W234" s="9">
        <f t="shared" si="63"/>
        <v>70.914343401938396</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-4.3572901776696842</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186.90390563134164</v>
      </c>
      <c r="Z234" s="9">
        <f t="shared" si="64"/>
        <v>403.48880173462209</v>
      </c>
      <c r="AA234" s="9">
        <f>SQRT((Inputs!$C$52+B234)^2+(Inputs!$C$52+Y234/1000)^2-2*(Inputs!$C$52+B234)*(Inputs!$C$52+Y234/1000)*COS(SQRT(A234^2+Inputs!$C$6^2)/Inputs!$C$52))</f>
        <v>409.12360604530511</v>
      </c>
      <c r="AB234" s="9">
        <f t="shared" si="65"/>
        <v>5634.8043106830228</v>
      </c>
      <c r="AC234" s="9">
        <f>AB234/Inputs!$C$12</f>
        <v>3165.6203992601249</v>
      </c>
      <c r="AD234" s="9">
        <f>2*AB234/Inputs!$C$21*1000000</f>
        <v>37.591368030232587</v>
      </c>
      <c r="AE234" s="9">
        <f t="shared" si="66"/>
        <v>8.6463804504015052</v>
      </c>
      <c r="AF234" s="9">
        <f>DEGREES((2*PI()/Inputs!$C$13)*Inputs!$C$15*SIN(RADIANS(AE234)))</f>
        <v>54.120846353803557</v>
      </c>
      <c r="AG234" s="9">
        <f t="shared" si="67"/>
        <v>0.94603627535525192</v>
      </c>
      <c r="AH234" s="9">
        <f t="shared" si="68"/>
        <v>-0.24092210443273449</v>
      </c>
      <c r="AI234" s="9">
        <f t="shared" si="69"/>
        <v>-105.56658530562299</v>
      </c>
      <c r="AJ234" s="9">
        <f t="shared" si="70"/>
        <v>-1.2535907213783801</v>
      </c>
      <c r="AK234" s="9">
        <f t="shared" si="71"/>
        <v>191.26119580901133</v>
      </c>
      <c r="AL234" s="9">
        <f>1000*(AA235-AA233)/(A235-A233)*Inputs!$C$11</f>
        <v>1151.5738905047783</v>
      </c>
      <c r="AM234" s="9">
        <f>-2*AL234/Inputs!$C$13</f>
        <v>-460.62955620191133</v>
      </c>
      <c r="AN234" s="9">
        <f>-2*AL234/Inputs!$C$14</f>
        <v>-69.163597027314026</v>
      </c>
      <c r="AO234" s="9">
        <f t="shared" si="72"/>
        <v>460.62955620191133</v>
      </c>
      <c r="AP234" s="9">
        <f t="shared" si="73"/>
        <v>69.163597027314026</v>
      </c>
      <c r="AQ234" s="9">
        <f>IF(OR(Inputs!$C$27=TRUE,Inputs!$C$27="TRUE",Inputs!$C$27=1),Inputs!$C$46/Inputs!$C$12,0)</f>
        <v>42.134831460674157</v>
      </c>
      <c r="AR234" s="9">
        <f t="shared" si="74"/>
        <v>3123.4855677994506</v>
      </c>
      <c r="AS234" s="9">
        <f t="shared" si="75"/>
        <v>3207.7552307207993</v>
      </c>
    </row>
    <row r="235" spans="1:45">
      <c r="A235" s="9">
        <f>Inputs!$C$7+233*(Inputs!$C$8-Inputs!$C$7)/240</f>
        <v>56.5</v>
      </c>
      <c r="B235" s="9">
        <f>Inputs!$C$5+Inputs!$C$9*(A235/Inputs!$C$10)^2</f>
        <v>403.54694444444442</v>
      </c>
      <c r="C235" s="9">
        <f t="shared" si="57"/>
        <v>403.54694444444442</v>
      </c>
      <c r="D235" s="9">
        <f>SQRT((Inputs!$C$52+B235)^2+Inputs!$C$52^2-2*(Inputs!$C$52+B235)*Inputs!$C$52*COS(SQRT(A235^2+Inputs!$C$6^2)/Inputs!$C$52))</f>
        <v>409.45538732208348</v>
      </c>
      <c r="E235" s="9">
        <f t="shared" si="58"/>
        <v>5908.4428776390614</v>
      </c>
      <c r="F235" s="9">
        <f>E235/Inputs!$C$12</f>
        <v>3319.3499312578997</v>
      </c>
      <c r="G235" s="9">
        <f>2*E235/Inputs!$C$21*1000000</f>
        <v>39.416888050192789</v>
      </c>
      <c r="H235" s="9">
        <f>SQRT(A235^2+Inputs!$C$6^2)</f>
        <v>61.783897578576251</v>
      </c>
      <c r="I235" s="9">
        <f t="shared" si="59"/>
        <v>8.7045139530783917</v>
      </c>
      <c r="J235" s="9">
        <f>DEGREES((2*PI()/Inputs!$C$13)*Inputs!$C$15*SIN(RADIANS(I235)))</f>
        <v>54.481930787212292</v>
      </c>
      <c r="K235" s="9">
        <f t="shared" si="60"/>
        <v>0.94351735869196784</v>
      </c>
      <c r="L235" s="9">
        <f t="shared" si="61"/>
        <v>-0.2525010534029461</v>
      </c>
      <c r="M235" s="9">
        <f>2*(Inputs!$C$9/(Inputs!$C$10^2))*A235</f>
        <v>0.12555555555555556</v>
      </c>
      <c r="N235" s="9">
        <f>M235*Inputs!$C$11</f>
        <v>0.50222222222222224</v>
      </c>
      <c r="O235" s="9">
        <f>1000*(D236-D234)/(A236-A234)*Inputs!$C$11</f>
        <v>1190.9529173883584</v>
      </c>
      <c r="P235" s="9">
        <f>-2*O235/Inputs!$C$13</f>
        <v>-476.38116695534336</v>
      </c>
      <c r="Q235" s="9">
        <f>-2*O235/Inputs!$C$14</f>
        <v>-71.528703747048553</v>
      </c>
      <c r="R235" s="9">
        <f>F235-Inputs!$C$16/2</f>
        <v>3304.3499312578997</v>
      </c>
      <c r="S235" s="9">
        <f>F235+Inputs!$C$16/2</f>
        <v>3334.3499312578997</v>
      </c>
      <c r="T235" s="9">
        <f>F235-Inputs!$C$17/2</f>
        <v>3169.3499312578997</v>
      </c>
      <c r="U235" s="9">
        <f>F235+Inputs!$C$17/2</f>
        <v>3469.3499312578997</v>
      </c>
      <c r="V235" s="9">
        <f t="shared" si="62"/>
        <v>476.38116695534336</v>
      </c>
      <c r="W235" s="9">
        <f t="shared" si="63"/>
        <v>71.528703747048553</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21.715435034758002</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190.07062484954076</v>
      </c>
      <c r="Z235" s="9">
        <f t="shared" si="64"/>
        <v>403.52522900940966</v>
      </c>
      <c r="AA235" s="9">
        <f>SQRT((Inputs!$C$52+B235)^2+(Inputs!$C$52+Y235/1000)^2-2*(Inputs!$C$52+B235)*(Inputs!$C$52+Y235/1000)*COS(SQRT(A235^2+Inputs!$C$6^2)/Inputs!$C$52))</f>
        <v>409.26877533324921</v>
      </c>
      <c r="AB235" s="9">
        <f t="shared" si="65"/>
        <v>5743.5463238395532</v>
      </c>
      <c r="AC235" s="9">
        <f>AB235/Inputs!$C$12</f>
        <v>3226.7114178873894</v>
      </c>
      <c r="AD235" s="9">
        <f>2*AB235/Inputs!$C$21*1000000</f>
        <v>38.316816654804256</v>
      </c>
      <c r="AE235" s="9">
        <f t="shared" si="66"/>
        <v>8.7085528449343048</v>
      </c>
      <c r="AF235" s="9">
        <f>DEGREES((2*PI()/Inputs!$C$13)*Inputs!$C$15*SIN(RADIANS(AE235)))</f>
        <v>54.507015463448035</v>
      </c>
      <c r="AG235" s="9">
        <f t="shared" si="67"/>
        <v>0.94503593501422178</v>
      </c>
      <c r="AH235" s="9">
        <f t="shared" si="68"/>
        <v>-0.24551677118606452</v>
      </c>
      <c r="AI235" s="9">
        <f t="shared" si="69"/>
        <v>-92.638513370510282</v>
      </c>
      <c r="AJ235" s="9">
        <f t="shared" si="70"/>
        <v>-1.1000713953885324</v>
      </c>
      <c r="AK235" s="9">
        <f t="shared" si="71"/>
        <v>168.35518981478276</v>
      </c>
      <c r="AL235" s="9">
        <f>1000*(AA236-AA234)/(A236-A234)*Inputs!$C$11</f>
        <v>1137.2362549775517</v>
      </c>
      <c r="AM235" s="9">
        <f>-2*AL235/Inputs!$C$13</f>
        <v>-454.89450199102066</v>
      </c>
      <c r="AN235" s="9">
        <f>-2*AL235/Inputs!$C$14</f>
        <v>-68.302477776429541</v>
      </c>
      <c r="AO235" s="9">
        <f t="shared" si="72"/>
        <v>454.89450199102066</v>
      </c>
      <c r="AP235" s="9">
        <f t="shared" si="73"/>
        <v>68.302477776429541</v>
      </c>
      <c r="AQ235" s="9">
        <f>IF(OR(Inputs!$C$27=TRUE,Inputs!$C$27="TRUE",Inputs!$C$27=1),Inputs!$C$46/Inputs!$C$12,0)</f>
        <v>42.134831460674157</v>
      </c>
      <c r="AR235" s="9">
        <f t="shared" si="74"/>
        <v>3184.576586426715</v>
      </c>
      <c r="AS235" s="9">
        <f t="shared" si="75"/>
        <v>3268.8462493480638</v>
      </c>
    </row>
    <row r="236" spans="1:45">
      <c r="A236" s="9">
        <f>Inputs!$C$7+234*(Inputs!$C$8-Inputs!$C$7)/240</f>
        <v>57</v>
      </c>
      <c r="B236" s="9">
        <f>Inputs!$C$5+Inputs!$C$9*(A236/Inputs!$C$10)^2</f>
        <v>403.61</v>
      </c>
      <c r="C236" s="9">
        <f t="shared" si="57"/>
        <v>403.61</v>
      </c>
      <c r="D236" s="9">
        <f>SQRT((Inputs!$C$52+B236)^2+Inputs!$C$52^2-2*(Inputs!$C$52+B236)*Inputs!$C$52*COS(SQRT(A236^2+Inputs!$C$6^2)/Inputs!$C$52))</f>
        <v>409.60489550631854</v>
      </c>
      <c r="E236" s="9">
        <f t="shared" si="58"/>
        <v>5994.8955063185276</v>
      </c>
      <c r="F236" s="9">
        <f>E236/Inputs!$C$12</f>
        <v>3367.9188237744538</v>
      </c>
      <c r="G236" s="9">
        <f>2*E236/Inputs!$C$21*1000000</f>
        <v>39.993637907452147</v>
      </c>
      <c r="H236" s="9">
        <f>SQRT(A236^2+Inputs!$C$6^2)</f>
        <v>62.241465278381739</v>
      </c>
      <c r="I236" s="9">
        <f t="shared" si="59"/>
        <v>8.7666323666582162</v>
      </c>
      <c r="J236" s="9">
        <f>DEGREES((2*PI()/Inputs!$C$13)*Inputs!$C$15*SIN(RADIANS(I236)))</f>
        <v>54.867704689760693</v>
      </c>
      <c r="K236" s="9">
        <f t="shared" si="60"/>
        <v>0.94272954374146556</v>
      </c>
      <c r="L236" s="9">
        <f t="shared" si="61"/>
        <v>-0.2561288256231935</v>
      </c>
      <c r="M236" s="9">
        <f>2*(Inputs!$C$9/(Inputs!$C$10^2))*A236</f>
        <v>0.12666666666666668</v>
      </c>
      <c r="N236" s="9">
        <f>M236*Inputs!$C$11</f>
        <v>0.50666666666666671</v>
      </c>
      <c r="O236" s="9">
        <f>1000*(D237-D235)/(A237-A235)*Inputs!$C$11</f>
        <v>1201.1740155269308</v>
      </c>
      <c r="P236" s="9">
        <f>-2*O236/Inputs!$C$13</f>
        <v>-480.46960621077233</v>
      </c>
      <c r="Q236" s="9">
        <f>-2*O236/Inputs!$C$14</f>
        <v>-72.14258351513098</v>
      </c>
      <c r="R236" s="9">
        <f>F236-Inputs!$C$16/2</f>
        <v>3352.9188237744538</v>
      </c>
      <c r="S236" s="9">
        <f>F236+Inputs!$C$16/2</f>
        <v>3382.9188237744538</v>
      </c>
      <c r="T236" s="9">
        <f>F236-Inputs!$C$17/2</f>
        <v>3217.9188237744538</v>
      </c>
      <c r="U236" s="9">
        <f>F236+Inputs!$C$17/2</f>
        <v>3517.9188237744538</v>
      </c>
      <c r="V236" s="9">
        <f t="shared" si="62"/>
        <v>480.46960621077233</v>
      </c>
      <c r="W236" s="9">
        <f t="shared" si="63"/>
        <v>72.14258351513098</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18.4135707545088</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200.68454527158707</v>
      </c>
      <c r="Z236" s="9">
        <f t="shared" si="64"/>
        <v>403.59158642924552</v>
      </c>
      <c r="AA236" s="9">
        <f>SQRT((Inputs!$C$52+B236)^2+(Inputs!$C$52+Y236/1000)^2-2*(Inputs!$C$52+B236)*(Inputs!$C$52+Y236/1000)*COS(SQRT(A236^2+Inputs!$C$6^2)/Inputs!$C$52))</f>
        <v>409.4079151090495</v>
      </c>
      <c r="AB236" s="9">
        <f t="shared" si="65"/>
        <v>5816.3286798039735</v>
      </c>
      <c r="AC236" s="9">
        <f>AB236/Inputs!$C$12</f>
        <v>3267.6003819123448</v>
      </c>
      <c r="AD236" s="9">
        <f>2*AB236/Inputs!$C$21*1000000</f>
        <v>38.80236826907749</v>
      </c>
      <c r="AE236" s="9">
        <f t="shared" si="66"/>
        <v>8.7709257168374766</v>
      </c>
      <c r="AF236" s="9">
        <f>DEGREES((2*PI()/Inputs!$C$13)*Inputs!$C$15*SIN(RADIANS(AE236)))</f>
        <v>54.894365299183619</v>
      </c>
      <c r="AG236" s="9">
        <f t="shared" si="67"/>
        <v>0.94437281647038673</v>
      </c>
      <c r="AH236" s="9">
        <f t="shared" si="68"/>
        <v>-0.24856522468807724</v>
      </c>
      <c r="AI236" s="9">
        <f t="shared" si="69"/>
        <v>-100.31844186210901</v>
      </c>
      <c r="AJ236" s="9">
        <f t="shared" si="70"/>
        <v>-1.1912696383746564</v>
      </c>
      <c r="AK236" s="9">
        <f t="shared" si="71"/>
        <v>182.27097451707826</v>
      </c>
      <c r="AL236" s="9">
        <f>1000*(AA237-AA235)/(A237-A235)*Inputs!$C$11</f>
        <v>1247.8598946695456</v>
      </c>
      <c r="AM236" s="9">
        <f>-2*AL236/Inputs!$C$13</f>
        <v>-499.14395786781824</v>
      </c>
      <c r="AN236" s="9">
        <f>-2*AL236/Inputs!$C$14</f>
        <v>-74.946540220393132</v>
      </c>
      <c r="AO236" s="9">
        <f t="shared" si="72"/>
        <v>499.14395786781824</v>
      </c>
      <c r="AP236" s="9">
        <f t="shared" si="73"/>
        <v>74.946540220393132</v>
      </c>
      <c r="AQ236" s="9">
        <f>IF(OR(Inputs!$C$27=TRUE,Inputs!$C$27="TRUE",Inputs!$C$27=1),Inputs!$C$46/Inputs!$C$12,0)</f>
        <v>42.134831460674157</v>
      </c>
      <c r="AR236" s="9">
        <f t="shared" si="74"/>
        <v>3225.4655504516704</v>
      </c>
      <c r="AS236" s="9">
        <f t="shared" si="75"/>
        <v>3309.7352133730192</v>
      </c>
    </row>
    <row r="237" spans="1:45">
      <c r="A237" s="9">
        <f>Inputs!$C$7+235*(Inputs!$C$8-Inputs!$C$7)/240</f>
        <v>57.5</v>
      </c>
      <c r="B237" s="9">
        <f>Inputs!$C$5+Inputs!$C$9*(A237/Inputs!$C$10)^2</f>
        <v>403.67361111111109</v>
      </c>
      <c r="C237" s="9">
        <f t="shared" si="57"/>
        <v>403.67361111111109</v>
      </c>
      <c r="D237" s="9">
        <f>SQRT((Inputs!$C$52+B237)^2+Inputs!$C$52^2-2*(Inputs!$C$52+B237)*Inputs!$C$52*COS(SQRT(A237^2+Inputs!$C$6^2)/Inputs!$C$52))</f>
        <v>409.75568082596521</v>
      </c>
      <c r="E237" s="9">
        <f t="shared" si="58"/>
        <v>6082.0697148541285</v>
      </c>
      <c r="F237" s="9">
        <f>E237/Inputs!$C$12</f>
        <v>3416.8930982326565</v>
      </c>
      <c r="G237" s="9">
        <f>2*E237/Inputs!$C$21*1000000</f>
        <v>40.575201627348001</v>
      </c>
      <c r="H237" s="9">
        <f>SQRT(A237^2+Inputs!$C$6^2)</f>
        <v>62.699681019922259</v>
      </c>
      <c r="I237" s="9">
        <f t="shared" si="59"/>
        <v>8.828788473728661</v>
      </c>
      <c r="J237" s="9">
        <f>DEGREES((2*PI()/Inputs!$C$13)*Inputs!$C$15*SIN(RADIANS(I237)))</f>
        <v>55.253648128396158</v>
      </c>
      <c r="K237" s="9">
        <f t="shared" si="60"/>
        <v>0.94193623854333131</v>
      </c>
      <c r="L237" s="9">
        <f t="shared" si="61"/>
        <v>-0.25978494432180854</v>
      </c>
      <c r="M237" s="9">
        <f>2*(Inputs!$C$9/(Inputs!$C$10^2))*A237</f>
        <v>0.12777777777777777</v>
      </c>
      <c r="N237" s="9">
        <f>M237*Inputs!$C$11</f>
        <v>0.51111111111111107</v>
      </c>
      <c r="O237" s="9">
        <f>1000*(D238-D236)/(A238-A236)*Inputs!$C$11</f>
        <v>1211.3870560069699</v>
      </c>
      <c r="P237" s="9">
        <f>-2*O237/Inputs!$C$13</f>
        <v>-484.55482240278798</v>
      </c>
      <c r="Q237" s="9">
        <f>-2*O237/Inputs!$C$14</f>
        <v>-72.755979339757957</v>
      </c>
      <c r="R237" s="9">
        <f>F237-Inputs!$C$16/2</f>
        <v>3401.8930982326565</v>
      </c>
      <c r="S237" s="9">
        <f>F237+Inputs!$C$16/2</f>
        <v>3431.8930982326565</v>
      </c>
      <c r="T237" s="9">
        <f>F237-Inputs!$C$17/2</f>
        <v>3266.8930982326565</v>
      </c>
      <c r="U237" s="9">
        <f>F237+Inputs!$C$17/2</f>
        <v>3566.8930982326565</v>
      </c>
      <c r="V237" s="9">
        <f t="shared" si="62"/>
        <v>484.55482240278798</v>
      </c>
      <c r="W237" s="9">
        <f t="shared" si="63"/>
        <v>72.755979339757957</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25.968776223167485</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178.27771269066969</v>
      </c>
      <c r="Z237" s="9">
        <f t="shared" si="64"/>
        <v>403.64764233488791</v>
      </c>
      <c r="AA237" s="9">
        <f>SQRT((Inputs!$C$52+B237)^2+(Inputs!$C$52+Y237/1000)^2-2*(Inputs!$C$52+B237)*(Inputs!$C$52+Y237/1000)*COS(SQRT(A237^2+Inputs!$C$6^2)/Inputs!$C$52))</f>
        <v>409.5807403069166</v>
      </c>
      <c r="AB237" s="9">
        <f t="shared" si="65"/>
        <v>5933.0979720286905</v>
      </c>
      <c r="AC237" s="9">
        <f>AB237/Inputs!$C$12</f>
        <v>3333.2011078812866</v>
      </c>
      <c r="AD237" s="9">
        <f>2*AB237/Inputs!$C$21*1000000</f>
        <v>39.581369135234823</v>
      </c>
      <c r="AE237" s="9">
        <f t="shared" si="66"/>
        <v>8.8326278315615649</v>
      </c>
      <c r="AF237" s="9">
        <f>DEGREES((2*PI()/Inputs!$C$13)*Inputs!$C$15*SIN(RADIANS(AE237)))</f>
        <v>55.277485572293344</v>
      </c>
      <c r="AG237" s="9">
        <f t="shared" si="67"/>
        <v>0.9433037785124575</v>
      </c>
      <c r="AH237" s="9">
        <f t="shared" si="68"/>
        <v>-0.25348425940983715</v>
      </c>
      <c r="AI237" s="9">
        <f t="shared" si="69"/>
        <v>-83.691990351369896</v>
      </c>
      <c r="AJ237" s="9">
        <f t="shared" si="70"/>
        <v>-0.99383249211317803</v>
      </c>
      <c r="AK237" s="9">
        <f t="shared" si="71"/>
        <v>152.30893646750221</v>
      </c>
      <c r="AL237" s="9">
        <f>1000*(AA238-AA236)/(A238-A236)*Inputs!$C$11</f>
        <v>1235.9694377680626</v>
      </c>
      <c r="AM237" s="9">
        <f>-2*AL237/Inputs!$C$13</f>
        <v>-494.38777510722502</v>
      </c>
      <c r="AN237" s="9">
        <f>-2*AL237/Inputs!$C$14</f>
        <v>-74.232398664748501</v>
      </c>
      <c r="AO237" s="9">
        <f t="shared" si="72"/>
        <v>494.38777510722502</v>
      </c>
      <c r="AP237" s="9">
        <f t="shared" si="73"/>
        <v>74.232398664748501</v>
      </c>
      <c r="AQ237" s="9">
        <f>IF(OR(Inputs!$C$27=TRUE,Inputs!$C$27="TRUE",Inputs!$C$27=1),Inputs!$C$46/Inputs!$C$12,0)</f>
        <v>42.134831460674157</v>
      </c>
      <c r="AR237" s="9">
        <f t="shared" si="74"/>
        <v>3291.0662764206122</v>
      </c>
      <c r="AS237" s="9">
        <f t="shared" si="75"/>
        <v>3375.335939341961</v>
      </c>
    </row>
    <row r="238" spans="1:45">
      <c r="A238" s="9">
        <f>Inputs!$C$7+236*(Inputs!$C$8-Inputs!$C$7)/240</f>
        <v>58</v>
      </c>
      <c r="B238" s="9">
        <f>Inputs!$C$5+Inputs!$C$9*(A238/Inputs!$C$10)^2</f>
        <v>403.73777777777775</v>
      </c>
      <c r="C238" s="9">
        <f t="shared" si="57"/>
        <v>403.73777777777775</v>
      </c>
      <c r="D238" s="9">
        <f>SQRT((Inputs!$C$52+B238)^2+Inputs!$C$52^2-2*(Inputs!$C$52+B238)*Inputs!$C$52*COS(SQRT(A238^2+Inputs!$C$6^2)/Inputs!$C$52))</f>
        <v>409.90774227032028</v>
      </c>
      <c r="E238" s="9">
        <f t="shared" si="58"/>
        <v>6169.9644925425328</v>
      </c>
      <c r="F238" s="9">
        <f>E238/Inputs!$C$12</f>
        <v>3466.2721868216477</v>
      </c>
      <c r="G238" s="9">
        <f>2*E238/Inputs!$C$21*1000000</f>
        <v>41.161572467193501</v>
      </c>
      <c r="H238" s="9">
        <f>SQRT(A238^2+Inputs!$C$6^2)</f>
        <v>63.158530698552511</v>
      </c>
      <c r="I238" s="9">
        <f t="shared" si="59"/>
        <v>8.8909798417046026</v>
      </c>
      <c r="J238" s="9">
        <f>DEGREES((2*PI()/Inputs!$C$13)*Inputs!$C$15*SIN(RADIANS(I238)))</f>
        <v>55.639745430303066</v>
      </c>
      <c r="K238" s="9">
        <f t="shared" si="60"/>
        <v>0.94113747751370336</v>
      </c>
      <c r="L238" s="9">
        <f t="shared" si="61"/>
        <v>-0.26346931977003785</v>
      </c>
      <c r="M238" s="9">
        <f>2*(Inputs!$C$9/(Inputs!$C$10^2))*A238</f>
        <v>0.12888888888888889</v>
      </c>
      <c r="N238" s="9">
        <f>M238*Inputs!$C$11</f>
        <v>0.51555555555555554</v>
      </c>
      <c r="O238" s="9">
        <f>1000*(D239-D237)/(A239-A237)*Inputs!$C$11</f>
        <v>1221.5919830948678</v>
      </c>
      <c r="P238" s="9">
        <f>-2*O238/Inputs!$C$13</f>
        <v>-488.63679323794713</v>
      </c>
      <c r="Q238" s="9">
        <f>-2*O238/Inputs!$C$14</f>
        <v>-73.36888787356564</v>
      </c>
      <c r="R238" s="9">
        <f>F238-Inputs!$C$16/2</f>
        <v>3451.2721868216477</v>
      </c>
      <c r="S238" s="9">
        <f>F238+Inputs!$C$16/2</f>
        <v>3481.2721868216477</v>
      </c>
      <c r="T238" s="9">
        <f>F238-Inputs!$C$17/2</f>
        <v>3316.2721868216477</v>
      </c>
      <c r="U238" s="9">
        <f>F238+Inputs!$C$17/2</f>
        <v>3616.2721868216477</v>
      </c>
      <c r="V238" s="9">
        <f t="shared" si="62"/>
        <v>488.63679323794713</v>
      </c>
      <c r="W238" s="9">
        <f t="shared" si="63"/>
        <v>73.36888787356564</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30.070182113253747</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194.52778179385766</v>
      </c>
      <c r="Z238" s="9">
        <f t="shared" si="64"/>
        <v>403.70770759566449</v>
      </c>
      <c r="AA238" s="9">
        <f>SQRT((Inputs!$C$52+B238)^2+(Inputs!$C$52+Y238/1000)^2-2*(Inputs!$C$52+B238)*(Inputs!$C$52+Y238/1000)*COS(SQRT(A238^2+Inputs!$C$6^2)/Inputs!$C$52))</f>
        <v>409.71690746849151</v>
      </c>
      <c r="AB238" s="9">
        <f t="shared" si="65"/>
        <v>6009.1998728270255</v>
      </c>
      <c r="AC238" s="9">
        <f>AB238/Inputs!$C$12</f>
        <v>3375.9549847342842</v>
      </c>
      <c r="AD238" s="9">
        <f>2*AB238/Inputs!$C$21*1000000</f>
        <v>40.089066368887941</v>
      </c>
      <c r="AE238" s="9">
        <f t="shared" si="66"/>
        <v>8.8951972127809107</v>
      </c>
      <c r="AF238" s="9">
        <f>DEGREES((2*PI()/Inputs!$C$13)*Inputs!$C$15*SIN(RADIANS(AE238)))</f>
        <v>55.665925402828606</v>
      </c>
      <c r="AG238" s="9">
        <f t="shared" si="67"/>
        <v>0.94261125304831128</v>
      </c>
      <c r="AH238" s="9">
        <f t="shared" si="68"/>
        <v>-0.25667379866416623</v>
      </c>
      <c r="AI238" s="9">
        <f t="shared" si="69"/>
        <v>-90.317202087363512</v>
      </c>
      <c r="AJ238" s="9">
        <f t="shared" si="70"/>
        <v>-1.0725060983055599</v>
      </c>
      <c r="AK238" s="9">
        <f t="shared" si="71"/>
        <v>164.45759968060392</v>
      </c>
      <c r="AL238" s="9">
        <f>1000*(AA239-AA237)/(A239-A237)*Inputs!$C$11</f>
        <v>1182.5271883449204</v>
      </c>
      <c r="AM238" s="9">
        <f>-2*AL238/Inputs!$C$13</f>
        <v>-473.01087533796817</v>
      </c>
      <c r="AN238" s="9">
        <f>-2*AL238/Inputs!$C$14</f>
        <v>-71.022653954649883</v>
      </c>
      <c r="AO238" s="9">
        <f t="shared" si="72"/>
        <v>473.01087533796817</v>
      </c>
      <c r="AP238" s="9">
        <f t="shared" si="73"/>
        <v>71.022653954649883</v>
      </c>
      <c r="AQ238" s="9">
        <f>IF(OR(Inputs!$C$27=TRUE,Inputs!$C$27="TRUE",Inputs!$C$27=1),Inputs!$C$46/Inputs!$C$12,0)</f>
        <v>42.134831460674157</v>
      </c>
      <c r="AR238" s="9">
        <f t="shared" si="74"/>
        <v>3333.8201532736098</v>
      </c>
      <c r="AS238" s="9">
        <f t="shared" si="75"/>
        <v>3418.0898161949585</v>
      </c>
    </row>
    <row r="239" spans="1:45">
      <c r="A239" s="9">
        <f>Inputs!$C$7+237*(Inputs!$C$8-Inputs!$C$7)/240</f>
        <v>58.5</v>
      </c>
      <c r="B239" s="9">
        <f>Inputs!$C$5+Inputs!$C$9*(A239/Inputs!$C$10)^2</f>
        <v>403.80250000000001</v>
      </c>
      <c r="C239" s="9">
        <f t="shared" si="57"/>
        <v>403.80250000000001</v>
      </c>
      <c r="D239" s="9">
        <f>SQRT((Inputs!$C$52+B239)^2+Inputs!$C$52^2-2*(Inputs!$C$52+B239)*Inputs!$C$52*COS(SQRT(A239^2+Inputs!$C$6^2)/Inputs!$C$52))</f>
        <v>410.06107882173893</v>
      </c>
      <c r="E239" s="9">
        <f t="shared" si="58"/>
        <v>6258.5788217389218</v>
      </c>
      <c r="F239" s="9">
        <f>E239/Inputs!$C$12</f>
        <v>3516.055517830855</v>
      </c>
      <c r="G239" s="9">
        <f>2*E239/Inputs!$C$21*1000000</f>
        <v>41.752743637993198</v>
      </c>
      <c r="H239" s="9">
        <f>SQRT(A239^2+Inputs!$C$6^2)</f>
        <v>63.618000597315223</v>
      </c>
      <c r="I239" s="9">
        <f t="shared" si="59"/>
        <v>8.9532040951491538</v>
      </c>
      <c r="J239" s="9">
        <f>DEGREES((2*PI()/Inputs!$C$13)*Inputs!$C$15*SIN(RADIANS(I239)))</f>
        <v>56.025981286013241</v>
      </c>
      <c r="K239" s="9">
        <f t="shared" si="60"/>
        <v>0.94033329521757236</v>
      </c>
      <c r="L239" s="9">
        <f t="shared" si="61"/>
        <v>-0.26718186168122815</v>
      </c>
      <c r="M239" s="9">
        <f>2*(Inputs!$C$9/(Inputs!$C$10^2))*A239</f>
        <v>0.13</v>
      </c>
      <c r="N239" s="9">
        <f>M239*Inputs!$C$11</f>
        <v>0.52</v>
      </c>
      <c r="O239" s="9">
        <f>1000*(D240-D238)/(A240-A238)*Inputs!$C$11</f>
        <v>1231.7887414533288</v>
      </c>
      <c r="P239" s="9">
        <f>-2*O239/Inputs!$C$13</f>
        <v>-492.71549658133154</v>
      </c>
      <c r="Q239" s="9">
        <f>-2*O239/Inputs!$C$14</f>
        <v>-73.981305792992728</v>
      </c>
      <c r="R239" s="9">
        <f>F239-Inputs!$C$16/2</f>
        <v>3501.055517830855</v>
      </c>
      <c r="S239" s="9">
        <f>F239+Inputs!$C$16/2</f>
        <v>3531.055517830855</v>
      </c>
      <c r="T239" s="9">
        <f>F239-Inputs!$C$17/2</f>
        <v>3366.055517830855</v>
      </c>
      <c r="U239" s="9">
        <f>F239+Inputs!$C$17/2</f>
        <v>3666.055517830855</v>
      </c>
      <c r="V239" s="9">
        <f t="shared" si="62"/>
        <v>492.71549658133154</v>
      </c>
      <c r="W239" s="9">
        <f t="shared" si="63"/>
        <v>73.981305792992728</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28.425297518081656</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188.33221875951745</v>
      </c>
      <c r="Z239" s="9">
        <f t="shared" si="64"/>
        <v>403.77407470248193</v>
      </c>
      <c r="AA239" s="9">
        <f>SQRT((Inputs!$C$52+B239)^2+(Inputs!$C$52+Y239/1000)^2-2*(Inputs!$C$52+B239)*(Inputs!$C$52+Y239/1000)*COS(SQRT(A239^2+Inputs!$C$6^2)/Inputs!$C$52))</f>
        <v>409.87637210400283</v>
      </c>
      <c r="AB239" s="9">
        <f t="shared" si="65"/>
        <v>6102.2974015209002</v>
      </c>
      <c r="AC239" s="9">
        <f>AB239/Inputs!$C$12</f>
        <v>3428.2569671465731</v>
      </c>
      <c r="AD239" s="9">
        <f>2*AB239/Inputs!$C$21*1000000</f>
        <v>40.710146227367069</v>
      </c>
      <c r="AE239" s="9">
        <f t="shared" si="66"/>
        <v>8.9573140672481397</v>
      </c>
      <c r="AF239" s="9">
        <f>DEGREES((2*PI()/Inputs!$C$13)*Inputs!$C$15*SIN(RADIANS(AE239)))</f>
        <v>56.051490216257882</v>
      </c>
      <c r="AG239" s="9">
        <f t="shared" si="67"/>
        <v>0.9417642236696917</v>
      </c>
      <c r="AH239" s="9">
        <f t="shared" si="68"/>
        <v>-0.26057811831239996</v>
      </c>
      <c r="AI239" s="9">
        <f t="shared" si="69"/>
        <v>-87.798550684281963</v>
      </c>
      <c r="AJ239" s="9">
        <f t="shared" si="70"/>
        <v>-1.0425974106261293</v>
      </c>
      <c r="AK239" s="9">
        <f t="shared" si="71"/>
        <v>159.90692124143578</v>
      </c>
      <c r="AL239" s="9">
        <f>1000*(AA240-AA238)/(A240-A238)*Inputs!$C$11</f>
        <v>1235.2919823920274</v>
      </c>
      <c r="AM239" s="9">
        <f>-2*AL239/Inputs!$C$13</f>
        <v>-494.11679295681097</v>
      </c>
      <c r="AN239" s="9">
        <f>-2*AL239/Inputs!$C$14</f>
        <v>-74.191710654175822</v>
      </c>
      <c r="AO239" s="9">
        <f t="shared" si="72"/>
        <v>494.11679295681097</v>
      </c>
      <c r="AP239" s="9">
        <f t="shared" si="73"/>
        <v>74.191710654175822</v>
      </c>
      <c r="AQ239" s="9">
        <f>IF(OR(Inputs!$C$27=TRUE,Inputs!$C$27="TRUE",Inputs!$C$27=1),Inputs!$C$46/Inputs!$C$12,0)</f>
        <v>42.134831460674157</v>
      </c>
      <c r="AR239" s="9">
        <f t="shared" si="74"/>
        <v>3386.1221356858987</v>
      </c>
      <c r="AS239" s="9">
        <f t="shared" si="75"/>
        <v>3470.3917986072474</v>
      </c>
    </row>
    <row r="240" spans="1:45">
      <c r="A240" s="9">
        <f>Inputs!$C$7+238*(Inputs!$C$8-Inputs!$C$7)/240</f>
        <v>59</v>
      </c>
      <c r="B240" s="9">
        <f>Inputs!$C$5+Inputs!$C$9*(A240/Inputs!$C$10)^2</f>
        <v>403.8677777777778</v>
      </c>
      <c r="C240" s="9">
        <f t="shared" si="57"/>
        <v>403.8677777777778</v>
      </c>
      <c r="D240" s="9">
        <f>SQRT((Inputs!$C$52+B240)^2+Inputs!$C$52^2-2*(Inputs!$C$52+B240)*Inputs!$C$52*COS(SQRT(A240^2+Inputs!$C$6^2)/Inputs!$C$52))</f>
        <v>410.21568945568362</v>
      </c>
      <c r="E240" s="9">
        <f t="shared" si="58"/>
        <v>6347.9116779058131</v>
      </c>
      <c r="F240" s="9">
        <f>E240/Inputs!$C$12</f>
        <v>3566.2425156774229</v>
      </c>
      <c r="G240" s="9">
        <f>2*E240/Inputs!$C$21*1000000</f>
        <v>42.348708304768714</v>
      </c>
      <c r="H240" s="9">
        <f>SQRT(A240^2+Inputs!$C$6^2)</f>
        <v>64.078077374403179</v>
      </c>
      <c r="I240" s="9">
        <f t="shared" si="59"/>
        <v>9.0154589139895744</v>
      </c>
      <c r="J240" s="9">
        <f>DEGREES((2*PI()/Inputs!$C$13)*Inputs!$C$15*SIN(RADIANS(I240)))</f>
        <v>56.41234073822082</v>
      </c>
      <c r="K240" s="9">
        <f t="shared" si="60"/>
        <v>0.93952372636550141</v>
      </c>
      <c r="L240" s="9">
        <f t="shared" si="61"/>
        <v>-0.27092247921622387</v>
      </c>
      <c r="M240" s="9">
        <f>2*(Inputs!$C$9/(Inputs!$C$10^2))*A240</f>
        <v>0.13111111111111112</v>
      </c>
      <c r="N240" s="9">
        <f>M240*Inputs!$C$11</f>
        <v>0.52444444444444449</v>
      </c>
      <c r="O240" s="9">
        <f>1000*(D241-D239)/(A241-A239)*Inputs!$C$11</f>
        <v>1241.9772760697469</v>
      </c>
      <c r="P240" s="9">
        <f>-2*O240/Inputs!$C$13</f>
        <v>-496.79091042789878</v>
      </c>
      <c r="Q240" s="9">
        <f>-2*O240/Inputs!$C$14</f>
        <v>-74.593229793978807</v>
      </c>
      <c r="R240" s="9">
        <f>F240-Inputs!$C$16/2</f>
        <v>3551.2425156774229</v>
      </c>
      <c r="S240" s="9">
        <f>F240+Inputs!$C$16/2</f>
        <v>3581.2425156774229</v>
      </c>
      <c r="T240" s="9">
        <f>F240-Inputs!$C$17/2</f>
        <v>3416.2425156774229</v>
      </c>
      <c r="U240" s="9">
        <f>F240+Inputs!$C$17/2</f>
        <v>3716.2425156774229</v>
      </c>
      <c r="V240" s="9">
        <f t="shared" si="62"/>
        <v>496.79091042789878</v>
      </c>
      <c r="W240" s="9">
        <f t="shared" si="63"/>
        <v>74.593229793978807</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25.687015204981627</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193.74067782731254</v>
      </c>
      <c r="Z240" s="9">
        <f t="shared" si="64"/>
        <v>403.84209076257281</v>
      </c>
      <c r="AA240" s="9">
        <f>SQRT((Inputs!$C$52+B240)^2+(Inputs!$C$52+Y240/1000)^2-2*(Inputs!$C$52+B240)*(Inputs!$C$52+Y240/1000)*COS(SQRT(A240^2+Inputs!$C$6^2)/Inputs!$C$52))</f>
        <v>410.02573046408952</v>
      </c>
      <c r="AB240" s="9">
        <f t="shared" si="65"/>
        <v>6183.6397015167113</v>
      </c>
      <c r="AC240" s="9">
        <f>AB240/Inputs!$C$12</f>
        <v>3473.9548884925343</v>
      </c>
      <c r="AD240" s="9">
        <f>2*AB240/Inputs!$C$21*1000000</f>
        <v>41.252803641355861</v>
      </c>
      <c r="AE240" s="9">
        <f t="shared" si="66"/>
        <v>9.0197147068520405</v>
      </c>
      <c r="AF240" s="9">
        <f>DEGREES((2*PI()/Inputs!$C$13)*Inputs!$C$15*SIN(RADIANS(AE240)))</f>
        <v>56.438750175202962</v>
      </c>
      <c r="AG240" s="9">
        <f t="shared" si="67"/>
        <v>0.94102656290467113</v>
      </c>
      <c r="AH240" s="9">
        <f t="shared" si="68"/>
        <v>-0.26398117316524145</v>
      </c>
      <c r="AI240" s="9">
        <f t="shared" si="69"/>
        <v>-92.287627184888606</v>
      </c>
      <c r="AJ240" s="9">
        <f t="shared" si="70"/>
        <v>-1.0959046634128526</v>
      </c>
      <c r="AK240" s="9">
        <f t="shared" si="71"/>
        <v>168.0536626223309</v>
      </c>
      <c r="AL240" s="9">
        <f>1000*(AA241-AA239)/(A241-A239)*Inputs!$C$11</f>
        <v>1318.2635307380224</v>
      </c>
      <c r="AM240" s="9">
        <f>-2*AL240/Inputs!$C$13</f>
        <v>-527.30541229520895</v>
      </c>
      <c r="AN240" s="9">
        <f>-2*AL240/Inputs!$C$14</f>
        <v>-79.174986831112463</v>
      </c>
      <c r="AO240" s="9">
        <f t="shared" si="72"/>
        <v>527.30541229520895</v>
      </c>
      <c r="AP240" s="9">
        <f t="shared" si="73"/>
        <v>79.174986831112463</v>
      </c>
      <c r="AQ240" s="9">
        <f>IF(OR(Inputs!$C$27=TRUE,Inputs!$C$27="TRUE",Inputs!$C$27=1),Inputs!$C$46/Inputs!$C$12,0)</f>
        <v>42.134831460674157</v>
      </c>
      <c r="AR240" s="9">
        <f t="shared" si="74"/>
        <v>3431.82005703186</v>
      </c>
      <c r="AS240" s="9">
        <f t="shared" si="75"/>
        <v>3516.0897199532087</v>
      </c>
    </row>
    <row r="241" spans="1:45">
      <c r="A241" s="9">
        <f>Inputs!$C$7+239*(Inputs!$C$8-Inputs!$C$7)/240</f>
        <v>59.5</v>
      </c>
      <c r="B241" s="9">
        <f>Inputs!$C$5+Inputs!$C$9*(A241/Inputs!$C$10)^2</f>
        <v>403.93361111111113</v>
      </c>
      <c r="C241" s="9">
        <f t="shared" si="57"/>
        <v>403.93361111111113</v>
      </c>
      <c r="D241" s="9">
        <f>SQRT((Inputs!$C$52+B241)^2+Inputs!$C$52^2-2*(Inputs!$C$52+B241)*Inputs!$C$52*COS(SQRT(A241^2+Inputs!$C$6^2)/Inputs!$C$52))</f>
        <v>410.37157314075637</v>
      </c>
      <c r="E241" s="9">
        <f t="shared" si="58"/>
        <v>6437.962029645234</v>
      </c>
      <c r="F241" s="9">
        <f>E241/Inputs!$C$12</f>
        <v>3616.8326009242887</v>
      </c>
      <c r="G241" s="9">
        <f>2*E241/Inputs!$C$21*1000000</f>
        <v>42.949459586773422</v>
      </c>
      <c r="H241" s="9">
        <f>SQRT(A241^2+Inputs!$C$6^2)</f>
        <v>64.538748051073938</v>
      </c>
      <c r="I241" s="9">
        <f t="shared" si="59"/>
        <v>9.0777420317977509</v>
      </c>
      <c r="J241" s="9">
        <f>DEGREES((2*PI()/Inputs!$C$13)*Inputs!$C$15*SIN(RADIANS(I241)))</f>
        <v>56.79880917100207</v>
      </c>
      <c r="K241" s="9">
        <f t="shared" si="60"/>
        <v>0.9387088058105012</v>
      </c>
      <c r="L241" s="9">
        <f t="shared" si="61"/>
        <v>-0.27469108098806244</v>
      </c>
      <c r="M241" s="9">
        <f>2*(Inputs!$C$9/(Inputs!$C$10^2))*A241</f>
        <v>0.13222222222222221</v>
      </c>
      <c r="N241" s="9">
        <f>M241*Inputs!$C$11</f>
        <v>0.52888888888888885</v>
      </c>
      <c r="O241" s="9">
        <f>1000*(D242-D240)/(A242-A240)*Inputs!$C$11</f>
        <v>1252.1575322996341</v>
      </c>
      <c r="P241" s="9">
        <f>-2*O241/Inputs!$C$13</f>
        <v>-500.86301291985365</v>
      </c>
      <c r="Q241" s="9">
        <f>-2*O241/Inputs!$C$14</f>
        <v>-75.204656594572626</v>
      </c>
      <c r="R241" s="9">
        <f>F241-Inputs!$C$16/2</f>
        <v>3601.8326009242887</v>
      </c>
      <c r="S241" s="9">
        <f>F241+Inputs!$C$16/2</f>
        <v>3631.8326009242887</v>
      </c>
      <c r="T241" s="9">
        <f>F241-Inputs!$C$17/2</f>
        <v>3466.8326009242887</v>
      </c>
      <c r="U241" s="9">
        <f>F241+Inputs!$C$17/2</f>
        <v>3766.8326009242887</v>
      </c>
      <c r="V241" s="9">
        <f t="shared" si="62"/>
        <v>500.86301291985365</v>
      </c>
      <c r="W241" s="9">
        <f t="shared" si="63"/>
        <v>75.204656594572626</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45.681577079315673</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168.97901642333537</v>
      </c>
      <c r="Z241" s="9">
        <f t="shared" si="64"/>
        <v>403.8879295340318</v>
      </c>
      <c r="AA241" s="9">
        <f>SQRT((Inputs!$C$52+B241)^2+(Inputs!$C$52+Y241/1000)^2-2*(Inputs!$C$52+B241)*(Inputs!$C$52+Y241/1000)*COS(SQRT(A241^2+Inputs!$C$6^2)/Inputs!$C$52))</f>
        <v>410.20593798668733</v>
      </c>
      <c r="AB241" s="9">
        <f t="shared" si="65"/>
        <v>6318.0084526555329</v>
      </c>
      <c r="AC241" s="9">
        <f>AB241/Inputs!$C$12</f>
        <v>3549.4429509300744</v>
      </c>
      <c r="AD241" s="9">
        <f>2*AB241/Inputs!$C$21*1000000</f>
        <v>42.149215459286388</v>
      </c>
      <c r="AE241" s="9">
        <f t="shared" si="66"/>
        <v>9.081477848214389</v>
      </c>
      <c r="AF241" s="9">
        <f>DEGREES((2*PI()/Inputs!$C$13)*Inputs!$C$15*SIN(RADIANS(AE241)))</f>
        <v>56.821987883966642</v>
      </c>
      <c r="AG241" s="9">
        <f t="shared" si="67"/>
        <v>0.93980061668359638</v>
      </c>
      <c r="AH241" s="9">
        <f t="shared" si="68"/>
        <v>-0.26964274335204508</v>
      </c>
      <c r="AI241" s="9">
        <f t="shared" si="69"/>
        <v>-67.389649994214324</v>
      </c>
      <c r="AJ241" s="9">
        <f t="shared" si="70"/>
        <v>-0.80024412748703355</v>
      </c>
      <c r="AK241" s="9">
        <f t="shared" si="71"/>
        <v>123.29743934401969</v>
      </c>
      <c r="AL241" s="9">
        <f>1000*(AA242-AA240)/(A242-A240)*Inputs!$C$11</f>
        <v>1308.9895471791806</v>
      </c>
      <c r="AM241" s="9">
        <f>-2*AL241/Inputs!$C$13</f>
        <v>-523.59581887167224</v>
      </c>
      <c r="AN241" s="9">
        <f>-2*AL241/Inputs!$C$14</f>
        <v>-78.61799082157242</v>
      </c>
      <c r="AO241" s="9">
        <f t="shared" si="72"/>
        <v>523.59581887167224</v>
      </c>
      <c r="AP241" s="9">
        <f t="shared" si="73"/>
        <v>78.61799082157242</v>
      </c>
      <c r="AQ241" s="9">
        <f>IF(OR(Inputs!$C$27=TRUE,Inputs!$C$27="TRUE",Inputs!$C$27=1),Inputs!$C$46/Inputs!$C$12,0)</f>
        <v>42.134831460674157</v>
      </c>
      <c r="AR241" s="9">
        <f t="shared" si="74"/>
        <v>3507.3081194694</v>
      </c>
      <c r="AS241" s="9">
        <f t="shared" si="75"/>
        <v>3591.5777823907488</v>
      </c>
    </row>
    <row r="242" spans="1:45">
      <c r="A242" s="9">
        <f>Inputs!$C$7+240*(Inputs!$C$8-Inputs!$C$7)/240</f>
        <v>60</v>
      </c>
      <c r="B242" s="9">
        <f>Inputs!$C$5+Inputs!$C$9*(A242/Inputs!$C$10)^2</f>
        <v>404</v>
      </c>
      <c r="C242" s="9">
        <f t="shared" si="57"/>
        <v>404</v>
      </c>
      <c r="D242" s="9">
        <f>SQRT((Inputs!$C$52+B242)^2+Inputs!$C$52^2-2*(Inputs!$C$52+B242)*Inputs!$C$52*COS(SQRT(A242^2+Inputs!$C$6^2)/Inputs!$C$52))</f>
        <v>410.52872883875852</v>
      </c>
      <c r="E242" s="9">
        <f t="shared" si="58"/>
        <v>6528.7288387585249</v>
      </c>
      <c r="F242" s="9">
        <f>E242/Inputs!$C$12</f>
        <v>3667.825190313778</v>
      </c>
      <c r="G242" s="9">
        <f>2*E242/Inputs!$C$21*1000000</f>
        <v>43.554990557891387</v>
      </c>
      <c r="H242" s="9">
        <f>SQRT(A242^2+Inputs!$C$6^2)</f>
        <v>65</v>
      </c>
      <c r="I242" s="9">
        <f t="shared" si="59"/>
        <v>9.1400512341328497</v>
      </c>
      <c r="J242" s="9">
        <f>DEGREES((2*PI()/Inputs!$C$13)*Inputs!$C$15*SIN(RADIANS(I242)))</f>
        <v>57.18537229942514</v>
      </c>
      <c r="K242" s="9">
        <f t="shared" si="60"/>
        <v>0.93788856854464964</v>
      </c>
      <c r="L242" s="9">
        <f t="shared" si="61"/>
        <v>-0.27848757506786664</v>
      </c>
      <c r="M242" s="9">
        <f>2*(Inputs!$C$9/(Inputs!$C$10^2))*A242</f>
        <v>0.13333333333333333</v>
      </c>
      <c r="N242" s="9">
        <f>M242*Inputs!$C$11</f>
        <v>0.53333333333333333</v>
      </c>
      <c r="O242" s="9">
        <f>1000*(D242-D241)/(A242-A241)*Inputs!$C$11</f>
        <v>1257.2455840172552</v>
      </c>
      <c r="P242" s="9">
        <f>-2*O242/Inputs!$C$13</f>
        <v>-502.89823360690207</v>
      </c>
      <c r="Q242" s="9">
        <f>-2*O242/Inputs!$C$14</f>
        <v>-75.510245286321634</v>
      </c>
      <c r="R242" s="9">
        <f>F242-Inputs!$C$16/2</f>
        <v>3652.825190313778</v>
      </c>
      <c r="S242" s="9">
        <f>F242+Inputs!$C$16/2</f>
        <v>3682.825190313778</v>
      </c>
      <c r="T242" s="9">
        <f>F242-Inputs!$C$17/2</f>
        <v>3517.825190313778</v>
      </c>
      <c r="U242" s="9">
        <f>F242+Inputs!$C$17/2</f>
        <v>3817.825190313778</v>
      </c>
      <c r="V242" s="9">
        <f t="shared" si="62"/>
        <v>502.89823360690207</v>
      </c>
      <c r="W242" s="9">
        <f t="shared" si="63"/>
        <v>75.510245286321634</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31.89413090916895</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179.34901119414707</v>
      </c>
      <c r="Z242" s="9">
        <f t="shared" si="64"/>
        <v>403.96810586909083</v>
      </c>
      <c r="AA242" s="9">
        <f>SQRT((Inputs!$C$52+B242)^2+(Inputs!$C$52+Y242/1000)^2-2*(Inputs!$C$52+B242)*(Inputs!$C$52+Y242/1000)*COS(SQRT(A242^2+Inputs!$C$6^2)/Inputs!$C$52))</f>
        <v>410.35297785088432</v>
      </c>
      <c r="AB242" s="9">
        <f t="shared" si="65"/>
        <v>6384.8719817934807</v>
      </c>
      <c r="AC242" s="9">
        <f>AB242/Inputs!$C$12</f>
        <v>3587.0067313446521</v>
      </c>
      <c r="AD242" s="9">
        <f>2*AB242/Inputs!$C$21*1000000</f>
        <v>42.595280911259486</v>
      </c>
      <c r="AE242" s="9">
        <f t="shared" si="66"/>
        <v>9.1440420449389421</v>
      </c>
      <c r="AF242" s="9">
        <f>DEGREES((2*PI()/Inputs!$C$13)*Inputs!$C$15*SIN(RADIANS(AE242)))</f>
        <v>57.210128787408372</v>
      </c>
      <c r="AG242" s="9">
        <f t="shared" si="67"/>
        <v>0.93919972029801746</v>
      </c>
      <c r="AH242" s="9">
        <f t="shared" si="68"/>
        <v>-0.27242045433178885</v>
      </c>
      <c r="AI242" s="9">
        <f t="shared" si="69"/>
        <v>-80.818458969125913</v>
      </c>
      <c r="AJ242" s="9">
        <f t="shared" si="70"/>
        <v>-0.95970964663190017</v>
      </c>
      <c r="AK242" s="9">
        <f t="shared" si="71"/>
        <v>147.45488028497812</v>
      </c>
      <c r="AL242" s="9">
        <f>1000*(AA242-AA241)/(A242-A241)*Inputs!$C$11</f>
        <v>1176.3189135758694</v>
      </c>
      <c r="AM242" s="9">
        <f>-2*AL242/Inputs!$C$13</f>
        <v>-470.52756543034775</v>
      </c>
      <c r="AN242" s="9">
        <f>-2*AL242/Inputs!$C$14</f>
        <v>-70.649784599151317</v>
      </c>
      <c r="AO242" s="9">
        <f t="shared" si="72"/>
        <v>470.52756543034775</v>
      </c>
      <c r="AP242" s="9">
        <f t="shared" si="73"/>
        <v>70.649784599151317</v>
      </c>
      <c r="AQ242" s="9">
        <f>IF(OR(Inputs!$C$27=TRUE,Inputs!$C$27="TRUE",Inputs!$C$27=1),Inputs!$C$46/Inputs!$C$12,0)</f>
        <v>42.134831460674157</v>
      </c>
      <c r="AR242" s="9">
        <f t="shared" si="74"/>
        <v>3544.8718998839777</v>
      </c>
      <c r="AS242" s="9">
        <f t="shared" si="75"/>
        <v>3629.1415628053264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42"/>
  <sheetViews>
    <sheetView workbookViewId="0">
      <pane ySplit="1" topLeftCell="A2" activePane="bottomLeft" state="frozen"/>
      <selection pane="bottomLeft"/>
    </sheetView>
  </sheetViews>
  <sheetFormatPr defaultRowHeight="13.8"/>
  <cols>
    <col min="1" max="22" width="18" customWidth="1"/>
    <col min="23" max="27" width="21" customWidth="1"/>
  </cols>
  <sheetData>
    <row r="1" spans="1:27" ht="27.6">
      <c r="A1" s="23" t="s">
        <v>404</v>
      </c>
      <c r="B1" s="23" t="s">
        <v>449</v>
      </c>
      <c r="C1" s="23" t="s">
        <v>450</v>
      </c>
      <c r="D1" s="23" t="s">
        <v>451</v>
      </c>
      <c r="E1" s="23" t="s">
        <v>452</v>
      </c>
      <c r="F1" s="23" t="s">
        <v>453</v>
      </c>
      <c r="G1" s="23" t="s">
        <v>454</v>
      </c>
      <c r="H1" s="23" t="s">
        <v>455</v>
      </c>
      <c r="I1" s="23" t="s">
        <v>456</v>
      </c>
      <c r="J1" s="23" t="s">
        <v>457</v>
      </c>
      <c r="K1" s="23" t="s">
        <v>458</v>
      </c>
      <c r="L1" s="23" t="s">
        <v>459</v>
      </c>
      <c r="M1" s="23" t="s">
        <v>460</v>
      </c>
      <c r="N1" s="23" t="s">
        <v>461</v>
      </c>
      <c r="O1" s="23" t="s">
        <v>462</v>
      </c>
      <c r="P1" s="23" t="s">
        <v>463</v>
      </c>
      <c r="Q1" s="23" t="s">
        <v>464</v>
      </c>
      <c r="R1" s="23" t="s">
        <v>465</v>
      </c>
      <c r="S1" s="23" t="s">
        <v>466</v>
      </c>
      <c r="T1" s="23" t="s">
        <v>467</v>
      </c>
      <c r="U1" s="23" t="s">
        <v>468</v>
      </c>
      <c r="V1" s="23" t="s">
        <v>469</v>
      </c>
      <c r="W1" s="23" t="s">
        <v>470</v>
      </c>
      <c r="X1" s="23" t="s">
        <v>471</v>
      </c>
      <c r="Y1" s="23" t="s">
        <v>472</v>
      </c>
      <c r="Z1" s="23" t="s">
        <v>473</v>
      </c>
      <c r="AA1" s="23" t="s">
        <v>474</v>
      </c>
    </row>
    <row r="2" spans="1:27">
      <c r="A2" s="24">
        <f>Model_Data!A2</f>
        <v>-60</v>
      </c>
      <c r="B2" s="24">
        <f>Model_Data!Y2</f>
        <v>119.42638570504096</v>
      </c>
      <c r="C2" s="24">
        <f>Model_Data!X2</f>
        <v>2.7642790376893132</v>
      </c>
      <c r="D2" s="24">
        <f>Model_Data!B2</f>
        <v>404</v>
      </c>
      <c r="E2" s="24">
        <f>Inputs!$C$6</f>
        <v>25</v>
      </c>
      <c r="F2" s="24">
        <f>Subsurface_Inputs!$C$5+Subsurface_Inputs!$C$6*SIN(2*PI()*(A2+Subsurface_Inputs!$C$7)/Subsurface_Inputs!$C$8)+Subsurface_Inputs!$C$9*COS(2*PI()*A2/Subsurface_Inputs!$C$10)+Subsurface_Inputs!$C$11*(B2-AVERAGE($B$2:$B$242))</f>
        <v>946.67749551961265</v>
      </c>
      <c r="G2" s="24">
        <f t="shared" ref="G2:G65" si="0">B2-F2</f>
        <v>-827.25110981457169</v>
      </c>
      <c r="H2" s="24">
        <f>MIN(1,MAX(0,Subsurface_Inputs!$C$13*EXP(-0.5*((A2-Subsurface_Inputs!$C$14)/Subsurface_Inputs!$C$15)^2)+Subsurface_Inputs!$C$16*EXP(-0.5*((A2-Subsurface_Inputs!$C$17)/Subsurface_Inputs!$C$18)^2)))</f>
        <v>1.4571201453582399E-3</v>
      </c>
      <c r="I2" s="24">
        <f>Subsurface_Inputs!$C$19+Subsurface_Inputs!$C$20*SIN(2*PI()*(A2-Subsurface_Inputs!$C$21)/Subsurface_Inputs!$C$22)-Subsurface_Inputs!$C$23*H2</f>
        <v>5589.0431161144861</v>
      </c>
      <c r="J2" s="24">
        <f t="shared" ref="J2:J65" si="1">B2-I2</f>
        <v>-5469.6167304094452</v>
      </c>
      <c r="K2" s="24">
        <f>Subsurface_Inputs!$C$25+Subsurface_Inputs!$C$26*SIN(2*PI()*(A2+Subsurface_Inputs!$C$27)/Subsurface_Inputs!$C$28)+Subsurface_Inputs!$C$29*COS(2*PI()*(A2-Subsurface_Inputs!$C$30)/Subsurface_Inputs!$C$31)-Subsurface_Inputs!$C$32*(B2-AVERAGE($B$2:$B$242))</f>
        <v>14538.343476908214</v>
      </c>
      <c r="L2" s="24">
        <f t="shared" ref="L2:L65" si="2">B2-K2</f>
        <v>-14418.917091203173</v>
      </c>
      <c r="M2" s="24">
        <f>2*Subsurface_Inputs!$C$34*F2/Subsurface_Inputs!$C$35*1000000</f>
        <v>11.2416833516533</v>
      </c>
      <c r="N2" s="24">
        <f>2*Subsurface_Inputs!$C$34*I2/Subsurface_Inputs!$C$35*1000000</f>
        <v>66.369226317786726</v>
      </c>
      <c r="O2" s="24">
        <f>2*Subsurface_Inputs!$C$34*K2/Subsurface_Inputs!$C$35*1000000</f>
        <v>172.64111019695247</v>
      </c>
      <c r="P2" s="24">
        <f>Subsurface_Inputs!$C$37-2*Subsurface_Inputs!$C$36*(F2/1000)</f>
        <v>-11.704019491935302</v>
      </c>
      <c r="Q2" s="24">
        <f>Subsurface_Inputs!$C$38+Subsurface_Inputs!$C$39*H2-2*Subsurface_Inputs!$C$36*(I2/1000)</f>
        <v>-34.047163527697847</v>
      </c>
      <c r="R2" s="24">
        <f>Subsurface_Inputs!$C$40-2*Subsurface_Inputs!$C$36*(K2/1000)-Subsurface_Inputs!$C$41*ABS(L2-AVERAGE($L$2:$L$242))</f>
        <v>-33.54118040759343</v>
      </c>
      <c r="S2" s="24">
        <f t="shared" ref="S2:S65" si="3">K2-AVERAGE($K$2:$K$242)</f>
        <v>-539.04121866589958</v>
      </c>
      <c r="T2" s="24">
        <f t="shared" ref="T2:T65" si="4">K2/F2</f>
        <v>15.357229410981619</v>
      </c>
      <c r="U2" s="25" t="str">
        <f>IF(H2&gt;=Subsurface_Inputs!$C$42,"Lens visible","Weak/no lens")</f>
        <v>Weak/no lens</v>
      </c>
      <c r="V2" s="25" t="str">
        <f t="shared" ref="V2:V65" si="5">IF(R2&gt;=W2,"Likely visible","Weak")</f>
        <v>Likely visible</v>
      </c>
      <c r="W2" s="24">
        <f>Subsurface_Inputs!$C$43</f>
        <v>-45</v>
      </c>
      <c r="X2" s="24">
        <f t="shared" ref="X2:X65" si="6">Q2-W2</f>
        <v>10.952836472302153</v>
      </c>
      <c r="Y2" s="24">
        <f t="shared" ref="Y2:Y65" si="7">R2-W2</f>
        <v>11.45881959240657</v>
      </c>
      <c r="Z2" s="24">
        <f t="shared" ref="Z2:Z65" si="8">MAX(Q2,R2)-W2</f>
        <v>11.45881959240657</v>
      </c>
      <c r="AA2" s="24">
        <v>0</v>
      </c>
    </row>
    <row r="3" spans="1:27">
      <c r="A3" s="24">
        <f>Model_Data!A3</f>
        <v>-59.5</v>
      </c>
      <c r="B3" s="24">
        <f>Model_Data!Y3</f>
        <v>110.69606493723512</v>
      </c>
      <c r="C3" s="24">
        <f>Model_Data!X3</f>
        <v>19.645117006409471</v>
      </c>
      <c r="D3" s="24">
        <f>Model_Data!B3</f>
        <v>403.93361111111113</v>
      </c>
      <c r="E3" s="24">
        <f>Inputs!$C$6</f>
        <v>25</v>
      </c>
      <c r="F3" s="24">
        <f>Subsurface_Inputs!$C$5+Subsurface_Inputs!$C$6*SIN(2*PI()*(A3+Subsurface_Inputs!$C$7)/Subsurface_Inputs!$C$8)+Subsurface_Inputs!$C$9*COS(2*PI()*A3/Subsurface_Inputs!$C$10)+Subsurface_Inputs!$C$11*(B3-AVERAGE($B$2:$B$242))</f>
        <v>946.39057677706182</v>
      </c>
      <c r="G3" s="24">
        <f t="shared" si="0"/>
        <v>-835.69451183982665</v>
      </c>
      <c r="H3" s="24">
        <f>MIN(1,MAX(0,Subsurface_Inputs!$C$13*EXP(-0.5*((A3-Subsurface_Inputs!$C$14)/Subsurface_Inputs!$C$15)^2)+Subsurface_Inputs!$C$16*EXP(-0.5*((A3-Subsurface_Inputs!$C$17)/Subsurface_Inputs!$C$18)^2)))</f>
        <v>1.7423102885695018E-3</v>
      </c>
      <c r="I3" s="24">
        <f>Subsurface_Inputs!$C$19+Subsurface_Inputs!$C$20*SIN(2*PI()*(A3-Subsurface_Inputs!$C$21)/Subsurface_Inputs!$C$22)-Subsurface_Inputs!$C$23*H3</f>
        <v>5595.3479693993077</v>
      </c>
      <c r="J3" s="24">
        <f t="shared" si="1"/>
        <v>-5484.6519044620727</v>
      </c>
      <c r="K3" s="24">
        <f>Subsurface_Inputs!$C$25+Subsurface_Inputs!$C$26*SIN(2*PI()*(A3+Subsurface_Inputs!$C$27)/Subsurface_Inputs!$C$28)+Subsurface_Inputs!$C$29*COS(2*PI()*(A3-Subsurface_Inputs!$C$30)/Subsurface_Inputs!$C$31)-Subsurface_Inputs!$C$32*(B3-AVERAGE($B$2:$B$242))</f>
        <v>14548.766391190573</v>
      </c>
      <c r="L3" s="24">
        <f t="shared" si="2"/>
        <v>-14438.070326253337</v>
      </c>
      <c r="M3" s="24">
        <f>2*Subsurface_Inputs!$C$34*F3/Subsurface_Inputs!$C$35*1000000</f>
        <v>11.238276225502444</v>
      </c>
      <c r="N3" s="24">
        <f>2*Subsurface_Inputs!$C$34*I3/Subsurface_Inputs!$C$35*1000000</f>
        <v>66.444095705241295</v>
      </c>
      <c r="O3" s="24">
        <f>2*Subsurface_Inputs!$C$34*K3/Subsurface_Inputs!$C$35*1000000</f>
        <v>172.76488107195291</v>
      </c>
      <c r="P3" s="24">
        <f>Subsurface_Inputs!$C$37-2*Subsurface_Inputs!$C$36*(F3/1000)</f>
        <v>-11.703503038198711</v>
      </c>
      <c r="Q3" s="24">
        <f>Subsurface_Inputs!$C$38+Subsurface_Inputs!$C$39*H3-2*Subsurface_Inputs!$C$36*(I3/1000)</f>
        <v>-34.055945552321631</v>
      </c>
      <c r="R3" s="24">
        <f>Subsurface_Inputs!$C$40-2*Subsurface_Inputs!$C$36*(K3/1000)-Subsurface_Inputs!$C$41*ABS(L3-AVERAGE($L$2:$L$242))</f>
        <v>-33.483328713101017</v>
      </c>
      <c r="S3" s="24">
        <f t="shared" si="3"/>
        <v>-528.61830438354082</v>
      </c>
      <c r="T3" s="24">
        <f t="shared" si="4"/>
        <v>15.372898619443649</v>
      </c>
      <c r="U3" s="25" t="str">
        <f>IF(H3&gt;=Subsurface_Inputs!$C$42,"Lens visible","Weak/no lens")</f>
        <v>Weak/no lens</v>
      </c>
      <c r="V3" s="25" t="str">
        <f t="shared" si="5"/>
        <v>Likely visible</v>
      </c>
      <c r="W3" s="24">
        <f>Subsurface_Inputs!$C$43</f>
        <v>-45</v>
      </c>
      <c r="X3" s="24">
        <f t="shared" si="6"/>
        <v>10.944054447678369</v>
      </c>
      <c r="Y3" s="24">
        <f t="shared" si="7"/>
        <v>11.516671286898983</v>
      </c>
      <c r="Z3" s="24">
        <f t="shared" si="8"/>
        <v>11.516671286898983</v>
      </c>
      <c r="AA3" s="24">
        <v>0</v>
      </c>
    </row>
    <row r="4" spans="1:27">
      <c r="A4" s="24">
        <f>Model_Data!A4</f>
        <v>-59</v>
      </c>
      <c r="B4" s="24">
        <f>Model_Data!Y4</f>
        <v>112.99219424849355</v>
      </c>
      <c r="C4" s="24">
        <f>Model_Data!X4</f>
        <v>7.9704483537677238</v>
      </c>
      <c r="D4" s="24">
        <f>Model_Data!B4</f>
        <v>403.8677777777778</v>
      </c>
      <c r="E4" s="24">
        <f>Inputs!$C$6</f>
        <v>25</v>
      </c>
      <c r="F4" s="24">
        <f>Subsurface_Inputs!$C$5+Subsurface_Inputs!$C$6*SIN(2*PI()*(A4+Subsurface_Inputs!$C$7)/Subsurface_Inputs!$C$8)+Subsurface_Inputs!$C$9*COS(2*PI()*A4/Subsurface_Inputs!$C$10)+Subsurface_Inputs!$C$11*(B4-AVERAGE($B$2:$B$242))</f>
        <v>948.30586239085142</v>
      </c>
      <c r="G4" s="24">
        <f t="shared" si="0"/>
        <v>-835.31366814235787</v>
      </c>
      <c r="H4" s="24">
        <f>MIN(1,MAX(0,Subsurface_Inputs!$C$13*EXP(-0.5*((A4-Subsurface_Inputs!$C$14)/Subsurface_Inputs!$C$15)^2)+Subsurface_Inputs!$C$16*EXP(-0.5*((A4-Subsurface_Inputs!$C$17)/Subsurface_Inputs!$C$18)^2)))</f>
        <v>2.0781165622737407E-3</v>
      </c>
      <c r="I4" s="24">
        <f>Subsurface_Inputs!$C$19+Subsurface_Inputs!$C$20*SIN(2*PI()*(A4-Subsurface_Inputs!$C$21)/Subsurface_Inputs!$C$22)-Subsurface_Inputs!$C$23*H4</f>
        <v>5600.9130696606871</v>
      </c>
      <c r="J4" s="24">
        <f t="shared" si="1"/>
        <v>-5487.9208754121937</v>
      </c>
      <c r="K4" s="24">
        <f>Subsurface_Inputs!$C$25+Subsurface_Inputs!$C$26*SIN(2*PI()*(A4+Subsurface_Inputs!$C$27)/Subsurface_Inputs!$C$28)+Subsurface_Inputs!$C$29*COS(2*PI()*(A4-Subsurface_Inputs!$C$30)/Subsurface_Inputs!$C$31)-Subsurface_Inputs!$C$32*(B4-AVERAGE($B$2:$B$242))</f>
        <v>14557.33823698979</v>
      </c>
      <c r="L4" s="24">
        <f t="shared" si="2"/>
        <v>-14444.346042741296</v>
      </c>
      <c r="M4" s="24">
        <f>2*Subsurface_Inputs!$C$34*F4/Subsurface_Inputs!$C$35*1000000</f>
        <v>11.26102001575847</v>
      </c>
      <c r="N4" s="24">
        <f>2*Subsurface_Inputs!$C$34*I4/Subsurface_Inputs!$C$35*1000000</f>
        <v>66.51018061298943</v>
      </c>
      <c r="O4" s="24">
        <f>2*Subsurface_Inputs!$C$34*K4/Subsurface_Inputs!$C$35*1000000</f>
        <v>172.86667072753261</v>
      </c>
      <c r="P4" s="24">
        <f>Subsurface_Inputs!$C$37-2*Subsurface_Inputs!$C$36*(F4/1000)</f>
        <v>-11.706950552303532</v>
      </c>
      <c r="Q4" s="24">
        <f>Subsurface_Inputs!$C$38+Subsurface_Inputs!$C$39*H4-2*Subsurface_Inputs!$C$36*(I4/1000)</f>
        <v>-34.062940476328777</v>
      </c>
      <c r="R4" s="24">
        <f>Subsurface_Inputs!$C$40-2*Subsurface_Inputs!$C$36*(K4/1000)-Subsurface_Inputs!$C$41*ABS(L4-AVERAGE($L$2:$L$242))</f>
        <v>-33.473655169587772</v>
      </c>
      <c r="S4" s="24">
        <f t="shared" si="3"/>
        <v>-520.04645858432377</v>
      </c>
      <c r="T4" s="24">
        <f t="shared" si="4"/>
        <v>15.350889216574171</v>
      </c>
      <c r="U4" s="25" t="str">
        <f>IF(H4&gt;=Subsurface_Inputs!$C$42,"Lens visible","Weak/no lens")</f>
        <v>Weak/no lens</v>
      </c>
      <c r="V4" s="25" t="str">
        <f t="shared" si="5"/>
        <v>Likely visible</v>
      </c>
      <c r="W4" s="24">
        <f>Subsurface_Inputs!$C$43</f>
        <v>-45</v>
      </c>
      <c r="X4" s="24">
        <f t="shared" si="6"/>
        <v>10.937059523671223</v>
      </c>
      <c r="Y4" s="24">
        <f t="shared" si="7"/>
        <v>11.526344830412228</v>
      </c>
      <c r="Z4" s="24">
        <f t="shared" si="8"/>
        <v>11.526344830412228</v>
      </c>
      <c r="AA4" s="24">
        <v>0</v>
      </c>
    </row>
    <row r="5" spans="1:27">
      <c r="A5" s="24">
        <f>Model_Data!A5</f>
        <v>-58.5</v>
      </c>
      <c r="B5" s="24">
        <f>Model_Data!Y5</f>
        <v>134.38583105711319</v>
      </c>
      <c r="C5" s="24">
        <f>Model_Data!X5</f>
        <v>21.747313566648423</v>
      </c>
      <c r="D5" s="24">
        <f>Model_Data!B5</f>
        <v>403.80250000000001</v>
      </c>
      <c r="E5" s="24">
        <f>Inputs!$C$6</f>
        <v>25</v>
      </c>
      <c r="F5" s="24">
        <f>Subsurface_Inputs!$C$5+Subsurface_Inputs!$C$6*SIN(2*PI()*(A5+Subsurface_Inputs!$C$7)/Subsurface_Inputs!$C$8)+Subsurface_Inputs!$C$9*COS(2*PI()*A5/Subsurface_Inputs!$C$10)+Subsurface_Inputs!$C$11*(B5-AVERAGE($B$2:$B$242))</f>
        <v>952.78510942760647</v>
      </c>
      <c r="G5" s="24">
        <f t="shared" si="0"/>
        <v>-818.39927837049322</v>
      </c>
      <c r="H5" s="24">
        <f>MIN(1,MAX(0,Subsurface_Inputs!$C$13*EXP(-0.5*((A5-Subsurface_Inputs!$C$14)/Subsurface_Inputs!$C$15)^2)+Subsurface_Inputs!$C$16*EXP(-0.5*((A5-Subsurface_Inputs!$C$17)/Subsurface_Inputs!$C$18)^2)))</f>
        <v>2.4724559900891306E-3</v>
      </c>
      <c r="I5" s="24">
        <f>Subsurface_Inputs!$C$19+Subsurface_Inputs!$C$20*SIN(2*PI()*(A5-Subsurface_Inputs!$C$21)/Subsurface_Inputs!$C$22)-Subsurface_Inputs!$C$23*H5</f>
        <v>5605.7282309788243</v>
      </c>
      <c r="J5" s="24">
        <f t="shared" si="1"/>
        <v>-5471.3423999217111</v>
      </c>
      <c r="K5" s="24">
        <f>Subsurface_Inputs!$C$25+Subsurface_Inputs!$C$26*SIN(2*PI()*(A5+Subsurface_Inputs!$C$27)/Subsurface_Inputs!$C$28)+Subsurface_Inputs!$C$29*COS(2*PI()*(A5-Subsurface_Inputs!$C$30)/Subsurface_Inputs!$C$31)-Subsurface_Inputs!$C$32*(B5-AVERAGE($B$2:$B$242))</f>
        <v>14562.907070815563</v>
      </c>
      <c r="L5" s="24">
        <f t="shared" si="2"/>
        <v>-14428.521239758449</v>
      </c>
      <c r="M5" s="24">
        <f>2*Subsurface_Inputs!$C$34*F5/Subsurface_Inputs!$C$35*1000000</f>
        <v>11.31421054482391</v>
      </c>
      <c r="N5" s="24">
        <f>2*Subsurface_Inputs!$C$34*I5/Subsurface_Inputs!$C$35*1000000</f>
        <v>66.567360084437524</v>
      </c>
      <c r="O5" s="24">
        <f>2*Subsurface_Inputs!$C$34*K5/Subsurface_Inputs!$C$35*1000000</f>
        <v>172.93279997091656</v>
      </c>
      <c r="P5" s="24">
        <f>Subsurface_Inputs!$C$37-2*Subsurface_Inputs!$C$36*(F5/1000)</f>
        <v>-11.715013196969691</v>
      </c>
      <c r="Q5" s="24">
        <f>Subsurface_Inputs!$C$38+Subsurface_Inputs!$C$39*H5-2*Subsurface_Inputs!$C$36*(I5/1000)</f>
        <v>-34.06805871185108</v>
      </c>
      <c r="R5" s="24">
        <f>Subsurface_Inputs!$C$40-2*Subsurface_Inputs!$C$36*(K5/1000)-Subsurface_Inputs!$C$41*ABS(L5-AVERAGE($L$2:$L$242))</f>
        <v>-33.546978282405547</v>
      </c>
      <c r="S5" s="24">
        <f t="shared" si="3"/>
        <v>-514.47762475855052</v>
      </c>
      <c r="T5" s="24">
        <f t="shared" si="4"/>
        <v>15.284566190968654</v>
      </c>
      <c r="U5" s="25" t="str">
        <f>IF(H5&gt;=Subsurface_Inputs!$C$42,"Lens visible","Weak/no lens")</f>
        <v>Weak/no lens</v>
      </c>
      <c r="V5" s="25" t="str">
        <f t="shared" si="5"/>
        <v>Likely visible</v>
      </c>
      <c r="W5" s="24">
        <f>Subsurface_Inputs!$C$43</f>
        <v>-45</v>
      </c>
      <c r="X5" s="24">
        <f t="shared" si="6"/>
        <v>10.93194128814892</v>
      </c>
      <c r="Y5" s="24">
        <f t="shared" si="7"/>
        <v>11.453021717594453</v>
      </c>
      <c r="Z5" s="24">
        <f t="shared" si="8"/>
        <v>11.453021717594453</v>
      </c>
      <c r="AA5" s="24">
        <v>0</v>
      </c>
    </row>
    <row r="6" spans="1:27">
      <c r="A6" s="24">
        <f>Model_Data!A6</f>
        <v>-58</v>
      </c>
      <c r="B6" s="24">
        <f>Model_Data!Y6</f>
        <v>120.06952906780961</v>
      </c>
      <c r="C6" s="24">
        <f>Model_Data!X6</f>
        <v>31.866913549015347</v>
      </c>
      <c r="D6" s="24">
        <f>Model_Data!B6</f>
        <v>403.73777777777775</v>
      </c>
      <c r="E6" s="24">
        <f>Inputs!$C$6</f>
        <v>25</v>
      </c>
      <c r="F6" s="24">
        <f>Subsurface_Inputs!$C$5+Subsurface_Inputs!$C$6*SIN(2*PI()*(A6+Subsurface_Inputs!$C$7)/Subsurface_Inputs!$C$8)+Subsurface_Inputs!$C$9*COS(2*PI()*A6/Subsurface_Inputs!$C$10)+Subsurface_Inputs!$C$11*(B6-AVERAGE($B$2:$B$242))</f>
        <v>957.65150452239664</v>
      </c>
      <c r="G6" s="24">
        <f t="shared" si="0"/>
        <v>-837.581975454587</v>
      </c>
      <c r="H6" s="24">
        <f>MIN(1,MAX(0,Subsurface_Inputs!$C$13*EXP(-0.5*((A6-Subsurface_Inputs!$C$14)/Subsurface_Inputs!$C$15)^2)+Subsurface_Inputs!$C$16*EXP(-0.5*((A6-Subsurface_Inputs!$C$17)/Subsurface_Inputs!$C$18)^2)))</f>
        <v>2.9342796378249332E-3</v>
      </c>
      <c r="I6" s="24">
        <f>Subsurface_Inputs!$C$19+Subsurface_Inputs!$C$20*SIN(2*PI()*(A6-Subsurface_Inputs!$C$21)/Subsurface_Inputs!$C$22)-Subsurface_Inputs!$C$23*H6</f>
        <v>5609.7840992852871</v>
      </c>
      <c r="J6" s="24">
        <f t="shared" si="1"/>
        <v>-5489.7145702174776</v>
      </c>
      <c r="K6" s="24">
        <f>Subsurface_Inputs!$C$25+Subsurface_Inputs!$C$26*SIN(2*PI()*(A6+Subsurface_Inputs!$C$27)/Subsurface_Inputs!$C$28)+Subsurface_Inputs!$C$29*COS(2*PI()*(A6-Subsurface_Inputs!$C$30)/Subsurface_Inputs!$C$31)-Subsurface_Inputs!$C$32*(B6-AVERAGE($B$2:$B$242))</f>
        <v>14573.125618242737</v>
      </c>
      <c r="L6" s="24">
        <f t="shared" si="2"/>
        <v>-14453.056089174926</v>
      </c>
      <c r="M6" s="24">
        <f>2*Subsurface_Inputs!$C$34*F6/Subsurface_Inputs!$C$35*1000000</f>
        <v>11.371998411313378</v>
      </c>
      <c r="N6" s="24">
        <f>2*Subsurface_Inputs!$C$34*I6/Subsurface_Inputs!$C$35*1000000</f>
        <v>66.615523041128739</v>
      </c>
      <c r="O6" s="24">
        <f>2*Subsurface_Inputs!$C$34*K6/Subsurface_Inputs!$C$35*1000000</f>
        <v>173.05414401367008</v>
      </c>
      <c r="P6" s="24">
        <f>Subsurface_Inputs!$C$37-2*Subsurface_Inputs!$C$36*(F6/1000)</f>
        <v>-11.723772708140315</v>
      </c>
      <c r="Q6" s="24">
        <f>Subsurface_Inputs!$C$38+Subsurface_Inputs!$C$39*H6-2*Subsurface_Inputs!$C$36*(I6/1000)</f>
        <v>-34.071202861973092</v>
      </c>
      <c r="R6" s="24">
        <f>Subsurface_Inputs!$C$40-2*Subsurface_Inputs!$C$36*(K6/1000)-Subsurface_Inputs!$C$41*ABS(L6-AVERAGE($L$2:$L$242))</f>
        <v>-33.467232270108546</v>
      </c>
      <c r="S6" s="24">
        <f t="shared" si="3"/>
        <v>-504.25907733137683</v>
      </c>
      <c r="T6" s="24">
        <f t="shared" si="4"/>
        <v>15.217566671615785</v>
      </c>
      <c r="U6" s="25" t="str">
        <f>IF(H6&gt;=Subsurface_Inputs!$C$42,"Lens visible","Weak/no lens")</f>
        <v>Weak/no lens</v>
      </c>
      <c r="V6" s="25" t="str">
        <f t="shared" si="5"/>
        <v>Likely visible</v>
      </c>
      <c r="W6" s="24">
        <f>Subsurface_Inputs!$C$43</f>
        <v>-45</v>
      </c>
      <c r="X6" s="24">
        <f t="shared" si="6"/>
        <v>10.928797138026908</v>
      </c>
      <c r="Y6" s="24">
        <f t="shared" si="7"/>
        <v>11.532767729891454</v>
      </c>
      <c r="Z6" s="24">
        <f t="shared" si="8"/>
        <v>11.532767729891454</v>
      </c>
      <c r="AA6" s="24">
        <v>0</v>
      </c>
    </row>
    <row r="7" spans="1:27">
      <c r="A7" s="24">
        <f>Model_Data!A7</f>
        <v>-57.5</v>
      </c>
      <c r="B7" s="24">
        <f>Model_Data!Y7</f>
        <v>138.90151425445745</v>
      </c>
      <c r="C7" s="24">
        <f>Model_Data!X7</f>
        <v>34.586347487973264</v>
      </c>
      <c r="D7" s="24">
        <f>Model_Data!B7</f>
        <v>403.67361111111109</v>
      </c>
      <c r="E7" s="24">
        <f>Inputs!$C$6</f>
        <v>25</v>
      </c>
      <c r="F7" s="24">
        <f>Subsurface_Inputs!$C$5+Subsurface_Inputs!$C$6*SIN(2*PI()*(A7+Subsurface_Inputs!$C$7)/Subsurface_Inputs!$C$8)+Subsurface_Inputs!$C$9*COS(2*PI()*A7/Subsurface_Inputs!$C$10)+Subsurface_Inputs!$C$11*(B7-AVERAGE($B$2:$B$242))</f>
        <v>965.65067839415497</v>
      </c>
      <c r="G7" s="24">
        <f t="shared" si="0"/>
        <v>-826.74916413969754</v>
      </c>
      <c r="H7" s="24">
        <f>MIN(1,MAX(0,Subsurface_Inputs!$C$13*EXP(-0.5*((A7-Subsurface_Inputs!$C$14)/Subsurface_Inputs!$C$15)^2)+Subsurface_Inputs!$C$16*EXP(-0.5*((A7-Subsurface_Inputs!$C$17)/Subsurface_Inputs!$C$18)^2)))</f>
        <v>3.4736710860502509E-3</v>
      </c>
      <c r="I7" s="24">
        <f>Subsurface_Inputs!$C$19+Subsurface_Inputs!$C$20*SIN(2*PI()*(A7-Subsurface_Inputs!$C$21)/Subsurface_Inputs!$C$22)-Subsurface_Inputs!$C$23*H7</f>
        <v>5613.072139305129</v>
      </c>
      <c r="J7" s="24">
        <f t="shared" si="1"/>
        <v>-5474.1706250506713</v>
      </c>
      <c r="K7" s="24">
        <f>Subsurface_Inputs!$C$25+Subsurface_Inputs!$C$26*SIN(2*PI()*(A7+Subsurface_Inputs!$C$27)/Subsurface_Inputs!$C$28)+Subsurface_Inputs!$C$29*COS(2*PI()*(A7-Subsurface_Inputs!$C$30)/Subsurface_Inputs!$C$31)-Subsurface_Inputs!$C$32*(B7-AVERAGE($B$2:$B$242))</f>
        <v>14578.335140524403</v>
      </c>
      <c r="L7" s="24">
        <f t="shared" si="2"/>
        <v>-14439.433626269945</v>
      </c>
      <c r="M7" s="24">
        <f>2*Subsurface_Inputs!$C$34*F7/Subsurface_Inputs!$C$35*1000000</f>
        <v>11.466987655450598</v>
      </c>
      <c r="N7" s="24">
        <f>2*Subsurface_Inputs!$C$34*I7/Subsurface_Inputs!$C$35*1000000</f>
        <v>66.65456812768204</v>
      </c>
      <c r="O7" s="24">
        <f>2*Subsurface_Inputs!$C$34*K7/Subsurface_Inputs!$C$35*1000000</f>
        <v>173.11600647494231</v>
      </c>
      <c r="P7" s="24">
        <f>Subsurface_Inputs!$C$37-2*Subsurface_Inputs!$C$36*(F7/1000)</f>
        <v>-11.738171221109479</v>
      </c>
      <c r="Q7" s="24">
        <f>Subsurface_Inputs!$C$38+Subsurface_Inputs!$C$39*H7-2*Subsurface_Inputs!$C$36*(I7/1000)</f>
        <v>-34.072266810974781</v>
      </c>
      <c r="R7" s="24">
        <f>Subsurface_Inputs!$C$40-2*Subsurface_Inputs!$C$36*(K7/1000)-Subsurface_Inputs!$C$41*ABS(L7-AVERAGE($L$2:$L$242))</f>
        <v>-33.531099261835479</v>
      </c>
      <c r="S7" s="24">
        <f t="shared" si="3"/>
        <v>-499.04955504971076</v>
      </c>
      <c r="T7" s="24">
        <f t="shared" si="4"/>
        <v>15.096903535311228</v>
      </c>
      <c r="U7" s="25" t="str">
        <f>IF(H7&gt;=Subsurface_Inputs!$C$42,"Lens visible","Weak/no lens")</f>
        <v>Weak/no lens</v>
      </c>
      <c r="V7" s="25" t="str">
        <f t="shared" si="5"/>
        <v>Likely visible</v>
      </c>
      <c r="W7" s="24">
        <f>Subsurface_Inputs!$C$43</f>
        <v>-45</v>
      </c>
      <c r="X7" s="24">
        <f t="shared" si="6"/>
        <v>10.927733189025219</v>
      </c>
      <c r="Y7" s="24">
        <f t="shared" si="7"/>
        <v>11.468900738164521</v>
      </c>
      <c r="Z7" s="24">
        <f t="shared" si="8"/>
        <v>11.468900738164521</v>
      </c>
      <c r="AA7" s="24">
        <v>0</v>
      </c>
    </row>
    <row r="8" spans="1:27">
      <c r="A8" s="24">
        <f>Model_Data!A8</f>
        <v>-57</v>
      </c>
      <c r="B8" s="24">
        <f>Model_Data!Y8</f>
        <v>137.46604725484156</v>
      </c>
      <c r="C8" s="24">
        <f>Model_Data!X8</f>
        <v>55.440883037993757</v>
      </c>
      <c r="D8" s="24">
        <f>Model_Data!B8</f>
        <v>403.61</v>
      </c>
      <c r="E8" s="24">
        <f>Inputs!$C$6</f>
        <v>25</v>
      </c>
      <c r="F8" s="24">
        <f>Subsurface_Inputs!$C$5+Subsurface_Inputs!$C$6*SIN(2*PI()*(A8+Subsurface_Inputs!$C$7)/Subsurface_Inputs!$C$8)+Subsurface_Inputs!$C$9*COS(2*PI()*A8/Subsurface_Inputs!$C$10)+Subsurface_Inputs!$C$11*(B8-AVERAGE($B$2:$B$242))</f>
        <v>974.61276440141557</v>
      </c>
      <c r="G8" s="24">
        <f t="shared" si="0"/>
        <v>-837.14671714657402</v>
      </c>
      <c r="H8" s="24">
        <f>MIN(1,MAX(0,Subsurface_Inputs!$C$13*EXP(-0.5*((A8-Subsurface_Inputs!$C$14)/Subsurface_Inputs!$C$15)^2)+Subsurface_Inputs!$C$16*EXP(-0.5*((A8-Subsurface_Inputs!$C$17)/Subsurface_Inputs!$C$18)^2)))</f>
        <v>4.1019480072514271E-3</v>
      </c>
      <c r="I8" s="24">
        <f>Subsurface_Inputs!$C$19+Subsurface_Inputs!$C$20*SIN(2*PI()*(A8-Subsurface_Inputs!$C$21)/Subsurface_Inputs!$C$22)-Subsurface_Inputs!$C$23*H8</f>
        <v>5615.584619153291</v>
      </c>
      <c r="J8" s="24">
        <f t="shared" si="1"/>
        <v>-5478.1185718984498</v>
      </c>
      <c r="K8" s="24">
        <f>Subsurface_Inputs!$C$25+Subsurface_Inputs!$C$26*SIN(2*PI()*(A8+Subsurface_Inputs!$C$27)/Subsurface_Inputs!$C$28)+Subsurface_Inputs!$C$29*COS(2*PI()*(A8-Subsurface_Inputs!$C$30)/Subsurface_Inputs!$C$31)-Subsurface_Inputs!$C$32*(B8-AVERAGE($B$2:$B$242))</f>
        <v>14585.997030216358</v>
      </c>
      <c r="L8" s="24">
        <f t="shared" si="2"/>
        <v>-14448.530982961516</v>
      </c>
      <c r="M8" s="24">
        <f>2*Subsurface_Inputs!$C$34*F8/Subsurface_Inputs!$C$35*1000000</f>
        <v>11.573411367370154</v>
      </c>
      <c r="N8" s="24">
        <f>2*Subsurface_Inputs!$C$34*I8/Subsurface_Inputs!$C$35*1000000</f>
        <v>66.684403528876359</v>
      </c>
      <c r="O8" s="24">
        <f>2*Subsurface_Inputs!$C$34*K8/Subsurface_Inputs!$C$35*1000000</f>
        <v>173.20699050931506</v>
      </c>
      <c r="P8" s="24">
        <f>Subsurface_Inputs!$C$37-2*Subsurface_Inputs!$C$36*(F8/1000)</f>
        <v>-11.754302975922547</v>
      </c>
      <c r="Q8" s="24">
        <f>Subsurface_Inputs!$C$38+Subsurface_Inputs!$C$39*H8-2*Subsurface_Inputs!$C$36*(I8/1000)</f>
        <v>-34.07113478241066</v>
      </c>
      <c r="R8" s="24">
        <f>Subsurface_Inputs!$C$40-2*Subsurface_Inputs!$C$36*(K8/1000)-Subsurface_Inputs!$C$41*ABS(L8-AVERAGE($L$2:$L$242))</f>
        <v>-33.508501236514711</v>
      </c>
      <c r="S8" s="24">
        <f t="shared" si="3"/>
        <v>-491.3876653577554</v>
      </c>
      <c r="T8" s="24">
        <f t="shared" si="4"/>
        <v>14.96594089774182</v>
      </c>
      <c r="U8" s="25" t="str">
        <f>IF(H8&gt;=Subsurface_Inputs!$C$42,"Lens visible","Weak/no lens")</f>
        <v>Weak/no lens</v>
      </c>
      <c r="V8" s="25" t="str">
        <f t="shared" si="5"/>
        <v>Likely visible</v>
      </c>
      <c r="W8" s="24">
        <f>Subsurface_Inputs!$C$43</f>
        <v>-45</v>
      </c>
      <c r="X8" s="24">
        <f t="shared" si="6"/>
        <v>10.92886521758934</v>
      </c>
      <c r="Y8" s="24">
        <f t="shared" si="7"/>
        <v>11.491498763485289</v>
      </c>
      <c r="Z8" s="24">
        <f t="shared" si="8"/>
        <v>11.491498763485289</v>
      </c>
      <c r="AA8" s="24">
        <v>0</v>
      </c>
    </row>
    <row r="9" spans="1:27">
      <c r="A9" s="24">
        <f>Model_Data!A9</f>
        <v>-56.5</v>
      </c>
      <c r="B9" s="24">
        <f>Model_Data!Y9</f>
        <v>141.45582449409375</v>
      </c>
      <c r="C9" s="24">
        <f>Model_Data!X9</f>
        <v>57.325647278919931</v>
      </c>
      <c r="D9" s="24">
        <f>Model_Data!B9</f>
        <v>403.54694444444442</v>
      </c>
      <c r="E9" s="24">
        <f>Inputs!$C$6</f>
        <v>25</v>
      </c>
      <c r="F9" s="24">
        <f>Subsurface_Inputs!$C$5+Subsurface_Inputs!$C$6*SIN(2*PI()*(A9+Subsurface_Inputs!$C$7)/Subsurface_Inputs!$C$8)+Subsurface_Inputs!$C$9*COS(2*PI()*A9/Subsurface_Inputs!$C$10)+Subsurface_Inputs!$C$11*(B9-AVERAGE($B$2:$B$242))</f>
        <v>985.50774475824744</v>
      </c>
      <c r="G9" s="24">
        <f t="shared" si="0"/>
        <v>-844.05192026415375</v>
      </c>
      <c r="H9" s="24">
        <f>MIN(1,MAX(0,Subsurface_Inputs!$C$13*EXP(-0.5*((A9-Subsurface_Inputs!$C$14)/Subsurface_Inputs!$C$15)^2)+Subsurface_Inputs!$C$16*EXP(-0.5*((A9-Subsurface_Inputs!$C$17)/Subsurface_Inputs!$C$18)^2)))</f>
        <v>4.8317657694620653E-3</v>
      </c>
      <c r="I9" s="24">
        <f>Subsurface_Inputs!$C$19+Subsurface_Inputs!$C$20*SIN(2*PI()*(A9-Subsurface_Inputs!$C$21)/Subsurface_Inputs!$C$22)-Subsurface_Inputs!$C$23*H9</f>
        <v>5617.3145928308741</v>
      </c>
      <c r="J9" s="24">
        <f t="shared" si="1"/>
        <v>-5475.8587683367805</v>
      </c>
      <c r="K9" s="24">
        <f>Subsurface_Inputs!$C$25+Subsurface_Inputs!$C$26*SIN(2*PI()*(A9+Subsurface_Inputs!$C$27)/Subsurface_Inputs!$C$28)+Subsurface_Inputs!$C$29*COS(2*PI()*(A9-Subsurface_Inputs!$C$30)/Subsurface_Inputs!$C$31)-Subsurface_Inputs!$C$32*(B9-AVERAGE($B$2:$B$242))</f>
        <v>14592.499316370247</v>
      </c>
      <c r="L9" s="24">
        <f t="shared" si="2"/>
        <v>-14451.043491876153</v>
      </c>
      <c r="M9" s="24">
        <f>2*Subsurface_Inputs!$C$34*F9/Subsurface_Inputs!$C$35*1000000</f>
        <v>11.7027879712016</v>
      </c>
      <c r="N9" s="24">
        <f>2*Subsurface_Inputs!$C$34*I9/Subsurface_Inputs!$C$35*1000000</f>
        <v>66.704946761795824</v>
      </c>
      <c r="O9" s="24">
        <f>2*Subsurface_Inputs!$C$34*K9/Subsurface_Inputs!$C$35*1000000</f>
        <v>173.28420438875111</v>
      </c>
      <c r="P9" s="24">
        <f>Subsurface_Inputs!$C$37-2*Subsurface_Inputs!$C$36*(F9/1000)</f>
        <v>-11.773913940564846</v>
      </c>
      <c r="Q9" s="24">
        <f>Subsurface_Inputs!$C$38+Subsurface_Inputs!$C$39*H9-2*Subsurface_Inputs!$C$36*(I9/1000)</f>
        <v>-34.067680375170411</v>
      </c>
      <c r="R9" s="24">
        <f>Subsurface_Inputs!$C$40-2*Subsurface_Inputs!$C$36*(K9/1000)-Subsurface_Inputs!$C$41*ABS(L9-AVERAGE($L$2:$L$242))</f>
        <v>-33.510155315933169</v>
      </c>
      <c r="S9" s="24">
        <f t="shared" si="3"/>
        <v>-484.88537920386625</v>
      </c>
      <c r="T9" s="24">
        <f t="shared" si="4"/>
        <v>14.807087406451481</v>
      </c>
      <c r="U9" s="25" t="str">
        <f>IF(H9&gt;=Subsurface_Inputs!$C$42,"Lens visible","Weak/no lens")</f>
        <v>Weak/no lens</v>
      </c>
      <c r="V9" s="25" t="str">
        <f t="shared" si="5"/>
        <v>Likely visible</v>
      </c>
      <c r="W9" s="24">
        <f>Subsurface_Inputs!$C$43</f>
        <v>-45</v>
      </c>
      <c r="X9" s="24">
        <f t="shared" si="6"/>
        <v>10.932319624829589</v>
      </c>
      <c r="Y9" s="24">
        <f t="shared" si="7"/>
        <v>11.489844684066831</v>
      </c>
      <c r="Z9" s="24">
        <f t="shared" si="8"/>
        <v>11.489844684066831</v>
      </c>
      <c r="AA9" s="24">
        <v>0</v>
      </c>
    </row>
    <row r="10" spans="1:27">
      <c r="A10" s="24">
        <f>Model_Data!A10</f>
        <v>-56</v>
      </c>
      <c r="B10" s="24">
        <f>Model_Data!Y10</f>
        <v>167.11523893481203</v>
      </c>
      <c r="C10" s="24">
        <f>Model_Data!X10</f>
        <v>61.559568351968792</v>
      </c>
      <c r="D10" s="24">
        <f>Model_Data!B10</f>
        <v>403.48444444444442</v>
      </c>
      <c r="E10" s="24">
        <f>Inputs!$C$6</f>
        <v>25</v>
      </c>
      <c r="F10" s="24">
        <f>Subsurface_Inputs!$C$5+Subsurface_Inputs!$C$6*SIN(2*PI()*(A10+Subsurface_Inputs!$C$7)/Subsurface_Inputs!$C$8)+Subsurface_Inputs!$C$9*COS(2*PI()*A10/Subsurface_Inputs!$C$10)+Subsurface_Inputs!$C$11*(B10-AVERAGE($B$2:$B$242))</f>
        <v>998.90363949363484</v>
      </c>
      <c r="G10" s="24">
        <f t="shared" si="0"/>
        <v>-831.78840055882279</v>
      </c>
      <c r="H10" s="24">
        <f>MIN(1,MAX(0,Subsurface_Inputs!$C$13*EXP(-0.5*((A10-Subsurface_Inputs!$C$14)/Subsurface_Inputs!$C$15)^2)+Subsurface_Inputs!$C$16*EXP(-0.5*((A10-Subsurface_Inputs!$C$17)/Subsurface_Inputs!$C$18)^2)))</f>
        <v>5.6772217502556403E-3</v>
      </c>
      <c r="I10" s="24">
        <f>Subsurface_Inputs!$C$19+Subsurface_Inputs!$C$20*SIN(2*PI()*(A10-Subsurface_Inputs!$C$21)/Subsurface_Inputs!$C$22)-Subsurface_Inputs!$C$23*H10</f>
        <v>5618.2558809263592</v>
      </c>
      <c r="J10" s="24">
        <f t="shared" si="1"/>
        <v>-5451.1406419915475</v>
      </c>
      <c r="K10" s="24">
        <f>Subsurface_Inputs!$C$25+Subsurface_Inputs!$C$26*SIN(2*PI()*(A10+Subsurface_Inputs!$C$27)/Subsurface_Inputs!$C$28)+Subsurface_Inputs!$C$29*COS(2*PI()*(A10-Subsurface_Inputs!$C$30)/Subsurface_Inputs!$C$31)-Subsurface_Inputs!$C$32*(B10-AVERAGE($B$2:$B$242))</f>
        <v>14595.55464426455</v>
      </c>
      <c r="L10" s="24">
        <f t="shared" si="2"/>
        <v>-14428.439405329738</v>
      </c>
      <c r="M10" s="24">
        <f>2*Subsurface_Inputs!$C$34*F10/Subsurface_Inputs!$C$35*1000000</f>
        <v>11.861862637642938</v>
      </c>
      <c r="N10" s="24">
        <f>2*Subsurface_Inputs!$C$34*I10/Subsurface_Inputs!$C$35*1000000</f>
        <v>66.716124446659151</v>
      </c>
      <c r="O10" s="24">
        <f>2*Subsurface_Inputs!$C$34*K10/Subsurface_Inputs!$C$35*1000000</f>
        <v>173.32048604632274</v>
      </c>
      <c r="P10" s="24">
        <f>Subsurface_Inputs!$C$37-2*Subsurface_Inputs!$C$36*(F10/1000)</f>
        <v>-11.798026551088542</v>
      </c>
      <c r="Q10" s="24">
        <f>Subsurface_Inputs!$C$38+Subsurface_Inputs!$C$39*H10-2*Subsurface_Inputs!$C$36*(I10/1000)</f>
        <v>-34.061765589915147</v>
      </c>
      <c r="R10" s="24">
        <f>Subsurface_Inputs!$C$40-2*Subsurface_Inputs!$C$36*(K10/1000)-Subsurface_Inputs!$C$41*ABS(L10-AVERAGE($L$2:$L$242))</f>
        <v>-33.606071252328569</v>
      </c>
      <c r="S10" s="24">
        <f t="shared" si="3"/>
        <v>-481.83005130956371</v>
      </c>
      <c r="T10" s="24">
        <f t="shared" si="4"/>
        <v>14.61157419715013</v>
      </c>
      <c r="U10" s="25" t="str">
        <f>IF(H10&gt;=Subsurface_Inputs!$C$42,"Lens visible","Weak/no lens")</f>
        <v>Weak/no lens</v>
      </c>
      <c r="V10" s="25" t="str">
        <f t="shared" si="5"/>
        <v>Likely visible</v>
      </c>
      <c r="W10" s="24">
        <f>Subsurface_Inputs!$C$43</f>
        <v>-45</v>
      </c>
      <c r="X10" s="24">
        <f t="shared" si="6"/>
        <v>10.938234410084853</v>
      </c>
      <c r="Y10" s="24">
        <f t="shared" si="7"/>
        <v>11.393928747671431</v>
      </c>
      <c r="Z10" s="24">
        <f t="shared" si="8"/>
        <v>11.393928747671431</v>
      </c>
      <c r="AA10" s="24">
        <v>0</v>
      </c>
    </row>
    <row r="11" spans="1:27">
      <c r="A11" s="24">
        <f>Model_Data!A11</f>
        <v>-55.5</v>
      </c>
      <c r="B11" s="24">
        <f>Model_Data!Y11</f>
        <v>160.57943103446084</v>
      </c>
      <c r="C11" s="24">
        <f>Model_Data!X11</f>
        <v>38.496582165951239</v>
      </c>
      <c r="D11" s="24">
        <f>Model_Data!B11</f>
        <v>403.42250000000001</v>
      </c>
      <c r="E11" s="24">
        <f>Inputs!$C$6</f>
        <v>25</v>
      </c>
      <c r="F11" s="24">
        <f>Subsurface_Inputs!$C$5+Subsurface_Inputs!$C$6*SIN(2*PI()*(A11+Subsurface_Inputs!$C$7)/Subsurface_Inputs!$C$8)+Subsurface_Inputs!$C$9*COS(2*PI()*A11/Subsurface_Inputs!$C$10)+Subsurface_Inputs!$C$11*(B11-AVERAGE($B$2:$B$242))</f>
        <v>1012.540930285338</v>
      </c>
      <c r="G11" s="24">
        <f t="shared" si="0"/>
        <v>-851.96149925087718</v>
      </c>
      <c r="H11" s="24">
        <f>MIN(1,MAX(0,Subsurface_Inputs!$C$13*EXP(-0.5*((A11-Subsurface_Inputs!$C$14)/Subsurface_Inputs!$C$15)^2)+Subsurface_Inputs!$C$16*EXP(-0.5*((A11-Subsurface_Inputs!$C$17)/Subsurface_Inputs!$C$18)^2)))</f>
        <v>6.6539587918943007E-3</v>
      </c>
      <c r="I11" s="24">
        <f>Subsurface_Inputs!$C$19+Subsurface_Inputs!$C$20*SIN(2*PI()*(A11-Subsurface_Inputs!$C$21)/Subsurface_Inputs!$C$22)-Subsurface_Inputs!$C$23*H11</f>
        <v>5618.4030498899456</v>
      </c>
      <c r="J11" s="24">
        <f t="shared" si="1"/>
        <v>-5457.8236188554847</v>
      </c>
      <c r="K11" s="24">
        <f>Subsurface_Inputs!$C$25+Subsurface_Inputs!$C$26*SIN(2*PI()*(A11+Subsurface_Inputs!$C$27)/Subsurface_Inputs!$C$28)+Subsurface_Inputs!$C$29*COS(2*PI()*(A11-Subsurface_Inputs!$C$30)/Subsurface_Inputs!$C$31)-Subsurface_Inputs!$C$32*(B11-AVERAGE($B$2:$B$242))</f>
        <v>14602.692839300287</v>
      </c>
      <c r="L11" s="24">
        <f t="shared" si="2"/>
        <v>-14442.113408265826</v>
      </c>
      <c r="M11" s="24">
        <f>2*Subsurface_Inputs!$C$34*F11/Subsurface_Inputs!$C$35*1000000</f>
        <v>12.023803853717373</v>
      </c>
      <c r="N11" s="24">
        <f>2*Subsurface_Inputs!$C$34*I11/Subsurface_Inputs!$C$35*1000000</f>
        <v>66.717872060704764</v>
      </c>
      <c r="O11" s="24">
        <f>2*Subsurface_Inputs!$C$34*K11/Subsurface_Inputs!$C$35*1000000</f>
        <v>173.40525126855934</v>
      </c>
      <c r="P11" s="24">
        <f>Subsurface_Inputs!$C$37-2*Subsurface_Inputs!$C$36*(F11/1000)</f>
        <v>-11.822573674513608</v>
      </c>
      <c r="Q11" s="24">
        <f>Subsurface_Inputs!$C$38+Subsurface_Inputs!$C$39*H11-2*Subsurface_Inputs!$C$36*(I11/1000)</f>
        <v>-34.05323986067485</v>
      </c>
      <c r="R11" s="24">
        <f>Subsurface_Inputs!$C$40-2*Subsurface_Inputs!$C$36*(K11/1000)-Subsurface_Inputs!$C$41*ABS(L11-AVERAGE($L$2:$L$242))</f>
        <v>-33.564223991648547</v>
      </c>
      <c r="S11" s="24">
        <f t="shared" si="3"/>
        <v>-474.69185627382649</v>
      </c>
      <c r="T11" s="24">
        <f t="shared" si="4"/>
        <v>14.421829678712534</v>
      </c>
      <c r="U11" s="25" t="str">
        <f>IF(H11&gt;=Subsurface_Inputs!$C$42,"Lens visible","Weak/no lens")</f>
        <v>Weak/no lens</v>
      </c>
      <c r="V11" s="25" t="str">
        <f t="shared" si="5"/>
        <v>Likely visible</v>
      </c>
      <c r="W11" s="24">
        <f>Subsurface_Inputs!$C$43</f>
        <v>-45</v>
      </c>
      <c r="X11" s="24">
        <f t="shared" si="6"/>
        <v>10.94676013932515</v>
      </c>
      <c r="Y11" s="24">
        <f t="shared" si="7"/>
        <v>11.435776008351453</v>
      </c>
      <c r="Z11" s="24">
        <f t="shared" si="8"/>
        <v>11.435776008351453</v>
      </c>
      <c r="AA11" s="24">
        <v>0</v>
      </c>
    </row>
    <row r="12" spans="1:27">
      <c r="A12" s="24">
        <f>Model_Data!A12</f>
        <v>-55</v>
      </c>
      <c r="B12" s="24">
        <f>Model_Data!Y12</f>
        <v>176.10976359434375</v>
      </c>
      <c r="C12" s="24">
        <f>Model_Data!X12</f>
        <v>46.511955931760568</v>
      </c>
      <c r="D12" s="24">
        <f>Model_Data!B12</f>
        <v>403.36111111111109</v>
      </c>
      <c r="E12" s="24">
        <f>Inputs!$C$6</f>
        <v>25</v>
      </c>
      <c r="F12" s="24">
        <f>Subsurface_Inputs!$C$5+Subsurface_Inputs!$C$6*SIN(2*PI()*(A12+Subsurface_Inputs!$C$7)/Subsurface_Inputs!$C$8)+Subsurface_Inputs!$C$9*COS(2*PI()*A12/Subsurface_Inputs!$C$10)+Subsurface_Inputs!$C$11*(B12-AVERAGE($B$2:$B$242))</f>
        <v>1028.4632321594484</v>
      </c>
      <c r="G12" s="24">
        <f t="shared" si="0"/>
        <v>-852.35346856510455</v>
      </c>
      <c r="H12" s="24">
        <f>MIN(1,MAX(0,Subsurface_Inputs!$C$13*EXP(-0.5*((A12-Subsurface_Inputs!$C$14)/Subsurface_Inputs!$C$15)^2)+Subsurface_Inputs!$C$16*EXP(-0.5*((A12-Subsurface_Inputs!$C$17)/Subsurface_Inputs!$C$18)^2)))</f>
        <v>7.7792659636553704E-3</v>
      </c>
      <c r="I12" s="24">
        <f>Subsurface_Inputs!$C$19+Subsurface_Inputs!$C$20*SIN(2*PI()*(A12-Subsurface_Inputs!$C$21)/Subsurface_Inputs!$C$22)-Subsurface_Inputs!$C$23*H12</f>
        <v>5617.7513903151439</v>
      </c>
      <c r="J12" s="24">
        <f t="shared" si="1"/>
        <v>-5441.6416267208006</v>
      </c>
      <c r="K12" s="24">
        <f>Subsurface_Inputs!$C$25+Subsurface_Inputs!$C$26*SIN(2*PI()*(A12+Subsurface_Inputs!$C$27)/Subsurface_Inputs!$C$28)+Subsurface_Inputs!$C$29*COS(2*PI()*(A12-Subsurface_Inputs!$C$30)/Subsurface_Inputs!$C$31)-Subsurface_Inputs!$C$32*(B12-AVERAGE($B$2:$B$242))</f>
        <v>14606.307966267494</v>
      </c>
      <c r="L12" s="24">
        <f t="shared" si="2"/>
        <v>-14430.198202673149</v>
      </c>
      <c r="M12" s="24">
        <f>2*Subsurface_Inputs!$C$34*F12/Subsurface_Inputs!$C$35*1000000</f>
        <v>12.212879306282069</v>
      </c>
      <c r="N12" s="24">
        <f>2*Subsurface_Inputs!$C$34*I12/Subsurface_Inputs!$C$35*1000000</f>
        <v>66.710133680287285</v>
      </c>
      <c r="O12" s="24">
        <f>2*Subsurface_Inputs!$C$34*K12/Subsurface_Inputs!$C$35*1000000</f>
        <v>173.44818047394736</v>
      </c>
      <c r="P12" s="24">
        <f>Subsurface_Inputs!$C$37-2*Subsurface_Inputs!$C$36*(F12/1000)</f>
        <v>-11.851233817887007</v>
      </c>
      <c r="Q12" s="24">
        <f>Subsurface_Inputs!$C$38+Subsurface_Inputs!$C$39*H12-2*Subsurface_Inputs!$C$36*(I12/1000)</f>
        <v>-34.041939108894361</v>
      </c>
      <c r="R12" s="24">
        <f>Subsurface_Inputs!$C$40-2*Subsurface_Inputs!$C$36*(K12/1000)-Subsurface_Inputs!$C$41*ABS(L12-AVERAGE($L$2:$L$242))</f>
        <v>-33.618392042560224</v>
      </c>
      <c r="S12" s="24">
        <f t="shared" si="3"/>
        <v>-471.07672930662011</v>
      </c>
      <c r="T12" s="24">
        <f t="shared" si="4"/>
        <v>14.202071118866208</v>
      </c>
      <c r="U12" s="25" t="str">
        <f>IF(H12&gt;=Subsurface_Inputs!$C$42,"Lens visible","Weak/no lens")</f>
        <v>Weak/no lens</v>
      </c>
      <c r="V12" s="25" t="str">
        <f t="shared" si="5"/>
        <v>Likely visible</v>
      </c>
      <c r="W12" s="24">
        <f>Subsurface_Inputs!$C$43</f>
        <v>-45</v>
      </c>
      <c r="X12" s="24">
        <f t="shared" si="6"/>
        <v>10.958060891105639</v>
      </c>
      <c r="Y12" s="24">
        <f t="shared" si="7"/>
        <v>11.381607957439776</v>
      </c>
      <c r="Z12" s="24">
        <f t="shared" si="8"/>
        <v>11.381607957439776</v>
      </c>
      <c r="AA12" s="24">
        <v>0</v>
      </c>
    </row>
    <row r="13" spans="1:27">
      <c r="A13" s="24">
        <f>Model_Data!A13</f>
        <v>-54.5</v>
      </c>
      <c r="B13" s="24">
        <f>Model_Data!Y13</f>
        <v>194.40953580826846</v>
      </c>
      <c r="C13" s="24">
        <f>Model_Data!X13</f>
        <v>49.774693415091853</v>
      </c>
      <c r="D13" s="24">
        <f>Model_Data!B13</f>
        <v>403.30027777777775</v>
      </c>
      <c r="E13" s="24">
        <f>Inputs!$C$6</f>
        <v>25</v>
      </c>
      <c r="F13" s="24">
        <f>Subsurface_Inputs!$C$5+Subsurface_Inputs!$C$6*SIN(2*PI()*(A13+Subsurface_Inputs!$C$7)/Subsurface_Inputs!$C$8)+Subsurface_Inputs!$C$9*COS(2*PI()*A13/Subsurface_Inputs!$C$10)+Subsurface_Inputs!$C$11*(B13-AVERAGE($B$2:$B$242))</f>
        <v>1045.7515462573372</v>
      </c>
      <c r="G13" s="24">
        <f t="shared" si="0"/>
        <v>-851.34201044906877</v>
      </c>
      <c r="H13" s="24">
        <f>MIN(1,MAX(0,Subsurface_Inputs!$C$13*EXP(-0.5*((A13-Subsurface_Inputs!$C$14)/Subsurface_Inputs!$C$15)^2)+Subsurface_Inputs!$C$16*EXP(-0.5*((A13-Subsurface_Inputs!$C$17)/Subsurface_Inputs!$C$18)^2)))</f>
        <v>9.0721745252693008E-3</v>
      </c>
      <c r="I13" s="24">
        <f>Subsurface_Inputs!$C$19+Subsurface_Inputs!$C$20*SIN(2*PI()*(A13-Subsurface_Inputs!$C$21)/Subsurface_Inputs!$C$22)-Subsurface_Inputs!$C$23*H13</f>
        <v>5616.2968947294803</v>
      </c>
      <c r="J13" s="24">
        <f t="shared" si="1"/>
        <v>-5421.8873589212117</v>
      </c>
      <c r="K13" s="24">
        <f>Subsurface_Inputs!$C$25+Subsurface_Inputs!$C$26*SIN(2*PI()*(A13+Subsurface_Inputs!$C$27)/Subsurface_Inputs!$C$28)+Subsurface_Inputs!$C$29*COS(2*PI()*(A13-Subsurface_Inputs!$C$30)/Subsurface_Inputs!$C$31)-Subsurface_Inputs!$C$32*(B13-AVERAGE($B$2:$B$242))</f>
        <v>14609.094149774912</v>
      </c>
      <c r="L13" s="24">
        <f t="shared" si="2"/>
        <v>-14414.684613966643</v>
      </c>
      <c r="M13" s="24">
        <f>2*Subsurface_Inputs!$C$34*F13/Subsurface_Inputs!$C$35*1000000</f>
        <v>12.418175992526537</v>
      </c>
      <c r="N13" s="24">
        <f>2*Subsurface_Inputs!$C$34*I13/Subsurface_Inputs!$C$35*1000000</f>
        <v>66.692861717144837</v>
      </c>
      <c r="O13" s="24">
        <f>2*Subsurface_Inputs!$C$34*K13/Subsurface_Inputs!$C$35*1000000</f>
        <v>173.48126607374053</v>
      </c>
      <c r="P13" s="24">
        <f>Subsurface_Inputs!$C$37-2*Subsurface_Inputs!$C$36*(F13/1000)</f>
        <v>-11.882352783263206</v>
      </c>
      <c r="Q13" s="24">
        <f>Subsurface_Inputs!$C$38+Subsurface_Inputs!$C$39*H13-2*Subsurface_Inputs!$C$36*(I13/1000)</f>
        <v>-34.027684839785636</v>
      </c>
      <c r="R13" s="24">
        <f>Subsurface_Inputs!$C$40-2*Subsurface_Inputs!$C$36*(K13/1000)-Subsurface_Inputs!$C$41*ABS(L13-AVERAGE($L$2:$L$242))</f>
        <v>-33.685461527699594</v>
      </c>
      <c r="S13" s="24">
        <f t="shared" si="3"/>
        <v>-468.29054579920194</v>
      </c>
      <c r="T13" s="24">
        <f t="shared" si="4"/>
        <v>13.969947452681007</v>
      </c>
      <c r="U13" s="25" t="str">
        <f>IF(H13&gt;=Subsurface_Inputs!$C$42,"Lens visible","Weak/no lens")</f>
        <v>Weak/no lens</v>
      </c>
      <c r="V13" s="25" t="str">
        <f t="shared" si="5"/>
        <v>Likely visible</v>
      </c>
      <c r="W13" s="24">
        <f>Subsurface_Inputs!$C$43</f>
        <v>-45</v>
      </c>
      <c r="X13" s="24">
        <f t="shared" si="6"/>
        <v>10.972315160214364</v>
      </c>
      <c r="Y13" s="24">
        <f t="shared" si="7"/>
        <v>11.314538472300406</v>
      </c>
      <c r="Z13" s="24">
        <f t="shared" si="8"/>
        <v>11.314538472300406</v>
      </c>
      <c r="AA13" s="24">
        <v>0</v>
      </c>
    </row>
    <row r="14" spans="1:27">
      <c r="A14" s="24">
        <f>Model_Data!A14</f>
        <v>-54</v>
      </c>
      <c r="B14" s="24">
        <f>Model_Data!Y14</f>
        <v>196.39629745562698</v>
      </c>
      <c r="C14" s="24">
        <f>Model_Data!X14</f>
        <v>37.915684067232107</v>
      </c>
      <c r="D14" s="24">
        <f>Model_Data!B14</f>
        <v>403.24</v>
      </c>
      <c r="E14" s="24">
        <f>Inputs!$C$6</f>
        <v>25</v>
      </c>
      <c r="F14" s="24">
        <f>Subsurface_Inputs!$C$5+Subsurface_Inputs!$C$6*SIN(2*PI()*(A14+Subsurface_Inputs!$C$7)/Subsurface_Inputs!$C$8)+Subsurface_Inputs!$C$9*COS(2*PI()*A14/Subsurface_Inputs!$C$10)+Subsurface_Inputs!$C$11*(B14-AVERAGE($B$2:$B$242))</f>
        <v>1063.4771219823374</v>
      </c>
      <c r="G14" s="24">
        <f t="shared" si="0"/>
        <v>-867.08082452671044</v>
      </c>
      <c r="H14" s="24">
        <f>MIN(1,MAX(0,Subsurface_Inputs!$C$13*EXP(-0.5*((A14-Subsurface_Inputs!$C$14)/Subsurface_Inputs!$C$15)^2)+Subsurface_Inputs!$C$16*EXP(-0.5*((A14-Subsurface_Inputs!$C$17)/Subsurface_Inputs!$C$18)^2)))</f>
        <v>1.055354671133019E-2</v>
      </c>
      <c r="I14" s="24">
        <f>Subsurface_Inputs!$C$19+Subsurface_Inputs!$C$20*SIN(2*PI()*(A14-Subsurface_Inputs!$C$21)/Subsurface_Inputs!$C$22)-Subsurface_Inputs!$C$23*H14</f>
        <v>5614.0362354643121</v>
      </c>
      <c r="J14" s="24">
        <f t="shared" si="1"/>
        <v>-5417.639938008685</v>
      </c>
      <c r="K14" s="24">
        <f>Subsurface_Inputs!$C$25+Subsurface_Inputs!$C$26*SIN(2*PI()*(A14+Subsurface_Inputs!$C$27)/Subsurface_Inputs!$C$28)+Subsurface_Inputs!$C$29*COS(2*PI()*(A14-Subsurface_Inputs!$C$30)/Subsurface_Inputs!$C$31)-Subsurface_Inputs!$C$32*(B14-AVERAGE($B$2:$B$242))</f>
        <v>14613.717465260237</v>
      </c>
      <c r="L14" s="24">
        <f t="shared" si="2"/>
        <v>-14417.32116780461</v>
      </c>
      <c r="M14" s="24">
        <f>2*Subsurface_Inputs!$C$34*F14/Subsurface_Inputs!$C$35*1000000</f>
        <v>12.628665108903846</v>
      </c>
      <c r="N14" s="24">
        <f>2*Subsurface_Inputs!$C$34*I14/Subsurface_Inputs!$C$35*1000000</f>
        <v>66.666016655605631</v>
      </c>
      <c r="O14" s="24">
        <f>2*Subsurface_Inputs!$C$34*K14/Subsurface_Inputs!$C$35*1000000</f>
        <v>173.53616739860229</v>
      </c>
      <c r="P14" s="24">
        <f>Subsurface_Inputs!$C$37-2*Subsurface_Inputs!$C$36*(F14/1000)</f>
        <v>-11.914258819568207</v>
      </c>
      <c r="Q14" s="24">
        <f>Subsurface_Inputs!$C$38+Subsurface_Inputs!$C$39*H14-2*Subsurface_Inputs!$C$36*(I14/1000)</f>
        <v>-34.010283303433795</v>
      </c>
      <c r="R14" s="24">
        <f>Subsurface_Inputs!$C$40-2*Subsurface_Inputs!$C$36*(K14/1000)-Subsurface_Inputs!$C$41*ABS(L14-AVERAGE($L$2:$L$242))</f>
        <v>-33.68323728022132</v>
      </c>
      <c r="S14" s="24">
        <f t="shared" si="3"/>
        <v>-463.66723031387664</v>
      </c>
      <c r="T14" s="24">
        <f t="shared" si="4"/>
        <v>13.741449781279778</v>
      </c>
      <c r="U14" s="25" t="str">
        <f>IF(H14&gt;=Subsurface_Inputs!$C$42,"Lens visible","Weak/no lens")</f>
        <v>Weak/no lens</v>
      </c>
      <c r="V14" s="25" t="str">
        <f t="shared" si="5"/>
        <v>Likely visible</v>
      </c>
      <c r="W14" s="24">
        <f>Subsurface_Inputs!$C$43</f>
        <v>-45</v>
      </c>
      <c r="X14" s="24">
        <f t="shared" si="6"/>
        <v>10.989716696566205</v>
      </c>
      <c r="Y14" s="24">
        <f t="shared" si="7"/>
        <v>11.31676271977868</v>
      </c>
      <c r="Z14" s="24">
        <f t="shared" si="8"/>
        <v>11.31676271977868</v>
      </c>
      <c r="AA14" s="24">
        <v>0</v>
      </c>
    </row>
    <row r="15" spans="1:27">
      <c r="A15" s="24">
        <f>Model_Data!A15</f>
        <v>-53.5</v>
      </c>
      <c r="B15" s="24">
        <f>Model_Data!Y15</f>
        <v>215.04504497494062</v>
      </c>
      <c r="C15" s="24">
        <f>Model_Data!X15</f>
        <v>49.305692333608725</v>
      </c>
      <c r="D15" s="24">
        <f>Model_Data!B15</f>
        <v>403.1802777777778</v>
      </c>
      <c r="E15" s="24">
        <f>Inputs!$C$6</f>
        <v>25</v>
      </c>
      <c r="F15" s="24">
        <f>Subsurface_Inputs!$C$5+Subsurface_Inputs!$C$6*SIN(2*PI()*(A15+Subsurface_Inputs!$C$7)/Subsurface_Inputs!$C$8)+Subsurface_Inputs!$C$9*COS(2*PI()*A15/Subsurface_Inputs!$C$10)+Subsurface_Inputs!$C$11*(B15-AVERAGE($B$2:$B$242))</f>
        <v>1082.7774674188674</v>
      </c>
      <c r="G15" s="24">
        <f t="shared" si="0"/>
        <v>-867.73242244392679</v>
      </c>
      <c r="H15" s="24">
        <f>MIN(1,MAX(0,Subsurface_Inputs!$C$13*EXP(-0.5*((A15-Subsurface_Inputs!$C$14)/Subsurface_Inputs!$C$15)^2)+Subsurface_Inputs!$C$16*EXP(-0.5*((A15-Subsurface_Inputs!$C$17)/Subsurface_Inputs!$C$18)^2)))</f>
        <v>1.2246154686801397E-2</v>
      </c>
      <c r="I15" s="24">
        <f>Subsurface_Inputs!$C$19+Subsurface_Inputs!$C$20*SIN(2*PI()*(A15-Subsurface_Inputs!$C$21)/Subsurface_Inputs!$C$22)-Subsurface_Inputs!$C$23*H15</f>
        <v>5610.9667432409487</v>
      </c>
      <c r="J15" s="24">
        <f t="shared" si="1"/>
        <v>-5395.9216982660082</v>
      </c>
      <c r="K15" s="24">
        <f>Subsurface_Inputs!$C$25+Subsurface_Inputs!$C$26*SIN(2*PI()*(A15+Subsurface_Inputs!$C$27)/Subsurface_Inputs!$C$28)+Subsurface_Inputs!$C$29*COS(2*PI()*(A15-Subsurface_Inputs!$C$30)/Subsurface_Inputs!$C$31)-Subsurface_Inputs!$C$32*(B15-AVERAGE($B$2:$B$242))</f>
        <v>14615.557901101563</v>
      </c>
      <c r="L15" s="24">
        <f t="shared" si="2"/>
        <v>-14400.512856126623</v>
      </c>
      <c r="M15" s="24">
        <f>2*Subsurface_Inputs!$C$34*F15/Subsurface_Inputs!$C$35*1000000</f>
        <v>12.857854429450551</v>
      </c>
      <c r="N15" s="24">
        <f>2*Subsurface_Inputs!$C$34*I15/Subsurface_Inputs!$C$35*1000000</f>
        <v>66.629566798300772</v>
      </c>
      <c r="O15" s="24">
        <f>2*Subsurface_Inputs!$C$34*K15/Subsurface_Inputs!$C$35*1000000</f>
        <v>173.55802235665837</v>
      </c>
      <c r="P15" s="24">
        <f>Subsurface_Inputs!$C$37-2*Subsurface_Inputs!$C$36*(F15/1000)</f>
        <v>-11.948999441353962</v>
      </c>
      <c r="Q15" s="24">
        <f>Subsurface_Inputs!$C$38+Subsurface_Inputs!$C$39*H15-2*Subsurface_Inputs!$C$36*(I15/1000)</f>
        <v>-33.989524745652496</v>
      </c>
      <c r="R15" s="24">
        <f>Subsurface_Inputs!$C$40-2*Subsurface_Inputs!$C$36*(K15/1000)-Subsurface_Inputs!$C$41*ABS(L15-AVERAGE($L$2:$L$242))</f>
        <v>-33.753783311447656</v>
      </c>
      <c r="S15" s="24">
        <f t="shared" si="3"/>
        <v>-461.82679447255032</v>
      </c>
      <c r="T15" s="24">
        <f t="shared" si="4"/>
        <v>13.498210242536938</v>
      </c>
      <c r="U15" s="25" t="str">
        <f>IF(H15&gt;=Subsurface_Inputs!$C$42,"Lens visible","Weak/no lens")</f>
        <v>Weak/no lens</v>
      </c>
      <c r="V15" s="25" t="str">
        <f t="shared" si="5"/>
        <v>Likely visible</v>
      </c>
      <c r="W15" s="24">
        <f>Subsurface_Inputs!$C$43</f>
        <v>-45</v>
      </c>
      <c r="X15" s="24">
        <f t="shared" si="6"/>
        <v>11.010475254347504</v>
      </c>
      <c r="Y15" s="24">
        <f t="shared" si="7"/>
        <v>11.246216688552344</v>
      </c>
      <c r="Z15" s="24">
        <f t="shared" si="8"/>
        <v>11.246216688552344</v>
      </c>
      <c r="AA15" s="24">
        <v>0</v>
      </c>
    </row>
    <row r="16" spans="1:27">
      <c r="A16" s="24">
        <f>Model_Data!A16</f>
        <v>-53</v>
      </c>
      <c r="B16" s="24">
        <f>Model_Data!Y16</f>
        <v>220.27863667842527</v>
      </c>
      <c r="C16" s="24">
        <f>Model_Data!X16</f>
        <v>54.961826683264675</v>
      </c>
      <c r="D16" s="24">
        <f>Model_Data!B16</f>
        <v>403.12111111111113</v>
      </c>
      <c r="E16" s="24">
        <f>Inputs!$C$6</f>
        <v>25</v>
      </c>
      <c r="F16" s="24">
        <f>Subsurface_Inputs!$C$5+Subsurface_Inputs!$C$6*SIN(2*PI()*(A16+Subsurface_Inputs!$C$7)/Subsurface_Inputs!$C$8)+Subsurface_Inputs!$C$9*COS(2*PI()*A16/Subsurface_Inputs!$C$10)+Subsurface_Inputs!$C$11*(B16-AVERAGE($B$2:$B$242))</f>
        <v>1102.254523465439</v>
      </c>
      <c r="G16" s="24">
        <f t="shared" si="0"/>
        <v>-881.97588678701368</v>
      </c>
      <c r="H16" s="24">
        <f>MIN(1,MAX(0,Subsurface_Inputs!$C$13*EXP(-0.5*((A16-Subsurface_Inputs!$C$14)/Subsurface_Inputs!$C$15)^2)+Subsurface_Inputs!$C$16*EXP(-0.5*((A16-Subsurface_Inputs!$C$17)/Subsurface_Inputs!$C$18)^2)))</f>
        <v>1.4174746765614449E-2</v>
      </c>
      <c r="I16" s="24">
        <f>Subsurface_Inputs!$C$19+Subsurface_Inputs!$C$20*SIN(2*PI()*(A16-Subsurface_Inputs!$C$21)/Subsurface_Inputs!$C$22)-Subsurface_Inputs!$C$23*H16</f>
        <v>5607.0863871746169</v>
      </c>
      <c r="J16" s="24">
        <f t="shared" si="1"/>
        <v>-5386.8077504961921</v>
      </c>
      <c r="K16" s="24">
        <f>Subsurface_Inputs!$C$25+Subsurface_Inputs!$C$26*SIN(2*PI()*(A16+Subsurface_Inputs!$C$27)/Subsurface_Inputs!$C$28)+Subsurface_Inputs!$C$29*COS(2*PI()*(A16-Subsurface_Inputs!$C$30)/Subsurface_Inputs!$C$31)-Subsurface_Inputs!$C$32*(B16-AVERAGE($B$2:$B$242))</f>
        <v>14618.824704591409</v>
      </c>
      <c r="L16" s="24">
        <f t="shared" si="2"/>
        <v>-14398.546067912983</v>
      </c>
      <c r="M16" s="24">
        <f>2*Subsurface_Inputs!$C$34*F16/Subsurface_Inputs!$C$35*1000000</f>
        <v>13.08914216760237</v>
      </c>
      <c r="N16" s="24">
        <f>2*Subsurface_Inputs!$C$34*I16/Subsurface_Inputs!$C$35*1000000</f>
        <v>66.583488028713646</v>
      </c>
      <c r="O16" s="24">
        <f>2*Subsurface_Inputs!$C$34*K16/Subsurface_Inputs!$C$35*1000000</f>
        <v>173.59681526192836</v>
      </c>
      <c r="P16" s="24">
        <f>Subsurface_Inputs!$C$37-2*Subsurface_Inputs!$C$36*(F16/1000)</f>
        <v>-11.984058142237791</v>
      </c>
      <c r="Q16" s="24">
        <f>Subsurface_Inputs!$C$38+Subsurface_Inputs!$C$39*H16-2*Subsurface_Inputs!$C$36*(I16/1000)</f>
        <v>-33.965182776023781</v>
      </c>
      <c r="R16" s="24">
        <f>Subsurface_Inputs!$C$40-2*Subsurface_Inputs!$C$36*(K16/1000)-Subsurface_Inputs!$C$41*ABS(L16-AVERAGE($L$2:$L$242))</f>
        <v>-33.767530710583934</v>
      </c>
      <c r="S16" s="24">
        <f t="shared" si="3"/>
        <v>-458.55999098270513</v>
      </c>
      <c r="T16" s="24">
        <f t="shared" si="4"/>
        <v>13.262657937325107</v>
      </c>
      <c r="U16" s="25" t="str">
        <f>IF(H16&gt;=Subsurface_Inputs!$C$42,"Lens visible","Weak/no lens")</f>
        <v>Weak/no lens</v>
      </c>
      <c r="V16" s="25" t="str">
        <f t="shared" si="5"/>
        <v>Likely visible</v>
      </c>
      <c r="W16" s="24">
        <f>Subsurface_Inputs!$C$43</f>
        <v>-45</v>
      </c>
      <c r="X16" s="24">
        <f t="shared" si="6"/>
        <v>11.034817223976219</v>
      </c>
      <c r="Y16" s="24">
        <f t="shared" si="7"/>
        <v>11.232469289416066</v>
      </c>
      <c r="Z16" s="24">
        <f t="shared" si="8"/>
        <v>11.232469289416066</v>
      </c>
      <c r="AA16" s="24">
        <v>0</v>
      </c>
    </row>
    <row r="17" spans="1:27">
      <c r="A17" s="24">
        <f>Model_Data!A17</f>
        <v>-52.5</v>
      </c>
      <c r="B17" s="24">
        <f>Model_Data!Y17</f>
        <v>228.48571186718385</v>
      </c>
      <c r="C17" s="24">
        <f>Model_Data!X17</f>
        <v>41.913539426844665</v>
      </c>
      <c r="D17" s="24">
        <f>Model_Data!B17</f>
        <v>403.0625</v>
      </c>
      <c r="E17" s="24">
        <f>Inputs!$C$6</f>
        <v>25</v>
      </c>
      <c r="F17" s="24">
        <f>Subsurface_Inputs!$C$5+Subsurface_Inputs!$C$6*SIN(2*PI()*(A17+Subsurface_Inputs!$C$7)/Subsurface_Inputs!$C$8)+Subsurface_Inputs!$C$9*COS(2*PI()*A17/Subsurface_Inputs!$C$10)+Subsurface_Inputs!$C$11*(B17-AVERAGE($B$2:$B$242))</f>
        <v>1122.3581700344503</v>
      </c>
      <c r="G17" s="24">
        <f t="shared" si="0"/>
        <v>-893.87245816726636</v>
      </c>
      <c r="H17" s="24">
        <f>MIN(1,MAX(0,Subsurface_Inputs!$C$13*EXP(-0.5*((A17-Subsurface_Inputs!$C$14)/Subsurface_Inputs!$C$15)^2)+Subsurface_Inputs!$C$16*EXP(-0.5*((A17-Subsurface_Inputs!$C$17)/Subsurface_Inputs!$C$18)^2)))</f>
        <v>1.6366097746053351E-2</v>
      </c>
      <c r="I17" s="24">
        <f>Subsurface_Inputs!$C$19+Subsurface_Inputs!$C$20*SIN(2*PI()*(A17-Subsurface_Inputs!$C$21)/Subsurface_Inputs!$C$22)-Subsurface_Inputs!$C$23*H17</f>
        <v>5602.3937569573927</v>
      </c>
      <c r="J17" s="24">
        <f t="shared" si="1"/>
        <v>-5373.9080450902093</v>
      </c>
      <c r="K17" s="24">
        <f>Subsurface_Inputs!$C$25+Subsurface_Inputs!$C$26*SIN(2*PI()*(A17+Subsurface_Inputs!$C$27)/Subsurface_Inputs!$C$28)+Subsurface_Inputs!$C$29*COS(2*PI()*(A17-Subsurface_Inputs!$C$30)/Subsurface_Inputs!$C$31)-Subsurface_Inputs!$C$32*(B17-AVERAGE($B$2:$B$242))</f>
        <v>14621.223871899127</v>
      </c>
      <c r="L17" s="24">
        <f t="shared" si="2"/>
        <v>-14392.738160031942</v>
      </c>
      <c r="M17" s="24">
        <f>2*Subsurface_Inputs!$C$34*F17/Subsurface_Inputs!$C$35*1000000</f>
        <v>13.327870594138306</v>
      </c>
      <c r="N17" s="24">
        <f>2*Subsurface_Inputs!$C$34*I17/Subsurface_Inputs!$C$35*1000000</f>
        <v>66.527763599604356</v>
      </c>
      <c r="O17" s="24">
        <f>2*Subsurface_Inputs!$C$34*K17/Subsurface_Inputs!$C$35*1000000</f>
        <v>173.62530509009969</v>
      </c>
      <c r="P17" s="24">
        <f>Subsurface_Inputs!$C$37-2*Subsurface_Inputs!$C$36*(F17/1000)</f>
        <v>-12.020244706062011</v>
      </c>
      <c r="Q17" s="24">
        <f>Subsurface_Inputs!$C$38+Subsurface_Inputs!$C$39*H17-2*Subsurface_Inputs!$C$36*(I17/1000)</f>
        <v>-33.937013882808827</v>
      </c>
      <c r="R17" s="24">
        <f>Subsurface_Inputs!$C$40-2*Subsurface_Inputs!$C$36*(K17/1000)-Subsurface_Inputs!$C$41*ABS(L17-AVERAGE($L$2:$L$242))</f>
        <v>-33.795080843261985</v>
      </c>
      <c r="S17" s="24">
        <f t="shared" si="3"/>
        <v>-456.16082367498711</v>
      </c>
      <c r="T17" s="24">
        <f t="shared" si="4"/>
        <v>13.027235210886676</v>
      </c>
      <c r="U17" s="25" t="str">
        <f>IF(H17&gt;=Subsurface_Inputs!$C$42,"Lens visible","Weak/no lens")</f>
        <v>Weak/no lens</v>
      </c>
      <c r="V17" s="25" t="str">
        <f t="shared" si="5"/>
        <v>Likely visible</v>
      </c>
      <c r="W17" s="24">
        <f>Subsurface_Inputs!$C$43</f>
        <v>-45</v>
      </c>
      <c r="X17" s="24">
        <f t="shared" si="6"/>
        <v>11.062986117191173</v>
      </c>
      <c r="Y17" s="24">
        <f t="shared" si="7"/>
        <v>11.204919156738015</v>
      </c>
      <c r="Z17" s="24">
        <f t="shared" si="8"/>
        <v>11.204919156738015</v>
      </c>
      <c r="AA17" s="24">
        <v>0</v>
      </c>
    </row>
    <row r="18" spans="1:27">
      <c r="A18" s="24">
        <f>Model_Data!A18</f>
        <v>-52</v>
      </c>
      <c r="B18" s="24">
        <f>Model_Data!Y18</f>
        <v>241.24392327938918</v>
      </c>
      <c r="C18" s="24">
        <f>Model_Data!X18</f>
        <v>44.009244046504797</v>
      </c>
      <c r="D18" s="24">
        <f>Model_Data!B18</f>
        <v>403.00444444444446</v>
      </c>
      <c r="E18" s="24">
        <f>Inputs!$C$6</f>
        <v>25</v>
      </c>
      <c r="F18" s="24">
        <f>Subsurface_Inputs!$C$5+Subsurface_Inputs!$C$6*SIN(2*PI()*(A18+Subsurface_Inputs!$C$7)/Subsurface_Inputs!$C$8)+Subsurface_Inputs!$C$9*COS(2*PI()*A18/Subsurface_Inputs!$C$10)+Subsurface_Inputs!$C$11*(B18-AVERAGE($B$2:$B$242))</f>
        <v>1142.9381294460441</v>
      </c>
      <c r="G18" s="24">
        <f t="shared" si="0"/>
        <v>-901.69420616665491</v>
      </c>
      <c r="H18" s="24">
        <f>MIN(1,MAX(0,Subsurface_Inputs!$C$13*EXP(-0.5*((A18-Subsurface_Inputs!$C$14)/Subsurface_Inputs!$C$15)^2)+Subsurface_Inputs!$C$16*EXP(-0.5*((A18-Subsurface_Inputs!$C$17)/Subsurface_Inputs!$C$18)^2)))</f>
        <v>1.8849040007151784E-2</v>
      </c>
      <c r="I18" s="24">
        <f>Subsurface_Inputs!$C$19+Subsurface_Inputs!$C$20*SIN(2*PI()*(A18-Subsurface_Inputs!$C$21)/Subsurface_Inputs!$C$22)-Subsurface_Inputs!$C$23*H18</f>
        <v>5596.8880480339167</v>
      </c>
      <c r="J18" s="24">
        <f t="shared" si="1"/>
        <v>-5355.6441247545272</v>
      </c>
      <c r="K18" s="24">
        <f>Subsurface_Inputs!$C$25+Subsurface_Inputs!$C$26*SIN(2*PI()*(A18+Subsurface_Inputs!$C$27)/Subsurface_Inputs!$C$28)+Subsurface_Inputs!$C$29*COS(2*PI()*(A18-Subsurface_Inputs!$C$30)/Subsurface_Inputs!$C$31)-Subsurface_Inputs!$C$32*(B18-AVERAGE($B$2:$B$242))</f>
        <v>14622.536888707544</v>
      </c>
      <c r="L18" s="24">
        <f t="shared" si="2"/>
        <v>-14381.292965428154</v>
      </c>
      <c r="M18" s="24">
        <f>2*Subsurface_Inputs!$C$34*F18/Subsurface_Inputs!$C$35*1000000</f>
        <v>13.572255179374515</v>
      </c>
      <c r="N18" s="24">
        <f>2*Subsurface_Inputs!$C$34*I18/Subsurface_Inputs!$C$35*1000000</f>
        <v>66.462383956973142</v>
      </c>
      <c r="O18" s="24">
        <f>2*Subsurface_Inputs!$C$34*K18/Subsurface_Inputs!$C$35*1000000</f>
        <v>173.64089700948665</v>
      </c>
      <c r="P18" s="24">
        <f>Subsurface_Inputs!$C$37-2*Subsurface_Inputs!$C$36*(F18/1000)</f>
        <v>-12.05728863300288</v>
      </c>
      <c r="Q18" s="24">
        <f>Subsurface_Inputs!$C$38+Subsurface_Inputs!$C$39*H18-2*Subsurface_Inputs!$C$36*(I18/1000)</f>
        <v>-33.904757126396689</v>
      </c>
      <c r="R18" s="24">
        <f>Subsurface_Inputs!$C$40-2*Subsurface_Inputs!$C$36*(K18/1000)-Subsurface_Inputs!$C$41*ABS(L18-AVERAGE($L$2:$L$242))</f>
        <v>-33.843225051932301</v>
      </c>
      <c r="S18" s="24">
        <f t="shared" si="3"/>
        <v>-454.84780686656995</v>
      </c>
      <c r="T18" s="24">
        <f t="shared" si="4"/>
        <v>12.79381316624265</v>
      </c>
      <c r="U18" s="25" t="str">
        <f>IF(H18&gt;=Subsurface_Inputs!$C$42,"Lens visible","Weak/no lens")</f>
        <v>Weak/no lens</v>
      </c>
      <c r="V18" s="25" t="str">
        <f t="shared" si="5"/>
        <v>Likely visible</v>
      </c>
      <c r="W18" s="24">
        <f>Subsurface_Inputs!$C$43</f>
        <v>-45</v>
      </c>
      <c r="X18" s="24">
        <f t="shared" si="6"/>
        <v>11.095242873603311</v>
      </c>
      <c r="Y18" s="24">
        <f t="shared" si="7"/>
        <v>11.156774948067699</v>
      </c>
      <c r="Z18" s="24">
        <f t="shared" si="8"/>
        <v>11.156774948067699</v>
      </c>
      <c r="AA18" s="24">
        <v>0</v>
      </c>
    </row>
    <row r="19" spans="1:27">
      <c r="A19" s="24">
        <f>Model_Data!A19</f>
        <v>-51.5</v>
      </c>
      <c r="B19" s="24">
        <f>Model_Data!Y19</f>
        <v>261.3961473371179</v>
      </c>
      <c r="C19" s="24">
        <f>Model_Data!X19</f>
        <v>32.491619283106324</v>
      </c>
      <c r="D19" s="24">
        <f>Model_Data!B19</f>
        <v>402.94694444444445</v>
      </c>
      <c r="E19" s="24">
        <f>Inputs!$C$6</f>
        <v>25</v>
      </c>
      <c r="F19" s="24">
        <f>Subsurface_Inputs!$C$5+Subsurface_Inputs!$C$6*SIN(2*PI()*(A19+Subsurface_Inputs!$C$7)/Subsurface_Inputs!$C$8)+Subsurface_Inputs!$C$9*COS(2*PI()*A19/Subsurface_Inputs!$C$10)+Subsurface_Inputs!$C$11*(B19-AVERAGE($B$2:$B$242))</f>
        <v>1163.8901229859418</v>
      </c>
      <c r="G19" s="24">
        <f t="shared" si="0"/>
        <v>-902.49397564882395</v>
      </c>
      <c r="H19" s="24">
        <f>MIN(1,MAX(0,Subsurface_Inputs!$C$13*EXP(-0.5*((A19-Subsurface_Inputs!$C$14)/Subsurface_Inputs!$C$15)^2)+Subsurface_Inputs!$C$16*EXP(-0.5*((A19-Subsurface_Inputs!$C$17)/Subsurface_Inputs!$C$18)^2)))</f>
        <v>2.1654471839431727E-2</v>
      </c>
      <c r="I19" s="24">
        <f>Subsurface_Inputs!$C$19+Subsurface_Inputs!$C$20*SIN(2*PI()*(A19-Subsurface_Inputs!$C$21)/Subsurface_Inputs!$C$22)-Subsurface_Inputs!$C$23*H19</f>
        <v>5590.5690506271003</v>
      </c>
      <c r="J19" s="24">
        <f t="shared" si="1"/>
        <v>-5329.1729032899821</v>
      </c>
      <c r="K19" s="24">
        <f>Subsurface_Inputs!$C$25+Subsurface_Inputs!$C$26*SIN(2*PI()*(A19+Subsurface_Inputs!$C$27)/Subsurface_Inputs!$C$28)+Subsurface_Inputs!$C$29*COS(2*PI()*(A19-Subsurface_Inputs!$C$30)/Subsurface_Inputs!$C$31)-Subsurface_Inputs!$C$32*(B19-AVERAGE($B$2:$B$242))</f>
        <v>14622.370048519269</v>
      </c>
      <c r="L19" s="24">
        <f t="shared" si="2"/>
        <v>-14360.973901182151</v>
      </c>
      <c r="M19" s="24">
        <f>2*Subsurface_Inputs!$C$34*F19/Subsurface_Inputs!$C$35*1000000</f>
        <v>13.82105762590583</v>
      </c>
      <c r="N19" s="24">
        <f>2*Subsurface_Inputs!$C$34*I19/Subsurface_Inputs!$C$35*1000000</f>
        <v>66.387346609741854</v>
      </c>
      <c r="O19" s="24">
        <f>2*Subsurface_Inputs!$C$34*K19/Subsurface_Inputs!$C$35*1000000</f>
        <v>173.63891580197324</v>
      </c>
      <c r="P19" s="24">
        <f>Subsurface_Inputs!$C$37-2*Subsurface_Inputs!$C$36*(F19/1000)</f>
        <v>-12.095002221374695</v>
      </c>
      <c r="Q19" s="24">
        <f>Subsurface_Inputs!$C$38+Subsurface_Inputs!$C$39*H19-2*Subsurface_Inputs!$C$36*(I19/1000)</f>
        <v>-33.868134044573893</v>
      </c>
      <c r="R19" s="24">
        <f>Subsurface_Inputs!$C$40-2*Subsurface_Inputs!$C$36*(K19/1000)-Subsurface_Inputs!$C$41*ABS(L19-AVERAGE($L$2:$L$242))</f>
        <v>-33.924200996577419</v>
      </c>
      <c r="S19" s="24">
        <f t="shared" si="3"/>
        <v>-455.01464705484432</v>
      </c>
      <c r="T19" s="24">
        <f t="shared" si="4"/>
        <v>12.563359512842853</v>
      </c>
      <c r="U19" s="25" t="str">
        <f>IF(H19&gt;=Subsurface_Inputs!$C$42,"Lens visible","Weak/no lens")</f>
        <v>Weak/no lens</v>
      </c>
      <c r="V19" s="25" t="str">
        <f t="shared" si="5"/>
        <v>Likely visible</v>
      </c>
      <c r="W19" s="24">
        <f>Subsurface_Inputs!$C$43</f>
        <v>-45</v>
      </c>
      <c r="X19" s="24">
        <f t="shared" si="6"/>
        <v>11.131865955426107</v>
      </c>
      <c r="Y19" s="24">
        <f t="shared" si="7"/>
        <v>11.075799003422581</v>
      </c>
      <c r="Z19" s="24">
        <f t="shared" si="8"/>
        <v>11.131865955426107</v>
      </c>
      <c r="AA19" s="24">
        <v>0</v>
      </c>
    </row>
    <row r="20" spans="1:27">
      <c r="A20" s="24">
        <f>Model_Data!A20</f>
        <v>-51</v>
      </c>
      <c r="B20" s="24">
        <f>Model_Data!Y20</f>
        <v>251.96732827517536</v>
      </c>
      <c r="C20" s="24">
        <f>Model_Data!X20</f>
        <v>39.108816586772562</v>
      </c>
      <c r="D20" s="24">
        <f>Model_Data!B20</f>
        <v>402.89</v>
      </c>
      <c r="E20" s="24">
        <f>Inputs!$C$6</f>
        <v>25</v>
      </c>
      <c r="F20" s="24">
        <f>Subsurface_Inputs!$C$5+Subsurface_Inputs!$C$6*SIN(2*PI()*(A20+Subsurface_Inputs!$C$7)/Subsurface_Inputs!$C$8)+Subsurface_Inputs!$C$9*COS(2*PI()*A20/Subsurface_Inputs!$C$10)+Subsurface_Inputs!$C$11*(B20-AVERAGE($B$2:$B$242))</f>
        <v>1183.515733819102</v>
      </c>
      <c r="G20" s="24">
        <f t="shared" si="0"/>
        <v>-931.54840554392672</v>
      </c>
      <c r="H20" s="24">
        <f>MIN(1,MAX(0,Subsurface_Inputs!$C$13*EXP(-0.5*((A20-Subsurface_Inputs!$C$14)/Subsurface_Inputs!$C$15)^2)+Subsurface_Inputs!$C$16*EXP(-0.5*((A20-Subsurface_Inputs!$C$17)/Subsurface_Inputs!$C$18)^2)))</f>
        <v>2.4815339361222311E-2</v>
      </c>
      <c r="I20" s="24">
        <f>Subsurface_Inputs!$C$19+Subsurface_Inputs!$C$20*SIN(2*PI()*(A20-Subsurface_Inputs!$C$21)/Subsurface_Inputs!$C$22)-Subsurface_Inputs!$C$23*H20</f>
        <v>5583.4371435026787</v>
      </c>
      <c r="J20" s="24">
        <f t="shared" si="1"/>
        <v>-5331.4698152275032</v>
      </c>
      <c r="K20" s="24">
        <f>Subsurface_Inputs!$C$25+Subsurface_Inputs!$C$26*SIN(2*PI()*(A20+Subsurface_Inputs!$C$27)/Subsurface_Inputs!$C$28)+Subsurface_Inputs!$C$29*COS(2*PI()*(A20-Subsurface_Inputs!$C$30)/Subsurface_Inputs!$C$31)-Subsurface_Inputs!$C$32*(B20-AVERAGE($B$2:$B$242))</f>
        <v>14625.906076815863</v>
      </c>
      <c r="L20" s="24">
        <f t="shared" si="2"/>
        <v>-14373.938748540688</v>
      </c>
      <c r="M20" s="24">
        <f>2*Subsurface_Inputs!$C$34*F20/Subsurface_Inputs!$C$35*1000000</f>
        <v>14.054109434587588</v>
      </c>
      <c r="N20" s="24">
        <f>2*Subsurface_Inputs!$C$34*I20/Subsurface_Inputs!$C$35*1000000</f>
        <v>66.302656055708837</v>
      </c>
      <c r="O20" s="24">
        <f>2*Subsurface_Inputs!$C$34*K20/Subsurface_Inputs!$C$35*1000000</f>
        <v>173.68090571999807</v>
      </c>
      <c r="P20" s="24">
        <f>Subsurface_Inputs!$C$37-2*Subsurface_Inputs!$C$36*(F20/1000)</f>
        <v>-12.130328320874384</v>
      </c>
      <c r="Q20" s="24">
        <f>Subsurface_Inputs!$C$38+Subsurface_Inputs!$C$39*H20-2*Subsurface_Inputs!$C$36*(I20/1000)</f>
        <v>-33.826848804053824</v>
      </c>
      <c r="R20" s="24">
        <f>Subsurface_Inputs!$C$40-2*Subsurface_Inputs!$C$36*(K20/1000)-Subsurface_Inputs!$C$41*ABS(L20-AVERAGE($L$2:$L$242))</f>
        <v>-33.878706458077133</v>
      </c>
      <c r="S20" s="24">
        <f t="shared" si="3"/>
        <v>-451.47861875825038</v>
      </c>
      <c r="T20" s="24">
        <f t="shared" si="4"/>
        <v>12.358015748231196</v>
      </c>
      <c r="U20" s="25" t="str">
        <f>IF(H20&gt;=Subsurface_Inputs!$C$42,"Lens visible","Weak/no lens")</f>
        <v>Weak/no lens</v>
      </c>
      <c r="V20" s="25" t="str">
        <f t="shared" si="5"/>
        <v>Likely visible</v>
      </c>
      <c r="W20" s="24">
        <f>Subsurface_Inputs!$C$43</f>
        <v>-45</v>
      </c>
      <c r="X20" s="24">
        <f t="shared" si="6"/>
        <v>11.173151195946176</v>
      </c>
      <c r="Y20" s="24">
        <f t="shared" si="7"/>
        <v>11.121293541922867</v>
      </c>
      <c r="Z20" s="24">
        <f t="shared" si="8"/>
        <v>11.173151195946176</v>
      </c>
      <c r="AA20" s="24">
        <v>0</v>
      </c>
    </row>
    <row r="21" spans="1:27">
      <c r="A21" s="24">
        <f>Model_Data!A21</f>
        <v>-50.5</v>
      </c>
      <c r="B21" s="24">
        <f>Model_Data!Y21</f>
        <v>249.72786812719846</v>
      </c>
      <c r="C21" s="24">
        <f>Model_Data!X21</f>
        <v>47.995831702209429</v>
      </c>
      <c r="D21" s="24">
        <f>Model_Data!B21</f>
        <v>402.83361111111111</v>
      </c>
      <c r="E21" s="24">
        <f>Inputs!$C$6</f>
        <v>25</v>
      </c>
      <c r="F21" s="24">
        <f>Subsurface_Inputs!$C$5+Subsurface_Inputs!$C$6*SIN(2*PI()*(A21+Subsurface_Inputs!$C$7)/Subsurface_Inputs!$C$8)+Subsurface_Inputs!$C$9*COS(2*PI()*A21/Subsurface_Inputs!$C$10)+Subsurface_Inputs!$C$11*(B21-AVERAGE($B$2:$B$242))</f>
        <v>1203.0681582051066</v>
      </c>
      <c r="G21" s="24">
        <f t="shared" si="0"/>
        <v>-953.34029007790809</v>
      </c>
      <c r="H21" s="24">
        <f>MIN(1,MAX(0,Subsurface_Inputs!$C$13*EXP(-0.5*((A21-Subsurface_Inputs!$C$14)/Subsurface_Inputs!$C$15)^2)+Subsurface_Inputs!$C$16*EXP(-0.5*((A21-Subsurface_Inputs!$C$17)/Subsurface_Inputs!$C$18)^2)))</f>
        <v>2.8366588309059755E-2</v>
      </c>
      <c r="I21" s="24">
        <f>Subsurface_Inputs!$C$19+Subsurface_Inputs!$C$20*SIN(2*PI()*(A21-Subsurface_Inputs!$C$21)/Subsurface_Inputs!$C$22)-Subsurface_Inputs!$C$23*H21</f>
        <v>5575.493293378915</v>
      </c>
      <c r="J21" s="24">
        <f t="shared" si="1"/>
        <v>-5325.7654252517168</v>
      </c>
      <c r="K21" s="24">
        <f>Subsurface_Inputs!$C$25+Subsurface_Inputs!$C$26*SIN(2*PI()*(A21+Subsurface_Inputs!$C$27)/Subsurface_Inputs!$C$28)+Subsurface_Inputs!$C$29*COS(2*PI()*(A21-Subsurface_Inputs!$C$30)/Subsurface_Inputs!$C$31)-Subsurface_Inputs!$C$32*(B21-AVERAGE($B$2:$B$242))</f>
        <v>14628.005233442198</v>
      </c>
      <c r="L21" s="24">
        <f t="shared" si="2"/>
        <v>-14378.277365315</v>
      </c>
      <c r="M21" s="24">
        <f>2*Subsurface_Inputs!$C$34*F21/Subsurface_Inputs!$C$35*1000000</f>
        <v>14.286292162860812</v>
      </c>
      <c r="N21" s="24">
        <f>2*Subsurface_Inputs!$C$34*I21/Subsurface_Inputs!$C$35*1000000</f>
        <v>66.208323774539181</v>
      </c>
      <c r="O21" s="24">
        <f>2*Subsurface_Inputs!$C$34*K21/Subsurface_Inputs!$C$35*1000000</f>
        <v>173.70583295679248</v>
      </c>
      <c r="P21" s="24">
        <f>Subsurface_Inputs!$C$37-2*Subsurface_Inputs!$C$36*(F21/1000)</f>
        <v>-12.165522684769192</v>
      </c>
      <c r="Q21" s="24">
        <f>Subsurface_Inputs!$C$38+Subsurface_Inputs!$C$39*H21-2*Subsurface_Inputs!$C$36*(I21/1000)</f>
        <v>-33.780588633300511</v>
      </c>
      <c r="R21" s="24">
        <f>Subsurface_Inputs!$C$40-2*Subsurface_Inputs!$C$36*(K21/1000)-Subsurface_Inputs!$C$41*ABS(L21-AVERAGE($L$2:$L$242))</f>
        <v>-33.865130472907296</v>
      </c>
      <c r="S21" s="24">
        <f t="shared" si="3"/>
        <v>-449.37946213191572</v>
      </c>
      <c r="T21" s="24">
        <f t="shared" si="4"/>
        <v>12.158916461778988</v>
      </c>
      <c r="U21" s="25" t="str">
        <f>IF(H21&gt;=Subsurface_Inputs!$C$42,"Lens visible","Weak/no lens")</f>
        <v>Weak/no lens</v>
      </c>
      <c r="V21" s="25" t="str">
        <f t="shared" si="5"/>
        <v>Likely visible</v>
      </c>
      <c r="W21" s="24">
        <f>Subsurface_Inputs!$C$43</f>
        <v>-45</v>
      </c>
      <c r="X21" s="24">
        <f t="shared" si="6"/>
        <v>11.219411366699489</v>
      </c>
      <c r="Y21" s="24">
        <f t="shared" si="7"/>
        <v>11.134869527092704</v>
      </c>
      <c r="Z21" s="24">
        <f t="shared" si="8"/>
        <v>11.219411366699489</v>
      </c>
      <c r="AA21" s="24">
        <v>0</v>
      </c>
    </row>
    <row r="22" spans="1:27">
      <c r="A22" s="24">
        <f>Model_Data!A22</f>
        <v>-50</v>
      </c>
      <c r="B22" s="24">
        <f>Model_Data!Y22</f>
        <v>273.71504099052385</v>
      </c>
      <c r="C22" s="24">
        <f>Model_Data!X22</f>
        <v>29.034419664389077</v>
      </c>
      <c r="D22" s="24">
        <f>Model_Data!B22</f>
        <v>402.77777777777777</v>
      </c>
      <c r="E22" s="24">
        <f>Inputs!$C$6</f>
        <v>25</v>
      </c>
      <c r="F22" s="24">
        <f>Subsurface_Inputs!$C$5+Subsurface_Inputs!$C$6*SIN(2*PI()*(A22+Subsurface_Inputs!$C$7)/Subsurface_Inputs!$C$8)+Subsurface_Inputs!$C$9*COS(2*PI()*A22/Subsurface_Inputs!$C$10)+Subsurface_Inputs!$C$11*(B22-AVERAGE($B$2:$B$242))</f>
        <v>1223.0962491259836</v>
      </c>
      <c r="G22" s="24">
        <f t="shared" si="0"/>
        <v>-949.3812081354597</v>
      </c>
      <c r="H22" s="24">
        <f>MIN(1,MAX(0,Subsurface_Inputs!$C$13*EXP(-0.5*((A22-Subsurface_Inputs!$C$14)/Subsurface_Inputs!$C$15)^2)+Subsurface_Inputs!$C$16*EXP(-0.5*((A22-Subsurface_Inputs!$C$17)/Subsurface_Inputs!$C$18)^2)))</f>
        <v>3.2345081997869361E-2</v>
      </c>
      <c r="I22" s="24">
        <f>Subsurface_Inputs!$C$19+Subsurface_Inputs!$C$20*SIN(2*PI()*(A22-Subsurface_Inputs!$C$21)/Subsurface_Inputs!$C$22)-Subsurface_Inputs!$C$23*H22</f>
        <v>5566.739060888317</v>
      </c>
      <c r="J22" s="24">
        <f t="shared" si="1"/>
        <v>-5293.0240198977936</v>
      </c>
      <c r="K22" s="24">
        <f>Subsurface_Inputs!$C$25+Subsurface_Inputs!$C$26*SIN(2*PI()*(A22+Subsurface_Inputs!$C$27)/Subsurface_Inputs!$C$28)+Subsurface_Inputs!$C$29*COS(2*PI()*(A22-Subsurface_Inputs!$C$30)/Subsurface_Inputs!$C$31)-Subsurface_Inputs!$C$32*(B22-AVERAGE($B$2:$B$242))</f>
        <v>14626.012286300016</v>
      </c>
      <c r="L22" s="24">
        <f t="shared" si="2"/>
        <v>-14352.297245309492</v>
      </c>
      <c r="M22" s="24">
        <f>2*Subsurface_Inputs!$C$34*F22/Subsurface_Inputs!$C$35*1000000</f>
        <v>14.524123375006658</v>
      </c>
      <c r="N22" s="24">
        <f>2*Subsurface_Inputs!$C$34*I22/Subsurface_Inputs!$C$35*1000000</f>
        <v>66.104368298559436</v>
      </c>
      <c r="O22" s="24">
        <f>2*Subsurface_Inputs!$C$34*K22/Subsurface_Inputs!$C$35*1000000</f>
        <v>173.68216694506722</v>
      </c>
      <c r="P22" s="24">
        <f>Subsurface_Inputs!$C$37-2*Subsurface_Inputs!$C$36*(F22/1000)</f>
        <v>-12.20157324842677</v>
      </c>
      <c r="Q22" s="24">
        <f>Subsurface_Inputs!$C$38+Subsurface_Inputs!$C$39*H22-2*Subsurface_Inputs!$C$36*(I22/1000)</f>
        <v>-33.729024571618147</v>
      </c>
      <c r="R22" s="24">
        <f>Subsurface_Inputs!$C$40-2*Subsurface_Inputs!$C$36*(K22/1000)-Subsurface_Inputs!$C$41*ABS(L22-AVERAGE($L$2:$L$242))</f>
        <v>-33.965463648073396</v>
      </c>
      <c r="S22" s="24">
        <f t="shared" si="3"/>
        <v>-451.37240927409766</v>
      </c>
      <c r="T22" s="24">
        <f t="shared" si="4"/>
        <v>11.958185871922726</v>
      </c>
      <c r="U22" s="25" t="str">
        <f>IF(H22&gt;=Subsurface_Inputs!$C$42,"Lens visible","Weak/no lens")</f>
        <v>Weak/no lens</v>
      </c>
      <c r="V22" s="25" t="str">
        <f t="shared" si="5"/>
        <v>Likely visible</v>
      </c>
      <c r="W22" s="24">
        <f>Subsurface_Inputs!$C$43</f>
        <v>-45</v>
      </c>
      <c r="X22" s="24">
        <f t="shared" si="6"/>
        <v>11.270975428381853</v>
      </c>
      <c r="Y22" s="24">
        <f t="shared" si="7"/>
        <v>11.034536351926604</v>
      </c>
      <c r="Z22" s="24">
        <f t="shared" si="8"/>
        <v>11.270975428381853</v>
      </c>
      <c r="AA22" s="24">
        <v>0</v>
      </c>
    </row>
    <row r="23" spans="1:27">
      <c r="A23" s="24">
        <f>Model_Data!A23</f>
        <v>-49.5</v>
      </c>
      <c r="B23" s="24">
        <f>Model_Data!Y23</f>
        <v>258.91748425640003</v>
      </c>
      <c r="C23" s="24">
        <f>Model_Data!X23</f>
        <v>51.904617288379008</v>
      </c>
      <c r="D23" s="24">
        <f>Model_Data!B23</f>
        <v>402.72250000000003</v>
      </c>
      <c r="E23" s="24">
        <f>Inputs!$C$6</f>
        <v>25</v>
      </c>
      <c r="F23" s="24">
        <f>Subsurface_Inputs!$C$5+Subsurface_Inputs!$C$6*SIN(2*PI()*(A23+Subsurface_Inputs!$C$7)/Subsurface_Inputs!$C$8)+Subsurface_Inputs!$C$9*COS(2*PI()*A23/Subsurface_Inputs!$C$10)+Subsurface_Inputs!$C$11*(B23-AVERAGE($B$2:$B$242))</f>
        <v>1240.7949999125201</v>
      </c>
      <c r="G23" s="24">
        <f t="shared" si="0"/>
        <v>-981.87751565612007</v>
      </c>
      <c r="H23" s="24">
        <f>MIN(1,MAX(0,Subsurface_Inputs!$C$13*EXP(-0.5*((A23-Subsurface_Inputs!$C$14)/Subsurface_Inputs!$C$15)^2)+Subsurface_Inputs!$C$16*EXP(-0.5*((A23-Subsurface_Inputs!$C$17)/Subsurface_Inputs!$C$18)^2)))</f>
        <v>3.6789481834081143E-2</v>
      </c>
      <c r="I23" s="24">
        <f>Subsurface_Inputs!$C$19+Subsurface_Inputs!$C$20*SIN(2*PI()*(A23-Subsurface_Inputs!$C$21)/Subsurface_Inputs!$C$22)-Subsurface_Inputs!$C$23*H23</f>
        <v>5557.17661397957</v>
      </c>
      <c r="J23" s="24">
        <f t="shared" si="1"/>
        <v>-5298.2591297231702</v>
      </c>
      <c r="K23" s="24">
        <f>Subsurface_Inputs!$C$25+Subsurface_Inputs!$C$26*SIN(2*PI()*(A23+Subsurface_Inputs!$C$27)/Subsurface_Inputs!$C$28)+Subsurface_Inputs!$C$29*COS(2*PI()*(A23-Subsurface_Inputs!$C$30)/Subsurface_Inputs!$C$31)-Subsurface_Inputs!$C$32*(B23-AVERAGE($B$2:$B$242))</f>
        <v>14629.040649051145</v>
      </c>
      <c r="L23" s="24">
        <f t="shared" si="2"/>
        <v>-14370.123164794744</v>
      </c>
      <c r="M23" s="24">
        <f>2*Subsurface_Inputs!$C$34*F23/Subsurface_Inputs!$C$35*1000000</f>
        <v>14.734293948410709</v>
      </c>
      <c r="N23" s="24">
        <f>2*Subsurface_Inputs!$C$34*I23/Subsurface_Inputs!$C$35*1000000</f>
        <v>65.990815371903949</v>
      </c>
      <c r="O23" s="24">
        <f>2*Subsurface_Inputs!$C$34*K23/Subsurface_Inputs!$C$35*1000000</f>
        <v>173.71812839475126</v>
      </c>
      <c r="P23" s="24">
        <f>Subsurface_Inputs!$C$37-2*Subsurface_Inputs!$C$36*(F23/1000)</f>
        <v>-12.233430999842536</v>
      </c>
      <c r="Q23" s="24">
        <f>Subsurface_Inputs!$C$38+Subsurface_Inputs!$C$39*H23-2*Subsurface_Inputs!$C$36*(I23/1000)</f>
        <v>-33.671812568656492</v>
      </c>
      <c r="R23" s="24">
        <f>Subsurface_Inputs!$C$40-2*Subsurface_Inputs!$C$36*(K23/1000)-Subsurface_Inputs!$C$41*ABS(L23-AVERAGE($L$2:$L$242))</f>
        <v>-33.899611023084418</v>
      </c>
      <c r="S23" s="24">
        <f t="shared" si="3"/>
        <v>-448.34404652296871</v>
      </c>
      <c r="T23" s="24">
        <f t="shared" si="4"/>
        <v>11.790054481266074</v>
      </c>
      <c r="U23" s="25" t="str">
        <f>IF(H23&gt;=Subsurface_Inputs!$C$42,"Lens visible","Weak/no lens")</f>
        <v>Weak/no lens</v>
      </c>
      <c r="V23" s="25" t="str">
        <f t="shared" si="5"/>
        <v>Likely visible</v>
      </c>
      <c r="W23" s="24">
        <f>Subsurface_Inputs!$C$43</f>
        <v>-45</v>
      </c>
      <c r="X23" s="24">
        <f t="shared" si="6"/>
        <v>11.328187431343508</v>
      </c>
      <c r="Y23" s="24">
        <f t="shared" si="7"/>
        <v>11.100388976915582</v>
      </c>
      <c r="Z23" s="24">
        <f t="shared" si="8"/>
        <v>11.328187431343508</v>
      </c>
      <c r="AA23" s="24">
        <v>0</v>
      </c>
    </row>
    <row r="24" spans="1:27">
      <c r="A24" s="24">
        <f>Model_Data!A24</f>
        <v>-49</v>
      </c>
      <c r="B24" s="24">
        <f>Model_Data!Y24</f>
        <v>268.79279662092654</v>
      </c>
      <c r="C24" s="24">
        <f>Model_Data!X24</f>
        <v>39.643003044215533</v>
      </c>
      <c r="D24" s="24">
        <f>Model_Data!B24</f>
        <v>402.66777777777776</v>
      </c>
      <c r="E24" s="24">
        <f>Inputs!$C$6</f>
        <v>25</v>
      </c>
      <c r="F24" s="24">
        <f>Subsurface_Inputs!$C$5+Subsurface_Inputs!$C$6*SIN(2*PI()*(A24+Subsurface_Inputs!$C$7)/Subsurface_Inputs!$C$8)+Subsurface_Inputs!$C$9*COS(2*PI()*A24/Subsurface_Inputs!$C$10)+Subsurface_Inputs!$C$11*(B24-AVERAGE($B$2:$B$242))</f>
        <v>1258.5092160335148</v>
      </c>
      <c r="G24" s="24">
        <f t="shared" si="0"/>
        <v>-989.71641941258827</v>
      </c>
      <c r="H24" s="24">
        <f>MIN(1,MAX(0,Subsurface_Inputs!$C$13*EXP(-0.5*((A24-Subsurface_Inputs!$C$14)/Subsurface_Inputs!$C$15)^2)+Subsurface_Inputs!$C$16*EXP(-0.5*((A24-Subsurface_Inputs!$C$17)/Subsurface_Inputs!$C$18)^2)))</f>
        <v>4.1740086942237048E-2</v>
      </c>
      <c r="I24" s="24">
        <f>Subsurface_Inputs!$C$19+Subsurface_Inputs!$C$20*SIN(2*PI()*(A24-Subsurface_Inputs!$C$21)/Subsurface_Inputs!$C$22)-Subsurface_Inputs!$C$23*H24</f>
        <v>5546.8087496075532</v>
      </c>
      <c r="J24" s="24">
        <f t="shared" si="1"/>
        <v>-5278.0159529866269</v>
      </c>
      <c r="K24" s="24">
        <f>Subsurface_Inputs!$C$25+Subsurface_Inputs!$C$26*SIN(2*PI()*(A24+Subsurface_Inputs!$C$27)/Subsurface_Inputs!$C$28)+Subsurface_Inputs!$C$29*COS(2*PI()*(A24-Subsurface_Inputs!$C$30)/Subsurface_Inputs!$C$31)-Subsurface_Inputs!$C$32*(B24-AVERAGE($B$2:$B$242))</f>
        <v>14628.219878746677</v>
      </c>
      <c r="L24" s="24">
        <f t="shared" si="2"/>
        <v>-14359.427082125751</v>
      </c>
      <c r="M24" s="24">
        <f>2*Subsurface_Inputs!$C$34*F24/Subsurface_Inputs!$C$35*1000000</f>
        <v>14.944648170833279</v>
      </c>
      <c r="N24" s="24">
        <f>2*Subsurface_Inputs!$C$34*I24/Subsurface_Inputs!$C$35*1000000</f>
        <v>65.867698208081308</v>
      </c>
      <c r="O24" s="24">
        <f>2*Subsurface_Inputs!$C$34*K24/Subsurface_Inputs!$C$35*1000000</f>
        <v>173.70838184440973</v>
      </c>
      <c r="P24" s="24">
        <f>Subsurface_Inputs!$C$37-2*Subsurface_Inputs!$C$36*(F24/1000)</f>
        <v>-12.265316588860326</v>
      </c>
      <c r="Q24" s="24">
        <f>Subsurface_Inputs!$C$38+Subsurface_Inputs!$C$39*H24-2*Subsurface_Inputs!$C$36*(I24/1000)</f>
        <v>-33.608594966813463</v>
      </c>
      <c r="R24" s="24">
        <f>Subsurface_Inputs!$C$40-2*Subsurface_Inputs!$C$36*(K24/1000)-Subsurface_Inputs!$C$41*ABS(L24-AVERAGE($L$2:$L$242))</f>
        <v>-33.94091796721235</v>
      </c>
      <c r="S24" s="24">
        <f t="shared" si="3"/>
        <v>-449.16481682743688</v>
      </c>
      <c r="T24" s="24">
        <f t="shared" si="4"/>
        <v>11.623450740274214</v>
      </c>
      <c r="U24" s="25" t="str">
        <f>IF(H24&gt;=Subsurface_Inputs!$C$42,"Lens visible","Weak/no lens")</f>
        <v>Weak/no lens</v>
      </c>
      <c r="V24" s="25" t="str">
        <f t="shared" si="5"/>
        <v>Likely visible</v>
      </c>
      <c r="W24" s="24">
        <f>Subsurface_Inputs!$C$43</f>
        <v>-45</v>
      </c>
      <c r="X24" s="24">
        <f t="shared" si="6"/>
        <v>11.391405033186537</v>
      </c>
      <c r="Y24" s="24">
        <f t="shared" si="7"/>
        <v>11.05908203278765</v>
      </c>
      <c r="Z24" s="24">
        <f t="shared" si="8"/>
        <v>11.391405033186537</v>
      </c>
      <c r="AA24" s="24">
        <v>0</v>
      </c>
    </row>
    <row r="25" spans="1:27">
      <c r="A25" s="24">
        <f>Model_Data!A25</f>
        <v>-48.5</v>
      </c>
      <c r="B25" s="24">
        <f>Model_Data!Y25</f>
        <v>265.4824606971452</v>
      </c>
      <c r="C25" s="24">
        <f>Model_Data!X25</f>
        <v>40.329360187280464</v>
      </c>
      <c r="D25" s="24">
        <f>Model_Data!B25</f>
        <v>402.61361111111108</v>
      </c>
      <c r="E25" s="24">
        <f>Inputs!$C$6</f>
        <v>25</v>
      </c>
      <c r="F25" s="24">
        <f>Subsurface_Inputs!$C$5+Subsurface_Inputs!$C$6*SIN(2*PI()*(A25+Subsurface_Inputs!$C$7)/Subsurface_Inputs!$C$8)+Subsurface_Inputs!$C$9*COS(2*PI()*A25/Subsurface_Inputs!$C$10)+Subsurface_Inputs!$C$11*(B25-AVERAGE($B$2:$B$242))</f>
        <v>1274.5448931868998</v>
      </c>
      <c r="G25" s="24">
        <f t="shared" si="0"/>
        <v>-1009.0624324897547</v>
      </c>
      <c r="H25" s="24">
        <f>MIN(1,MAX(0,Subsurface_Inputs!$C$13*EXP(-0.5*((A25-Subsurface_Inputs!$C$14)/Subsurface_Inputs!$C$15)^2)+Subsurface_Inputs!$C$16*EXP(-0.5*((A25-Subsurface_Inputs!$C$17)/Subsurface_Inputs!$C$18)^2)))</f>
        <v>4.7238629741732097E-2</v>
      </c>
      <c r="I25" s="24">
        <f>Subsurface_Inputs!$C$19+Subsurface_Inputs!$C$20*SIN(2*PI()*(A25-Subsurface_Inputs!$C$21)/Subsurface_Inputs!$C$22)-Subsurface_Inputs!$C$23*H25</f>
        <v>5535.638924495328</v>
      </c>
      <c r="J25" s="24">
        <f t="shared" si="1"/>
        <v>-5270.1564637981828</v>
      </c>
      <c r="K25" s="24">
        <f>Subsurface_Inputs!$C$25+Subsurface_Inputs!$C$26*SIN(2*PI()*(A25+Subsurface_Inputs!$C$27)/Subsurface_Inputs!$C$28)+Subsurface_Inputs!$C$29*COS(2*PI()*(A25-Subsurface_Inputs!$C$30)/Subsurface_Inputs!$C$31)-Subsurface_Inputs!$C$32*(B25-AVERAGE($B$2:$B$242))</f>
        <v>14628.865542990872</v>
      </c>
      <c r="L25" s="24">
        <f t="shared" si="2"/>
        <v>-14363.383082293727</v>
      </c>
      <c r="M25" s="24">
        <f>2*Subsurface_Inputs!$C$34*F25/Subsurface_Inputs!$C$35*1000000</f>
        <v>15.135069941437163</v>
      </c>
      <c r="N25" s="24">
        <f>2*Subsurface_Inputs!$C$34*I25/Subsurface_Inputs!$C$35*1000000</f>
        <v>65.735057855269218</v>
      </c>
      <c r="O25" s="24">
        <f>2*Subsurface_Inputs!$C$34*K25/Subsurface_Inputs!$C$35*1000000</f>
        <v>173.71604903098498</v>
      </c>
      <c r="P25" s="24">
        <f>Subsurface_Inputs!$C$37-2*Subsurface_Inputs!$C$36*(F25/1000)</f>
        <v>-12.294180807736421</v>
      </c>
      <c r="Q25" s="24">
        <f>Subsurface_Inputs!$C$38+Subsurface_Inputs!$C$39*H25-2*Subsurface_Inputs!$C$36*(I25/1000)</f>
        <v>-33.539002396416002</v>
      </c>
      <c r="R25" s="24">
        <f>Subsurface_Inputs!$C$40-2*Subsurface_Inputs!$C$36*(K25/1000)-Subsurface_Inputs!$C$41*ABS(L25-AVERAGE($L$2:$L$242))</f>
        <v>-33.926256162179996</v>
      </c>
      <c r="S25" s="24">
        <f t="shared" si="3"/>
        <v>-448.51915258324152</v>
      </c>
      <c r="T25" s="24">
        <f t="shared" si="4"/>
        <v>11.47771696484738</v>
      </c>
      <c r="U25" s="25" t="str">
        <f>IF(H25&gt;=Subsurface_Inputs!$C$42,"Lens visible","Weak/no lens")</f>
        <v>Weak/no lens</v>
      </c>
      <c r="V25" s="25" t="str">
        <f t="shared" si="5"/>
        <v>Likely visible</v>
      </c>
      <c r="W25" s="24">
        <f>Subsurface_Inputs!$C$43</f>
        <v>-45</v>
      </c>
      <c r="X25" s="24">
        <f t="shared" si="6"/>
        <v>11.460997603583998</v>
      </c>
      <c r="Y25" s="24">
        <f t="shared" si="7"/>
        <v>11.073743837820004</v>
      </c>
      <c r="Z25" s="24">
        <f t="shared" si="8"/>
        <v>11.460997603583998</v>
      </c>
      <c r="AA25" s="24">
        <v>0</v>
      </c>
    </row>
    <row r="26" spans="1:27">
      <c r="A26" s="24">
        <f>Model_Data!A26</f>
        <v>-48</v>
      </c>
      <c r="B26" s="24">
        <f>Model_Data!Y26</f>
        <v>253.63702275276361</v>
      </c>
      <c r="C26" s="24">
        <f>Model_Data!X26</f>
        <v>55.677054005633387</v>
      </c>
      <c r="D26" s="24">
        <f>Model_Data!B26</f>
        <v>402.56</v>
      </c>
      <c r="E26" s="24">
        <f>Inputs!$C$6</f>
        <v>25</v>
      </c>
      <c r="F26" s="24">
        <f>Subsurface_Inputs!$C$5+Subsurface_Inputs!$C$6*SIN(2*PI()*(A26+Subsurface_Inputs!$C$7)/Subsurface_Inputs!$C$8)+Subsurface_Inputs!$C$9*COS(2*PI()*A26/Subsurface_Inputs!$C$10)+Subsurface_Inputs!$C$11*(B26-AVERAGE($B$2:$B$242))</f>
        <v>1288.9247717898286</v>
      </c>
      <c r="G26" s="24">
        <f t="shared" si="0"/>
        <v>-1035.2877490370649</v>
      </c>
      <c r="H26" s="24">
        <f>MIN(1,MAX(0,Subsurface_Inputs!$C$13*EXP(-0.5*((A26-Subsurface_Inputs!$C$14)/Subsurface_Inputs!$C$15)^2)+Subsurface_Inputs!$C$16*EXP(-0.5*((A26-Subsurface_Inputs!$C$17)/Subsurface_Inputs!$C$18)^2)))</f>
        <v>5.3328024692427034E-2</v>
      </c>
      <c r="I26" s="24">
        <f>Subsurface_Inputs!$C$19+Subsurface_Inputs!$C$20*SIN(2*PI()*(A26-Subsurface_Inputs!$C$21)/Subsurface_Inputs!$C$22)-Subsurface_Inputs!$C$23*H26</f>
        <v>5523.6712956624315</v>
      </c>
      <c r="J26" s="24">
        <f t="shared" si="1"/>
        <v>-5270.0342729096683</v>
      </c>
      <c r="K26" s="24">
        <f>Subsurface_Inputs!$C$25+Subsurface_Inputs!$C$26*SIN(2*PI()*(A26+Subsurface_Inputs!$C$27)/Subsurface_Inputs!$C$28)+Subsurface_Inputs!$C$29*COS(2*PI()*(A26-Subsurface_Inputs!$C$30)/Subsurface_Inputs!$C$31)-Subsurface_Inputs!$C$32*(B26-AVERAGE($B$2:$B$242))</f>
        <v>14630.343646203193</v>
      </c>
      <c r="L26" s="24">
        <f t="shared" si="2"/>
        <v>-14376.706623450429</v>
      </c>
      <c r="M26" s="24">
        <f>2*Subsurface_Inputs!$C$34*F26/Subsurface_Inputs!$C$35*1000000</f>
        <v>15.305829299987893</v>
      </c>
      <c r="N26" s="24">
        <f>2*Subsurface_Inputs!$C$34*I26/Subsurface_Inputs!$C$35*1000000</f>
        <v>65.592943677583307</v>
      </c>
      <c r="O26" s="24">
        <f>2*Subsurface_Inputs!$C$34*K26/Subsurface_Inputs!$C$35*1000000</f>
        <v>173.73360133190332</v>
      </c>
      <c r="P26" s="24">
        <f>Subsurface_Inputs!$C$37-2*Subsurface_Inputs!$C$36*(F26/1000)</f>
        <v>-12.320064589221692</v>
      </c>
      <c r="Q26" s="24">
        <f>Subsurface_Inputs!$C$38+Subsurface_Inputs!$C$39*H26-2*Subsurface_Inputs!$C$36*(I26/1000)</f>
        <v>-33.462656109960534</v>
      </c>
      <c r="R26" s="24">
        <f>Subsurface_Inputs!$C$40-2*Subsurface_Inputs!$C$36*(K26/1000)-Subsurface_Inputs!$C$41*ABS(L26-AVERAGE($L$2:$L$242))</f>
        <v>-33.875622583335364</v>
      </c>
      <c r="S26" s="24">
        <f t="shared" si="3"/>
        <v>-447.04104937092052</v>
      </c>
      <c r="T26" s="24">
        <f t="shared" si="4"/>
        <v>11.350812682331478</v>
      </c>
      <c r="U26" s="25" t="str">
        <f>IF(H26&gt;=Subsurface_Inputs!$C$42,"Lens visible","Weak/no lens")</f>
        <v>Weak/no lens</v>
      </c>
      <c r="V26" s="25" t="str">
        <f t="shared" si="5"/>
        <v>Likely visible</v>
      </c>
      <c r="W26" s="24">
        <f>Subsurface_Inputs!$C$43</f>
        <v>-45</v>
      </c>
      <c r="X26" s="24">
        <f t="shared" si="6"/>
        <v>11.537343890039466</v>
      </c>
      <c r="Y26" s="24">
        <f t="shared" si="7"/>
        <v>11.124377416664636</v>
      </c>
      <c r="Z26" s="24">
        <f t="shared" si="8"/>
        <v>11.537343890039466</v>
      </c>
      <c r="AA26" s="24">
        <v>0</v>
      </c>
    </row>
    <row r="27" spans="1:27">
      <c r="A27" s="24">
        <f>Model_Data!A27</f>
        <v>-47.5</v>
      </c>
      <c r="B27" s="24">
        <f>Model_Data!Y27</f>
        <v>262.75484348528926</v>
      </c>
      <c r="C27" s="24">
        <f>Model_Data!X27</f>
        <v>53.974959185609514</v>
      </c>
      <c r="D27" s="24">
        <f>Model_Data!B27</f>
        <v>402.50694444444446</v>
      </c>
      <c r="E27" s="24">
        <f>Inputs!$C$6</f>
        <v>25</v>
      </c>
      <c r="F27" s="24">
        <f>Subsurface_Inputs!$C$5+Subsurface_Inputs!$C$6*SIN(2*PI()*(A27+Subsurface_Inputs!$C$7)/Subsurface_Inputs!$C$8)+Subsurface_Inputs!$C$9*COS(2*PI()*A27/Subsurface_Inputs!$C$10)+Subsurface_Inputs!$C$11*(B27-AVERAGE($B$2:$B$242))</f>
        <v>1302.6841574438849</v>
      </c>
      <c r="G27" s="24">
        <f t="shared" si="0"/>
        <v>-1039.9293139585957</v>
      </c>
      <c r="H27" s="24">
        <f>MIN(1,MAX(0,Subsurface_Inputs!$C$13*EXP(-0.5*((A27-Subsurface_Inputs!$C$14)/Subsurface_Inputs!$C$15)^2)+Subsurface_Inputs!$C$16*EXP(-0.5*((A27-Subsurface_Inputs!$C$17)/Subsurface_Inputs!$C$18)^2)))</f>
        <v>6.0052067921524378E-2</v>
      </c>
      <c r="I27" s="24">
        <f>Subsurface_Inputs!$C$19+Subsurface_Inputs!$C$20*SIN(2*PI()*(A27-Subsurface_Inputs!$C$21)/Subsurface_Inputs!$C$22)-Subsurface_Inputs!$C$23*H27</f>
        <v>5510.9107712975274</v>
      </c>
      <c r="J27" s="24">
        <f t="shared" si="1"/>
        <v>-5248.1559278122386</v>
      </c>
      <c r="K27" s="24">
        <f>Subsurface_Inputs!$C$25+Subsurface_Inputs!$C$26*SIN(2*PI()*(A27+Subsurface_Inputs!$C$27)/Subsurface_Inputs!$C$28)+Subsurface_Inputs!$C$29*COS(2*PI()*(A27-Subsurface_Inputs!$C$30)/Subsurface_Inputs!$C$31)-Subsurface_Inputs!$C$32*(B27-AVERAGE($B$2:$B$242))</f>
        <v>14628.543151160482</v>
      </c>
      <c r="L27" s="24">
        <f t="shared" si="2"/>
        <v>-14365.788307675193</v>
      </c>
      <c r="M27" s="24">
        <f>2*Subsurface_Inputs!$C$34*F27/Subsurface_Inputs!$C$35*1000000</f>
        <v>15.469220378119823</v>
      </c>
      <c r="N27" s="24">
        <f>2*Subsurface_Inputs!$C$34*I27/Subsurface_Inputs!$C$35*1000000</f>
        <v>65.44141395918372</v>
      </c>
      <c r="O27" s="24">
        <f>2*Subsurface_Inputs!$C$34*K27/Subsurface_Inputs!$C$35*1000000</f>
        <v>173.71222066610935</v>
      </c>
      <c r="P27" s="24">
        <f>Subsurface_Inputs!$C$37-2*Subsurface_Inputs!$C$36*(F27/1000)</f>
        <v>-12.344831483398993</v>
      </c>
      <c r="Q27" s="24">
        <f>Subsurface_Inputs!$C$38+Subsurface_Inputs!$C$39*H27-2*Subsurface_Inputs!$C$36*(I27/1000)</f>
        <v>-33.379170777041828</v>
      </c>
      <c r="R27" s="24">
        <f>Subsurface_Inputs!$C$40-2*Subsurface_Inputs!$C$36*(K27/1000)-Subsurface_Inputs!$C$41*ABS(L27-AVERAGE($L$2:$L$242))</f>
        <v>-33.916054955359428</v>
      </c>
      <c r="S27" s="24">
        <f t="shared" si="3"/>
        <v>-448.84154441363171</v>
      </c>
      <c r="T27" s="24">
        <f t="shared" si="4"/>
        <v>11.229539460942304</v>
      </c>
      <c r="U27" s="25" t="str">
        <f>IF(H27&gt;=Subsurface_Inputs!$C$42,"Lens visible","Weak/no lens")</f>
        <v>Weak/no lens</v>
      </c>
      <c r="V27" s="25" t="str">
        <f t="shared" si="5"/>
        <v>Likely visible</v>
      </c>
      <c r="W27" s="24">
        <f>Subsurface_Inputs!$C$43</f>
        <v>-45</v>
      </c>
      <c r="X27" s="24">
        <f t="shared" si="6"/>
        <v>11.620829222958172</v>
      </c>
      <c r="Y27" s="24">
        <f t="shared" si="7"/>
        <v>11.083945044640572</v>
      </c>
      <c r="Z27" s="24">
        <f t="shared" si="8"/>
        <v>11.620829222958172</v>
      </c>
      <c r="AA27" s="24">
        <v>0</v>
      </c>
    </row>
    <row r="28" spans="1:27">
      <c r="A28" s="24">
        <f>Model_Data!A28</f>
        <v>-47</v>
      </c>
      <c r="B28" s="24">
        <f>Model_Data!Y28</f>
        <v>253.91481019754531</v>
      </c>
      <c r="C28" s="24">
        <f>Model_Data!X28</f>
        <v>61.213442747759345</v>
      </c>
      <c r="D28" s="24">
        <f>Model_Data!B28</f>
        <v>402.45444444444445</v>
      </c>
      <c r="E28" s="24">
        <f>Inputs!$C$6</f>
        <v>25</v>
      </c>
      <c r="F28" s="24">
        <f>Subsurface_Inputs!$C$5+Subsurface_Inputs!$C$6*SIN(2*PI()*(A28+Subsurface_Inputs!$C$7)/Subsurface_Inputs!$C$8)+Subsurface_Inputs!$C$9*COS(2*PI()*A28/Subsurface_Inputs!$C$10)+Subsurface_Inputs!$C$11*(B28-AVERAGE($B$2:$B$242))</f>
        <v>1314.1421850088659</v>
      </c>
      <c r="G28" s="24">
        <f t="shared" si="0"/>
        <v>-1060.2273748113207</v>
      </c>
      <c r="H28" s="24">
        <f>MIN(1,MAX(0,Subsurface_Inputs!$C$13*EXP(-0.5*((A28-Subsurface_Inputs!$C$14)/Subsurface_Inputs!$C$15)^2)+Subsurface_Inputs!$C$16*EXP(-0.5*((A28-Subsurface_Inputs!$C$17)/Subsurface_Inputs!$C$18)^2)))</f>
        <v>6.7455086052655155E-2</v>
      </c>
      <c r="I28" s="24">
        <f>Subsurface_Inputs!$C$19+Subsurface_Inputs!$C$20*SIN(2*PI()*(A28-Subsurface_Inputs!$C$21)/Subsurface_Inputs!$C$22)-Subsurface_Inputs!$C$23*H28</f>
        <v>5497.3630724095447</v>
      </c>
      <c r="J28" s="24">
        <f t="shared" si="1"/>
        <v>-5243.4482622119995</v>
      </c>
      <c r="K28" s="24">
        <f>Subsurface_Inputs!$C$25+Subsurface_Inputs!$C$26*SIN(2*PI()*(A28+Subsurface_Inputs!$C$27)/Subsurface_Inputs!$C$28)+Subsurface_Inputs!$C$29*COS(2*PI()*(A28-Subsurface_Inputs!$C$30)/Subsurface_Inputs!$C$31)-Subsurface_Inputs!$C$32*(B28-AVERAGE($B$2:$B$242))</f>
        <v>14628.933341310511</v>
      </c>
      <c r="L28" s="24">
        <f t="shared" si="2"/>
        <v>-14375.018531112964</v>
      </c>
      <c r="M28" s="24">
        <f>2*Subsurface_Inputs!$C$34*F28/Subsurface_Inputs!$C$35*1000000</f>
        <v>15.605283100989697</v>
      </c>
      <c r="N28" s="24">
        <f>2*Subsurface_Inputs!$C$34*I28/Subsurface_Inputs!$C$35*1000000</f>
        <v>65.280536636375217</v>
      </c>
      <c r="O28" s="24">
        <f>2*Subsurface_Inputs!$C$34*K28/Subsurface_Inputs!$C$35*1000000</f>
        <v>173.71685412801619</v>
      </c>
      <c r="P28" s="24">
        <f>Subsurface_Inputs!$C$37-2*Subsurface_Inputs!$C$36*(F28/1000)</f>
        <v>-12.365455933015959</v>
      </c>
      <c r="Q28" s="24">
        <f>Subsurface_Inputs!$C$38+Subsurface_Inputs!$C$39*H28-2*Subsurface_Inputs!$C$36*(I28/1000)</f>
        <v>-33.288157755863281</v>
      </c>
      <c r="R28" s="24">
        <f>Subsurface_Inputs!$C$40-2*Subsurface_Inputs!$C$36*(K28/1000)-Subsurface_Inputs!$C$41*ABS(L28-AVERAGE($L$2:$L$242))</f>
        <v>-33.8798364038784</v>
      </c>
      <c r="S28" s="24">
        <f t="shared" si="3"/>
        <v>-448.45135426360321</v>
      </c>
      <c r="T28" s="24">
        <f t="shared" si="4"/>
        <v>11.131925835872787</v>
      </c>
      <c r="U28" s="25" t="str">
        <f>IF(H28&gt;=Subsurface_Inputs!$C$42,"Lens visible","Weak/no lens")</f>
        <v>Weak/no lens</v>
      </c>
      <c r="V28" s="25" t="str">
        <f t="shared" si="5"/>
        <v>Likely visible</v>
      </c>
      <c r="W28" s="24">
        <f>Subsurface_Inputs!$C$43</f>
        <v>-45</v>
      </c>
      <c r="X28" s="24">
        <f t="shared" si="6"/>
        <v>11.711842244136719</v>
      </c>
      <c r="Y28" s="24">
        <f t="shared" si="7"/>
        <v>11.1201635961216</v>
      </c>
      <c r="Z28" s="24">
        <f t="shared" si="8"/>
        <v>11.711842244136719</v>
      </c>
      <c r="AA28" s="24">
        <v>0</v>
      </c>
    </row>
    <row r="29" spans="1:27">
      <c r="A29" s="24">
        <f>Model_Data!A29</f>
        <v>-46.5</v>
      </c>
      <c r="B29" s="24">
        <f>Model_Data!Y29</f>
        <v>253.748238320312</v>
      </c>
      <c r="C29" s="24">
        <f>Model_Data!X29</f>
        <v>57.529820703344001</v>
      </c>
      <c r="D29" s="24">
        <f>Model_Data!B29</f>
        <v>402.40249999999997</v>
      </c>
      <c r="E29" s="24">
        <f>Inputs!$C$6</f>
        <v>25</v>
      </c>
      <c r="F29" s="24">
        <f>Subsurface_Inputs!$C$5+Subsurface_Inputs!$C$6*SIN(2*PI()*(A29+Subsurface_Inputs!$C$7)/Subsurface_Inputs!$C$8)+Subsurface_Inputs!$C$9*COS(2*PI()*A29/Subsurface_Inputs!$C$10)+Subsurface_Inputs!$C$11*(B29-AVERAGE($B$2:$B$242))</f>
        <v>1324.2623031045134</v>
      </c>
      <c r="G29" s="24">
        <f t="shared" si="0"/>
        <v>-1070.5140647842013</v>
      </c>
      <c r="H29" s="24">
        <f>MIN(1,MAX(0,Subsurface_Inputs!$C$13*EXP(-0.5*((A29-Subsurface_Inputs!$C$14)/Subsurface_Inputs!$C$15)^2)+Subsurface_Inputs!$C$16*EXP(-0.5*((A29-Subsurface_Inputs!$C$17)/Subsurface_Inputs!$C$18)^2)))</f>
        <v>7.5581533282316302E-2</v>
      </c>
      <c r="I29" s="24">
        <f>Subsurface_Inputs!$C$19+Subsurface_Inputs!$C$20*SIN(2*PI()*(A29-Subsurface_Inputs!$C$21)/Subsurface_Inputs!$C$22)-Subsurface_Inputs!$C$23*H29</f>
        <v>5483.0348055196546</v>
      </c>
      <c r="J29" s="24">
        <f t="shared" si="1"/>
        <v>-5229.2865671993422</v>
      </c>
      <c r="K29" s="24">
        <f>Subsurface_Inputs!$C$25+Subsurface_Inputs!$C$26*SIN(2*PI()*(A29+Subsurface_Inputs!$C$27)/Subsurface_Inputs!$C$28)+Subsurface_Inputs!$C$29*COS(2*PI()*(A29-Subsurface_Inputs!$C$30)/Subsurface_Inputs!$C$31)-Subsurface_Inputs!$C$32*(B29-AVERAGE($B$2:$B$242))</f>
        <v>14627.807692098573</v>
      </c>
      <c r="L29" s="24">
        <f t="shared" si="2"/>
        <v>-14374.059453778262</v>
      </c>
      <c r="M29" s="24">
        <f>2*Subsurface_Inputs!$C$34*F29/Subsurface_Inputs!$C$35*1000000</f>
        <v>15.725458307066775</v>
      </c>
      <c r="N29" s="24">
        <f>2*Subsurface_Inputs!$C$34*I29/Subsurface_Inputs!$C$35*1000000</f>
        <v>65.110390160815754</v>
      </c>
      <c r="O29" s="24">
        <f>2*Subsurface_Inputs!$C$34*K29/Subsurface_Inputs!$C$35*1000000</f>
        <v>173.7034871766885</v>
      </c>
      <c r="P29" s="24">
        <f>Subsurface_Inputs!$C$37-2*Subsurface_Inputs!$C$36*(F29/1000)</f>
        <v>-12.383672145588124</v>
      </c>
      <c r="Q29" s="24">
        <f>Subsurface_Inputs!$C$38+Subsurface_Inputs!$C$39*H29-2*Subsurface_Inputs!$C$36*(I29/1000)</f>
        <v>-33.189228850394528</v>
      </c>
      <c r="R29" s="24">
        <f>Subsurface_Inputs!$C$40-2*Subsurface_Inputs!$C$36*(K29/1000)-Subsurface_Inputs!$C$41*ABS(L29-AVERAGE($L$2:$L$242))</f>
        <v>-33.881646544635714</v>
      </c>
      <c r="S29" s="24">
        <f t="shared" si="3"/>
        <v>-449.57700347554055</v>
      </c>
      <c r="T29" s="24">
        <f t="shared" si="4"/>
        <v>11.046004751329177</v>
      </c>
      <c r="U29" s="25" t="str">
        <f>IF(H29&gt;=Subsurface_Inputs!$C$42,"Lens visible","Weak/no lens")</f>
        <v>Weak/no lens</v>
      </c>
      <c r="V29" s="25" t="str">
        <f t="shared" si="5"/>
        <v>Likely visible</v>
      </c>
      <c r="W29" s="24">
        <f>Subsurface_Inputs!$C$43</f>
        <v>-45</v>
      </c>
      <c r="X29" s="24">
        <f t="shared" si="6"/>
        <v>11.810771149605472</v>
      </c>
      <c r="Y29" s="24">
        <f t="shared" si="7"/>
        <v>11.118353455364286</v>
      </c>
      <c r="Z29" s="24">
        <f t="shared" si="8"/>
        <v>11.810771149605472</v>
      </c>
      <c r="AA29" s="24">
        <v>0</v>
      </c>
    </row>
    <row r="30" spans="1:27">
      <c r="A30" s="24">
        <f>Model_Data!A30</f>
        <v>-46</v>
      </c>
      <c r="B30" s="24">
        <f>Model_Data!Y30</f>
        <v>237.40469511010875</v>
      </c>
      <c r="C30" s="24">
        <f>Model_Data!X30</f>
        <v>49.539620652832568</v>
      </c>
      <c r="D30" s="24">
        <f>Model_Data!B30</f>
        <v>402.35111111111109</v>
      </c>
      <c r="E30" s="24">
        <f>Inputs!$C$6</f>
        <v>25</v>
      </c>
      <c r="F30" s="24">
        <f>Subsurface_Inputs!$C$5+Subsurface_Inputs!$C$6*SIN(2*PI()*(A30+Subsurface_Inputs!$C$7)/Subsurface_Inputs!$C$8)+Subsurface_Inputs!$C$9*COS(2*PI()*A30/Subsurface_Inputs!$C$10)+Subsurface_Inputs!$C$11*(B30-AVERAGE($B$2:$B$242))</f>
        <v>1331.9721423160381</v>
      </c>
      <c r="G30" s="24">
        <f t="shared" si="0"/>
        <v>-1094.5674472059293</v>
      </c>
      <c r="H30" s="24">
        <f>MIN(1,MAX(0,Subsurface_Inputs!$C$13*EXP(-0.5*((A30-Subsurface_Inputs!$C$14)/Subsurface_Inputs!$C$15)^2)+Subsurface_Inputs!$C$16*EXP(-0.5*((A30-Subsurface_Inputs!$C$17)/Subsurface_Inputs!$C$18)^2)))</f>
        <v>8.4475536586416988E-2</v>
      </c>
      <c r="I30" s="24">
        <f>Subsurface_Inputs!$C$19+Subsurface_Inputs!$C$20*SIN(2*PI()*(A30-Subsurface_Inputs!$C$21)/Subsurface_Inputs!$C$22)-Subsurface_Inputs!$C$23*H30</f>
        <v>5467.9335464574806</v>
      </c>
      <c r="J30" s="24">
        <f t="shared" si="1"/>
        <v>-5230.5288513473715</v>
      </c>
      <c r="K30" s="24">
        <f>Subsurface_Inputs!$C$25+Subsurface_Inputs!$C$26*SIN(2*PI()*(A30+Subsurface_Inputs!$C$27)/Subsurface_Inputs!$C$28)+Subsurface_Inputs!$C$29*COS(2*PI()*(A30-Subsurface_Inputs!$C$30)/Subsurface_Inputs!$C$31)-Subsurface_Inputs!$C$32*(B30-AVERAGE($B$2:$B$242))</f>
        <v>14628.668588877104</v>
      </c>
      <c r="L30" s="24">
        <f t="shared" si="2"/>
        <v>-14391.263893766996</v>
      </c>
      <c r="M30" s="24">
        <f>2*Subsurface_Inputs!$C$34*F30/Subsurface_Inputs!$C$35*1000000</f>
        <v>15.817011736316248</v>
      </c>
      <c r="N30" s="24">
        <f>2*Subsurface_Inputs!$C$34*I30/Subsurface_Inputs!$C$35*1000000</f>
        <v>64.93106449458655</v>
      </c>
      <c r="O30" s="24">
        <f>2*Subsurface_Inputs!$C$34*K30/Subsurface_Inputs!$C$35*1000000</f>
        <v>173.71371022416611</v>
      </c>
      <c r="P30" s="24">
        <f>Subsurface_Inputs!$C$37-2*Subsurface_Inputs!$C$36*(F30/1000)</f>
        <v>-12.397549856168869</v>
      </c>
      <c r="Q30" s="24">
        <f>Subsurface_Inputs!$C$38+Subsurface_Inputs!$C$39*H30-2*Subsurface_Inputs!$C$36*(I30/1000)</f>
        <v>-33.082000554345711</v>
      </c>
      <c r="R30" s="24">
        <f>Subsurface_Inputs!$C$40-2*Subsurface_Inputs!$C$36*(K30/1000)-Subsurface_Inputs!$C$41*ABS(L30-AVERAGE($L$2:$L$242))</f>
        <v>-33.814378398882141</v>
      </c>
      <c r="S30" s="24">
        <f t="shared" si="3"/>
        <v>-448.71610669700931</v>
      </c>
      <c r="T30" s="24">
        <f t="shared" si="4"/>
        <v>10.982713620001633</v>
      </c>
      <c r="U30" s="25" t="str">
        <f>IF(H30&gt;=Subsurface_Inputs!$C$42,"Lens visible","Weak/no lens")</f>
        <v>Weak/no lens</v>
      </c>
      <c r="V30" s="25" t="str">
        <f t="shared" si="5"/>
        <v>Likely visible</v>
      </c>
      <c r="W30" s="24">
        <f>Subsurface_Inputs!$C$43</f>
        <v>-45</v>
      </c>
      <c r="X30" s="24">
        <f t="shared" si="6"/>
        <v>11.917999445654289</v>
      </c>
      <c r="Y30" s="24">
        <f t="shared" si="7"/>
        <v>11.185621601117859</v>
      </c>
      <c r="Z30" s="24">
        <f t="shared" si="8"/>
        <v>11.917999445654289</v>
      </c>
      <c r="AA30" s="24">
        <v>0</v>
      </c>
    </row>
    <row r="31" spans="1:27">
      <c r="A31" s="24">
        <f>Model_Data!A31</f>
        <v>-45.5</v>
      </c>
      <c r="B31" s="24">
        <f>Model_Data!Y31</f>
        <v>230.03534200748854</v>
      </c>
      <c r="C31" s="24">
        <f>Model_Data!X31</f>
        <v>36.882918508215923</v>
      </c>
      <c r="D31" s="24">
        <f>Model_Data!B31</f>
        <v>402.30027777777775</v>
      </c>
      <c r="E31" s="24">
        <f>Inputs!$C$6</f>
        <v>25</v>
      </c>
      <c r="F31" s="24">
        <f>Subsurface_Inputs!$C$5+Subsurface_Inputs!$C$6*SIN(2*PI()*(A31+Subsurface_Inputs!$C$7)/Subsurface_Inputs!$C$8)+Subsurface_Inputs!$C$9*COS(2*PI()*A31/Subsurface_Inputs!$C$10)+Subsurface_Inputs!$C$11*(B31-AVERAGE($B$2:$B$242))</f>
        <v>1338.2236916497875</v>
      </c>
      <c r="G31" s="24">
        <f t="shared" si="0"/>
        <v>-1108.188349642299</v>
      </c>
      <c r="H31" s="24">
        <f>MIN(1,MAX(0,Subsurface_Inputs!$C$13*EXP(-0.5*((A31-Subsurface_Inputs!$C$14)/Subsurface_Inputs!$C$15)^2)+Subsurface_Inputs!$C$16*EXP(-0.5*((A31-Subsurface_Inputs!$C$17)/Subsurface_Inputs!$C$18)^2)))</f>
        <v>9.4180389885210006E-2</v>
      </c>
      <c r="I31" s="24">
        <f>Subsurface_Inputs!$C$19+Subsurface_Inputs!$C$20*SIN(2*PI()*(A31-Subsurface_Inputs!$C$21)/Subsurface_Inputs!$C$22)-Subsurface_Inputs!$C$23*H31</f>
        <v>5452.067935099958</v>
      </c>
      <c r="J31" s="24">
        <f t="shared" si="1"/>
        <v>-5222.0325930924691</v>
      </c>
      <c r="K31" s="24">
        <f>Subsurface_Inputs!$C$25+Subsurface_Inputs!$C$26*SIN(2*PI()*(A31+Subsurface_Inputs!$C$27)/Subsurface_Inputs!$C$28)+Subsurface_Inputs!$C$29*COS(2*PI()*(A31-Subsurface_Inputs!$C$30)/Subsurface_Inputs!$C$31)-Subsurface_Inputs!$C$32*(B31-AVERAGE($B$2:$B$242))</f>
        <v>14628.019588067556</v>
      </c>
      <c r="L31" s="24">
        <f t="shared" si="2"/>
        <v>-14397.984246060068</v>
      </c>
      <c r="M31" s="24">
        <f>2*Subsurface_Inputs!$C$34*F31/Subsurface_Inputs!$C$35*1000000</f>
        <v>15.891248145652963</v>
      </c>
      <c r="N31" s="24">
        <f>2*Subsurface_Inputs!$C$34*I31/Subsurface_Inputs!$C$35*1000000</f>
        <v>64.742662235204904</v>
      </c>
      <c r="O31" s="24">
        <f>2*Subsurface_Inputs!$C$34*K31/Subsurface_Inputs!$C$35*1000000</f>
        <v>173.70600341627176</v>
      </c>
      <c r="P31" s="24">
        <f>Subsurface_Inputs!$C$37-2*Subsurface_Inputs!$C$36*(F31/1000)</f>
        <v>-12.408802644969619</v>
      </c>
      <c r="Q31" s="24">
        <f>Subsurface_Inputs!$C$38+Subsurface_Inputs!$C$39*H31-2*Subsurface_Inputs!$C$36*(I31/1000)</f>
        <v>-32.966098774213037</v>
      </c>
      <c r="R31" s="24">
        <f>Subsurface_Inputs!$C$40-2*Subsurface_Inputs!$C$36*(K31/1000)-Subsurface_Inputs!$C$41*ABS(L31-AVERAGE($L$2:$L$242))</f>
        <v>-33.786328788252661</v>
      </c>
      <c r="S31" s="24">
        <f t="shared" si="3"/>
        <v>-449.36510750655725</v>
      </c>
      <c r="T31" s="24">
        <f t="shared" si="4"/>
        <v>10.930922594886852</v>
      </c>
      <c r="U31" s="25" t="str">
        <f>IF(H31&gt;=Subsurface_Inputs!$C$42,"Lens visible","Weak/no lens")</f>
        <v>Weak/no lens</v>
      </c>
      <c r="V31" s="25" t="str">
        <f t="shared" si="5"/>
        <v>Likely visible</v>
      </c>
      <c r="W31" s="24">
        <f>Subsurface_Inputs!$C$43</f>
        <v>-45</v>
      </c>
      <c r="X31" s="24">
        <f t="shared" si="6"/>
        <v>12.033901225786963</v>
      </c>
      <c r="Y31" s="24">
        <f t="shared" si="7"/>
        <v>11.213671211747339</v>
      </c>
      <c r="Z31" s="24">
        <f t="shared" si="8"/>
        <v>12.033901225786963</v>
      </c>
      <c r="AA31" s="24">
        <v>0</v>
      </c>
    </row>
    <row r="32" spans="1:27">
      <c r="A32" s="24">
        <f>Model_Data!A32</f>
        <v>-45</v>
      </c>
      <c r="B32" s="24">
        <f>Model_Data!Y32</f>
        <v>208.8220272535724</v>
      </c>
      <c r="C32" s="24">
        <f>Model_Data!X32</f>
        <v>46.599178353528217</v>
      </c>
      <c r="D32" s="24">
        <f>Model_Data!B32</f>
        <v>402.25</v>
      </c>
      <c r="E32" s="24">
        <f>Inputs!$C$6</f>
        <v>25</v>
      </c>
      <c r="F32" s="24">
        <f>Subsurface_Inputs!$C$5+Subsurface_Inputs!$C$6*SIN(2*PI()*(A32+Subsurface_Inputs!$C$7)/Subsurface_Inputs!$C$8)+Subsurface_Inputs!$C$9*COS(2*PI()*A32/Subsurface_Inputs!$C$10)+Subsurface_Inputs!$C$11*(B32-AVERAGE($B$2:$B$242))</f>
        <v>1342.07490025327</v>
      </c>
      <c r="G32" s="24">
        <f t="shared" si="0"/>
        <v>-1133.2528729996975</v>
      </c>
      <c r="H32" s="24">
        <f>MIN(1,MAX(0,Subsurface_Inputs!$C$13*EXP(-0.5*((A32-Subsurface_Inputs!$C$14)/Subsurface_Inputs!$C$15)^2)+Subsurface_Inputs!$C$16*EXP(-0.5*((A32-Subsurface_Inputs!$C$17)/Subsurface_Inputs!$C$18)^2)))</f>
        <v>0.10473799903926095</v>
      </c>
      <c r="I32" s="24">
        <f>Subsurface_Inputs!$C$19+Subsurface_Inputs!$C$20*SIN(2*PI()*(A32-Subsurface_Inputs!$C$21)/Subsurface_Inputs!$C$22)-Subsurface_Inputs!$C$23*H32</f>
        <v>5435.447780642543</v>
      </c>
      <c r="J32" s="24">
        <f t="shared" si="1"/>
        <v>-5226.6257533889702</v>
      </c>
      <c r="K32" s="24">
        <f>Subsurface_Inputs!$C$25+Subsurface_Inputs!$C$26*SIN(2*PI()*(A32+Subsurface_Inputs!$C$27)/Subsurface_Inputs!$C$28)+Subsurface_Inputs!$C$29*COS(2*PI()*(A32-Subsurface_Inputs!$C$30)/Subsurface_Inputs!$C$31)-Subsurface_Inputs!$C$32*(B32-AVERAGE($B$2:$B$242))</f>
        <v>14629.081269338794</v>
      </c>
      <c r="L32" s="24">
        <f t="shared" si="2"/>
        <v>-14420.259242085222</v>
      </c>
      <c r="M32" s="24">
        <f>2*Subsurface_Inputs!$C$34*F32/Subsurface_Inputs!$C$35*1000000</f>
        <v>15.936980792564306</v>
      </c>
      <c r="N32" s="24">
        <f>2*Subsurface_Inputs!$C$34*I32/Subsurface_Inputs!$C$35*1000000</f>
        <v>64.545299865707264</v>
      </c>
      <c r="O32" s="24">
        <f>2*Subsurface_Inputs!$C$34*K32/Subsurface_Inputs!$C$35*1000000</f>
        <v>173.71861075586534</v>
      </c>
      <c r="P32" s="24">
        <f>Subsurface_Inputs!$C$37-2*Subsurface_Inputs!$C$36*(F32/1000)</f>
        <v>-12.415734820455885</v>
      </c>
      <c r="Q32" s="24">
        <f>Subsurface_Inputs!$C$38+Subsurface_Inputs!$C$39*H32-2*Subsurface_Inputs!$C$36*(I32/1000)</f>
        <v>-32.84116401380323</v>
      </c>
      <c r="R32" s="24">
        <f>Subsurface_Inputs!$C$40-2*Subsurface_Inputs!$C$36*(K32/1000)-Subsurface_Inputs!$C$41*ABS(L32-AVERAGE($L$2:$L$242))</f>
        <v>-33.699139830440281</v>
      </c>
      <c r="S32" s="24">
        <f t="shared" si="3"/>
        <v>-448.30342623531942</v>
      </c>
      <c r="T32" s="24">
        <f t="shared" si="4"/>
        <v>10.900346371560978</v>
      </c>
      <c r="U32" s="25" t="str">
        <f>IF(H32&gt;=Subsurface_Inputs!$C$42,"Lens visible","Weak/no lens")</f>
        <v>Weak/no lens</v>
      </c>
      <c r="V32" s="25" t="str">
        <f t="shared" si="5"/>
        <v>Likely visible</v>
      </c>
      <c r="W32" s="24">
        <f>Subsurface_Inputs!$C$43</f>
        <v>-45</v>
      </c>
      <c r="X32" s="24">
        <f t="shared" si="6"/>
        <v>12.15883598619677</v>
      </c>
      <c r="Y32" s="24">
        <f t="shared" si="7"/>
        <v>11.300860169559719</v>
      </c>
      <c r="Z32" s="24">
        <f t="shared" si="8"/>
        <v>12.15883598619677</v>
      </c>
      <c r="AA32" s="24">
        <v>0</v>
      </c>
    </row>
    <row r="33" spans="1:27">
      <c r="A33" s="24">
        <f>Model_Data!A33</f>
        <v>-44.5</v>
      </c>
      <c r="B33" s="24">
        <f>Model_Data!Y33</f>
        <v>201.66422960156285</v>
      </c>
      <c r="C33" s="24">
        <f>Model_Data!X33</f>
        <v>27.915318214934121</v>
      </c>
      <c r="D33" s="24">
        <f>Model_Data!B33</f>
        <v>402.20027777777779</v>
      </c>
      <c r="E33" s="24">
        <f>Inputs!$C$6</f>
        <v>25</v>
      </c>
      <c r="F33" s="24">
        <f>Subsurface_Inputs!$C$5+Subsurface_Inputs!$C$6*SIN(2*PI()*(A33+Subsurface_Inputs!$C$7)/Subsurface_Inputs!$C$8)+Subsurface_Inputs!$C$9*COS(2*PI()*A33/Subsurface_Inputs!$C$10)+Subsurface_Inputs!$C$11*(B33-AVERAGE($B$2:$B$242))</f>
        <v>1344.6371834555257</v>
      </c>
      <c r="G33" s="24">
        <f t="shared" si="0"/>
        <v>-1142.9729538539627</v>
      </c>
      <c r="H33" s="24">
        <f>MIN(1,MAX(0,Subsurface_Inputs!$C$13*EXP(-0.5*((A33-Subsurface_Inputs!$C$14)/Subsurface_Inputs!$C$15)^2)+Subsurface_Inputs!$C$16*EXP(-0.5*((A33-Subsurface_Inputs!$C$17)/Subsurface_Inputs!$C$18)^2)))</f>
        <v>0.11618828067955557</v>
      </c>
      <c r="I33" s="24">
        <f>Subsurface_Inputs!$C$19+Subsurface_Inputs!$C$20*SIN(2*PI()*(A33-Subsurface_Inputs!$C$21)/Subsurface_Inputs!$C$22)-Subsurface_Inputs!$C$23*H33</f>
        <v>5418.0841767230013</v>
      </c>
      <c r="J33" s="24">
        <f t="shared" si="1"/>
        <v>-5216.4199471214388</v>
      </c>
      <c r="K33" s="24">
        <f>Subsurface_Inputs!$C$25+Subsurface_Inputs!$C$26*SIN(2*PI()*(A33+Subsurface_Inputs!$C$27)/Subsurface_Inputs!$C$28)+Subsurface_Inputs!$C$29*COS(2*PI()*(A33-Subsurface_Inputs!$C$30)/Subsurface_Inputs!$C$31)-Subsurface_Inputs!$C$32*(B33-AVERAGE($B$2:$B$242))</f>
        <v>14627.974984883302</v>
      </c>
      <c r="L33" s="24">
        <f t="shared" si="2"/>
        <v>-14426.310755281738</v>
      </c>
      <c r="M33" s="24">
        <f>2*Subsurface_Inputs!$C$34*F33/Subsurface_Inputs!$C$35*1000000</f>
        <v>15.967407602701172</v>
      </c>
      <c r="N33" s="24">
        <f>2*Subsurface_Inputs!$C$34*I33/Subsurface_Inputs!$C$35*1000000</f>
        <v>64.339109121730758</v>
      </c>
      <c r="O33" s="24">
        <f>2*Subsurface_Inputs!$C$34*K33/Subsurface_Inputs!$C$35*1000000</f>
        <v>173.7054737587313</v>
      </c>
      <c r="P33" s="24">
        <f>Subsurface_Inputs!$C$37-2*Subsurface_Inputs!$C$36*(F33/1000)</f>
        <v>-12.420346930219946</v>
      </c>
      <c r="Q33" s="24">
        <f>Subsurface_Inputs!$C$38+Subsurface_Inputs!$C$39*H33-2*Subsurface_Inputs!$C$36*(I33/1000)</f>
        <v>-32.706856991985404</v>
      </c>
      <c r="R33" s="24">
        <f>Subsurface_Inputs!$C$40-2*Subsurface_Inputs!$C$36*(K33/1000)-Subsurface_Inputs!$C$41*ABS(L33-AVERAGE($L$2:$L$242))</f>
        <v>-33.672942465634328</v>
      </c>
      <c r="S33" s="24">
        <f t="shared" si="3"/>
        <v>-449.40971069081206</v>
      </c>
      <c r="T33" s="24">
        <f t="shared" si="4"/>
        <v>10.878752398689059</v>
      </c>
      <c r="U33" s="25" t="str">
        <f>IF(H33&gt;=Subsurface_Inputs!$C$42,"Lens visible","Weak/no lens")</f>
        <v>Weak/no lens</v>
      </c>
      <c r="V33" s="25" t="str">
        <f t="shared" si="5"/>
        <v>Likely visible</v>
      </c>
      <c r="W33" s="24">
        <f>Subsurface_Inputs!$C$43</f>
        <v>-45</v>
      </c>
      <c r="X33" s="24">
        <f t="shared" si="6"/>
        <v>12.293143008014596</v>
      </c>
      <c r="Y33" s="24">
        <f t="shared" si="7"/>
        <v>11.327057534365672</v>
      </c>
      <c r="Z33" s="24">
        <f t="shared" si="8"/>
        <v>12.293143008014596</v>
      </c>
      <c r="AA33" s="24">
        <v>0</v>
      </c>
    </row>
    <row r="34" spans="1:27">
      <c r="A34" s="24">
        <f>Model_Data!A34</f>
        <v>-44</v>
      </c>
      <c r="B34" s="24">
        <f>Model_Data!Y34</f>
        <v>200.11672258234324</v>
      </c>
      <c r="C34" s="24">
        <f>Model_Data!X34</f>
        <v>18.825392010190029</v>
      </c>
      <c r="D34" s="24">
        <f>Model_Data!B34</f>
        <v>402.15111111111111</v>
      </c>
      <c r="E34" s="24">
        <f>Inputs!$C$6</f>
        <v>25</v>
      </c>
      <c r="F34" s="24">
        <f>Subsurface_Inputs!$C$5+Subsurface_Inputs!$C$6*SIN(2*PI()*(A34+Subsurface_Inputs!$C$7)/Subsurface_Inputs!$C$8)+Subsurface_Inputs!$C$9*COS(2*PI()*A34/Subsurface_Inputs!$C$10)+Subsurface_Inputs!$C$11*(B34-AVERAGE($B$2:$B$242))</f>
        <v>1345.5925502759046</v>
      </c>
      <c r="G34" s="24">
        <f t="shared" si="0"/>
        <v>-1145.4758276935613</v>
      </c>
      <c r="H34" s="24">
        <f>MIN(1,MAX(0,Subsurface_Inputs!$C$13*EXP(-0.5*((A34-Subsurface_Inputs!$C$14)/Subsurface_Inputs!$C$15)^2)+Subsurface_Inputs!$C$16*EXP(-0.5*((A34-Subsurface_Inputs!$C$17)/Subsurface_Inputs!$C$18)^2)))</f>
        <v>0.12856851907478206</v>
      </c>
      <c r="I34" s="24">
        <f>Subsurface_Inputs!$C$19+Subsurface_Inputs!$C$20*SIN(2*PI()*(A34-Subsurface_Inputs!$C$21)/Subsurface_Inputs!$C$22)-Subsurface_Inputs!$C$23*H34</f>
        <v>5399.9896254318637</v>
      </c>
      <c r="J34" s="24">
        <f t="shared" si="1"/>
        <v>-5199.8729028495209</v>
      </c>
      <c r="K34" s="24">
        <f>Subsurface_Inputs!$C$25+Subsurface_Inputs!$C$26*SIN(2*PI()*(A34+Subsurface_Inputs!$C$27)/Subsurface_Inputs!$C$28)+Subsurface_Inputs!$C$29*COS(2*PI()*(A34-Subsurface_Inputs!$C$30)/Subsurface_Inputs!$C$31)-Subsurface_Inputs!$C$32*(B34-AVERAGE($B$2:$B$242))</f>
        <v>14625.911504274929</v>
      </c>
      <c r="L34" s="24">
        <f t="shared" si="2"/>
        <v>-14425.794781692586</v>
      </c>
      <c r="M34" s="24">
        <f>2*Subsurface_Inputs!$C$34*F34/Subsurface_Inputs!$C$35*1000000</f>
        <v>15.978752470758357</v>
      </c>
      <c r="N34" s="24">
        <f>2*Subsurface_Inputs!$C$34*I34/Subsurface_Inputs!$C$35*1000000</f>
        <v>64.124238464122527</v>
      </c>
      <c r="O34" s="24">
        <f>2*Subsurface_Inputs!$C$34*K34/Subsurface_Inputs!$C$35*1000000</f>
        <v>173.68097017043289</v>
      </c>
      <c r="P34" s="24">
        <f>Subsurface_Inputs!$C$37-2*Subsurface_Inputs!$C$36*(F34/1000)</f>
        <v>-12.422066590496629</v>
      </c>
      <c r="Q34" s="24">
        <f>Subsurface_Inputs!$C$38+Subsurface_Inputs!$C$39*H34-2*Subsurface_Inputs!$C$36*(I34/1000)</f>
        <v>-32.562864654104317</v>
      </c>
      <c r="R34" s="24">
        <f>Subsurface_Inputs!$C$40-2*Subsurface_Inputs!$C$36*(K34/1000)-Subsurface_Inputs!$C$41*ABS(L34-AVERAGE($L$2:$L$242))</f>
        <v>-33.671292094895868</v>
      </c>
      <c r="S34" s="24">
        <f t="shared" si="3"/>
        <v>-451.47319129918469</v>
      </c>
      <c r="T34" s="24">
        <f t="shared" si="4"/>
        <v>10.869495005212377</v>
      </c>
      <c r="U34" s="25" t="str">
        <f>IF(H34&gt;=Subsurface_Inputs!$C$42,"Lens visible","Weak/no lens")</f>
        <v>Weak/no lens</v>
      </c>
      <c r="V34" s="25" t="str">
        <f t="shared" si="5"/>
        <v>Likely visible</v>
      </c>
      <c r="W34" s="24">
        <f>Subsurface_Inputs!$C$43</f>
        <v>-45</v>
      </c>
      <c r="X34" s="24">
        <f t="shared" si="6"/>
        <v>12.437135345895683</v>
      </c>
      <c r="Y34" s="24">
        <f t="shared" si="7"/>
        <v>11.328707905104132</v>
      </c>
      <c r="Z34" s="24">
        <f t="shared" si="8"/>
        <v>12.437135345895683</v>
      </c>
      <c r="AA34" s="24">
        <v>0</v>
      </c>
    </row>
    <row r="35" spans="1:27">
      <c r="A35" s="24">
        <f>Model_Data!A35</f>
        <v>-43.5</v>
      </c>
      <c r="B35" s="24">
        <f>Model_Data!Y35</f>
        <v>210.84839534160349</v>
      </c>
      <c r="C35" s="24">
        <f>Model_Data!X35</f>
        <v>22.55480739682735</v>
      </c>
      <c r="D35" s="24">
        <f>Model_Data!B35</f>
        <v>402.10250000000002</v>
      </c>
      <c r="E35" s="24">
        <f>Inputs!$C$6</f>
        <v>25</v>
      </c>
      <c r="F35" s="24">
        <f>Subsurface_Inputs!$C$5+Subsurface_Inputs!$C$6*SIN(2*PI()*(A35+Subsurface_Inputs!$C$7)/Subsurface_Inputs!$C$8)+Subsurface_Inputs!$C$9*COS(2*PI()*A35/Subsurface_Inputs!$C$10)+Subsurface_Inputs!$C$11*(B35-AVERAGE($B$2:$B$242))</f>
        <v>1345.2511794984607</v>
      </c>
      <c r="G35" s="24">
        <f t="shared" si="0"/>
        <v>-1134.4027841568573</v>
      </c>
      <c r="H35" s="24">
        <f>MIN(1,MAX(0,Subsurface_Inputs!$C$13*EXP(-0.5*((A35-Subsurface_Inputs!$C$14)/Subsurface_Inputs!$C$15)^2)+Subsurface_Inputs!$C$16*EXP(-0.5*((A35-Subsurface_Inputs!$C$17)/Subsurface_Inputs!$C$18)^2)))</f>
        <v>0.14191268648789712</v>
      </c>
      <c r="I35" s="24">
        <f>Subsurface_Inputs!$C$19+Subsurface_Inputs!$C$20*SIN(2*PI()*(A35-Subsurface_Inputs!$C$21)/Subsurface_Inputs!$C$22)-Subsurface_Inputs!$C$23*H35</f>
        <v>5381.1781689455565</v>
      </c>
      <c r="J35" s="24">
        <f t="shared" si="1"/>
        <v>-5170.3297736039531</v>
      </c>
      <c r="K35" s="24">
        <f>Subsurface_Inputs!$C$25+Subsurface_Inputs!$C$26*SIN(2*PI()*(A35+Subsurface_Inputs!$C$27)/Subsurface_Inputs!$C$28)+Subsurface_Inputs!$C$29*COS(2*PI()*(A35-Subsurface_Inputs!$C$30)/Subsurface_Inputs!$C$31)-Subsurface_Inputs!$C$32*(B35-AVERAGE($B$2:$B$242))</f>
        <v>14621.986694083294</v>
      </c>
      <c r="L35" s="24">
        <f t="shared" si="2"/>
        <v>-14411.138298741691</v>
      </c>
      <c r="M35" s="24">
        <f>2*Subsurface_Inputs!$C$34*F35/Subsurface_Inputs!$C$35*1000000</f>
        <v>15.974698733129973</v>
      </c>
      <c r="N35" s="24">
        <f>2*Subsurface_Inputs!$C$34*I35/Subsurface_Inputs!$C$35*1000000</f>
        <v>63.900854642067692</v>
      </c>
      <c r="O35" s="24">
        <f>2*Subsurface_Inputs!$C$34*K35/Subsurface_Inputs!$C$35*1000000</f>
        <v>173.63436351336273</v>
      </c>
      <c r="P35" s="24">
        <f>Subsurface_Inputs!$C$37-2*Subsurface_Inputs!$C$36*(F35/1000)</f>
        <v>-12.421452123097229</v>
      </c>
      <c r="Q35" s="24">
        <f>Subsurface_Inputs!$C$38+Subsurface_Inputs!$C$39*H35-2*Subsurface_Inputs!$C$36*(I35/1000)</f>
        <v>-32.408906525710933</v>
      </c>
      <c r="R35" s="24">
        <f>Subsurface_Inputs!$C$40-2*Subsurface_Inputs!$C$36*(K35/1000)-Subsurface_Inputs!$C$41*ABS(L35-AVERAGE($L$2:$L$242))</f>
        <v>-33.722853368354507</v>
      </c>
      <c r="S35" s="24">
        <f t="shared" si="3"/>
        <v>-455.3980014908193</v>
      </c>
      <c r="T35" s="24">
        <f t="shared" si="4"/>
        <v>10.869335717315403</v>
      </c>
      <c r="U35" s="25" t="str">
        <f>IF(H35&gt;=Subsurface_Inputs!$C$42,"Lens visible","Weak/no lens")</f>
        <v>Weak/no lens</v>
      </c>
      <c r="V35" s="25" t="str">
        <f t="shared" si="5"/>
        <v>Likely visible</v>
      </c>
      <c r="W35" s="24">
        <f>Subsurface_Inputs!$C$43</f>
        <v>-45</v>
      </c>
      <c r="X35" s="24">
        <f t="shared" si="6"/>
        <v>12.591093474289067</v>
      </c>
      <c r="Y35" s="24">
        <f t="shared" si="7"/>
        <v>11.277146631645493</v>
      </c>
      <c r="Z35" s="24">
        <f t="shared" si="8"/>
        <v>12.591093474289067</v>
      </c>
      <c r="AA35" s="24">
        <v>0</v>
      </c>
    </row>
    <row r="36" spans="1:27">
      <c r="A36" s="24">
        <f>Model_Data!A36</f>
        <v>-43</v>
      </c>
      <c r="B36" s="24">
        <f>Model_Data!Y36</f>
        <v>180.5581841932563</v>
      </c>
      <c r="C36" s="24">
        <f>Model_Data!X36</f>
        <v>3.69479063881065</v>
      </c>
      <c r="D36" s="24">
        <f>Model_Data!B36</f>
        <v>402.05444444444447</v>
      </c>
      <c r="E36" s="24">
        <f>Inputs!$C$6</f>
        <v>25</v>
      </c>
      <c r="F36" s="24">
        <f>Subsurface_Inputs!$C$5+Subsurface_Inputs!$C$6*SIN(2*PI()*(A36+Subsurface_Inputs!$C$7)/Subsurface_Inputs!$C$8)+Subsurface_Inputs!$C$9*COS(2*PI()*A36/Subsurface_Inputs!$C$10)+Subsurface_Inputs!$C$11*(B36-AVERAGE($B$2:$B$242))</f>
        <v>1341.5468992266901</v>
      </c>
      <c r="G36" s="24">
        <f t="shared" si="0"/>
        <v>-1160.9887150334339</v>
      </c>
      <c r="H36" s="24">
        <f>MIN(1,MAX(0,Subsurface_Inputs!$C$13*EXP(-0.5*((A36-Subsurface_Inputs!$C$14)/Subsurface_Inputs!$C$15)^2)+Subsurface_Inputs!$C$16*EXP(-0.5*((A36-Subsurface_Inputs!$C$17)/Subsurface_Inputs!$C$18)^2)))</f>
        <v>0.15625073374829715</v>
      </c>
      <c r="I36" s="24">
        <f>Subsurface_Inputs!$C$19+Subsurface_Inputs!$C$20*SIN(2*PI()*(A36-Subsurface_Inputs!$C$21)/Subsurface_Inputs!$C$22)-Subsurface_Inputs!$C$23*H36</f>
        <v>5361.6655272140915</v>
      </c>
      <c r="J36" s="24">
        <f t="shared" si="1"/>
        <v>-5181.1073430208353</v>
      </c>
      <c r="K36" s="24">
        <f>Subsurface_Inputs!$C$25+Subsurface_Inputs!$C$26*SIN(2*PI()*(A36+Subsurface_Inputs!$C$27)/Subsurface_Inputs!$C$28)+Subsurface_Inputs!$C$29*COS(2*PI()*(A36-Subsurface_Inputs!$C$30)/Subsurface_Inputs!$C$31)-Subsurface_Inputs!$C$32*(B36-AVERAGE($B$2:$B$242))</f>
        <v>14623.693198890638</v>
      </c>
      <c r="L36" s="24">
        <f t="shared" si="2"/>
        <v>-14443.135014697382</v>
      </c>
      <c r="M36" s="24">
        <f>2*Subsurface_Inputs!$C$34*F36/Subsurface_Inputs!$C$35*1000000</f>
        <v>15.930710842789169</v>
      </c>
      <c r="N36" s="24">
        <f>2*Subsurface_Inputs!$C$34*I36/Subsurface_Inputs!$C$35*1000000</f>
        <v>63.669144328114378</v>
      </c>
      <c r="O36" s="24">
        <f>2*Subsurface_Inputs!$C$34*K36/Subsurface_Inputs!$C$35*1000000</f>
        <v>173.65462805622238</v>
      </c>
      <c r="P36" s="24">
        <f>Subsurface_Inputs!$C$37-2*Subsurface_Inputs!$C$36*(F36/1000)</f>
        <v>-12.414784418608043</v>
      </c>
      <c r="Q36" s="24">
        <f>Subsurface_Inputs!$C$38+Subsurface_Inputs!$C$39*H36-2*Subsurface_Inputs!$C$36*(I36/1000)</f>
        <v>-32.244741345250688</v>
      </c>
      <c r="R36" s="24">
        <f>Subsurface_Inputs!$C$40-2*Subsurface_Inputs!$C$36*(K36/1000)-Subsurface_Inputs!$C$41*ABS(L36-AVERAGE($L$2:$L$242))</f>
        <v>-33.597938213184953</v>
      </c>
      <c r="S36" s="24">
        <f t="shared" si="3"/>
        <v>-453.69149668347563</v>
      </c>
      <c r="T36" s="24">
        <f t="shared" si="4"/>
        <v>10.900620177587676</v>
      </c>
      <c r="U36" s="25" t="str">
        <f>IF(H36&gt;=Subsurface_Inputs!$C$42,"Lens visible","Weak/no lens")</f>
        <v>Weak/no lens</v>
      </c>
      <c r="V36" s="25" t="str">
        <f t="shared" si="5"/>
        <v>Likely visible</v>
      </c>
      <c r="W36" s="24">
        <f>Subsurface_Inputs!$C$43</f>
        <v>-45</v>
      </c>
      <c r="X36" s="24">
        <f t="shared" si="6"/>
        <v>12.755258654749312</v>
      </c>
      <c r="Y36" s="24">
        <f t="shared" si="7"/>
        <v>11.402061786815047</v>
      </c>
      <c r="Z36" s="24">
        <f t="shared" si="8"/>
        <v>12.755258654749312</v>
      </c>
      <c r="AA36" s="24">
        <v>0</v>
      </c>
    </row>
    <row r="37" spans="1:27">
      <c r="A37" s="24">
        <f>Model_Data!A37</f>
        <v>-42.5</v>
      </c>
      <c r="B37" s="24">
        <f>Model_Data!Y37</f>
        <v>181.72917551772019</v>
      </c>
      <c r="C37" s="24">
        <f>Model_Data!X37</f>
        <v>9.4775494942885228</v>
      </c>
      <c r="D37" s="24">
        <f>Model_Data!B37</f>
        <v>402.00694444444446</v>
      </c>
      <c r="E37" s="24">
        <f>Inputs!$C$6</f>
        <v>25</v>
      </c>
      <c r="F37" s="24">
        <f>Subsurface_Inputs!$C$5+Subsurface_Inputs!$C$6*SIN(2*PI()*(A37+Subsurface_Inputs!$C$7)/Subsurface_Inputs!$C$8)+Subsurface_Inputs!$C$9*COS(2*PI()*A37/Subsurface_Inputs!$C$10)+Subsurface_Inputs!$C$11*(B37-AVERAGE($B$2:$B$242))</f>
        <v>1337.4658358603704</v>
      </c>
      <c r="G37" s="24">
        <f t="shared" si="0"/>
        <v>-1155.7366603426501</v>
      </c>
      <c r="H37" s="24">
        <f>MIN(1,MAX(0,Subsurface_Inputs!$C$13*EXP(-0.5*((A37-Subsurface_Inputs!$C$14)/Subsurface_Inputs!$C$15)^2)+Subsurface_Inputs!$C$16*EXP(-0.5*((A37-Subsurface_Inputs!$C$17)/Subsurface_Inputs!$C$18)^2)))</f>
        <v>0.17160785903794926</v>
      </c>
      <c r="I37" s="24">
        <f>Subsurface_Inputs!$C$19+Subsurface_Inputs!$C$20*SIN(2*PI()*(A37-Subsurface_Inputs!$C$21)/Subsurface_Inputs!$C$22)-Subsurface_Inputs!$C$23*H37</f>
        <v>5341.4692398315265</v>
      </c>
      <c r="J37" s="24">
        <f t="shared" si="1"/>
        <v>-5159.7400643138062</v>
      </c>
      <c r="K37" s="24">
        <f>Subsurface_Inputs!$C$25+Subsurface_Inputs!$C$26*SIN(2*PI()*(A37+Subsurface_Inputs!$C$27)/Subsurface_Inputs!$C$28)+Subsurface_Inputs!$C$29*COS(2*PI()*(A37-Subsurface_Inputs!$C$30)/Subsurface_Inputs!$C$31)-Subsurface_Inputs!$C$32*(B37-AVERAGE($B$2:$B$242))</f>
        <v>14620.914775457457</v>
      </c>
      <c r="L37" s="24">
        <f t="shared" si="2"/>
        <v>-14439.185599939738</v>
      </c>
      <c r="M37" s="24">
        <f>2*Subsurface_Inputs!$C$34*F37/Subsurface_Inputs!$C$35*1000000</f>
        <v>15.882248697740483</v>
      </c>
      <c r="N37" s="24">
        <f>2*Subsurface_Inputs!$C$34*I37/Subsurface_Inputs!$C$35*1000000</f>
        <v>63.429315802868643</v>
      </c>
      <c r="O37" s="24">
        <f>2*Subsurface_Inputs!$C$34*K37/Subsurface_Inputs!$C$35*1000000</f>
        <v>173.62163460639343</v>
      </c>
      <c r="P37" s="24">
        <f>Subsurface_Inputs!$C$37-2*Subsurface_Inputs!$C$36*(F37/1000)</f>
        <v>-12.407438504548667</v>
      </c>
      <c r="Q37" s="24">
        <f>Subsurface_Inputs!$C$38+Subsurface_Inputs!$C$39*H37-2*Subsurface_Inputs!$C$36*(I37/1000)</f>
        <v>-32.070173900355201</v>
      </c>
      <c r="R37" s="24">
        <f>Subsurface_Inputs!$C$40-2*Subsurface_Inputs!$C$36*(K37/1000)-Subsurface_Inputs!$C$41*ABS(L37-AVERAGE($L$2:$L$242))</f>
        <v>-33.608734710035804</v>
      </c>
      <c r="S37" s="24">
        <f t="shared" si="3"/>
        <v>-456.46992011665679</v>
      </c>
      <c r="T37" s="24">
        <f t="shared" si="4"/>
        <v>10.931804299922216</v>
      </c>
      <c r="U37" s="25" t="str">
        <f>IF(H37&gt;=Subsurface_Inputs!$C$42,"Lens visible","Weak/no lens")</f>
        <v>Weak/no lens</v>
      </c>
      <c r="V37" s="25" t="str">
        <f t="shared" si="5"/>
        <v>Likely visible</v>
      </c>
      <c r="W37" s="24">
        <f>Subsurface_Inputs!$C$43</f>
        <v>-45</v>
      </c>
      <c r="X37" s="24">
        <f t="shared" si="6"/>
        <v>12.929826099644799</v>
      </c>
      <c r="Y37" s="24">
        <f t="shared" si="7"/>
        <v>11.391265289964196</v>
      </c>
      <c r="Z37" s="24">
        <f t="shared" si="8"/>
        <v>12.929826099644799</v>
      </c>
      <c r="AA37" s="24">
        <v>0</v>
      </c>
    </row>
    <row r="38" spans="1:27">
      <c r="A38" s="24">
        <f>Model_Data!A38</f>
        <v>-42</v>
      </c>
      <c r="B38" s="24">
        <f>Model_Data!Y38</f>
        <v>170.62817299702391</v>
      </c>
      <c r="C38" s="24">
        <f>Model_Data!X38</f>
        <v>-8.6913035259942717</v>
      </c>
      <c r="D38" s="24">
        <f>Model_Data!B38</f>
        <v>401.96</v>
      </c>
      <c r="E38" s="24">
        <f>Inputs!$C$6</f>
        <v>25</v>
      </c>
      <c r="F38" s="24">
        <f>Subsurface_Inputs!$C$5+Subsurface_Inputs!$C$6*SIN(2*PI()*(A38+Subsurface_Inputs!$C$7)/Subsurface_Inputs!$C$8)+Subsurface_Inputs!$C$9*COS(2*PI()*A38/Subsurface_Inputs!$C$10)+Subsurface_Inputs!$C$11*(B38-AVERAGE($B$2:$B$242))</f>
        <v>1331.3645540494877</v>
      </c>
      <c r="G38" s="24">
        <f t="shared" si="0"/>
        <v>-1160.7363810524637</v>
      </c>
      <c r="H38" s="24">
        <f>MIN(1,MAX(0,Subsurface_Inputs!$C$13*EXP(-0.5*((A38-Subsurface_Inputs!$C$14)/Subsurface_Inputs!$C$15)^2)+Subsurface_Inputs!$C$16*EXP(-0.5*((A38-Subsurface_Inputs!$C$17)/Subsurface_Inputs!$C$18)^2)))</f>
        <v>0.18800376412943393</v>
      </c>
      <c r="I38" s="24">
        <f>Subsurface_Inputs!$C$19+Subsurface_Inputs!$C$20*SIN(2*PI()*(A38-Subsurface_Inputs!$C$21)/Subsurface_Inputs!$C$22)-Subsurface_Inputs!$C$23*H38</f>
        <v>5320.608809921433</v>
      </c>
      <c r="J38" s="24">
        <f t="shared" si="1"/>
        <v>-5149.9806369244088</v>
      </c>
      <c r="K38" s="24">
        <f>Subsurface_Inputs!$C$25+Subsurface_Inputs!$C$26*SIN(2*PI()*(A38+Subsurface_Inputs!$C$27)/Subsurface_Inputs!$C$28)+Subsurface_Inputs!$C$29*COS(2*PI()*(A38-Subsurface_Inputs!$C$30)/Subsurface_Inputs!$C$31)-Subsurface_Inputs!$C$32*(B38-AVERAGE($B$2:$B$242))</f>
        <v>14619.806259259829</v>
      </c>
      <c r="L38" s="24">
        <f t="shared" si="2"/>
        <v>-14449.178086262806</v>
      </c>
      <c r="M38" s="24">
        <f>2*Subsurface_Inputs!$C$34*F38/Subsurface_Inputs!$C$35*1000000</f>
        <v>15.809796697474544</v>
      </c>
      <c r="N38" s="24">
        <f>2*Subsurface_Inputs!$C$34*I38/Subsurface_Inputs!$C$35*1000000</f>
        <v>63.181600663617438</v>
      </c>
      <c r="O38" s="24">
        <f>2*Subsurface_Inputs!$C$34*K38/Subsurface_Inputs!$C$35*1000000</f>
        <v>173.60847110758536</v>
      </c>
      <c r="P38" s="24">
        <f>Subsurface_Inputs!$C$37-2*Subsurface_Inputs!$C$36*(F38/1000)</f>
        <v>-12.396456197289078</v>
      </c>
      <c r="Q38" s="24">
        <f>Subsurface_Inputs!$C$38+Subsurface_Inputs!$C$39*H38-2*Subsurface_Inputs!$C$36*(I38/1000)</f>
        <v>-31.885061980693674</v>
      </c>
      <c r="R38" s="24">
        <f>Subsurface_Inputs!$C$40-2*Subsurface_Inputs!$C$36*(K38/1000)-Subsurface_Inputs!$C$41*ABS(L38-AVERAGE($L$2:$L$242))</f>
        <v>-33.566769435587801</v>
      </c>
      <c r="S38" s="24">
        <f t="shared" si="3"/>
        <v>-457.57843631428477</v>
      </c>
      <c r="T38" s="24">
        <f t="shared" si="4"/>
        <v>10.98106917056799</v>
      </c>
      <c r="U38" s="25" t="str">
        <f>IF(H38&gt;=Subsurface_Inputs!$C$42,"Lens visible","Weak/no lens")</f>
        <v>Lens visible</v>
      </c>
      <c r="V38" s="25" t="str">
        <f t="shared" si="5"/>
        <v>Likely visible</v>
      </c>
      <c r="W38" s="24">
        <f>Subsurface_Inputs!$C$43</f>
        <v>-45</v>
      </c>
      <c r="X38" s="24">
        <f t="shared" si="6"/>
        <v>13.114938019306326</v>
      </c>
      <c r="Y38" s="24">
        <f t="shared" si="7"/>
        <v>11.433230564412199</v>
      </c>
      <c r="Z38" s="24">
        <f t="shared" si="8"/>
        <v>13.114938019306326</v>
      </c>
      <c r="AA38" s="24">
        <v>0</v>
      </c>
    </row>
    <row r="39" spans="1:27">
      <c r="A39" s="24">
        <f>Model_Data!A39</f>
        <v>-41.5</v>
      </c>
      <c r="B39" s="24">
        <f>Model_Data!Y39</f>
        <v>171.38557913738282</v>
      </c>
      <c r="C39" s="24">
        <f>Model_Data!X39</f>
        <v>-15.792555414769886</v>
      </c>
      <c r="D39" s="24">
        <f>Model_Data!B39</f>
        <v>401.91361111111109</v>
      </c>
      <c r="E39" s="24">
        <f>Inputs!$C$6</f>
        <v>25</v>
      </c>
      <c r="F39" s="24">
        <f>Subsurface_Inputs!$C$5+Subsurface_Inputs!$C$6*SIN(2*PI()*(A39+Subsurface_Inputs!$C$7)/Subsurface_Inputs!$C$8)+Subsurface_Inputs!$C$9*COS(2*PI()*A39/Subsurface_Inputs!$C$10)+Subsurface_Inputs!$C$11*(B39-AVERAGE($B$2:$B$242))</f>
        <v>1324.3311172125034</v>
      </c>
      <c r="G39" s="24">
        <f t="shared" si="0"/>
        <v>-1152.9455380751206</v>
      </c>
      <c r="H39" s="24">
        <f>MIN(1,MAX(0,Subsurface_Inputs!$C$13*EXP(-0.5*((A39-Subsurface_Inputs!$C$14)/Subsurface_Inputs!$C$15)^2)+Subsurface_Inputs!$C$16*EXP(-0.5*((A39-Subsurface_Inputs!$C$17)/Subsurface_Inputs!$C$18)^2)))</f>
        <v>0.20545190848839293</v>
      </c>
      <c r="I39" s="24">
        <f>Subsurface_Inputs!$C$19+Subsurface_Inputs!$C$20*SIN(2*PI()*(A39-Subsurface_Inputs!$C$21)/Subsurface_Inputs!$C$22)-Subsurface_Inputs!$C$23*H39</f>
        <v>5299.1058475891623</v>
      </c>
      <c r="J39" s="24">
        <f t="shared" si="1"/>
        <v>-5127.7202684517797</v>
      </c>
      <c r="K39" s="24">
        <f>Subsurface_Inputs!$C$25+Subsurface_Inputs!$C$26*SIN(2*PI()*(A39+Subsurface_Inputs!$C$27)/Subsurface_Inputs!$C$28)+Subsurface_Inputs!$C$29*COS(2*PI()*(A39-Subsurface_Inputs!$C$30)/Subsurface_Inputs!$C$31)-Subsurface_Inputs!$C$32*(B39-AVERAGE($B$2:$B$242))</f>
        <v>14617.022284654109</v>
      </c>
      <c r="L39" s="24">
        <f t="shared" si="2"/>
        <v>-14445.636705516727</v>
      </c>
      <c r="M39" s="24">
        <f>2*Subsurface_Inputs!$C$34*F39/Subsurface_Inputs!$C$35*1000000</f>
        <v>15.726275466464578</v>
      </c>
      <c r="N39" s="24">
        <f>2*Subsurface_Inputs!$C$34*I39/Subsurface_Inputs!$C$35*1000000</f>
        <v>62.926255527807236</v>
      </c>
      <c r="O39" s="24">
        <f>2*Subsurface_Inputs!$C$34*K39/Subsurface_Inputs!$C$35*1000000</f>
        <v>173.5754117382387</v>
      </c>
      <c r="P39" s="24">
        <f>Subsurface_Inputs!$C$37-2*Subsurface_Inputs!$C$36*(F39/1000)</f>
        <v>-12.383796010982506</v>
      </c>
      <c r="Q39" s="24">
        <f>Subsurface_Inputs!$C$38+Subsurface_Inputs!$C$39*H39-2*Subsurface_Inputs!$C$36*(I39/1000)</f>
        <v>-31.689323349264956</v>
      </c>
      <c r="R39" s="24">
        <f>Subsurface_Inputs!$C$40-2*Subsurface_Inputs!$C$36*(K39/1000)-Subsurface_Inputs!$C$41*ABS(L39-AVERAGE($L$2:$L$242))</f>
        <v>-33.575923804281828</v>
      </c>
      <c r="S39" s="24">
        <f t="shared" si="3"/>
        <v>-460.36241092000455</v>
      </c>
      <c r="T39" s="24">
        <f t="shared" si="4"/>
        <v>11.037286743983264</v>
      </c>
      <c r="U39" s="25" t="str">
        <f>IF(H39&gt;=Subsurface_Inputs!$C$42,"Lens visible","Weak/no lens")</f>
        <v>Lens visible</v>
      </c>
      <c r="V39" s="25" t="str">
        <f t="shared" si="5"/>
        <v>Likely visible</v>
      </c>
      <c r="W39" s="24">
        <f>Subsurface_Inputs!$C$43</f>
        <v>-45</v>
      </c>
      <c r="X39" s="24">
        <f t="shared" si="6"/>
        <v>13.310676650735044</v>
      </c>
      <c r="Y39" s="24">
        <f t="shared" si="7"/>
        <v>11.424076195718172</v>
      </c>
      <c r="Z39" s="24">
        <f t="shared" si="8"/>
        <v>13.310676650735044</v>
      </c>
      <c r="AA39" s="24">
        <v>0</v>
      </c>
    </row>
    <row r="40" spans="1:27">
      <c r="A40" s="24">
        <f>Model_Data!A40</f>
        <v>-41</v>
      </c>
      <c r="B40" s="24">
        <f>Model_Data!Y40</f>
        <v>176.66624192778235</v>
      </c>
      <c r="C40" s="24">
        <f>Model_Data!X40</f>
        <v>-17.886266996681616</v>
      </c>
      <c r="D40" s="24">
        <f>Model_Data!B40</f>
        <v>401.8677777777778</v>
      </c>
      <c r="E40" s="24">
        <f>Inputs!$C$6</f>
        <v>25</v>
      </c>
      <c r="F40" s="24">
        <f>Subsurface_Inputs!$C$5+Subsurface_Inputs!$C$6*SIN(2*PI()*(A40+Subsurface_Inputs!$C$7)/Subsurface_Inputs!$C$8)+Subsurface_Inputs!$C$9*COS(2*PI()*A40/Subsurface_Inputs!$C$10)+Subsurface_Inputs!$C$11*(B40-AVERAGE($B$2:$B$242))</f>
        <v>1316.209535326007</v>
      </c>
      <c r="G40" s="24">
        <f t="shared" si="0"/>
        <v>-1139.5432933982247</v>
      </c>
      <c r="H40" s="24">
        <f>MIN(1,MAX(0,Subsurface_Inputs!$C$13*EXP(-0.5*((A40-Subsurface_Inputs!$C$14)/Subsurface_Inputs!$C$15)^2)+Subsurface_Inputs!$C$16*EXP(-0.5*((A40-Subsurface_Inputs!$C$17)/Subsurface_Inputs!$C$18)^2)))</f>
        <v>0.22395877272807038</v>
      </c>
      <c r="I40" s="24">
        <f>Subsurface_Inputs!$C$19+Subsurface_Inputs!$C$20*SIN(2*PI()*(A40-Subsurface_Inputs!$C$21)/Subsurface_Inputs!$C$22)-Subsurface_Inputs!$C$23*H40</f>
        <v>5276.9842102360826</v>
      </c>
      <c r="J40" s="24">
        <f t="shared" si="1"/>
        <v>-5100.3179683082999</v>
      </c>
      <c r="K40" s="24">
        <f>Subsurface_Inputs!$C$25+Subsurface_Inputs!$C$26*SIN(2*PI()*(A40+Subsurface_Inputs!$C$27)/Subsurface_Inputs!$C$28)+Subsurface_Inputs!$C$29*COS(2*PI()*(A40-Subsurface_Inputs!$C$30)/Subsurface_Inputs!$C$31)-Subsurface_Inputs!$C$32*(B40-AVERAGE($B$2:$B$242))</f>
        <v>14613.623267805096</v>
      </c>
      <c r="L40" s="24">
        <f t="shared" si="2"/>
        <v>-14436.957025877315</v>
      </c>
      <c r="M40" s="24">
        <f>2*Subsurface_Inputs!$C$34*F40/Subsurface_Inputs!$C$35*1000000</f>
        <v>15.629832641622306</v>
      </c>
      <c r="N40" s="24">
        <f>2*Subsurface_Inputs!$C$34*I40/Subsurface_Inputs!$C$35*1000000</f>
        <v>62.663563699259086</v>
      </c>
      <c r="O40" s="24">
        <f>2*Subsurface_Inputs!$C$34*K40/Subsurface_Inputs!$C$35*1000000</f>
        <v>173.53504881495766</v>
      </c>
      <c r="P40" s="24">
        <f>Subsurface_Inputs!$C$37-2*Subsurface_Inputs!$C$36*(F40/1000)</f>
        <v>-12.369177163586812</v>
      </c>
      <c r="Q40" s="24">
        <f>Subsurface_Inputs!$C$38+Subsurface_Inputs!$C$39*H40-2*Subsurface_Inputs!$C$36*(I40/1000)</f>
        <v>-31.482942623872319</v>
      </c>
      <c r="R40" s="24">
        <f>Subsurface_Inputs!$C$40-2*Subsurface_Inputs!$C$36*(K40/1000)-Subsurface_Inputs!$C$41*ABS(L40-AVERAGE($L$2:$L$242))</f>
        <v>-33.60452429251125</v>
      </c>
      <c r="S40" s="24">
        <f t="shared" si="3"/>
        <v>-463.76142776901725</v>
      </c>
      <c r="T40" s="24">
        <f t="shared" si="4"/>
        <v>11.102809146710447</v>
      </c>
      <c r="U40" s="25" t="str">
        <f>IF(H40&gt;=Subsurface_Inputs!$C$42,"Lens visible","Weak/no lens")</f>
        <v>Lens visible</v>
      </c>
      <c r="V40" s="25" t="str">
        <f t="shared" si="5"/>
        <v>Likely visible</v>
      </c>
      <c r="W40" s="24">
        <f>Subsurface_Inputs!$C$43</f>
        <v>-45</v>
      </c>
      <c r="X40" s="24">
        <f t="shared" si="6"/>
        <v>13.517057376127681</v>
      </c>
      <c r="Y40" s="24">
        <f t="shared" si="7"/>
        <v>11.39547570748875</v>
      </c>
      <c r="Z40" s="24">
        <f t="shared" si="8"/>
        <v>13.517057376127681</v>
      </c>
      <c r="AA40" s="24">
        <v>0</v>
      </c>
    </row>
    <row r="41" spans="1:27">
      <c r="A41" s="24">
        <f>Model_Data!A41</f>
        <v>-40.5</v>
      </c>
      <c r="B41" s="24">
        <f>Model_Data!Y41</f>
        <v>191.24651788741608</v>
      </c>
      <c r="C41" s="24">
        <f>Model_Data!X41</f>
        <v>-15.042977474303433</v>
      </c>
      <c r="D41" s="24">
        <f>Model_Data!B41</f>
        <v>401.82249999999999</v>
      </c>
      <c r="E41" s="24">
        <f>Inputs!$C$6</f>
        <v>25</v>
      </c>
      <c r="F41" s="24">
        <f>Subsurface_Inputs!$C$5+Subsurface_Inputs!$C$6*SIN(2*PI()*(A41+Subsurface_Inputs!$C$7)/Subsurface_Inputs!$C$8)+Subsurface_Inputs!$C$9*COS(2*PI()*A41/Subsurface_Inputs!$C$10)+Subsurface_Inputs!$C$11*(B41-AVERAGE($B$2:$B$242))</f>
        <v>1307.3402550301462</v>
      </c>
      <c r="G41" s="24">
        <f t="shared" si="0"/>
        <v>-1116.0937371427301</v>
      </c>
      <c r="H41" s="24">
        <f>MIN(1,MAX(0,Subsurface_Inputs!$C$13*EXP(-0.5*((A41-Subsurface_Inputs!$C$14)/Subsurface_Inputs!$C$15)^2)+Subsurface_Inputs!$C$16*EXP(-0.5*((A41-Subsurface_Inputs!$C$17)/Subsurface_Inputs!$C$18)^2)))</f>
        <v>0.24352314384431997</v>
      </c>
      <c r="I41" s="24">
        <f>Subsurface_Inputs!$C$19+Subsurface_Inputs!$C$20*SIN(2*PI()*(A41-Subsurface_Inputs!$C$21)/Subsurface_Inputs!$C$22)-Subsurface_Inputs!$C$23*H41</f>
        <v>5254.27013680646</v>
      </c>
      <c r="J41" s="24">
        <f t="shared" si="1"/>
        <v>-5063.0236189190437</v>
      </c>
      <c r="K41" s="24">
        <f>Subsurface_Inputs!$C$25+Subsurface_Inputs!$C$26*SIN(2*PI()*(A41+Subsurface_Inputs!$C$27)/Subsurface_Inputs!$C$28)+Subsurface_Inputs!$C$29*COS(2*PI()*(A41-Subsurface_Inputs!$C$30)/Subsurface_Inputs!$C$31)-Subsurface_Inputs!$C$32*(B41-AVERAGE($B$2:$B$242))</f>
        <v>14608.974517462988</v>
      </c>
      <c r="L41" s="24">
        <f t="shared" si="2"/>
        <v>-14417.727999575573</v>
      </c>
      <c r="M41" s="24">
        <f>2*Subsurface_Inputs!$C$34*F41/Subsurface_Inputs!$C$35*1000000</f>
        <v>15.524510986554976</v>
      </c>
      <c r="N41" s="24">
        <f>2*Subsurface_Inputs!$C$34*I41/Subsurface_Inputs!$C$35*1000000</f>
        <v>62.393836762334416</v>
      </c>
      <c r="O41" s="24">
        <f>2*Subsurface_Inputs!$C$34*K41/Subsurface_Inputs!$C$35*1000000</f>
        <v>173.4798454541783</v>
      </c>
      <c r="P41" s="24">
        <f>Subsurface_Inputs!$C$37-2*Subsurface_Inputs!$C$36*(F41/1000)</f>
        <v>-12.353212459054264</v>
      </c>
      <c r="Q41" s="24">
        <f>Subsurface_Inputs!$C$38+Subsurface_Inputs!$C$39*H41-2*Subsurface_Inputs!$C$36*(I41/1000)</f>
        <v>-31.265977951652751</v>
      </c>
      <c r="R41" s="24">
        <f>Subsurface_Inputs!$C$40-2*Subsurface_Inputs!$C$36*(K41/1000)-Subsurface_Inputs!$C$41*ABS(L41-AVERAGE($L$2:$L$242))</f>
        <v>-33.67307264710243</v>
      </c>
      <c r="S41" s="24">
        <f t="shared" si="3"/>
        <v>-468.41017811112579</v>
      </c>
      <c r="T41" s="24">
        <f t="shared" si="4"/>
        <v>11.174577131892965</v>
      </c>
      <c r="U41" s="25" t="str">
        <f>IF(H41&gt;=Subsurface_Inputs!$C$42,"Lens visible","Weak/no lens")</f>
        <v>Lens visible</v>
      </c>
      <c r="V41" s="25" t="str">
        <f t="shared" si="5"/>
        <v>Likely visible</v>
      </c>
      <c r="W41" s="24">
        <f>Subsurface_Inputs!$C$43</f>
        <v>-45</v>
      </c>
      <c r="X41" s="24">
        <f t="shared" si="6"/>
        <v>13.734022048347249</v>
      </c>
      <c r="Y41" s="24">
        <f t="shared" si="7"/>
        <v>11.32692735289757</v>
      </c>
      <c r="Z41" s="24">
        <f t="shared" si="8"/>
        <v>13.734022048347249</v>
      </c>
      <c r="AA41" s="24">
        <v>0</v>
      </c>
    </row>
    <row r="42" spans="1:27">
      <c r="A42" s="24">
        <f>Model_Data!A42</f>
        <v>-40</v>
      </c>
      <c r="B42" s="24">
        <f>Model_Data!Y42</f>
        <v>197.66557297517377</v>
      </c>
      <c r="C42" s="24">
        <f>Model_Data!X42</f>
        <v>-31.231711064274894</v>
      </c>
      <c r="D42" s="24">
        <f>Model_Data!B42</f>
        <v>401.77777777777777</v>
      </c>
      <c r="E42" s="24">
        <f>Inputs!$C$6</f>
        <v>25</v>
      </c>
      <c r="F42" s="24">
        <f>Subsurface_Inputs!$C$5+Subsurface_Inputs!$C$6*SIN(2*PI()*(A42+Subsurface_Inputs!$C$7)/Subsurface_Inputs!$C$8)+Subsurface_Inputs!$C$9*COS(2*PI()*A42/Subsurface_Inputs!$C$10)+Subsurface_Inputs!$C$11*(B42-AVERAGE($B$2:$B$242))</f>
        <v>1297.1834613829674</v>
      </c>
      <c r="G42" s="24">
        <f t="shared" si="0"/>
        <v>-1099.5178884077936</v>
      </c>
      <c r="H42" s="24">
        <f>MIN(1,MAX(0,Subsurface_Inputs!$C$13*EXP(-0.5*((A42-Subsurface_Inputs!$C$14)/Subsurface_Inputs!$C$15)^2)+Subsurface_Inputs!$C$16*EXP(-0.5*((A42-Subsurface_Inputs!$C$17)/Subsurface_Inputs!$C$18)^2)))</f>
        <v>0.26413543543053436</v>
      </c>
      <c r="I42" s="24">
        <f>Subsurface_Inputs!$C$19+Subsurface_Inputs!$C$20*SIN(2*PI()*(A42-Subsurface_Inputs!$C$21)/Subsurface_Inputs!$C$22)-Subsurface_Inputs!$C$23*H42</f>
        <v>5230.9923728538715</v>
      </c>
      <c r="J42" s="24">
        <f t="shared" si="1"/>
        <v>-5033.3267998786978</v>
      </c>
      <c r="K42" s="24">
        <f>Subsurface_Inputs!$C$25+Subsurface_Inputs!$C$26*SIN(2*PI()*(A42+Subsurface_Inputs!$C$27)/Subsurface_Inputs!$C$28)+Subsurface_Inputs!$C$29*COS(2*PI()*(A42-Subsurface_Inputs!$C$30)/Subsurface_Inputs!$C$31)-Subsurface_Inputs!$C$32*(B42-AVERAGE($B$2:$B$242))</f>
        <v>14605.554950848265</v>
      </c>
      <c r="L42" s="24">
        <f t="shared" si="2"/>
        <v>-14407.889377873091</v>
      </c>
      <c r="M42" s="24">
        <f>2*Subsurface_Inputs!$C$34*F42/Subsurface_Inputs!$C$35*1000000</f>
        <v>15.403900262638906</v>
      </c>
      <c r="N42" s="24">
        <f>2*Subsurface_Inputs!$C$34*I42/Subsurface_Inputs!$C$35*1000000</f>
        <v>62.11741606708393</v>
      </c>
      <c r="O42" s="24">
        <f>2*Subsurface_Inputs!$C$34*K42/Subsurface_Inputs!$C$35*1000000</f>
        <v>173.43923850485868</v>
      </c>
      <c r="P42" s="24">
        <f>Subsurface_Inputs!$C$37-2*Subsurface_Inputs!$C$36*(F42/1000)</f>
        <v>-12.334930230489341</v>
      </c>
      <c r="Q42" s="24">
        <f>Subsurface_Inputs!$C$38+Subsurface_Inputs!$C$39*H42-2*Subsurface_Inputs!$C$36*(I42/1000)</f>
        <v>-31.038567352262159</v>
      </c>
      <c r="R42" s="24">
        <f>Subsurface_Inputs!$C$40-2*Subsurface_Inputs!$C$36*(K42/1000)-Subsurface_Inputs!$C$41*ABS(L42-AVERAGE($L$2:$L$242))</f>
        <v>-33.706271914005853</v>
      </c>
      <c r="S42" s="24">
        <f t="shared" si="3"/>
        <v>-471.82974472584829</v>
      </c>
      <c r="T42" s="24">
        <f t="shared" si="4"/>
        <v>11.259436606813374</v>
      </c>
      <c r="U42" s="25" t="str">
        <f>IF(H42&gt;=Subsurface_Inputs!$C$42,"Lens visible","Weak/no lens")</f>
        <v>Lens visible</v>
      </c>
      <c r="V42" s="25" t="str">
        <f t="shared" si="5"/>
        <v>Likely visible</v>
      </c>
      <c r="W42" s="24">
        <f>Subsurface_Inputs!$C$43</f>
        <v>-45</v>
      </c>
      <c r="X42" s="24">
        <f t="shared" si="6"/>
        <v>13.961432647737841</v>
      </c>
      <c r="Y42" s="24">
        <f t="shared" si="7"/>
        <v>11.293728085994147</v>
      </c>
      <c r="Z42" s="24">
        <f t="shared" si="8"/>
        <v>13.961432647737841</v>
      </c>
      <c r="AA42" s="24">
        <v>0</v>
      </c>
    </row>
    <row r="43" spans="1:27">
      <c r="A43" s="24">
        <f>Model_Data!A43</f>
        <v>-39.5</v>
      </c>
      <c r="B43" s="24">
        <f>Model_Data!Y43</f>
        <v>200.98178735327417</v>
      </c>
      <c r="C43" s="24">
        <f>Model_Data!X43</f>
        <v>-33.241151326098546</v>
      </c>
      <c r="D43" s="24">
        <f>Model_Data!B43</f>
        <v>401.73361111111109</v>
      </c>
      <c r="E43" s="24">
        <f>Inputs!$C$6</f>
        <v>25</v>
      </c>
      <c r="F43" s="24">
        <f>Subsurface_Inputs!$C$5+Subsurface_Inputs!$C$6*SIN(2*PI()*(A43+Subsurface_Inputs!$C$7)/Subsurface_Inputs!$C$8)+Subsurface_Inputs!$C$9*COS(2*PI()*A43/Subsurface_Inputs!$C$10)+Subsurface_Inputs!$C$11*(B43-AVERAGE($B$2:$B$242))</f>
        <v>1286.1064769535042</v>
      </c>
      <c r="G43" s="24">
        <f t="shared" si="0"/>
        <v>-1085.1246896002299</v>
      </c>
      <c r="H43" s="24">
        <f>MIN(1,MAX(0,Subsurface_Inputs!$C$13*EXP(-0.5*((A43-Subsurface_Inputs!$C$14)/Subsurface_Inputs!$C$15)^2)+Subsurface_Inputs!$C$16*EXP(-0.5*((A43-Subsurface_Inputs!$C$17)/Subsurface_Inputs!$C$18)^2)))</f>
        <v>0.28577705663941178</v>
      </c>
      <c r="I43" s="24">
        <f>Subsurface_Inputs!$C$19+Subsurface_Inputs!$C$20*SIN(2*PI()*(A43-Subsurface_Inputs!$C$21)/Subsurface_Inputs!$C$22)-Subsurface_Inputs!$C$23*H43</f>
        <v>5207.1822831789623</v>
      </c>
      <c r="J43" s="24">
        <f t="shared" si="1"/>
        <v>-5006.2004958256884</v>
      </c>
      <c r="K43" s="24">
        <f>Subsurface_Inputs!$C$25+Subsurface_Inputs!$C$26*SIN(2*PI()*(A43+Subsurface_Inputs!$C$27)/Subsurface_Inputs!$C$28)+Subsurface_Inputs!$C$29*COS(2*PI()*(A43-Subsurface_Inputs!$C$30)/Subsurface_Inputs!$C$31)-Subsurface_Inputs!$C$32*(B43-AVERAGE($B$2:$B$242))</f>
        <v>14602.691093675494</v>
      </c>
      <c r="L43" s="24">
        <f t="shared" si="2"/>
        <v>-14401.70930632222</v>
      </c>
      <c r="M43" s="24">
        <f>2*Subsurface_Inputs!$C$34*F43/Subsurface_Inputs!$C$35*1000000</f>
        <v>15.272362381959837</v>
      </c>
      <c r="N43" s="24">
        <f>2*Subsurface_Inputs!$C$34*I43/Subsurface_Inputs!$C$35*1000000</f>
        <v>61.834674066807601</v>
      </c>
      <c r="O43" s="24">
        <f>2*Subsurface_Inputs!$C$34*K43/Subsurface_Inputs!$C$35*1000000</f>
        <v>173.40523053947129</v>
      </c>
      <c r="P43" s="24">
        <f>Subsurface_Inputs!$C$37-2*Subsurface_Inputs!$C$36*(F43/1000)</f>
        <v>-12.314991658516307</v>
      </c>
      <c r="Q43" s="24">
        <f>Subsurface_Inputs!$C$38+Subsurface_Inputs!$C$39*H43-2*Subsurface_Inputs!$C$36*(I43/1000)</f>
        <v>-30.800934599967427</v>
      </c>
      <c r="R43" s="24">
        <f>Subsurface_Inputs!$C$40-2*Subsurface_Inputs!$C$36*(K43/1000)-Subsurface_Inputs!$C$41*ABS(L43-AVERAGE($L$2:$L$242))</f>
        <v>-33.725837257298345</v>
      </c>
      <c r="S43" s="24">
        <f t="shared" si="3"/>
        <v>-474.69360189861982</v>
      </c>
      <c r="T43" s="24">
        <f t="shared" si="4"/>
        <v>11.354185174672295</v>
      </c>
      <c r="U43" s="25" t="str">
        <f>IF(H43&gt;=Subsurface_Inputs!$C$42,"Lens visible","Weak/no lens")</f>
        <v>Lens visible</v>
      </c>
      <c r="V43" s="25" t="str">
        <f t="shared" si="5"/>
        <v>Likely visible</v>
      </c>
      <c r="W43" s="24">
        <f>Subsurface_Inputs!$C$43</f>
        <v>-45</v>
      </c>
      <c r="X43" s="24">
        <f t="shared" si="6"/>
        <v>14.199065400032573</v>
      </c>
      <c r="Y43" s="24">
        <f t="shared" si="7"/>
        <v>11.274162742701655</v>
      </c>
      <c r="Z43" s="24">
        <f t="shared" si="8"/>
        <v>14.199065400032573</v>
      </c>
      <c r="AA43" s="24">
        <v>0</v>
      </c>
    </row>
    <row r="44" spans="1:27">
      <c r="A44" s="24">
        <f>Model_Data!A44</f>
        <v>-39</v>
      </c>
      <c r="B44" s="24">
        <f>Model_Data!Y44</f>
        <v>184.54420924136062</v>
      </c>
      <c r="C44" s="24">
        <f>Model_Data!X44</f>
        <v>-32.020201365077646</v>
      </c>
      <c r="D44" s="24">
        <f>Model_Data!B44</f>
        <v>401.69</v>
      </c>
      <c r="E44" s="24">
        <f>Inputs!$C$6</f>
        <v>25</v>
      </c>
      <c r="F44" s="24">
        <f>Subsurface_Inputs!$C$5+Subsurface_Inputs!$C$6*SIN(2*PI()*(A44+Subsurface_Inputs!$C$7)/Subsurface_Inputs!$C$8)+Subsurface_Inputs!$C$9*COS(2*PI()*A44/Subsurface_Inputs!$C$10)+Subsurface_Inputs!$C$11*(B44-AVERAGE($B$2:$B$242))</f>
        <v>1273.6117087392167</v>
      </c>
      <c r="G44" s="24">
        <f t="shared" si="0"/>
        <v>-1089.067499497856</v>
      </c>
      <c r="H44" s="24">
        <f>MIN(1,MAX(0,Subsurface_Inputs!$C$13*EXP(-0.5*((A44-Subsurface_Inputs!$C$14)/Subsurface_Inputs!$C$15)^2)+Subsurface_Inputs!$C$16*EXP(-0.5*((A44-Subsurface_Inputs!$C$17)/Subsurface_Inputs!$C$18)^2)))</f>
        <v>0.30841984399043232</v>
      </c>
      <c r="I44" s="24">
        <f>Subsurface_Inputs!$C$19+Subsurface_Inputs!$C$20*SIN(2*PI()*(A44-Subsurface_Inputs!$C$21)/Subsurface_Inputs!$C$22)-Subsurface_Inputs!$C$23*H44</f>
        <v>5182.8739487117964</v>
      </c>
      <c r="J44" s="24">
        <f t="shared" si="1"/>
        <v>-4998.3297394704359</v>
      </c>
      <c r="K44" s="24">
        <f>Subsurface_Inputs!$C$25+Subsurface_Inputs!$C$26*SIN(2*PI()*(A44+Subsurface_Inputs!$C$27)/Subsurface_Inputs!$C$28)+Subsurface_Inputs!$C$29*COS(2*PI()*(A44-Subsurface_Inputs!$C$30)/Subsurface_Inputs!$C$31)-Subsurface_Inputs!$C$32*(B44-AVERAGE($B$2:$B$242))</f>
        <v>14602.748972256197</v>
      </c>
      <c r="L44" s="24">
        <f t="shared" si="2"/>
        <v>-14418.204763014835</v>
      </c>
      <c r="M44" s="24">
        <f>2*Subsurface_Inputs!$C$34*F44/Subsurface_Inputs!$C$35*1000000</f>
        <v>15.123988486433543</v>
      </c>
      <c r="N44" s="24">
        <f>2*Subsurface_Inputs!$C$34*I44/Subsurface_Inputs!$C$35*1000000</f>
        <v>61.546015468521219</v>
      </c>
      <c r="O44" s="24">
        <f>2*Subsurface_Inputs!$C$34*K44/Subsurface_Inputs!$C$35*1000000</f>
        <v>173.40591784077523</v>
      </c>
      <c r="P44" s="24">
        <f>Subsurface_Inputs!$C$37-2*Subsurface_Inputs!$C$36*(F44/1000)</f>
        <v>-12.292501075730589</v>
      </c>
      <c r="Q44" s="24">
        <f>Subsurface_Inputs!$C$38+Subsurface_Inputs!$C$39*H44-2*Subsurface_Inputs!$C$36*(I44/1000)</f>
        <v>-30.553394511767344</v>
      </c>
      <c r="R44" s="24">
        <f>Subsurface_Inputs!$C$40-2*Subsurface_Inputs!$C$36*(K44/1000)-Subsurface_Inputs!$C$41*ABS(L44-AVERAGE($L$2:$L$242))</f>
        <v>-33.65995961197315</v>
      </c>
      <c r="S44" s="24">
        <f t="shared" si="3"/>
        <v>-474.63572331791693</v>
      </c>
      <c r="T44" s="24">
        <f t="shared" si="4"/>
        <v>11.465620857641031</v>
      </c>
      <c r="U44" s="25" t="str">
        <f>IF(H44&gt;=Subsurface_Inputs!$C$42,"Lens visible","Weak/no lens")</f>
        <v>Lens visible</v>
      </c>
      <c r="V44" s="25" t="str">
        <f t="shared" si="5"/>
        <v>Likely visible</v>
      </c>
      <c r="W44" s="24">
        <f>Subsurface_Inputs!$C$43</f>
        <v>-45</v>
      </c>
      <c r="X44" s="24">
        <f t="shared" si="6"/>
        <v>14.446605488232656</v>
      </c>
      <c r="Y44" s="24">
        <f t="shared" si="7"/>
        <v>11.34004038802685</v>
      </c>
      <c r="Z44" s="24">
        <f t="shared" si="8"/>
        <v>14.446605488232656</v>
      </c>
      <c r="AA44" s="24">
        <v>0</v>
      </c>
    </row>
    <row r="45" spans="1:27">
      <c r="A45" s="24">
        <f>Model_Data!A45</f>
        <v>-38.5</v>
      </c>
      <c r="B45" s="24">
        <f>Model_Data!Y45</f>
        <v>211.63430992610967</v>
      </c>
      <c r="C45" s="24">
        <f>Model_Data!X45</f>
        <v>-34.295384147954024</v>
      </c>
      <c r="D45" s="24">
        <f>Model_Data!B45</f>
        <v>401.64694444444444</v>
      </c>
      <c r="E45" s="24">
        <f>Inputs!$C$6</f>
        <v>25</v>
      </c>
      <c r="F45" s="24">
        <f>Subsurface_Inputs!$C$5+Subsurface_Inputs!$C$6*SIN(2*PI()*(A45+Subsurface_Inputs!$C$7)/Subsurface_Inputs!$C$8)+Subsurface_Inputs!$C$9*COS(2*PI()*A45/Subsurface_Inputs!$C$10)+Subsurface_Inputs!$C$11*(B45-AVERAGE($B$2:$B$242))</f>
        <v>1262.3994063143111</v>
      </c>
      <c r="G45" s="24">
        <f t="shared" si="0"/>
        <v>-1050.7650963882015</v>
      </c>
      <c r="H45" s="24">
        <f>MIN(1,MAX(0,Subsurface_Inputs!$C$13*EXP(-0.5*((A45-Subsurface_Inputs!$C$14)/Subsurface_Inputs!$C$15)^2)+Subsurface_Inputs!$C$16*EXP(-0.5*((A45-Subsurface_Inputs!$C$17)/Subsurface_Inputs!$C$18)^2)))</f>
        <v>0.33202557018976875</v>
      </c>
      <c r="I45" s="24">
        <f>Subsurface_Inputs!$C$19+Subsurface_Inputs!$C$20*SIN(2*PI()*(A45-Subsurface_Inputs!$C$21)/Subsurface_Inputs!$C$22)-Subsurface_Inputs!$C$23*H45</f>
        <v>5158.1042442967191</v>
      </c>
      <c r="J45" s="24">
        <f t="shared" si="1"/>
        <v>-4946.4699343706097</v>
      </c>
      <c r="K45" s="24">
        <f>Subsurface_Inputs!$C$25+Subsurface_Inputs!$C$26*SIN(2*PI()*(A45+Subsurface_Inputs!$C$27)/Subsurface_Inputs!$C$28)+Subsurface_Inputs!$C$29*COS(2*PI()*(A45-Subsurface_Inputs!$C$30)/Subsurface_Inputs!$C$31)-Subsurface_Inputs!$C$32*(B45-AVERAGE($B$2:$B$242))</f>
        <v>14596.904162667912</v>
      </c>
      <c r="L45" s="24">
        <f t="shared" si="2"/>
        <v>-14385.269852741802</v>
      </c>
      <c r="M45" s="24">
        <f>2*Subsurface_Inputs!$C$34*F45/Subsurface_Inputs!$C$35*1000000</f>
        <v>14.990843720554663</v>
      </c>
      <c r="N45" s="24">
        <f>2*Subsurface_Inputs!$C$34*I45/Subsurface_Inputs!$C$35*1000000</f>
        <v>61.251878156642348</v>
      </c>
      <c r="O45" s="24">
        <f>2*Subsurface_Inputs!$C$34*K45/Subsurface_Inputs!$C$35*1000000</f>
        <v>173.33651141783483</v>
      </c>
      <c r="P45" s="24">
        <f>Subsurface_Inputs!$C$37-2*Subsurface_Inputs!$C$36*(F45/1000)</f>
        <v>-12.27231893136576</v>
      </c>
      <c r="Q45" s="24">
        <f>Subsurface_Inputs!$C$38+Subsurface_Inputs!$C$39*H45-2*Subsurface_Inputs!$C$36*(I45/1000)</f>
        <v>-30.296357508026176</v>
      </c>
      <c r="R45" s="24">
        <f>Subsurface_Inputs!$C$40-2*Subsurface_Inputs!$C$36*(K45/1000)-Subsurface_Inputs!$C$41*ABS(L45-AVERAGE($L$2:$L$242))</f>
        <v>-33.781178595806374</v>
      </c>
      <c r="S45" s="24">
        <f t="shared" si="3"/>
        <v>-480.48053290620192</v>
      </c>
      <c r="T45" s="24">
        <f t="shared" si="4"/>
        <v>11.562825592008863</v>
      </c>
      <c r="U45" s="25" t="str">
        <f>IF(H45&gt;=Subsurface_Inputs!$C$42,"Lens visible","Weak/no lens")</f>
        <v>Lens visible</v>
      </c>
      <c r="V45" s="25" t="str">
        <f t="shared" si="5"/>
        <v>Likely visible</v>
      </c>
      <c r="W45" s="24">
        <f>Subsurface_Inputs!$C$43</f>
        <v>-45</v>
      </c>
      <c r="X45" s="24">
        <f t="shared" si="6"/>
        <v>14.703642491973824</v>
      </c>
      <c r="Y45" s="24">
        <f t="shared" si="7"/>
        <v>11.218821404193626</v>
      </c>
      <c r="Z45" s="24">
        <f t="shared" si="8"/>
        <v>14.703642491973824</v>
      </c>
      <c r="AA45" s="24">
        <v>0</v>
      </c>
    </row>
    <row r="46" spans="1:27">
      <c r="A46" s="24">
        <f>Model_Data!A46</f>
        <v>-38</v>
      </c>
      <c r="B46" s="24">
        <f>Model_Data!Y46</f>
        <v>202.93658014849487</v>
      </c>
      <c r="C46" s="24">
        <f>Model_Data!X46</f>
        <v>-21.157379061522128</v>
      </c>
      <c r="D46" s="24">
        <f>Model_Data!B46</f>
        <v>401.60444444444443</v>
      </c>
      <c r="E46" s="24">
        <f>Inputs!$C$6</f>
        <v>25</v>
      </c>
      <c r="F46" s="24">
        <f>Subsurface_Inputs!$C$5+Subsurface_Inputs!$C$6*SIN(2*PI()*(A46+Subsurface_Inputs!$C$7)/Subsurface_Inputs!$C$8)+Subsurface_Inputs!$C$9*COS(2*PI()*A46/Subsurface_Inputs!$C$10)+Subsurface_Inputs!$C$11*(B46-AVERAGE($B$2:$B$242))</f>
        <v>1249.4636258013068</v>
      </c>
      <c r="G46" s="24">
        <f t="shared" si="0"/>
        <v>-1046.5270456528119</v>
      </c>
      <c r="H46" s="24">
        <f>MIN(1,MAX(0,Subsurface_Inputs!$C$13*EXP(-0.5*((A46-Subsurface_Inputs!$C$14)/Subsurface_Inputs!$C$15)^2)+Subsurface_Inputs!$C$16*EXP(-0.5*((A46-Subsurface_Inputs!$C$17)/Subsurface_Inputs!$C$18)^2)))</f>
        <v>0.35654554390882975</v>
      </c>
      <c r="I46" s="24">
        <f>Subsurface_Inputs!$C$19+Subsurface_Inputs!$C$20*SIN(2*PI()*(A46-Subsurface_Inputs!$C$21)/Subsurface_Inputs!$C$22)-Subsurface_Inputs!$C$23*H46</f>
        <v>5132.9128940915125</v>
      </c>
      <c r="J46" s="24">
        <f t="shared" si="1"/>
        <v>-4929.9763139430179</v>
      </c>
      <c r="K46" s="24">
        <f>Subsurface_Inputs!$C$25+Subsurface_Inputs!$C$26*SIN(2*PI()*(A46+Subsurface_Inputs!$C$27)/Subsurface_Inputs!$C$28)+Subsurface_Inputs!$C$29*COS(2*PI()*(A46-Subsurface_Inputs!$C$30)/Subsurface_Inputs!$C$31)-Subsurface_Inputs!$C$32*(B46-AVERAGE($B$2:$B$242))</f>
        <v>14596.295801636577</v>
      </c>
      <c r="L46" s="24">
        <f t="shared" si="2"/>
        <v>-14393.359221488083</v>
      </c>
      <c r="M46" s="24">
        <f>2*Subsurface_Inputs!$C$34*F46/Subsurface_Inputs!$C$35*1000000</f>
        <v>14.837232856113586</v>
      </c>
      <c r="N46" s="24">
        <f>2*Subsurface_Inputs!$C$34*I46/Subsurface_Inputs!$C$35*1000000</f>
        <v>60.952733850848851</v>
      </c>
      <c r="O46" s="24">
        <f>2*Subsurface_Inputs!$C$34*K46/Subsurface_Inputs!$C$35*1000000</f>
        <v>173.32928720250268</v>
      </c>
      <c r="P46" s="24">
        <f>Subsurface_Inputs!$C$37-2*Subsurface_Inputs!$C$36*(F46/1000)</f>
        <v>-12.249034526442353</v>
      </c>
      <c r="Q46" s="24">
        <f>Subsurface_Inputs!$C$38+Subsurface_Inputs!$C$39*H46-2*Subsurface_Inputs!$C$36*(I46/1000)</f>
        <v>-30.030333314185256</v>
      </c>
      <c r="R46" s="24">
        <f>Subsurface_Inputs!$C$40-2*Subsurface_Inputs!$C$36*(K46/1000)-Subsurface_Inputs!$C$41*ABS(L46-AVERAGE($L$2:$L$242))</f>
        <v>-33.747726070964845</v>
      </c>
      <c r="S46" s="24">
        <f t="shared" si="3"/>
        <v>-481.08889393753634</v>
      </c>
      <c r="T46" s="24">
        <f t="shared" si="4"/>
        <v>11.682049401218601</v>
      </c>
      <c r="U46" s="25" t="str">
        <f>IF(H46&gt;=Subsurface_Inputs!$C$42,"Lens visible","Weak/no lens")</f>
        <v>Lens visible</v>
      </c>
      <c r="V46" s="25" t="str">
        <f t="shared" si="5"/>
        <v>Likely visible</v>
      </c>
      <c r="W46" s="24">
        <f>Subsurface_Inputs!$C$43</f>
        <v>-45</v>
      </c>
      <c r="X46" s="24">
        <f t="shared" si="6"/>
        <v>14.969666685814744</v>
      </c>
      <c r="Y46" s="24">
        <f t="shared" si="7"/>
        <v>11.252273929035155</v>
      </c>
      <c r="Z46" s="24">
        <f t="shared" si="8"/>
        <v>14.969666685814744</v>
      </c>
      <c r="AA46" s="24">
        <v>0</v>
      </c>
    </row>
    <row r="47" spans="1:27">
      <c r="A47" s="24">
        <f>Model_Data!A47</f>
        <v>-37.5</v>
      </c>
      <c r="B47" s="24">
        <f>Model_Data!Y47</f>
        <v>239.18714852881689</v>
      </c>
      <c r="C47" s="24">
        <f>Model_Data!X47</f>
        <v>-18.69341167436205</v>
      </c>
      <c r="D47" s="24">
        <f>Model_Data!B47</f>
        <v>401.5625</v>
      </c>
      <c r="E47" s="24">
        <f>Inputs!$C$6</f>
        <v>25</v>
      </c>
      <c r="F47" s="24">
        <f>Subsurface_Inputs!$C$5+Subsurface_Inputs!$C$6*SIN(2*PI()*(A47+Subsurface_Inputs!$C$7)/Subsurface_Inputs!$C$8)+Subsurface_Inputs!$C$9*COS(2*PI()*A47/Subsurface_Inputs!$C$10)+Subsurface_Inputs!$C$11*(B47-AVERAGE($B$2:$B$242))</f>
        <v>1238.1954185553416</v>
      </c>
      <c r="G47" s="24">
        <f t="shared" si="0"/>
        <v>-999.00827002652466</v>
      </c>
      <c r="H47" s="24">
        <f>MIN(1,MAX(0,Subsurface_Inputs!$C$13*EXP(-0.5*((A47-Subsurface_Inputs!$C$14)/Subsurface_Inputs!$C$15)^2)+Subsurface_Inputs!$C$16*EXP(-0.5*((A47-Subsurface_Inputs!$C$17)/Subsurface_Inputs!$C$18)^2)))</f>
        <v>0.38192031393992232</v>
      </c>
      <c r="I47" s="24">
        <f>Subsurface_Inputs!$C$19+Subsurface_Inputs!$C$20*SIN(2*PI()*(A47-Subsurface_Inputs!$C$21)/Subsurface_Inputs!$C$22)-Subsurface_Inputs!$C$23*H47</f>
        <v>5107.3425014200466</v>
      </c>
      <c r="J47" s="24">
        <f t="shared" si="1"/>
        <v>-4868.15535289123</v>
      </c>
      <c r="K47" s="24">
        <f>Subsurface_Inputs!$C$25+Subsurface_Inputs!$C$26*SIN(2*PI()*(A47+Subsurface_Inputs!$C$27)/Subsurface_Inputs!$C$28)+Subsurface_Inputs!$C$29*COS(2*PI()*(A47-Subsurface_Inputs!$C$30)/Subsurface_Inputs!$C$31)-Subsurface_Inputs!$C$32*(B47-AVERAGE($B$2:$B$242))</f>
        <v>14589.655674119578</v>
      </c>
      <c r="L47" s="24">
        <f t="shared" si="2"/>
        <v>-14350.468525590761</v>
      </c>
      <c r="M47" s="24">
        <f>2*Subsurface_Inputs!$C$34*F47/Subsurface_Inputs!$C$35*1000000</f>
        <v>14.703424227093187</v>
      </c>
      <c r="N47" s="24">
        <f>2*Subsurface_Inputs!$C$34*I47/Subsurface_Inputs!$C$35*1000000</f>
        <v>60.649088460575506</v>
      </c>
      <c r="O47" s="24">
        <f>2*Subsurface_Inputs!$C$34*K47/Subsurface_Inputs!$C$35*1000000</f>
        <v>173.25043647317403</v>
      </c>
      <c r="P47" s="24">
        <f>Subsurface_Inputs!$C$37-2*Subsurface_Inputs!$C$36*(F47/1000)</f>
        <v>-12.228751753399616</v>
      </c>
      <c r="Q47" s="24">
        <f>Subsurface_Inputs!$C$38+Subsurface_Inputs!$C$39*H47-2*Subsurface_Inputs!$C$36*(I47/1000)</f>
        <v>-29.755933677096785</v>
      </c>
      <c r="R47" s="24">
        <f>Subsurface_Inputs!$C$40-2*Subsurface_Inputs!$C$36*(K47/1000)-Subsurface_Inputs!$C$41*ABS(L47-AVERAGE($L$2:$L$242))</f>
        <v>-33.907336625023525</v>
      </c>
      <c r="S47" s="24">
        <f t="shared" si="3"/>
        <v>-487.72902145453554</v>
      </c>
      <c r="T47" s="24">
        <f t="shared" si="4"/>
        <v>11.782999238635519</v>
      </c>
      <c r="U47" s="25" t="str">
        <f>IF(H47&gt;=Subsurface_Inputs!$C$42,"Lens visible","Weak/no lens")</f>
        <v>Lens visible</v>
      </c>
      <c r="V47" s="25" t="str">
        <f t="shared" si="5"/>
        <v>Likely visible</v>
      </c>
      <c r="W47" s="24">
        <f>Subsurface_Inputs!$C$43</f>
        <v>-45</v>
      </c>
      <c r="X47" s="24">
        <f t="shared" si="6"/>
        <v>15.244066322903215</v>
      </c>
      <c r="Y47" s="24">
        <f t="shared" si="7"/>
        <v>11.092663374976475</v>
      </c>
      <c r="Z47" s="24">
        <f t="shared" si="8"/>
        <v>15.244066322903215</v>
      </c>
      <c r="AA47" s="24">
        <v>0</v>
      </c>
    </row>
    <row r="48" spans="1:27">
      <c r="A48" s="24">
        <f>Model_Data!A48</f>
        <v>-37</v>
      </c>
      <c r="B48" s="24">
        <f>Model_Data!Y48</f>
        <v>236.18872035541293</v>
      </c>
      <c r="C48" s="24">
        <f>Model_Data!X48</f>
        <v>-25.837662785318539</v>
      </c>
      <c r="D48" s="24">
        <f>Model_Data!B48</f>
        <v>401.52111111111111</v>
      </c>
      <c r="E48" s="24">
        <f>Inputs!$C$6</f>
        <v>25</v>
      </c>
      <c r="F48" s="24">
        <f>Subsurface_Inputs!$C$5+Subsurface_Inputs!$C$6*SIN(2*PI()*(A48+Subsurface_Inputs!$C$7)/Subsurface_Inputs!$C$8)+Subsurface_Inputs!$C$9*COS(2*PI()*A48/Subsurface_Inputs!$C$10)+Subsurface_Inputs!$C$11*(B48-AVERAGE($B$2:$B$242))</f>
        <v>1225.3808258835852</v>
      </c>
      <c r="G48" s="24">
        <f t="shared" si="0"/>
        <v>-989.19210552817231</v>
      </c>
      <c r="H48" s="24">
        <f>MIN(1,MAX(0,Subsurface_Inputs!$C$13*EXP(-0.5*((A48-Subsurface_Inputs!$C$14)/Subsurface_Inputs!$C$15)^2)+Subsurface_Inputs!$C$16*EXP(-0.5*((A48-Subsurface_Inputs!$C$17)/Subsurface_Inputs!$C$18)^2)))</f>
        <v>0.40807949030020252</v>
      </c>
      <c r="I48" s="24">
        <f>Subsurface_Inputs!$C$19+Subsurface_Inputs!$C$20*SIN(2*PI()*(A48-Subsurface_Inputs!$C$21)/Subsurface_Inputs!$C$22)-Subsurface_Inputs!$C$23*H48</f>
        <v>5081.4385501217666</v>
      </c>
      <c r="J48" s="24">
        <f t="shared" si="1"/>
        <v>-4845.2498297663533</v>
      </c>
      <c r="K48" s="24">
        <f>Subsurface_Inputs!$C$25+Subsurface_Inputs!$C$26*SIN(2*PI()*(A48+Subsurface_Inputs!$C$27)/Subsurface_Inputs!$C$28)+Subsurface_Inputs!$C$29*COS(2*PI()*(A48-Subsurface_Inputs!$C$30)/Subsurface_Inputs!$C$31)-Subsurface_Inputs!$C$32*(B48-AVERAGE($B$2:$B$242))</f>
        <v>14588.806016104165</v>
      </c>
      <c r="L48" s="24">
        <f t="shared" si="2"/>
        <v>-14352.617295748752</v>
      </c>
      <c r="M48" s="24">
        <f>2*Subsurface_Inputs!$C$34*F48/Subsurface_Inputs!$C$35*1000000</f>
        <v>14.551252453941199</v>
      </c>
      <c r="N48" s="24">
        <f>2*Subsurface_Inputs!$C$34*I48/Subsurface_Inputs!$C$35*1000000</f>
        <v>60.341482101039013</v>
      </c>
      <c r="O48" s="24">
        <f>2*Subsurface_Inputs!$C$34*K48/Subsurface_Inputs!$C$35*1000000</f>
        <v>173.24034688467989</v>
      </c>
      <c r="P48" s="24">
        <f>Subsurface_Inputs!$C$37-2*Subsurface_Inputs!$C$36*(F48/1000)</f>
        <v>-12.205685486590454</v>
      </c>
      <c r="Q48" s="24">
        <f>Subsurface_Inputs!$C$38+Subsurface_Inputs!$C$39*H48-2*Subsurface_Inputs!$C$36*(I48/1000)</f>
        <v>-29.473873977517357</v>
      </c>
      <c r="R48" s="24">
        <f>Subsurface_Inputs!$C$40-2*Subsurface_Inputs!$C$36*(K48/1000)-Subsurface_Inputs!$C$41*ABS(L48-AVERAGE($L$2:$L$242))</f>
        <v>-33.897212159963821</v>
      </c>
      <c r="S48" s="24">
        <f t="shared" si="3"/>
        <v>-488.57867946994884</v>
      </c>
      <c r="T48" s="24">
        <f t="shared" si="4"/>
        <v>11.90552823085396</v>
      </c>
      <c r="U48" s="25" t="str">
        <f>IF(H48&gt;=Subsurface_Inputs!$C$42,"Lens visible","Weak/no lens")</f>
        <v>Lens visible</v>
      </c>
      <c r="V48" s="25" t="str">
        <f t="shared" si="5"/>
        <v>Likely visible</v>
      </c>
      <c r="W48" s="24">
        <f>Subsurface_Inputs!$C$43</f>
        <v>-45</v>
      </c>
      <c r="X48" s="24">
        <f t="shared" si="6"/>
        <v>15.526126022482643</v>
      </c>
      <c r="Y48" s="24">
        <f t="shared" si="7"/>
        <v>11.102787840036179</v>
      </c>
      <c r="Z48" s="24">
        <f t="shared" si="8"/>
        <v>15.526126022482643</v>
      </c>
      <c r="AA48" s="24">
        <v>0</v>
      </c>
    </row>
    <row r="49" spans="1:27">
      <c r="A49" s="24">
        <f>Model_Data!A49</f>
        <v>-36.5</v>
      </c>
      <c r="B49" s="24">
        <f>Model_Data!Y49</f>
        <v>264.8535608975177</v>
      </c>
      <c r="C49" s="24">
        <f>Model_Data!X49</f>
        <v>-21.548035323184823</v>
      </c>
      <c r="D49" s="24">
        <f>Model_Data!B49</f>
        <v>401.48027777777776</v>
      </c>
      <c r="E49" s="24">
        <f>Inputs!$C$6</f>
        <v>25</v>
      </c>
      <c r="F49" s="24">
        <f>Subsurface_Inputs!$C$5+Subsurface_Inputs!$C$6*SIN(2*PI()*(A49+Subsurface_Inputs!$C$7)/Subsurface_Inputs!$C$8)+Subsurface_Inputs!$C$9*COS(2*PI()*A49/Subsurface_Inputs!$C$10)+Subsurface_Inputs!$C$11*(B49-AVERAGE($B$2:$B$242))</f>
        <v>1214.0001949726325</v>
      </c>
      <c r="G49" s="24">
        <f t="shared" si="0"/>
        <v>-949.14663407511478</v>
      </c>
      <c r="H49" s="24">
        <f>MIN(1,MAX(0,Subsurface_Inputs!$C$13*EXP(-0.5*((A49-Subsurface_Inputs!$C$14)/Subsurface_Inputs!$C$15)^2)+Subsurface_Inputs!$C$16*EXP(-0.5*((A49-Subsurface_Inputs!$C$17)/Subsurface_Inputs!$C$18)^2)))</f>
        <v>0.4349416936830342</v>
      </c>
      <c r="I49" s="24">
        <f>Subsurface_Inputs!$C$19+Subsurface_Inputs!$C$20*SIN(2*PI()*(A49-Subsurface_Inputs!$C$21)/Subsurface_Inputs!$C$22)-Subsurface_Inputs!$C$23*H49</f>
        <v>5055.2493747232402</v>
      </c>
      <c r="J49" s="24">
        <f t="shared" si="1"/>
        <v>-4790.3958138257221</v>
      </c>
      <c r="K49" s="24">
        <f>Subsurface_Inputs!$C$25+Subsurface_Inputs!$C$26*SIN(2*PI()*(A49+Subsurface_Inputs!$C$27)/Subsurface_Inputs!$C$28)+Subsurface_Inputs!$C$29*COS(2*PI()*(A49-Subsurface_Inputs!$C$30)/Subsurface_Inputs!$C$31)-Subsurface_Inputs!$C$32*(B49-AVERAGE($B$2:$B$242))</f>
        <v>14583.853391519191</v>
      </c>
      <c r="L49" s="24">
        <f t="shared" si="2"/>
        <v>-14318.999830621673</v>
      </c>
      <c r="M49" s="24">
        <f>2*Subsurface_Inputs!$C$34*F49/Subsurface_Inputs!$C$35*1000000</f>
        <v>14.416108807188776</v>
      </c>
      <c r="N49" s="24">
        <f>2*Subsurface_Inputs!$C$34*I49/Subsurface_Inputs!$C$35*1000000</f>
        <v>60.030488739028705</v>
      </c>
      <c r="O49" s="24">
        <f>2*Subsurface_Inputs!$C$34*K49/Subsurface_Inputs!$C$35*1000000</f>
        <v>173.18153505318776</v>
      </c>
      <c r="P49" s="24">
        <f>Subsurface_Inputs!$C$37-2*Subsurface_Inputs!$C$36*(F49/1000)</f>
        <v>-12.185200350950739</v>
      </c>
      <c r="Q49" s="24">
        <f>Subsurface_Inputs!$C$38+Subsurface_Inputs!$C$39*H49-2*Subsurface_Inputs!$C$36*(I49/1000)</f>
        <v>-29.184973631354524</v>
      </c>
      <c r="R49" s="24">
        <f>Subsurface_Inputs!$C$40-2*Subsurface_Inputs!$C$36*(K49/1000)-Subsurface_Inputs!$C$41*ABS(L49-AVERAGE($L$2:$L$242))</f>
        <v>-34.022767296219193</v>
      </c>
      <c r="S49" s="24">
        <f t="shared" si="3"/>
        <v>-493.53130405492266</v>
      </c>
      <c r="T49" s="24">
        <f t="shared" si="4"/>
        <v>12.013056877513895</v>
      </c>
      <c r="U49" s="25" t="str">
        <f>IF(H49&gt;=Subsurface_Inputs!$C$42,"Lens visible","Weak/no lens")</f>
        <v>Lens visible</v>
      </c>
      <c r="V49" s="25" t="str">
        <f t="shared" si="5"/>
        <v>Likely visible</v>
      </c>
      <c r="W49" s="24">
        <f>Subsurface_Inputs!$C$43</f>
        <v>-45</v>
      </c>
      <c r="X49" s="24">
        <f t="shared" si="6"/>
        <v>15.815026368645476</v>
      </c>
      <c r="Y49" s="24">
        <f t="shared" si="7"/>
        <v>10.977232703780807</v>
      </c>
      <c r="Z49" s="24">
        <f t="shared" si="8"/>
        <v>15.815026368645476</v>
      </c>
      <c r="AA49" s="24">
        <v>0</v>
      </c>
    </row>
    <row r="50" spans="1:27">
      <c r="A50" s="24">
        <f>Model_Data!A50</f>
        <v>-36</v>
      </c>
      <c r="B50" s="24">
        <f>Model_Data!Y50</f>
        <v>273.24610443212225</v>
      </c>
      <c r="C50" s="24">
        <f>Model_Data!X50</f>
        <v>-2.2866622063925579</v>
      </c>
      <c r="D50" s="24">
        <f>Model_Data!B50</f>
        <v>401.44</v>
      </c>
      <c r="E50" s="24">
        <f>Inputs!$C$6</f>
        <v>25</v>
      </c>
      <c r="F50" s="24">
        <f>Subsurface_Inputs!$C$5+Subsurface_Inputs!$C$6*SIN(2*PI()*(A50+Subsurface_Inputs!$C$7)/Subsurface_Inputs!$C$8)+Subsurface_Inputs!$C$9*COS(2*PI()*A50/Subsurface_Inputs!$C$10)+Subsurface_Inputs!$C$11*(B50-AVERAGE($B$2:$B$242))</f>
        <v>1202.1077214470538</v>
      </c>
      <c r="G50" s="24">
        <f t="shared" si="0"/>
        <v>-928.86161701493154</v>
      </c>
      <c r="H50" s="24">
        <f>MIN(1,MAX(0,Subsurface_Inputs!$C$13*EXP(-0.5*((A50-Subsurface_Inputs!$C$14)/Subsurface_Inputs!$C$15)^2)+Subsurface_Inputs!$C$16*EXP(-0.5*((A50-Subsurface_Inputs!$C$17)/Subsurface_Inputs!$C$18)^2)))</f>
        <v>0.46241464316197423</v>
      </c>
      <c r="I50" s="24">
        <f>Subsurface_Inputs!$C$19+Subsurface_Inputs!$C$20*SIN(2*PI()*(A50-Subsurface_Inputs!$C$21)/Subsurface_Inputs!$C$22)-Subsurface_Inputs!$C$23*H50</f>
        <v>5028.8260971161044</v>
      </c>
      <c r="J50" s="24">
        <f t="shared" si="1"/>
        <v>-4755.5799926839818</v>
      </c>
      <c r="K50" s="24">
        <f>Subsurface_Inputs!$C$25+Subsurface_Inputs!$C$26*SIN(2*PI()*(A50+Subsurface_Inputs!$C$27)/Subsurface_Inputs!$C$28)+Subsurface_Inputs!$C$29*COS(2*PI()*(A50-Subsurface_Inputs!$C$30)/Subsurface_Inputs!$C$31)-Subsurface_Inputs!$C$32*(B50-AVERAGE($B$2:$B$242))</f>
        <v>14582.102622173152</v>
      </c>
      <c r="L50" s="24">
        <f t="shared" si="2"/>
        <v>-14308.856517741029</v>
      </c>
      <c r="M50" s="24">
        <f>2*Subsurface_Inputs!$C$34*F50/Subsurface_Inputs!$C$35*1000000</f>
        <v>14.274887089893074</v>
      </c>
      <c r="N50" s="24">
        <f>2*Subsurface_Inputs!$C$34*I50/Subsurface_Inputs!$C$35*1000000</f>
        <v>59.716715440964606</v>
      </c>
      <c r="O50" s="24">
        <f>2*Subsurface_Inputs!$C$34*K50/Subsurface_Inputs!$C$35*1000000</f>
        <v>173.16074487416364</v>
      </c>
      <c r="P50" s="24">
        <f>Subsurface_Inputs!$C$37-2*Subsurface_Inputs!$C$36*(F50/1000)</f>
        <v>-12.163793898604697</v>
      </c>
      <c r="Q50" s="24">
        <f>Subsurface_Inputs!$C$38+Subsurface_Inputs!$C$39*H50-2*Subsurface_Inputs!$C$36*(I50/1000)</f>
        <v>-28.890155186351219</v>
      </c>
      <c r="R50" s="24">
        <f>Subsurface_Inputs!$C$40-2*Subsurface_Inputs!$C$36*(K50/1000)-Subsurface_Inputs!$C$41*ABS(L50-AVERAGE($L$2:$L$242))</f>
        <v>-34.060189162918888</v>
      </c>
      <c r="S50" s="24">
        <f t="shared" si="3"/>
        <v>-495.28207340096196</v>
      </c>
      <c r="T50" s="24">
        <f t="shared" si="4"/>
        <v>12.130445851075429</v>
      </c>
      <c r="U50" s="25" t="str">
        <f>IF(H50&gt;=Subsurface_Inputs!$C$42,"Lens visible","Weak/no lens")</f>
        <v>Lens visible</v>
      </c>
      <c r="V50" s="25" t="str">
        <f t="shared" si="5"/>
        <v>Likely visible</v>
      </c>
      <c r="W50" s="24">
        <f>Subsurface_Inputs!$C$43</f>
        <v>-45</v>
      </c>
      <c r="X50" s="24">
        <f t="shared" si="6"/>
        <v>16.109844813648781</v>
      </c>
      <c r="Y50" s="24">
        <f t="shared" si="7"/>
        <v>10.939810837081112</v>
      </c>
      <c r="Z50" s="24">
        <f t="shared" si="8"/>
        <v>16.109844813648781</v>
      </c>
      <c r="AA50" s="24">
        <v>0</v>
      </c>
    </row>
    <row r="51" spans="1:27">
      <c r="A51" s="24">
        <f>Model_Data!A51</f>
        <v>-35.5</v>
      </c>
      <c r="B51" s="24">
        <f>Model_Data!Y51</f>
        <v>284.9525044866856</v>
      </c>
      <c r="C51" s="24">
        <f>Model_Data!X51</f>
        <v>-0.63397186114618087</v>
      </c>
      <c r="D51" s="24">
        <f>Model_Data!B51</f>
        <v>401.40027777777777</v>
      </c>
      <c r="E51" s="24">
        <f>Inputs!$C$6</f>
        <v>25</v>
      </c>
      <c r="F51" s="24">
        <f>Subsurface_Inputs!$C$5+Subsurface_Inputs!$C$6*SIN(2*PI()*(A51+Subsurface_Inputs!$C$7)/Subsurface_Inputs!$C$8)+Subsurface_Inputs!$C$9*COS(2*PI()*A51/Subsurface_Inputs!$C$10)+Subsurface_Inputs!$C$11*(B51-AVERAGE($B$2:$B$242))</f>
        <v>1190.7643485527458</v>
      </c>
      <c r="G51" s="24">
        <f t="shared" si="0"/>
        <v>-905.81184406606019</v>
      </c>
      <c r="H51" s="24">
        <f>MIN(1,MAX(0,Subsurface_Inputs!$C$13*EXP(-0.5*((A51-Subsurface_Inputs!$C$14)/Subsurface_Inputs!$C$15)^2)+Subsurface_Inputs!$C$16*EXP(-0.5*((A51-Subsurface_Inputs!$C$17)/Subsurface_Inputs!$C$18)^2)))</f>
        <v>0.49039539024822354</v>
      </c>
      <c r="I51" s="24">
        <f>Subsurface_Inputs!$C$19+Subsurface_Inputs!$C$20*SIN(2*PI()*(A51-Subsurface_Inputs!$C$21)/Subsurface_Inputs!$C$22)-Subsurface_Inputs!$C$23*H51</f>
        <v>5002.222527859245</v>
      </c>
      <c r="J51" s="24">
        <f t="shared" si="1"/>
        <v>-4717.2700233725591</v>
      </c>
      <c r="K51" s="24">
        <f>Subsurface_Inputs!$C$25+Subsurface_Inputs!$C$26*SIN(2*PI()*(A51+Subsurface_Inputs!$C$27)/Subsurface_Inputs!$C$28)+Subsurface_Inputs!$C$29*COS(2*PI()*(A51-Subsurface_Inputs!$C$30)/Subsurface_Inputs!$C$31)-Subsurface_Inputs!$C$32*(B51-AVERAGE($B$2:$B$242))</f>
        <v>14580.284946826378</v>
      </c>
      <c r="L51" s="24">
        <f t="shared" si="2"/>
        <v>-14295.332442339692</v>
      </c>
      <c r="M51" s="24">
        <f>2*Subsurface_Inputs!$C$34*F51/Subsurface_Inputs!$C$35*1000000</f>
        <v>14.140185877684006</v>
      </c>
      <c r="N51" s="24">
        <f>2*Subsurface_Inputs!$C$34*I51/Subsurface_Inputs!$C$35*1000000</f>
        <v>59.400801200872486</v>
      </c>
      <c r="O51" s="24">
        <f>2*Subsurface_Inputs!$C$34*K51/Subsurface_Inputs!$C$35*1000000</f>
        <v>173.13916019428981</v>
      </c>
      <c r="P51" s="24">
        <f>Subsurface_Inputs!$C$37-2*Subsurface_Inputs!$C$36*(F51/1000)</f>
        <v>-12.143375827394943</v>
      </c>
      <c r="Q51" s="24">
        <f>Subsurface_Inputs!$C$38+Subsurface_Inputs!$C$39*H51-2*Subsurface_Inputs!$C$36*(I51/1000)</f>
        <v>-28.590442037912631</v>
      </c>
      <c r="R51" s="24">
        <f>Subsurface_Inputs!$C$40-2*Subsurface_Inputs!$C$36*(K51/1000)-Subsurface_Inputs!$C$41*ABS(L51-AVERAGE($L$2:$L$242))</f>
        <v>-34.111013648900048</v>
      </c>
      <c r="S51" s="24">
        <f t="shared" si="3"/>
        <v>-497.09974874773616</v>
      </c>
      <c r="T51" s="24">
        <f t="shared" si="4"/>
        <v>12.244475545935892</v>
      </c>
      <c r="U51" s="25" t="str">
        <f>IF(H51&gt;=Subsurface_Inputs!$C$42,"Lens visible","Weak/no lens")</f>
        <v>Lens visible</v>
      </c>
      <c r="V51" s="25" t="str">
        <f t="shared" si="5"/>
        <v>Likely visible</v>
      </c>
      <c r="W51" s="24">
        <f>Subsurface_Inputs!$C$43</f>
        <v>-45</v>
      </c>
      <c r="X51" s="24">
        <f t="shared" si="6"/>
        <v>16.409557962087369</v>
      </c>
      <c r="Y51" s="24">
        <f t="shared" si="7"/>
        <v>10.888986351099952</v>
      </c>
      <c r="Z51" s="24">
        <f t="shared" si="8"/>
        <v>16.409557962087369</v>
      </c>
      <c r="AA51" s="24">
        <v>0</v>
      </c>
    </row>
    <row r="52" spans="1:27">
      <c r="A52" s="24">
        <f>Model_Data!A52</f>
        <v>-35</v>
      </c>
      <c r="B52" s="24">
        <f>Model_Data!Y52</f>
        <v>280.71344003936963</v>
      </c>
      <c r="C52" s="24">
        <f>Model_Data!X52</f>
        <v>-9.7085297317811534</v>
      </c>
      <c r="D52" s="24">
        <f>Model_Data!B52</f>
        <v>401.36111111111109</v>
      </c>
      <c r="E52" s="24">
        <f>Inputs!$C$6</f>
        <v>25</v>
      </c>
      <c r="F52" s="24">
        <f>Subsurface_Inputs!$C$5+Subsurface_Inputs!$C$6*SIN(2*PI()*(A52+Subsurface_Inputs!$C$7)/Subsurface_Inputs!$C$8)+Subsurface_Inputs!$C$9*COS(2*PI()*A52/Subsurface_Inputs!$C$10)+Subsurface_Inputs!$C$11*(B52-AVERAGE($B$2:$B$242))</f>
        <v>1179.3015074463233</v>
      </c>
      <c r="G52" s="24">
        <f t="shared" si="0"/>
        <v>-898.58806740695366</v>
      </c>
      <c r="H52" s="24">
        <f>MIN(1,MAX(0,Subsurface_Inputs!$C$13*EXP(-0.5*((A52-Subsurface_Inputs!$C$14)/Subsurface_Inputs!$C$15)^2)+Subsurface_Inputs!$C$16*EXP(-0.5*((A52-Subsurface_Inputs!$C$17)/Subsurface_Inputs!$C$18)^2)))</f>
        <v>0.51877070530772718</v>
      </c>
      <c r="I52" s="24">
        <f>Subsurface_Inputs!$C$19+Subsurface_Inputs!$C$20*SIN(2*PI()*(A52-Subsurface_Inputs!$C$21)/Subsurface_Inputs!$C$22)-Subsurface_Inputs!$C$23*H52</f>
        <v>4975.4950307261452</v>
      </c>
      <c r="J52" s="24">
        <f t="shared" si="1"/>
        <v>-4694.7815906867754</v>
      </c>
      <c r="K52" s="24">
        <f>Subsurface_Inputs!$C$25+Subsurface_Inputs!$C$26*SIN(2*PI()*(A52+Subsurface_Inputs!$C$27)/Subsurface_Inputs!$C$28)+Subsurface_Inputs!$C$29*COS(2*PI()*(A52-Subsurface_Inputs!$C$30)/Subsurface_Inputs!$C$31)-Subsurface_Inputs!$C$32*(B52-AVERAGE($B$2:$B$242))</f>
        <v>14581.129325609469</v>
      </c>
      <c r="L52" s="24">
        <f t="shared" si="2"/>
        <v>-14300.415885570099</v>
      </c>
      <c r="M52" s="24">
        <f>2*Subsurface_Inputs!$C$34*F52/Subsurface_Inputs!$C$35*1000000</f>
        <v>14.004065994578525</v>
      </c>
      <c r="N52" s="24">
        <f>2*Subsurface_Inputs!$C$34*I52/Subsurface_Inputs!$C$35*1000000</f>
        <v>59.083415331899637</v>
      </c>
      <c r="O52" s="24">
        <f>2*Subsurface_Inputs!$C$34*K52/Subsurface_Inputs!$C$35*1000000</f>
        <v>173.14918709252422</v>
      </c>
      <c r="P52" s="24">
        <f>Subsurface_Inputs!$C$37-2*Subsurface_Inputs!$C$36*(F52/1000)</f>
        <v>-12.122742713403383</v>
      </c>
      <c r="Q52" s="24">
        <f>Subsurface_Inputs!$C$38+Subsurface_Inputs!$C$39*H52-2*Subsurface_Inputs!$C$36*(I52/1000)</f>
        <v>-28.286954707537518</v>
      </c>
      <c r="R52" s="24">
        <f>Subsurface_Inputs!$C$40-2*Subsurface_Inputs!$C$36*(K52/1000)-Subsurface_Inputs!$C$41*ABS(L52-AVERAGE($L$2:$L$242))</f>
        <v>-34.092199757787988</v>
      </c>
      <c r="S52" s="24">
        <f t="shared" si="3"/>
        <v>-496.25536996464507</v>
      </c>
      <c r="T52" s="24">
        <f t="shared" si="4"/>
        <v>12.364208163511687</v>
      </c>
      <c r="U52" s="25" t="str">
        <f>IF(H52&gt;=Subsurface_Inputs!$C$42,"Lens visible","Weak/no lens")</f>
        <v>Lens visible</v>
      </c>
      <c r="V52" s="25" t="str">
        <f t="shared" si="5"/>
        <v>Likely visible</v>
      </c>
      <c r="W52" s="24">
        <f>Subsurface_Inputs!$C$43</f>
        <v>-45</v>
      </c>
      <c r="X52" s="24">
        <f t="shared" si="6"/>
        <v>16.713045292462482</v>
      </c>
      <c r="Y52" s="24">
        <f t="shared" si="7"/>
        <v>10.907800242212012</v>
      </c>
      <c r="Z52" s="24">
        <f t="shared" si="8"/>
        <v>16.713045292462482</v>
      </c>
      <c r="AA52" s="24">
        <v>0</v>
      </c>
    </row>
    <row r="53" spans="1:27">
      <c r="A53" s="24">
        <f>Model_Data!A53</f>
        <v>-34.5</v>
      </c>
      <c r="B53" s="24">
        <f>Model_Data!Y53</f>
        <v>316.31487804948046</v>
      </c>
      <c r="C53" s="24">
        <f>Model_Data!X53</f>
        <v>-9.8596508268729295</v>
      </c>
      <c r="D53" s="24">
        <f>Model_Data!B53</f>
        <v>401.32249999999999</v>
      </c>
      <c r="E53" s="24">
        <f>Inputs!$C$6</f>
        <v>25</v>
      </c>
      <c r="F53" s="24">
        <f>Subsurface_Inputs!$C$5+Subsurface_Inputs!$C$6*SIN(2*PI()*(A53+Subsurface_Inputs!$C$7)/Subsurface_Inputs!$C$8)+Subsurface_Inputs!$C$9*COS(2*PI()*A53/Subsurface_Inputs!$C$10)+Subsurface_Inputs!$C$11*(B53-AVERAGE($B$2:$B$242))</f>
        <v>1170.0355124387281</v>
      </c>
      <c r="G53" s="24">
        <f t="shared" si="0"/>
        <v>-853.72063438924761</v>
      </c>
      <c r="H53" s="24">
        <f>MIN(1,MAX(0,Subsurface_Inputs!$C$13*EXP(-0.5*((A53-Subsurface_Inputs!$C$14)/Subsurface_Inputs!$C$15)^2)+Subsurface_Inputs!$C$16*EXP(-0.5*((A53-Subsurface_Inputs!$C$17)/Subsurface_Inputs!$C$18)^2)))</f>
        <v>0.54741761998821514</v>
      </c>
      <c r="I53" s="24">
        <f>Subsurface_Inputs!$C$19+Subsurface_Inputs!$C$20*SIN(2*PI()*(A53-Subsurface_Inputs!$C$21)/Subsurface_Inputs!$C$22)-Subsurface_Inputs!$C$23*H53</f>
        <v>4948.7023496840102</v>
      </c>
      <c r="J53" s="24">
        <f t="shared" si="1"/>
        <v>-4632.3874716345299</v>
      </c>
      <c r="K53" s="24">
        <f>Subsurface_Inputs!$C$25+Subsurface_Inputs!$C$26*SIN(2*PI()*(A53+Subsurface_Inputs!$C$27)/Subsurface_Inputs!$C$28)+Subsurface_Inputs!$C$29*COS(2*PI()*(A53-Subsurface_Inputs!$C$30)/Subsurface_Inputs!$C$31)-Subsurface_Inputs!$C$32*(B53-AVERAGE($B$2:$B$242))</f>
        <v>14576.857632008796</v>
      </c>
      <c r="L53" s="24">
        <f t="shared" si="2"/>
        <v>-14260.542753959315</v>
      </c>
      <c r="M53" s="24">
        <f>2*Subsurface_Inputs!$C$34*F53/Subsurface_Inputs!$C$35*1000000</f>
        <v>13.894033399205368</v>
      </c>
      <c r="N53" s="24">
        <f>2*Subsurface_Inputs!$C$34*I53/Subsurface_Inputs!$C$35*1000000</f>
        <v>58.765255411712445</v>
      </c>
      <c r="O53" s="24">
        <f>2*Subsurface_Inputs!$C$34*K53/Subsurface_Inputs!$C$35*1000000</f>
        <v>173.09846123597717</v>
      </c>
      <c r="P53" s="24">
        <f>Subsurface_Inputs!$C$37-2*Subsurface_Inputs!$C$36*(F53/1000)</f>
        <v>-12.10606392238971</v>
      </c>
      <c r="Q53" s="24">
        <f>Subsurface_Inputs!$C$38+Subsurface_Inputs!$C$39*H53-2*Subsurface_Inputs!$C$36*(I53/1000)</f>
        <v>-27.980905649537284</v>
      </c>
      <c r="R53" s="24">
        <f>Subsurface_Inputs!$C$40-2*Subsurface_Inputs!$C$36*(K53/1000)-Subsurface_Inputs!$C$41*ABS(L53-AVERAGE($L$2:$L$242))</f>
        <v>-34.244003235749908</v>
      </c>
      <c r="S53" s="24">
        <f t="shared" si="3"/>
        <v>-500.5270635653178</v>
      </c>
      <c r="T53" s="24">
        <f t="shared" si="4"/>
        <v>12.458474530936213</v>
      </c>
      <c r="U53" s="25" t="str">
        <f>IF(H53&gt;=Subsurface_Inputs!$C$42,"Lens visible","Weak/no lens")</f>
        <v>Lens visible</v>
      </c>
      <c r="V53" s="25" t="str">
        <f t="shared" si="5"/>
        <v>Likely visible</v>
      </c>
      <c r="W53" s="24">
        <f>Subsurface_Inputs!$C$43</f>
        <v>-45</v>
      </c>
      <c r="X53" s="24">
        <f t="shared" si="6"/>
        <v>17.019094350462716</v>
      </c>
      <c r="Y53" s="24">
        <f t="shared" si="7"/>
        <v>10.755996764250092</v>
      </c>
      <c r="Z53" s="24">
        <f t="shared" si="8"/>
        <v>17.019094350462716</v>
      </c>
      <c r="AA53" s="24">
        <v>0</v>
      </c>
    </row>
    <row r="54" spans="1:27">
      <c r="A54" s="24">
        <f>Model_Data!A54</f>
        <v>-34</v>
      </c>
      <c r="B54" s="24">
        <f>Model_Data!Y54</f>
        <v>319.41525492664545</v>
      </c>
      <c r="C54" s="24">
        <f>Model_Data!X54</f>
        <v>0.233219012771956</v>
      </c>
      <c r="D54" s="24">
        <f>Model_Data!B54</f>
        <v>401.28444444444443</v>
      </c>
      <c r="E54" s="24">
        <f>Inputs!$C$6</f>
        <v>25</v>
      </c>
      <c r="F54" s="24">
        <f>Subsurface_Inputs!$C$5+Subsurface_Inputs!$C$6*SIN(2*PI()*(A54+Subsurface_Inputs!$C$7)/Subsurface_Inputs!$C$8)+Subsurface_Inputs!$C$9*COS(2*PI()*A54/Subsurface_Inputs!$C$10)+Subsurface_Inputs!$C$11*(B54-AVERAGE($B$2:$B$242))</f>
        <v>1160.1397690104441</v>
      </c>
      <c r="G54" s="24">
        <f t="shared" si="0"/>
        <v>-840.72451408379857</v>
      </c>
      <c r="H54" s="24">
        <f>MIN(1,MAX(0,Subsurface_Inputs!$C$13*EXP(-0.5*((A54-Subsurface_Inputs!$C$14)/Subsurface_Inputs!$C$15)^2)+Subsurface_Inputs!$C$16*EXP(-0.5*((A54-Subsurface_Inputs!$C$17)/Subsurface_Inputs!$C$18)^2)))</f>
        <v>0.5762041267270106</v>
      </c>
      <c r="I54" s="24">
        <f>Subsurface_Inputs!$C$19+Subsurface_Inputs!$C$20*SIN(2*PI()*(A54-Subsurface_Inputs!$C$21)/Subsurface_Inputs!$C$22)-Subsurface_Inputs!$C$23*H54</f>
        <v>4921.9053981105399</v>
      </c>
      <c r="J54" s="24">
        <f t="shared" si="1"/>
        <v>-4602.4901431838944</v>
      </c>
      <c r="K54" s="24">
        <f>Subsurface_Inputs!$C$25+Subsurface_Inputs!$C$26*SIN(2*PI()*(A54+Subsurface_Inputs!$C$27)/Subsurface_Inputs!$C$28)+Subsurface_Inputs!$C$29*COS(2*PI()*(A54-Subsurface_Inputs!$C$30)/Subsurface_Inputs!$C$31)-Subsurface_Inputs!$C$32*(B54-AVERAGE($B$2:$B$242))</f>
        <v>14577.628747923234</v>
      </c>
      <c r="L54" s="24">
        <f t="shared" si="2"/>
        <v>-14258.213492996589</v>
      </c>
      <c r="M54" s="24">
        <f>2*Subsurface_Inputs!$C$34*F54/Subsurface_Inputs!$C$35*1000000</f>
        <v>13.776522615779685</v>
      </c>
      <c r="N54" s="24">
        <f>2*Subsurface_Inputs!$C$34*I54/Subsurface_Inputs!$C$35*1000000</f>
        <v>58.447044779470481</v>
      </c>
      <c r="O54" s="24">
        <f>2*Subsurface_Inputs!$C$34*K54/Subsurface_Inputs!$C$35*1000000</f>
        <v>173.10761814630678</v>
      </c>
      <c r="P54" s="24">
        <f>Subsurface_Inputs!$C$37-2*Subsurface_Inputs!$C$36*(F54/1000)</f>
        <v>-12.088251584218799</v>
      </c>
      <c r="Q54" s="24">
        <f>Subsurface_Inputs!$C$38+Subsurface_Inputs!$C$39*H54-2*Subsurface_Inputs!$C$36*(I54/1000)</f>
        <v>-27.673592576055874</v>
      </c>
      <c r="R54" s="24">
        <f>Subsurface_Inputs!$C$40-2*Subsurface_Inputs!$C$36*(K54/1000)-Subsurface_Inputs!$C$41*ABS(L54-AVERAGE($L$2:$L$242))</f>
        <v>-34.254708288246803</v>
      </c>
      <c r="S54" s="24">
        <f t="shared" si="3"/>
        <v>-499.75594765087953</v>
      </c>
      <c r="T54" s="24">
        <f t="shared" si="4"/>
        <v>12.565407321875886</v>
      </c>
      <c r="U54" s="25" t="str">
        <f>IF(H54&gt;=Subsurface_Inputs!$C$42,"Lens visible","Weak/no lens")</f>
        <v>Lens visible</v>
      </c>
      <c r="V54" s="25" t="str">
        <f t="shared" si="5"/>
        <v>Likely visible</v>
      </c>
      <c r="W54" s="24">
        <f>Subsurface_Inputs!$C$43</f>
        <v>-45</v>
      </c>
      <c r="X54" s="24">
        <f t="shared" si="6"/>
        <v>17.326407423944126</v>
      </c>
      <c r="Y54" s="24">
        <f t="shared" si="7"/>
        <v>10.745291711753197</v>
      </c>
      <c r="Z54" s="24">
        <f t="shared" si="8"/>
        <v>17.326407423944126</v>
      </c>
      <c r="AA54" s="24">
        <v>0</v>
      </c>
    </row>
    <row r="55" spans="1:27">
      <c r="A55" s="24">
        <f>Model_Data!A55</f>
        <v>-33.5</v>
      </c>
      <c r="B55" s="24">
        <f>Model_Data!Y55</f>
        <v>328.44480575089858</v>
      </c>
      <c r="C55" s="24">
        <f>Model_Data!X55</f>
        <v>8.5001955674394374</v>
      </c>
      <c r="D55" s="24">
        <f>Model_Data!B55</f>
        <v>401.24694444444447</v>
      </c>
      <c r="E55" s="24">
        <f>Inputs!$C$6</f>
        <v>25</v>
      </c>
      <c r="F55" s="24">
        <f>Subsurface_Inputs!$C$5+Subsurface_Inputs!$C$6*SIN(2*PI()*(A55+Subsurface_Inputs!$C$7)/Subsurface_Inputs!$C$8)+Subsurface_Inputs!$C$9*COS(2*PI()*A55/Subsurface_Inputs!$C$10)+Subsurface_Inputs!$C$11*(B55-AVERAGE($B$2:$B$242))</f>
        <v>1151.2002362045403</v>
      </c>
      <c r="G55" s="24">
        <f t="shared" si="0"/>
        <v>-822.75543045364168</v>
      </c>
      <c r="H55" s="24">
        <f>MIN(1,MAX(0,Subsurface_Inputs!$C$13*EXP(-0.5*((A55-Subsurface_Inputs!$C$14)/Subsurface_Inputs!$C$15)^2)+Subsurface_Inputs!$C$16*EXP(-0.5*((A55-Subsurface_Inputs!$C$17)/Subsurface_Inputs!$C$18)^2)))</f>
        <v>0.6049900336531705</v>
      </c>
      <c r="I55" s="24">
        <f>Subsurface_Inputs!$C$19+Subsurface_Inputs!$C$20*SIN(2*PI()*(A55-Subsurface_Inputs!$C$21)/Subsurface_Inputs!$C$22)-Subsurface_Inputs!$C$23*H55</f>
        <v>4895.1670107160708</v>
      </c>
      <c r="J55" s="24">
        <f t="shared" si="1"/>
        <v>-4566.7222049651718</v>
      </c>
      <c r="K55" s="24">
        <f>Subsurface_Inputs!$C$25+Subsurface_Inputs!$C$26*SIN(2*PI()*(A55+Subsurface_Inputs!$C$27)/Subsurface_Inputs!$C$28)+Subsurface_Inputs!$C$29*COS(2*PI()*(A55-Subsurface_Inputs!$C$30)/Subsurface_Inputs!$C$31)-Subsurface_Inputs!$C$32*(B55-AVERAGE($B$2:$B$242))</f>
        <v>14578.092560023488</v>
      </c>
      <c r="L55" s="24">
        <f t="shared" si="2"/>
        <v>-14249.64775427259</v>
      </c>
      <c r="M55" s="24">
        <f>2*Subsurface_Inputs!$C$34*F55/Subsurface_Inputs!$C$35*1000000</f>
        <v>13.670366720460203</v>
      </c>
      <c r="N55" s="24">
        <f>2*Subsurface_Inputs!$C$34*I55/Subsurface_Inputs!$C$35*1000000</f>
        <v>58.129529589931217</v>
      </c>
      <c r="O55" s="24">
        <f>2*Subsurface_Inputs!$C$34*K55/Subsurface_Inputs!$C$35*1000000</f>
        <v>173.11312586016965</v>
      </c>
      <c r="P55" s="24">
        <f>Subsurface_Inputs!$C$37-2*Subsurface_Inputs!$C$36*(F55/1000)</f>
        <v>-12.072160425168173</v>
      </c>
      <c r="Q55" s="24">
        <f>Subsurface_Inputs!$C$38+Subsurface_Inputs!$C$39*H55-2*Subsurface_Inputs!$C$36*(I55/1000)</f>
        <v>-27.366390316410396</v>
      </c>
      <c r="R55" s="24">
        <f>Subsurface_Inputs!$C$40-2*Subsurface_Inputs!$C$36*(K55/1000)-Subsurface_Inputs!$C$41*ABS(L55-AVERAGE($L$2:$L$242))</f>
        <v>-34.289806104923244</v>
      </c>
      <c r="S55" s="24">
        <f t="shared" si="3"/>
        <v>-499.29213555062597</v>
      </c>
      <c r="T55" s="24">
        <f t="shared" si="4"/>
        <v>12.663385657465515</v>
      </c>
      <c r="U55" s="25" t="str">
        <f>IF(H55&gt;=Subsurface_Inputs!$C$42,"Lens visible","Weak/no lens")</f>
        <v>Lens visible</v>
      </c>
      <c r="V55" s="25" t="str">
        <f t="shared" si="5"/>
        <v>Likely visible</v>
      </c>
      <c r="W55" s="24">
        <f>Subsurface_Inputs!$C$43</f>
        <v>-45</v>
      </c>
      <c r="X55" s="24">
        <f t="shared" si="6"/>
        <v>17.633609683589604</v>
      </c>
      <c r="Y55" s="24">
        <f t="shared" si="7"/>
        <v>10.710193895076756</v>
      </c>
      <c r="Z55" s="24">
        <f t="shared" si="8"/>
        <v>17.633609683589604</v>
      </c>
      <c r="AA55" s="24">
        <v>0</v>
      </c>
    </row>
    <row r="56" spans="1:27">
      <c r="A56" s="24">
        <f>Model_Data!A56</f>
        <v>-33</v>
      </c>
      <c r="B56" s="24">
        <f>Model_Data!Y56</f>
        <v>342.05712046848419</v>
      </c>
      <c r="C56" s="24">
        <f>Model_Data!X56</f>
        <v>12.884972617306985</v>
      </c>
      <c r="D56" s="24">
        <f>Model_Data!B56</f>
        <v>401.21</v>
      </c>
      <c r="E56" s="24">
        <f>Inputs!$C$6</f>
        <v>25</v>
      </c>
      <c r="F56" s="24">
        <f>Subsurface_Inputs!$C$5+Subsurface_Inputs!$C$6*SIN(2*PI()*(A56+Subsurface_Inputs!$C$7)/Subsurface_Inputs!$C$8)+Subsurface_Inputs!$C$9*COS(2*PI()*A56/Subsurface_Inputs!$C$10)+Subsurface_Inputs!$C$11*(B56-AVERAGE($B$2:$B$242))</f>
        <v>1143.1933519509057</v>
      </c>
      <c r="G56" s="24">
        <f t="shared" si="0"/>
        <v>-801.13623148242152</v>
      </c>
      <c r="H56" s="24">
        <f>MIN(1,MAX(0,Subsurface_Inputs!$C$13*EXP(-0.5*((A56-Subsurface_Inputs!$C$14)/Subsurface_Inputs!$C$15)^2)+Subsurface_Inputs!$C$16*EXP(-0.5*((A56-Subsurface_Inputs!$C$17)/Subsurface_Inputs!$C$18)^2)))</f>
        <v>0.6336279703155745</v>
      </c>
      <c r="I56" s="24">
        <f>Subsurface_Inputs!$C$19+Subsurface_Inputs!$C$20*SIN(2*PI()*(A56-Subsurface_Inputs!$C$21)/Subsurface_Inputs!$C$22)-Subsurface_Inputs!$C$23*H56</f>
        <v>4868.5516593304474</v>
      </c>
      <c r="J56" s="24">
        <f t="shared" si="1"/>
        <v>-4526.4945388619635</v>
      </c>
      <c r="K56" s="24">
        <f>Subsurface_Inputs!$C$25+Subsurface_Inputs!$C$26*SIN(2*PI()*(A56+Subsurface_Inputs!$C$27)/Subsurface_Inputs!$C$28)+Subsurface_Inputs!$C$29*COS(2*PI()*(A56-Subsurface_Inputs!$C$30)/Subsurface_Inputs!$C$31)-Subsurface_Inputs!$C$32*(B56-AVERAGE($B$2:$B$242))</f>
        <v>14578.466646582594</v>
      </c>
      <c r="L56" s="24">
        <f t="shared" si="2"/>
        <v>-14236.40952611411</v>
      </c>
      <c r="M56" s="24">
        <f>2*Subsurface_Inputs!$C$34*F56/Subsurface_Inputs!$C$35*1000000</f>
        <v>13.575285916449653</v>
      </c>
      <c r="N56" s="24">
        <f>2*Subsurface_Inputs!$C$34*I56/Subsurface_Inputs!$C$35*1000000</f>
        <v>57.813475438452805</v>
      </c>
      <c r="O56" s="24">
        <f>2*Subsurface_Inputs!$C$34*K56/Subsurface_Inputs!$C$35*1000000</f>
        <v>173.11756809383789</v>
      </c>
      <c r="P56" s="24">
        <f>Subsurface_Inputs!$C$37-2*Subsurface_Inputs!$C$36*(F56/1000)</f>
        <v>-12.057748033511629</v>
      </c>
      <c r="Q56" s="24">
        <f>Subsurface_Inputs!$C$38+Subsurface_Inputs!$C$39*H56-2*Subsurface_Inputs!$C$36*(I56/1000)</f>
        <v>-27.060741253954635</v>
      </c>
      <c r="R56" s="24">
        <f>Subsurface_Inputs!$C$40-2*Subsurface_Inputs!$C$36*(K56/1000)-Subsurface_Inputs!$C$41*ABS(L56-AVERAGE($L$2:$L$242))</f>
        <v>-34.343432373363562</v>
      </c>
      <c r="S56" s="24">
        <f t="shared" si="3"/>
        <v>-498.91804899151975</v>
      </c>
      <c r="T56" s="24">
        <f t="shared" si="4"/>
        <v>12.752406775025284</v>
      </c>
      <c r="U56" s="25" t="str">
        <f>IF(H56&gt;=Subsurface_Inputs!$C$42,"Lens visible","Weak/no lens")</f>
        <v>Lens visible</v>
      </c>
      <c r="V56" s="25" t="str">
        <f t="shared" si="5"/>
        <v>Likely visible</v>
      </c>
      <c r="W56" s="24">
        <f>Subsurface_Inputs!$C$43</f>
        <v>-45</v>
      </c>
      <c r="X56" s="24">
        <f t="shared" si="6"/>
        <v>17.939258746045365</v>
      </c>
      <c r="Y56" s="24">
        <f t="shared" si="7"/>
        <v>10.656567626636438</v>
      </c>
      <c r="Z56" s="24">
        <f t="shared" si="8"/>
        <v>17.939258746045365</v>
      </c>
      <c r="AA56" s="24">
        <v>0</v>
      </c>
    </row>
    <row r="57" spans="1:27">
      <c r="A57" s="24">
        <f>Model_Data!A57</f>
        <v>-32.5</v>
      </c>
      <c r="B57" s="24">
        <f>Model_Data!Y57</f>
        <v>350.91834122472949</v>
      </c>
      <c r="C57" s="24">
        <f>Model_Data!X57</f>
        <v>14.196906765365963</v>
      </c>
      <c r="D57" s="24">
        <f>Model_Data!B57</f>
        <v>401.17361111111109</v>
      </c>
      <c r="E57" s="24">
        <f>Inputs!$C$6</f>
        <v>25</v>
      </c>
      <c r="F57" s="24">
        <f>Subsurface_Inputs!$C$5+Subsurface_Inputs!$C$6*SIN(2*PI()*(A57+Subsurface_Inputs!$C$7)/Subsurface_Inputs!$C$8)+Subsurface_Inputs!$C$9*COS(2*PI()*A57/Subsurface_Inputs!$C$10)+Subsurface_Inputs!$C$11*(B57-AVERAGE($B$2:$B$242))</f>
        <v>1135.7578361259591</v>
      </c>
      <c r="G57" s="24">
        <f t="shared" si="0"/>
        <v>-784.83949490122961</v>
      </c>
      <c r="H57" s="24">
        <f>MIN(1,MAX(0,Subsurface_Inputs!$C$13*EXP(-0.5*((A57-Subsurface_Inputs!$C$14)/Subsurface_Inputs!$C$15)^2)+Subsurface_Inputs!$C$16*EXP(-0.5*((A57-Subsurface_Inputs!$C$17)/Subsurface_Inputs!$C$18)^2)))</f>
        <v>0.66196453672127209</v>
      </c>
      <c r="I57" s="24">
        <f>Subsurface_Inputs!$C$19+Subsurface_Inputs!$C$20*SIN(2*PI()*(A57-Subsurface_Inputs!$C$21)/Subsurface_Inputs!$C$22)-Subsurface_Inputs!$C$23*H57</f>
        <v>4842.1251344212669</v>
      </c>
      <c r="J57" s="24">
        <f t="shared" si="1"/>
        <v>-4491.2067931965375</v>
      </c>
      <c r="K57" s="24">
        <f>Subsurface_Inputs!$C$25+Subsurface_Inputs!$C$26*SIN(2*PI()*(A57+Subsurface_Inputs!$C$27)/Subsurface_Inputs!$C$28)+Subsurface_Inputs!$C$29*COS(2*PI()*(A57-Subsurface_Inputs!$C$30)/Subsurface_Inputs!$C$31)-Subsurface_Inputs!$C$32*(B57-AVERAGE($B$2:$B$242))</f>
        <v>14580.08569704939</v>
      </c>
      <c r="L57" s="24">
        <f t="shared" si="2"/>
        <v>-14229.16735582466</v>
      </c>
      <c r="M57" s="24">
        <f>2*Subsurface_Inputs!$C$34*F57/Subsurface_Inputs!$C$35*1000000</f>
        <v>13.48699004498777</v>
      </c>
      <c r="N57" s="24">
        <f>2*Subsurface_Inputs!$C$34*I57/Subsurface_Inputs!$C$35*1000000</f>
        <v>57.499663579060787</v>
      </c>
      <c r="O57" s="24">
        <f>2*Subsurface_Inputs!$C$34*K57/Subsurface_Inputs!$C$35*1000000</f>
        <v>173.13679412674162</v>
      </c>
      <c r="P57" s="24">
        <f>Subsurface_Inputs!$C$37-2*Subsurface_Inputs!$C$36*(F57/1000)</f>
        <v>-12.044364105026727</v>
      </c>
      <c r="Q57" s="24">
        <f>Subsurface_Inputs!$C$38+Subsurface_Inputs!$C$39*H57-2*Subsurface_Inputs!$C$36*(I57/1000)</f>
        <v>-26.758144411466834</v>
      </c>
      <c r="R57" s="24">
        <f>Subsurface_Inputs!$C$40-2*Subsurface_Inputs!$C$36*(K57/1000)-Subsurface_Inputs!$C$41*ABS(L57-AVERAGE($L$2:$L$242))</f>
        <v>-34.375315345361592</v>
      </c>
      <c r="S57" s="24">
        <f t="shared" si="3"/>
        <v>-497.29899852472408</v>
      </c>
      <c r="T57" s="24">
        <f t="shared" si="4"/>
        <v>12.837319042219148</v>
      </c>
      <c r="U57" s="25" t="str">
        <f>IF(H57&gt;=Subsurface_Inputs!$C$42,"Lens visible","Weak/no lens")</f>
        <v>Lens visible</v>
      </c>
      <c r="V57" s="25" t="str">
        <f t="shared" si="5"/>
        <v>Likely visible</v>
      </c>
      <c r="W57" s="24">
        <f>Subsurface_Inputs!$C$43</f>
        <v>-45</v>
      </c>
      <c r="X57" s="24">
        <f t="shared" si="6"/>
        <v>18.241855588533166</v>
      </c>
      <c r="Y57" s="24">
        <f t="shared" si="7"/>
        <v>10.624684654638408</v>
      </c>
      <c r="Z57" s="24">
        <f t="shared" si="8"/>
        <v>18.241855588533166</v>
      </c>
      <c r="AA57" s="24">
        <v>0</v>
      </c>
    </row>
    <row r="58" spans="1:27">
      <c r="A58" s="24">
        <f>Model_Data!A58</f>
        <v>-32</v>
      </c>
      <c r="B58" s="24">
        <f>Model_Data!Y58</f>
        <v>340.91681406553505</v>
      </c>
      <c r="C58" s="24">
        <f>Model_Data!X58</f>
        <v>5.7308266461344264</v>
      </c>
      <c r="D58" s="24">
        <f>Model_Data!B58</f>
        <v>401.13777777777779</v>
      </c>
      <c r="E58" s="24">
        <f>Inputs!$C$6</f>
        <v>25</v>
      </c>
      <c r="F58" s="24">
        <f>Subsurface_Inputs!$C$5+Subsurface_Inputs!$C$6*SIN(2*PI()*(A58+Subsurface_Inputs!$C$7)/Subsurface_Inputs!$C$8)+Subsurface_Inputs!$C$9*COS(2*PI()*A58/Subsurface_Inputs!$C$10)+Subsurface_Inputs!$C$11*(B58-AVERAGE($B$2:$B$242))</f>
        <v>1128.3236750252931</v>
      </c>
      <c r="G58" s="24">
        <f t="shared" si="0"/>
        <v>-787.40686095975809</v>
      </c>
      <c r="H58" s="24">
        <f>MIN(1,MAX(0,Subsurface_Inputs!$C$13*EXP(-0.5*((A58-Subsurface_Inputs!$C$14)/Subsurface_Inputs!$C$15)^2)+Subsurface_Inputs!$C$16*EXP(-0.5*((A58-Subsurface_Inputs!$C$17)/Subsurface_Inputs!$C$18)^2)))</f>
        <v>0.68984158522006978</v>
      </c>
      <c r="I58" s="24">
        <f>Subsurface_Inputs!$C$19+Subsurface_Inputs!$C$20*SIN(2*PI()*(A58-Subsurface_Inputs!$C$21)/Subsurface_Inputs!$C$22)-Subsurface_Inputs!$C$23*H58</f>
        <v>4815.9541949175518</v>
      </c>
      <c r="J58" s="24">
        <f t="shared" si="1"/>
        <v>-4475.0373808520171</v>
      </c>
      <c r="K58" s="24">
        <f>Subsurface_Inputs!$C$25+Subsurface_Inputs!$C$26*SIN(2*PI()*(A58+Subsurface_Inputs!$C$27)/Subsurface_Inputs!$C$28)+Subsurface_Inputs!$C$29*COS(2*PI()*(A58-Subsurface_Inputs!$C$30)/Subsurface_Inputs!$C$31)-Subsurface_Inputs!$C$32*(B58-AVERAGE($B$2:$B$242))</f>
        <v>14584.952070760557</v>
      </c>
      <c r="L58" s="24">
        <f t="shared" si="2"/>
        <v>-14244.035256695022</v>
      </c>
      <c r="M58" s="24">
        <f>2*Subsurface_Inputs!$C$34*F58/Subsurface_Inputs!$C$35*1000000</f>
        <v>13.398710260716578</v>
      </c>
      <c r="N58" s="24">
        <f>2*Subsurface_Inputs!$C$34*I58/Subsurface_Inputs!$C$35*1000000</f>
        <v>57.188886766145679</v>
      </c>
      <c r="O58" s="24">
        <f>2*Subsurface_Inputs!$C$34*K58/Subsurface_Inputs!$C$35*1000000</f>
        <v>173.19458173930306</v>
      </c>
      <c r="P58" s="24">
        <f>Subsurface_Inputs!$C$37-2*Subsurface_Inputs!$C$36*(F58/1000)</f>
        <v>-12.030982615045527</v>
      </c>
      <c r="Q58" s="24">
        <f>Subsurface_Inputs!$C$38+Subsurface_Inputs!$C$39*H58-2*Subsurface_Inputs!$C$36*(I58/1000)</f>
        <v>-26.46014328387097</v>
      </c>
      <c r="R58" s="24">
        <f>Subsurface_Inputs!$C$40-2*Subsurface_Inputs!$C$36*(K58/1000)-Subsurface_Inputs!$C$41*ABS(L58-AVERAGE($L$2:$L$242))</f>
        <v>-34.324603214560248</v>
      </c>
      <c r="S58" s="24">
        <f t="shared" si="3"/>
        <v>-492.43262481355669</v>
      </c>
      <c r="T58" s="24">
        <f t="shared" si="4"/>
        <v>12.926212924171438</v>
      </c>
      <c r="U58" s="25" t="str">
        <f>IF(H58&gt;=Subsurface_Inputs!$C$42,"Lens visible","Weak/no lens")</f>
        <v>Lens visible</v>
      </c>
      <c r="V58" s="25" t="str">
        <f t="shared" si="5"/>
        <v>Likely visible</v>
      </c>
      <c r="W58" s="24">
        <f>Subsurface_Inputs!$C$43</f>
        <v>-45</v>
      </c>
      <c r="X58" s="24">
        <f t="shared" si="6"/>
        <v>18.53985671612903</v>
      </c>
      <c r="Y58" s="24">
        <f t="shared" si="7"/>
        <v>10.675396785439752</v>
      </c>
      <c r="Z58" s="24">
        <f t="shared" si="8"/>
        <v>18.53985671612903</v>
      </c>
      <c r="AA58" s="24">
        <v>0</v>
      </c>
    </row>
    <row r="59" spans="1:27">
      <c r="A59" s="24">
        <f>Model_Data!A59</f>
        <v>-31.5</v>
      </c>
      <c r="B59" s="24">
        <f>Model_Data!Y59</f>
        <v>355.15219987006986</v>
      </c>
      <c r="C59" s="24">
        <f>Model_Data!X59</f>
        <v>9.2958171156023646</v>
      </c>
      <c r="D59" s="24">
        <f>Model_Data!B59</f>
        <v>401.10250000000002</v>
      </c>
      <c r="E59" s="24">
        <f>Inputs!$C$6</f>
        <v>25</v>
      </c>
      <c r="F59" s="24">
        <f>Subsurface_Inputs!$C$5+Subsurface_Inputs!$C$6*SIN(2*PI()*(A59+Subsurface_Inputs!$C$7)/Subsurface_Inputs!$C$8)+Subsurface_Inputs!$C$9*COS(2*PI()*A59/Subsurface_Inputs!$C$10)+Subsurface_Inputs!$C$11*(B59-AVERAGE($B$2:$B$242))</f>
        <v>1122.5926316922605</v>
      </c>
      <c r="G59" s="24">
        <f t="shared" si="0"/>
        <v>-767.4404318221907</v>
      </c>
      <c r="H59" s="24">
        <f>MIN(1,MAX(0,Subsurface_Inputs!$C$13*EXP(-0.5*((A59-Subsurface_Inputs!$C$14)/Subsurface_Inputs!$C$15)^2)+Subsurface_Inputs!$C$16*EXP(-0.5*((A59-Subsurface_Inputs!$C$17)/Subsurface_Inputs!$C$18)^2)))</f>
        <v>0.71709762188965975</v>
      </c>
      <c r="I59" s="24">
        <f>Subsurface_Inputs!$C$19+Subsurface_Inputs!$C$20*SIN(2*PI()*(A59-Subsurface_Inputs!$C$21)/Subsurface_Inputs!$C$22)-Subsurface_Inputs!$C$23*H59</f>
        <v>4790.1061896042174</v>
      </c>
      <c r="J59" s="24">
        <f t="shared" si="1"/>
        <v>-4434.9539897341474</v>
      </c>
      <c r="K59" s="24">
        <f>Subsurface_Inputs!$C$25+Subsurface_Inputs!$C$26*SIN(2*PI()*(A59+Subsurface_Inputs!$C$27)/Subsurface_Inputs!$C$28)+Subsurface_Inputs!$C$29*COS(2*PI()*(A59-Subsurface_Inputs!$C$30)/Subsurface_Inputs!$C$31)-Subsurface_Inputs!$C$32*(B59-AVERAGE($B$2:$B$242))</f>
        <v>14587.057234351585</v>
      </c>
      <c r="L59" s="24">
        <f t="shared" si="2"/>
        <v>-14231.905034481515</v>
      </c>
      <c r="M59" s="24">
        <f>2*Subsurface_Inputs!$C$34*F59/Subsurface_Inputs!$C$35*1000000</f>
        <v>13.330654798608869</v>
      </c>
      <c r="N59" s="24">
        <f>2*Subsurface_Inputs!$C$34*I59/Subsurface_Inputs!$C$35*1000000</f>
        <v>56.881944758566988</v>
      </c>
      <c r="O59" s="24">
        <f>2*Subsurface_Inputs!$C$34*K59/Subsurface_Inputs!$C$35*1000000</f>
        <v>173.21958030809316</v>
      </c>
      <c r="P59" s="24">
        <f>Subsurface_Inputs!$C$37-2*Subsurface_Inputs!$C$36*(F59/1000)</f>
        <v>-12.020666737046069</v>
      </c>
      <c r="Q59" s="24">
        <f>Subsurface_Inputs!$C$38+Subsurface_Inputs!$C$39*H59-2*Subsurface_Inputs!$C$36*(I59/1000)</f>
        <v>-26.168312544280653</v>
      </c>
      <c r="R59" s="24">
        <f>Subsurface_Inputs!$C$40-2*Subsurface_Inputs!$C$36*(K59/1000)-Subsurface_Inputs!$C$41*ABS(L59-AVERAGE($L$2:$L$242))</f>
        <v>-34.37691339787812</v>
      </c>
      <c r="S59" s="24">
        <f t="shared" si="3"/>
        <v>-490.32746122252865</v>
      </c>
      <c r="T59" s="24">
        <f t="shared" si="4"/>
        <v>12.994078904973943</v>
      </c>
      <c r="U59" s="25" t="str">
        <f>IF(H59&gt;=Subsurface_Inputs!$C$42,"Lens visible","Weak/no lens")</f>
        <v>Lens visible</v>
      </c>
      <c r="V59" s="25" t="str">
        <f t="shared" si="5"/>
        <v>Likely visible</v>
      </c>
      <c r="W59" s="24">
        <f>Subsurface_Inputs!$C$43</f>
        <v>-45</v>
      </c>
      <c r="X59" s="24">
        <f t="shared" si="6"/>
        <v>18.831687455719347</v>
      </c>
      <c r="Y59" s="24">
        <f t="shared" si="7"/>
        <v>10.62308660212188</v>
      </c>
      <c r="Z59" s="24">
        <f t="shared" si="8"/>
        <v>18.831687455719347</v>
      </c>
      <c r="AA59" s="24">
        <v>0</v>
      </c>
    </row>
    <row r="60" spans="1:27">
      <c r="A60" s="24">
        <f>Model_Data!A60</f>
        <v>-31</v>
      </c>
      <c r="B60" s="24">
        <f>Model_Data!Y60</f>
        <v>353.26100932469092</v>
      </c>
      <c r="C60" s="24">
        <f>Model_Data!X60</f>
        <v>-13.18958267522941</v>
      </c>
      <c r="D60" s="24">
        <f>Model_Data!B60</f>
        <v>401.06777777777779</v>
      </c>
      <c r="E60" s="24">
        <f>Inputs!$C$6</f>
        <v>25</v>
      </c>
      <c r="F60" s="24">
        <f>Subsurface_Inputs!$C$5+Subsurface_Inputs!$C$6*SIN(2*PI()*(A60+Subsurface_Inputs!$C$7)/Subsurface_Inputs!$C$8)+Subsurface_Inputs!$C$9*COS(2*PI()*A60/Subsurface_Inputs!$C$10)+Subsurface_Inputs!$C$11*(B60-AVERAGE($B$2:$B$242))</f>
        <v>1116.9125383628445</v>
      </c>
      <c r="G60" s="24">
        <f t="shared" si="0"/>
        <v>-763.65152903815363</v>
      </c>
      <c r="H60" s="24">
        <f>MIN(1,MAX(0,Subsurface_Inputs!$C$13*EXP(-0.5*((A60-Subsurface_Inputs!$C$14)/Subsurface_Inputs!$C$15)^2)+Subsurface_Inputs!$C$16*EXP(-0.5*((A60-Subsurface_Inputs!$C$17)/Subsurface_Inputs!$C$18)^2)))</f>
        <v>0.74356931132994064</v>
      </c>
      <c r="I60" s="24">
        <f>Subsurface_Inputs!$C$19+Subsurface_Inputs!$C$20*SIN(2*PI()*(A60-Subsurface_Inputs!$C$21)/Subsurface_Inputs!$C$22)-Subsurface_Inputs!$C$23*H60</f>
        <v>4764.6486540113146</v>
      </c>
      <c r="J60" s="24">
        <f t="shared" si="1"/>
        <v>-4411.3876446866234</v>
      </c>
      <c r="K60" s="24">
        <f>Subsurface_Inputs!$C$25+Subsurface_Inputs!$C$26*SIN(2*PI()*(A60+Subsurface_Inputs!$C$27)/Subsurface_Inputs!$C$28)+Subsurface_Inputs!$C$29*COS(2*PI()*(A60-Subsurface_Inputs!$C$30)/Subsurface_Inputs!$C$31)-Subsurface_Inputs!$C$32*(B60-AVERAGE($B$2:$B$242))</f>
        <v>14592.076103026691</v>
      </c>
      <c r="L60" s="24">
        <f t="shared" si="2"/>
        <v>-14238.815093702</v>
      </c>
      <c r="M60" s="24">
        <f>2*Subsurface_Inputs!$C$34*F60/Subsurface_Inputs!$C$35*1000000</f>
        <v>13.26320436177126</v>
      </c>
      <c r="N60" s="24">
        <f>2*Subsurface_Inputs!$C$34*I60/Subsurface_Inputs!$C$35*1000000</f>
        <v>56.579639532760623</v>
      </c>
      <c r="O60" s="24">
        <f>2*Subsurface_Inputs!$C$34*K60/Subsurface_Inputs!$C$35*1000000</f>
        <v>173.27917878032483</v>
      </c>
      <c r="P60" s="24">
        <f>Subsurface_Inputs!$C$37-2*Subsurface_Inputs!$C$36*(F60/1000)</f>
        <v>-12.01044256905312</v>
      </c>
      <c r="Q60" s="24">
        <f>Subsurface_Inputs!$C$38+Subsurface_Inputs!$C$39*H60-2*Subsurface_Inputs!$C$36*(I60/1000)</f>
        <v>-25.884243775250901</v>
      </c>
      <c r="R60" s="24">
        <f>Subsurface_Inputs!$C$40-2*Subsurface_Inputs!$C$36*(K60/1000)-Subsurface_Inputs!$C$41*ABS(L60-AVERAGE($L$2:$L$242))</f>
        <v>-34.358307124611379</v>
      </c>
      <c r="S60" s="24">
        <f t="shared" si="3"/>
        <v>-485.30859254742245</v>
      </c>
      <c r="T60" s="24">
        <f t="shared" si="4"/>
        <v>13.064654215822092</v>
      </c>
      <c r="U60" s="25" t="str">
        <f>IF(H60&gt;=Subsurface_Inputs!$C$42,"Lens visible","Weak/no lens")</f>
        <v>Lens visible</v>
      </c>
      <c r="V60" s="25" t="str">
        <f t="shared" si="5"/>
        <v>Likely visible</v>
      </c>
      <c r="W60" s="24">
        <f>Subsurface_Inputs!$C$43</f>
        <v>-45</v>
      </c>
      <c r="X60" s="24">
        <f t="shared" si="6"/>
        <v>19.115756224749099</v>
      </c>
      <c r="Y60" s="24">
        <f t="shared" si="7"/>
        <v>10.641692875388621</v>
      </c>
      <c r="Z60" s="24">
        <f t="shared" si="8"/>
        <v>19.115756224749099</v>
      </c>
      <c r="AA60" s="24">
        <v>0</v>
      </c>
    </row>
    <row r="61" spans="1:27">
      <c r="A61" s="24">
        <f>Model_Data!A61</f>
        <v>-30.5</v>
      </c>
      <c r="B61" s="24">
        <f>Model_Data!Y61</f>
        <v>338.65715440925169</v>
      </c>
      <c r="C61" s="24">
        <f>Model_Data!X61</f>
        <v>-7.4673180377006023</v>
      </c>
      <c r="D61" s="24">
        <f>Model_Data!B61</f>
        <v>401.0336111111111</v>
      </c>
      <c r="E61" s="24">
        <f>Inputs!$C$6</f>
        <v>25</v>
      </c>
      <c r="F61" s="24">
        <f>Subsurface_Inputs!$C$5+Subsurface_Inputs!$C$6*SIN(2*PI()*(A61+Subsurface_Inputs!$C$7)/Subsurface_Inputs!$C$8)+Subsurface_Inputs!$C$9*COS(2*PI()*A61/Subsurface_Inputs!$C$10)+Subsurface_Inputs!$C$11*(B61-AVERAGE($B$2:$B$242))</f>
        <v>1111.3684862554221</v>
      </c>
      <c r="G61" s="24">
        <f t="shared" si="0"/>
        <v>-772.71133184617042</v>
      </c>
      <c r="H61" s="24">
        <f>MIN(1,MAX(0,Subsurface_Inputs!$C$13*EXP(-0.5*((A61-Subsurface_Inputs!$C$14)/Subsurface_Inputs!$C$15)^2)+Subsurface_Inputs!$C$16*EXP(-0.5*((A61-Subsurface_Inputs!$C$17)/Subsurface_Inputs!$C$18)^2)))</f>
        <v>0.76909306623475926</v>
      </c>
      <c r="I61" s="24">
        <f>Subsurface_Inputs!$C$19+Subsurface_Inputs!$C$20*SIN(2*PI()*(A61-Subsurface_Inputs!$C$21)/Subsurface_Inputs!$C$22)-Subsurface_Inputs!$C$23*H61</f>
        <v>4739.6488873312355</v>
      </c>
      <c r="J61" s="24">
        <f t="shared" si="1"/>
        <v>-4400.9917329219843</v>
      </c>
      <c r="K61" s="24">
        <f>Subsurface_Inputs!$C$25+Subsurface_Inputs!$C$26*SIN(2*PI()*(A61+Subsurface_Inputs!$C$27)/Subsurface_Inputs!$C$28)+Subsurface_Inputs!$C$29*COS(2*PI()*(A61-Subsurface_Inputs!$C$30)/Subsurface_Inputs!$C$31)-Subsurface_Inputs!$C$32*(B61-AVERAGE($B$2:$B$242))</f>
        <v>14599.553282966977</v>
      </c>
      <c r="L61" s="24">
        <f t="shared" si="2"/>
        <v>-14260.896128557726</v>
      </c>
      <c r="M61" s="24">
        <f>2*Subsurface_Inputs!$C$34*F61/Subsurface_Inputs!$C$35*1000000</f>
        <v>13.197369398363259</v>
      </c>
      <c r="N61" s="24">
        <f>2*Subsurface_Inputs!$C$34*I61/Subsurface_Inputs!$C$35*1000000</f>
        <v>56.282770258680749</v>
      </c>
      <c r="O61" s="24">
        <f>2*Subsurface_Inputs!$C$34*K61/Subsurface_Inputs!$C$35*1000000</f>
        <v>173.36796940823118</v>
      </c>
      <c r="P61" s="24">
        <f>Subsurface_Inputs!$C$37-2*Subsurface_Inputs!$C$36*(F61/1000)</f>
        <v>-12.00046327525976</v>
      </c>
      <c r="Q61" s="24">
        <f>Subsurface_Inputs!$C$38+Subsurface_Inputs!$C$39*H61-2*Subsurface_Inputs!$C$36*(I61/1000)</f>
        <v>-25.60953040108339</v>
      </c>
      <c r="R61" s="24">
        <f>Subsurface_Inputs!$C$40-2*Subsurface_Inputs!$C$36*(K61/1000)-Subsurface_Inputs!$C$41*ABS(L61-AVERAGE($L$2:$L$242))</f>
        <v>-34.283441909080985</v>
      </c>
      <c r="S61" s="24">
        <f t="shared" si="3"/>
        <v>-477.83141260713637</v>
      </c>
      <c r="T61" s="24">
        <f t="shared" si="4"/>
        <v>13.136555034197372</v>
      </c>
      <c r="U61" s="25" t="str">
        <f>IF(H61&gt;=Subsurface_Inputs!$C$42,"Lens visible","Weak/no lens")</f>
        <v>Lens visible</v>
      </c>
      <c r="V61" s="25" t="str">
        <f t="shared" si="5"/>
        <v>Likely visible</v>
      </c>
      <c r="W61" s="24">
        <f>Subsurface_Inputs!$C$43</f>
        <v>-45</v>
      </c>
      <c r="X61" s="24">
        <f t="shared" si="6"/>
        <v>19.39046959891661</v>
      </c>
      <c r="Y61" s="24">
        <f t="shared" si="7"/>
        <v>10.716558090919015</v>
      </c>
      <c r="Z61" s="24">
        <f t="shared" si="8"/>
        <v>19.39046959891661</v>
      </c>
      <c r="AA61" s="24">
        <v>0</v>
      </c>
    </row>
    <row r="62" spans="1:27">
      <c r="A62" s="24">
        <f>Model_Data!A62</f>
        <v>-30</v>
      </c>
      <c r="B62" s="24">
        <f>Model_Data!Y62</f>
        <v>336.97644838088075</v>
      </c>
      <c r="C62" s="24">
        <f>Model_Data!X62</f>
        <v>-17.518013833672008</v>
      </c>
      <c r="D62" s="24">
        <f>Model_Data!B62</f>
        <v>401</v>
      </c>
      <c r="E62" s="24">
        <f>Inputs!$C$6</f>
        <v>25</v>
      </c>
      <c r="F62" s="24">
        <f>Subsurface_Inputs!$C$5+Subsurface_Inputs!$C$6*SIN(2*PI()*(A62+Subsurface_Inputs!$C$7)/Subsurface_Inputs!$C$8)+Subsurface_Inputs!$C$9*COS(2*PI()*A62/Subsurface_Inputs!$C$10)+Subsurface_Inputs!$C$11*(B62-AVERAGE($B$2:$B$242))</f>
        <v>1106.9224359335371</v>
      </c>
      <c r="G62" s="24">
        <f t="shared" si="0"/>
        <v>-769.94598755265633</v>
      </c>
      <c r="H62" s="24">
        <f>MIN(1,MAX(0,Subsurface_Inputs!$C$13*EXP(-0.5*((A62-Subsurface_Inputs!$C$14)/Subsurface_Inputs!$C$15)^2)+Subsurface_Inputs!$C$16*EXP(-0.5*((A62-Subsurface_Inputs!$C$17)/Subsurface_Inputs!$C$18)^2)))</f>
        <v>0.7935067008411355</v>
      </c>
      <c r="I62" s="24">
        <f>Subsurface_Inputs!$C$19+Subsurface_Inputs!$C$20*SIN(2*PI()*(A62-Subsurface_Inputs!$C$21)/Subsurface_Inputs!$C$22)-Subsurface_Inputs!$C$23*H62</f>
        <v>4715.1735144409276</v>
      </c>
      <c r="J62" s="24">
        <f t="shared" si="1"/>
        <v>-4378.1970660600473</v>
      </c>
      <c r="K62" s="24">
        <f>Subsurface_Inputs!$C$25+Subsurface_Inputs!$C$26*SIN(2*PI()*(A62+Subsurface_Inputs!$C$27)/Subsurface_Inputs!$C$28)+Subsurface_Inputs!$C$29*COS(2*PI()*(A62-Subsurface_Inputs!$C$30)/Subsurface_Inputs!$C$31)-Subsurface_Inputs!$C$32*(B62-AVERAGE($B$2:$B$242))</f>
        <v>14605.92076461545</v>
      </c>
      <c r="L62" s="24">
        <f t="shared" si="2"/>
        <v>-14268.944316234569</v>
      </c>
      <c r="M62" s="24">
        <f>2*Subsurface_Inputs!$C$34*F62/Subsurface_Inputs!$C$35*1000000</f>
        <v>13.14457307636269</v>
      </c>
      <c r="N62" s="24">
        <f>2*Subsurface_Inputs!$C$34*I62/Subsurface_Inputs!$C$35*1000000</f>
        <v>55.992128098865322</v>
      </c>
      <c r="O62" s="24">
        <f>2*Subsurface_Inputs!$C$34*K62/Subsurface_Inputs!$C$35*1000000</f>
        <v>173.4435825001008</v>
      </c>
      <c r="P62" s="24">
        <f>Subsurface_Inputs!$C$37-2*Subsurface_Inputs!$C$36*(F62/1000)</f>
        <v>-11.992460384680367</v>
      </c>
      <c r="Q62" s="24">
        <f>Subsurface_Inputs!$C$38+Subsurface_Inputs!$C$39*H62-2*Subsurface_Inputs!$C$36*(I62/1000)</f>
        <v>-25.345752018423447</v>
      </c>
      <c r="R62" s="24">
        <f>Subsurface_Inputs!$C$40-2*Subsurface_Inputs!$C$36*(K62/1000)-Subsurface_Inputs!$C$41*ABS(L62-AVERAGE($L$2:$L$242))</f>
        <v>-34.262710625340866</v>
      </c>
      <c r="S62" s="24">
        <f t="shared" si="3"/>
        <v>-471.4639309586637</v>
      </c>
      <c r="T62" s="24">
        <f t="shared" si="4"/>
        <v>13.195071570030434</v>
      </c>
      <c r="U62" s="25" t="str">
        <f>IF(H62&gt;=Subsurface_Inputs!$C$42,"Lens visible","Weak/no lens")</f>
        <v>Lens visible</v>
      </c>
      <c r="V62" s="25" t="str">
        <f t="shared" si="5"/>
        <v>Likely visible</v>
      </c>
      <c r="W62" s="24">
        <f>Subsurface_Inputs!$C$43</f>
        <v>-45</v>
      </c>
      <c r="X62" s="24">
        <f t="shared" si="6"/>
        <v>19.654247981576553</v>
      </c>
      <c r="Y62" s="24">
        <f t="shared" si="7"/>
        <v>10.737289374659134</v>
      </c>
      <c r="Z62" s="24">
        <f t="shared" si="8"/>
        <v>19.654247981576553</v>
      </c>
      <c r="AA62" s="24">
        <v>0</v>
      </c>
    </row>
    <row r="63" spans="1:27">
      <c r="A63" s="24">
        <f>Model_Data!A63</f>
        <v>-29.5</v>
      </c>
      <c r="B63" s="24">
        <f>Model_Data!Y63</f>
        <v>326.24732503276135</v>
      </c>
      <c r="C63" s="24">
        <f>Model_Data!X63</f>
        <v>-36.167878297776255</v>
      </c>
      <c r="D63" s="24">
        <f>Model_Data!B63</f>
        <v>400.96694444444444</v>
      </c>
      <c r="E63" s="24">
        <f>Inputs!$C$6</f>
        <v>25</v>
      </c>
      <c r="F63" s="24">
        <f>Subsurface_Inputs!$C$5+Subsurface_Inputs!$C$6*SIN(2*PI()*(A63+Subsurface_Inputs!$C$7)/Subsurface_Inputs!$C$8)+Subsurface_Inputs!$C$9*COS(2*PI()*A63/Subsurface_Inputs!$C$10)+Subsurface_Inputs!$C$11*(B63-AVERAGE($B$2:$B$242))</f>
        <v>1102.622100101891</v>
      </c>
      <c r="G63" s="24">
        <f t="shared" si="0"/>
        <v>-776.37477506912956</v>
      </c>
      <c r="H63" s="24">
        <f>MIN(1,MAX(0,Subsurface_Inputs!$C$13*EXP(-0.5*((A63-Subsurface_Inputs!$C$14)/Subsurface_Inputs!$C$15)^2)+Subsurface_Inputs!$C$16*EXP(-0.5*((A63-Subsurface_Inputs!$C$17)/Subsurface_Inputs!$C$18)^2)))</f>
        <v>0.81665112542309626</v>
      </c>
      <c r="I63" s="24">
        <f>Subsurface_Inputs!$C$19+Subsurface_Inputs!$C$20*SIN(2*PI()*(A63-Subsurface_Inputs!$C$21)/Subsurface_Inputs!$C$22)-Subsurface_Inputs!$C$23*H63</f>
        <v>4691.2880385693607</v>
      </c>
      <c r="J63" s="24">
        <f t="shared" si="1"/>
        <v>-4365.0407135365995</v>
      </c>
      <c r="K63" s="24">
        <f>Subsurface_Inputs!$C$25+Subsurface_Inputs!$C$26*SIN(2*PI()*(A63+Subsurface_Inputs!$C$27)/Subsurface_Inputs!$C$28)+Subsurface_Inputs!$C$29*COS(2*PI()*(A63-Subsurface_Inputs!$C$30)/Subsurface_Inputs!$C$31)-Subsurface_Inputs!$C$32*(B63-AVERAGE($B$2:$B$242))</f>
        <v>14614.273949137119</v>
      </c>
      <c r="L63" s="24">
        <f t="shared" si="2"/>
        <v>-14288.026624104357</v>
      </c>
      <c r="M63" s="24">
        <f>2*Subsurface_Inputs!$C$34*F63/Subsurface_Inputs!$C$35*1000000</f>
        <v>13.093507096708658</v>
      </c>
      <c r="N63" s="24">
        <f>2*Subsurface_Inputs!$C$34*I63/Subsurface_Inputs!$C$35*1000000</f>
        <v>55.708490896415164</v>
      </c>
      <c r="O63" s="24">
        <f>2*Subsurface_Inputs!$C$34*K63/Subsurface_Inputs!$C$35*1000000</f>
        <v>173.54277557885777</v>
      </c>
      <c r="P63" s="24">
        <f>Subsurface_Inputs!$C$37-2*Subsurface_Inputs!$C$36*(F63/1000)</f>
        <v>-11.984719780183404</v>
      </c>
      <c r="Q63" s="24">
        <f>Subsurface_Inputs!$C$38+Subsurface_Inputs!$C$39*H63-2*Subsurface_Inputs!$C$36*(I63/1000)</f>
        <v>-25.094458340616981</v>
      </c>
      <c r="R63" s="24">
        <f>Subsurface_Inputs!$C$40-2*Subsurface_Inputs!$C$36*(K63/1000)-Subsurface_Inputs!$C$41*ABS(L63-AVERAGE($L$2:$L$242))</f>
        <v>-34.20141712600072</v>
      </c>
      <c r="S63" s="24">
        <f t="shared" si="3"/>
        <v>-463.1107464369943</v>
      </c>
      <c r="T63" s="24">
        <f t="shared" si="4"/>
        <v>13.254109406828183</v>
      </c>
      <c r="U63" s="25" t="str">
        <f>IF(H63&gt;=Subsurface_Inputs!$C$42,"Lens visible","Weak/no lens")</f>
        <v>Lens visible</v>
      </c>
      <c r="V63" s="25" t="str">
        <f t="shared" si="5"/>
        <v>Likely visible</v>
      </c>
      <c r="W63" s="24">
        <f>Subsurface_Inputs!$C$43</f>
        <v>-45</v>
      </c>
      <c r="X63" s="24">
        <f t="shared" si="6"/>
        <v>19.905541659383019</v>
      </c>
      <c r="Y63" s="24">
        <f t="shared" si="7"/>
        <v>10.79858287399928</v>
      </c>
      <c r="Z63" s="24">
        <f t="shared" si="8"/>
        <v>19.905541659383019</v>
      </c>
      <c r="AA63" s="24">
        <v>0</v>
      </c>
    </row>
    <row r="64" spans="1:27">
      <c r="A64" s="24">
        <f>Model_Data!A64</f>
        <v>-29</v>
      </c>
      <c r="B64" s="24">
        <f>Model_Data!Y64</f>
        <v>331.87736012346193</v>
      </c>
      <c r="C64" s="24">
        <f>Model_Data!X64</f>
        <v>-22.863821755996071</v>
      </c>
      <c r="D64" s="24">
        <f>Model_Data!B64</f>
        <v>400.93444444444447</v>
      </c>
      <c r="E64" s="24">
        <f>Inputs!$C$6</f>
        <v>25</v>
      </c>
      <c r="F64" s="24">
        <f>Subsurface_Inputs!$C$5+Subsurface_Inputs!$C$6*SIN(2*PI()*(A64+Subsurface_Inputs!$C$7)/Subsurface_Inputs!$C$8)+Subsurface_Inputs!$C$9*COS(2*PI()*A64/Subsurface_Inputs!$C$10)+Subsurface_Inputs!$C$11*(B64-AVERAGE($B$2:$B$242))</f>
        <v>1099.4026390140625</v>
      </c>
      <c r="G64" s="24">
        <f t="shared" si="0"/>
        <v>-767.52527889060059</v>
      </c>
      <c r="H64" s="24">
        <f>MIN(1,MAX(0,Subsurface_Inputs!$C$13*EXP(-0.5*((A64-Subsurface_Inputs!$C$14)/Subsurface_Inputs!$C$15)^2)+Subsurface_Inputs!$C$16*EXP(-0.5*((A64-Subsurface_Inputs!$C$17)/Subsurface_Inputs!$C$18)^2)))</f>
        <v>0.83837205745644794</v>
      </c>
      <c r="I64" s="24">
        <f>Subsurface_Inputs!$C$19+Subsurface_Inputs!$C$20*SIN(2*PI()*(A64-Subsurface_Inputs!$C$21)/Subsurface_Inputs!$C$22)-Subsurface_Inputs!$C$23*H64</f>
        <v>4668.0563905196332</v>
      </c>
      <c r="J64" s="24">
        <f t="shared" si="1"/>
        <v>-4336.1790303961716</v>
      </c>
      <c r="K64" s="24">
        <f>Subsurface_Inputs!$C$25+Subsurface_Inputs!$C$26*SIN(2*PI()*(A64+Subsurface_Inputs!$C$27)/Subsurface_Inputs!$C$28)+Subsurface_Inputs!$C$29*COS(2*PI()*(A64-Subsurface_Inputs!$C$30)/Subsurface_Inputs!$C$31)-Subsurface_Inputs!$C$32*(B64-AVERAGE($B$2:$B$242))</f>
        <v>14621.073466646045</v>
      </c>
      <c r="L64" s="24">
        <f t="shared" si="2"/>
        <v>-14289.196106522582</v>
      </c>
      <c r="M64" s="24">
        <f>2*Subsurface_Inputs!$C$34*F64/Subsurface_Inputs!$C$35*1000000</f>
        <v>13.055276376866233</v>
      </c>
      <c r="N64" s="24">
        <f>2*Subsurface_Inputs!$C$34*I64/Subsurface_Inputs!$C$35*1000000</f>
        <v>55.432617822059733</v>
      </c>
      <c r="O64" s="24">
        <f>2*Subsurface_Inputs!$C$34*K64/Subsurface_Inputs!$C$35*1000000</f>
        <v>173.62351904549888</v>
      </c>
      <c r="P64" s="24">
        <f>Subsurface_Inputs!$C$37-2*Subsurface_Inputs!$C$36*(F64/1000)</f>
        <v>-11.978924750225312</v>
      </c>
      <c r="Q64" s="24">
        <f>Subsurface_Inputs!$C$38+Subsurface_Inputs!$C$39*H64-2*Subsurface_Inputs!$C$36*(I64/1000)</f>
        <v>-24.857152985827309</v>
      </c>
      <c r="R64" s="24">
        <f>Subsurface_Inputs!$C$40-2*Subsurface_Inputs!$C$36*(K64/1000)-Subsurface_Inputs!$C$41*ABS(L64-AVERAGE($L$2:$L$242))</f>
        <v>-34.208978327843887</v>
      </c>
      <c r="S64" s="24">
        <f t="shared" si="3"/>
        <v>-456.31122892806889</v>
      </c>
      <c r="T64" s="24">
        <f t="shared" si="4"/>
        <v>13.299107122171485</v>
      </c>
      <c r="U64" s="25" t="str">
        <f>IF(H64&gt;=Subsurface_Inputs!$C$42,"Lens visible","Weak/no lens")</f>
        <v>Lens visible</v>
      </c>
      <c r="V64" s="25" t="str">
        <f t="shared" si="5"/>
        <v>Likely visible</v>
      </c>
      <c r="W64" s="24">
        <f>Subsurface_Inputs!$C$43</f>
        <v>-45</v>
      </c>
      <c r="X64" s="24">
        <f t="shared" si="6"/>
        <v>20.142847014172691</v>
      </c>
      <c r="Y64" s="24">
        <f t="shared" si="7"/>
        <v>10.791021672156113</v>
      </c>
      <c r="Z64" s="24">
        <f t="shared" si="8"/>
        <v>20.142847014172691</v>
      </c>
      <c r="AA64" s="24">
        <v>0</v>
      </c>
    </row>
    <row r="65" spans="1:27">
      <c r="A65" s="24">
        <f>Model_Data!A65</f>
        <v>-28.5</v>
      </c>
      <c r="B65" s="24">
        <f>Model_Data!Y65</f>
        <v>310.24247262167495</v>
      </c>
      <c r="C65" s="24">
        <f>Model_Data!X65</f>
        <v>-29.731374520275047</v>
      </c>
      <c r="D65" s="24">
        <f>Model_Data!B65</f>
        <v>400.90249999999997</v>
      </c>
      <c r="E65" s="24">
        <f>Inputs!$C$6</f>
        <v>25</v>
      </c>
      <c r="F65" s="24">
        <f>Subsurface_Inputs!$C$5+Subsurface_Inputs!$C$6*SIN(2*PI()*(A65+Subsurface_Inputs!$C$7)/Subsurface_Inputs!$C$8)+Subsurface_Inputs!$C$9*COS(2*PI()*A65/Subsurface_Inputs!$C$10)+Subsurface_Inputs!$C$11*(B65-AVERAGE($B$2:$B$242))</f>
        <v>1095.4325971248732</v>
      </c>
      <c r="G65" s="24">
        <f t="shared" si="0"/>
        <v>-785.19012450319815</v>
      </c>
      <c r="H65" s="24">
        <f>MIN(1,MAX(0,Subsurface_Inputs!$C$13*EXP(-0.5*((A65-Subsurface_Inputs!$C$14)/Subsurface_Inputs!$C$15)^2)+Subsurface_Inputs!$C$16*EXP(-0.5*((A65-Subsurface_Inputs!$C$17)/Subsurface_Inputs!$C$18)^2)))</f>
        <v>0.85852172398124882</v>
      </c>
      <c r="I65" s="24">
        <f>Subsurface_Inputs!$C$19+Subsurface_Inputs!$C$20*SIN(2*PI()*(A65-Subsurface_Inputs!$C$21)/Subsurface_Inputs!$C$22)-Subsurface_Inputs!$C$23*H65</f>
        <v>4645.5404806181241</v>
      </c>
      <c r="J65" s="24">
        <f t="shared" si="1"/>
        <v>-4335.2980079964491</v>
      </c>
      <c r="K65" s="24">
        <f>Subsurface_Inputs!$C$25+Subsurface_Inputs!$C$26*SIN(2*PI()*(A65+Subsurface_Inputs!$C$27)/Subsurface_Inputs!$C$28)+Subsurface_Inputs!$C$29*COS(2*PI()*(A65-Subsurface_Inputs!$C$30)/Subsurface_Inputs!$C$31)-Subsurface_Inputs!$C$32*(B65-AVERAGE($B$2:$B$242))</f>
        <v>14632.442623515901</v>
      </c>
      <c r="L65" s="24">
        <f t="shared" si="2"/>
        <v>-14322.200150894227</v>
      </c>
      <c r="M65" s="24">
        <f>2*Subsurface_Inputs!$C$34*F65/Subsurface_Inputs!$C$35*1000000</f>
        <v>13.008132598734516</v>
      </c>
      <c r="N65" s="24">
        <f>2*Subsurface_Inputs!$C$34*I65/Subsurface_Inputs!$C$35*1000000</f>
        <v>55.165244053606315</v>
      </c>
      <c r="O65" s="24">
        <f>2*Subsurface_Inputs!$C$34*K65/Subsurface_Inputs!$C$35*1000000</f>
        <v>173.75852643936963</v>
      </c>
      <c r="P65" s="24">
        <f>Subsurface_Inputs!$C$37-2*Subsurface_Inputs!$C$36*(F65/1000)</f>
        <v>-11.971778674824773</v>
      </c>
      <c r="Q65" s="24">
        <f>Subsurface_Inputs!$C$38+Subsurface_Inputs!$C$39*H65-2*Subsurface_Inputs!$C$36*(I65/1000)</f>
        <v>-24.635277349281388</v>
      </c>
      <c r="R65" s="24">
        <f>Subsurface_Inputs!$C$40-2*Subsurface_Inputs!$C$36*(K65/1000)-Subsurface_Inputs!$C$41*ABS(L65-AVERAGE($L$2:$L$242))</f>
        <v>-34.09742663272305</v>
      </c>
      <c r="S65" s="24">
        <f t="shared" si="3"/>
        <v>-444.94207205821294</v>
      </c>
      <c r="T65" s="24">
        <f t="shared" si="4"/>
        <v>13.357684134944439</v>
      </c>
      <c r="U65" s="25" t="str">
        <f>IF(H65&gt;=Subsurface_Inputs!$C$42,"Lens visible","Weak/no lens")</f>
        <v>Lens visible</v>
      </c>
      <c r="V65" s="25" t="str">
        <f t="shared" si="5"/>
        <v>Likely visible</v>
      </c>
      <c r="W65" s="24">
        <f>Subsurface_Inputs!$C$43</f>
        <v>-45</v>
      </c>
      <c r="X65" s="24">
        <f t="shared" si="6"/>
        <v>20.364722650718612</v>
      </c>
      <c r="Y65" s="24">
        <f t="shared" si="7"/>
        <v>10.90257336727695</v>
      </c>
      <c r="Z65" s="24">
        <f t="shared" si="8"/>
        <v>20.364722650718612</v>
      </c>
      <c r="AA65" s="24">
        <v>0</v>
      </c>
    </row>
    <row r="66" spans="1:27">
      <c r="A66" s="24">
        <f>Model_Data!A66</f>
        <v>-28</v>
      </c>
      <c r="B66" s="24">
        <f>Model_Data!Y66</f>
        <v>313.28317842657691</v>
      </c>
      <c r="C66" s="24">
        <f>Model_Data!X66</f>
        <v>-53.017518277040161</v>
      </c>
      <c r="D66" s="24">
        <f>Model_Data!B66</f>
        <v>400.87111111111113</v>
      </c>
      <c r="E66" s="24">
        <f>Inputs!$C$6</f>
        <v>25</v>
      </c>
      <c r="F66" s="24">
        <f>Subsurface_Inputs!$C$5+Subsurface_Inputs!$C$6*SIN(2*PI()*(A66+Subsurface_Inputs!$C$7)/Subsurface_Inputs!$C$8)+Subsurface_Inputs!$C$9*COS(2*PI()*A66/Subsurface_Inputs!$C$10)+Subsurface_Inputs!$C$11*(B66-AVERAGE($B$2:$B$242))</f>
        <v>1092.7002069781606</v>
      </c>
      <c r="G66" s="24">
        <f t="shared" ref="G66:G129" si="9">B66-F66</f>
        <v>-779.41702855158371</v>
      </c>
      <c r="H66" s="24">
        <f>MIN(1,MAX(0,Subsurface_Inputs!$C$13*EXP(-0.5*((A66-Subsurface_Inputs!$C$14)/Subsurface_Inputs!$C$15)^2)+Subsurface_Inputs!$C$16*EXP(-0.5*((A66-Subsurface_Inputs!$C$17)/Subsurface_Inputs!$C$18)^2)))</f>
        <v>0.87696052907000355</v>
      </c>
      <c r="I66" s="24">
        <f>Subsurface_Inputs!$C$19+Subsurface_Inputs!$C$20*SIN(2*PI()*(A66-Subsurface_Inputs!$C$21)/Subsurface_Inputs!$C$22)-Subsurface_Inputs!$C$23*H66</f>
        <v>4623.7997597107014</v>
      </c>
      <c r="J66" s="24">
        <f t="shared" ref="J66:J129" si="10">B66-I66</f>
        <v>-4310.5165812841242</v>
      </c>
      <c r="K66" s="24">
        <f>Subsurface_Inputs!$C$25+Subsurface_Inputs!$C$26*SIN(2*PI()*(A66+Subsurface_Inputs!$C$27)/Subsurface_Inputs!$C$28)+Subsurface_Inputs!$C$29*COS(2*PI()*(A66-Subsurface_Inputs!$C$30)/Subsurface_Inputs!$C$31)-Subsurface_Inputs!$C$32*(B66-AVERAGE($B$2:$B$242))</f>
        <v>14641.123866777607</v>
      </c>
      <c r="L66" s="24">
        <f t="shared" ref="L66:L129" si="11">B66-K66</f>
        <v>-14327.840688351031</v>
      </c>
      <c r="M66" s="24">
        <f>2*Subsurface_Inputs!$C$34*F66/Subsurface_Inputs!$C$35*1000000</f>
        <v>12.975685788740728</v>
      </c>
      <c r="N66" s="24">
        <f>2*Subsurface_Inputs!$C$34*I66/Subsurface_Inputs!$C$35*1000000</f>
        <v>54.907075562821859</v>
      </c>
      <c r="O66" s="24">
        <f>2*Subsurface_Inputs!$C$34*K66/Subsurface_Inputs!$C$35*1000000</f>
        <v>173.86161517688441</v>
      </c>
      <c r="P66" s="24">
        <f>Subsurface_Inputs!$C$37-2*Subsurface_Inputs!$C$36*(F66/1000)</f>
        <v>-11.966860372560689</v>
      </c>
      <c r="Q66" s="24">
        <f>Subsurface_Inputs!$C$38+Subsurface_Inputs!$C$39*H66-2*Subsurface_Inputs!$C$36*(I66/1000)</f>
        <v>-24.430194805849233</v>
      </c>
      <c r="R66" s="24">
        <f>Subsurface_Inputs!$C$40-2*Subsurface_Inputs!$C$36*(K66/1000)-Subsurface_Inputs!$C$41*ABS(L66-AVERAGE($L$2:$L$242))</f>
        <v>-34.090490720766901</v>
      </c>
      <c r="S66" s="24">
        <f t="shared" ref="S66:S129" si="12">K66-AVERAGE($K$2:$K$242)</f>
        <v>-436.26082879650676</v>
      </c>
      <c r="T66" s="24">
        <f t="shared" ref="T66:T129" si="13">K66/F66</f>
        <v>13.399030926577131</v>
      </c>
      <c r="U66" s="25" t="str">
        <f>IF(H66&gt;=Subsurface_Inputs!$C$42,"Lens visible","Weak/no lens")</f>
        <v>Lens visible</v>
      </c>
      <c r="V66" s="25" t="str">
        <f t="shared" ref="V66:V129" si="14">IF(R66&gt;=W66,"Likely visible","Weak")</f>
        <v>Likely visible</v>
      </c>
      <c r="W66" s="24">
        <f>Subsurface_Inputs!$C$43</f>
        <v>-45</v>
      </c>
      <c r="X66" s="24">
        <f t="shared" ref="X66:X129" si="15">Q66-W66</f>
        <v>20.569805194150767</v>
      </c>
      <c r="Y66" s="24">
        <f t="shared" ref="Y66:Y129" si="16">R66-W66</f>
        <v>10.909509279233099</v>
      </c>
      <c r="Z66" s="24">
        <f t="shared" ref="Z66:Z129" si="17">MAX(Q66,R66)-W66</f>
        <v>20.569805194150767</v>
      </c>
      <c r="AA66" s="24">
        <v>0</v>
      </c>
    </row>
    <row r="67" spans="1:27">
      <c r="A67" s="24">
        <f>Model_Data!A67</f>
        <v>-27.5</v>
      </c>
      <c r="B67" s="24">
        <f>Model_Data!Y67</f>
        <v>296.84376125916674</v>
      </c>
      <c r="C67" s="24">
        <f>Model_Data!X67</f>
        <v>-63.021085948892313</v>
      </c>
      <c r="D67" s="24">
        <f>Model_Data!B67</f>
        <v>400.84027777777777</v>
      </c>
      <c r="E67" s="24">
        <f>Inputs!$C$6</f>
        <v>25</v>
      </c>
      <c r="F67" s="24">
        <f>Subsurface_Inputs!$C$5+Subsurface_Inputs!$C$6*SIN(2*PI()*(A67+Subsurface_Inputs!$C$7)/Subsurface_Inputs!$C$8)+Subsurface_Inputs!$C$9*COS(2*PI()*A67/Subsurface_Inputs!$C$10)+Subsurface_Inputs!$C$11*(B67-AVERAGE($B$2:$B$242))</f>
        <v>1089.3494444973749</v>
      </c>
      <c r="G67" s="24">
        <f t="shared" si="9"/>
        <v>-792.50568323820812</v>
      </c>
      <c r="H67" s="24">
        <f>MIN(1,MAX(0,Subsurface_Inputs!$C$13*EXP(-0.5*((A67-Subsurface_Inputs!$C$14)/Subsurface_Inputs!$C$15)^2)+Subsurface_Inputs!$C$16*EXP(-0.5*((A67-Subsurface_Inputs!$C$17)/Subsurface_Inputs!$C$18)^2)))</f>
        <v>0.89355866020036367</v>
      </c>
      <c r="I67" s="24">
        <f>Subsurface_Inputs!$C$19+Subsurface_Inputs!$C$20*SIN(2*PI()*(A67-Subsurface_Inputs!$C$21)/Subsurface_Inputs!$C$22)-Subsurface_Inputs!$C$23*H67</f>
        <v>4602.8907955512777</v>
      </c>
      <c r="J67" s="24">
        <f t="shared" si="10"/>
        <v>-4306.0470342921108</v>
      </c>
      <c r="K67" s="24">
        <f>Subsurface_Inputs!$C$25+Subsurface_Inputs!$C$26*SIN(2*PI()*(A67+Subsurface_Inputs!$C$27)/Subsurface_Inputs!$C$28)+Subsurface_Inputs!$C$29*COS(2*PI()*(A67-Subsurface_Inputs!$C$30)/Subsurface_Inputs!$C$31)-Subsurface_Inputs!$C$32*(B67-AVERAGE($B$2:$B$242))</f>
        <v>14653.311244711216</v>
      </c>
      <c r="L67" s="24">
        <f t="shared" si="11"/>
        <v>-14356.46748345205</v>
      </c>
      <c r="M67" s="24">
        <f>2*Subsurface_Inputs!$C$34*F67/Subsurface_Inputs!$C$35*1000000</f>
        <v>12.935895880378201</v>
      </c>
      <c r="N67" s="24">
        <f>2*Subsurface_Inputs!$C$34*I67/Subsurface_Inputs!$C$35*1000000</f>
        <v>54.658784085097125</v>
      </c>
      <c r="O67" s="24">
        <f>2*Subsurface_Inputs!$C$34*K67/Subsurface_Inputs!$C$35*1000000</f>
        <v>174.00633884916454</v>
      </c>
      <c r="P67" s="24">
        <f>Subsurface_Inputs!$C$37-2*Subsurface_Inputs!$C$36*(F67/1000)</f>
        <v>-11.960829000095275</v>
      </c>
      <c r="Q67" s="24">
        <f>Subsurface_Inputs!$C$38+Subsurface_Inputs!$C$39*H67-2*Subsurface_Inputs!$C$36*(I67/1000)</f>
        <v>-24.243175490189028</v>
      </c>
      <c r="R67" s="24">
        <f>Subsurface_Inputs!$C$40-2*Subsurface_Inputs!$C$36*(K67/1000)-Subsurface_Inputs!$C$41*ABS(L67-AVERAGE($L$2:$L$242))</f>
        <v>-33.997920820643323</v>
      </c>
      <c r="S67" s="24">
        <f t="shared" si="12"/>
        <v>-424.07345086289752</v>
      </c>
      <c r="T67" s="24">
        <f t="shared" si="13"/>
        <v>13.451433163829487</v>
      </c>
      <c r="U67" s="25" t="str">
        <f>IF(H67&gt;=Subsurface_Inputs!$C$42,"Lens visible","Weak/no lens")</f>
        <v>Lens visible</v>
      </c>
      <c r="V67" s="25" t="str">
        <f t="shared" si="14"/>
        <v>Likely visible</v>
      </c>
      <c r="W67" s="24">
        <f>Subsurface_Inputs!$C$43</f>
        <v>-45</v>
      </c>
      <c r="X67" s="24">
        <f t="shared" si="15"/>
        <v>20.756824509810972</v>
      </c>
      <c r="Y67" s="24">
        <f t="shared" si="16"/>
        <v>11.002079179356677</v>
      </c>
      <c r="Z67" s="24">
        <f t="shared" si="17"/>
        <v>20.756824509810972</v>
      </c>
      <c r="AA67" s="24">
        <v>0</v>
      </c>
    </row>
    <row r="68" spans="1:27">
      <c r="A68" s="24">
        <f>Model_Data!A68</f>
        <v>-27</v>
      </c>
      <c r="B68" s="24">
        <f>Model_Data!Y68</f>
        <v>289.34226854100302</v>
      </c>
      <c r="C68" s="24">
        <f>Model_Data!X68</f>
        <v>-69.671539284115184</v>
      </c>
      <c r="D68" s="24">
        <f>Model_Data!B68</f>
        <v>400.81</v>
      </c>
      <c r="E68" s="24">
        <f>Inputs!$C$6</f>
        <v>25</v>
      </c>
      <c r="F68" s="24">
        <f>Subsurface_Inputs!$C$5+Subsurface_Inputs!$C$6*SIN(2*PI()*(A68+Subsurface_Inputs!$C$7)/Subsurface_Inputs!$C$8)+Subsurface_Inputs!$C$9*COS(2*PI()*A68/Subsurface_Inputs!$C$10)+Subsurface_Inputs!$C$11*(B68-AVERAGE($B$2:$B$242))</f>
        <v>1086.4293010320789</v>
      </c>
      <c r="G68" s="24">
        <f t="shared" si="9"/>
        <v>-797.08703249107589</v>
      </c>
      <c r="H68" s="24">
        <f>MIN(1,MAX(0,Subsurface_Inputs!$C$13*EXP(-0.5*((A68-Subsurface_Inputs!$C$14)/Subsurface_Inputs!$C$15)^2)+Subsurface_Inputs!$C$16*EXP(-0.5*((A68-Subsurface_Inputs!$C$17)/Subsurface_Inputs!$C$18)^2)))</f>
        <v>0.90819760774807434</v>
      </c>
      <c r="I68" s="24">
        <f>Subsurface_Inputs!$C$19+Subsurface_Inputs!$C$20*SIN(2*PI()*(A68-Subsurface_Inputs!$C$21)/Subsurface_Inputs!$C$22)-Subsurface_Inputs!$C$23*H68</f>
        <v>4582.8668708267796</v>
      </c>
      <c r="J68" s="24">
        <f t="shared" si="10"/>
        <v>-4293.5246022857764</v>
      </c>
      <c r="K68" s="24">
        <f>Subsurface_Inputs!$C$25+Subsurface_Inputs!$C$26*SIN(2*PI()*(A68+Subsurface_Inputs!$C$27)/Subsurface_Inputs!$C$28)+Subsurface_Inputs!$C$29*COS(2*PI()*(A68-Subsurface_Inputs!$C$30)/Subsurface_Inputs!$C$31)-Subsurface_Inputs!$C$32*(B68-AVERAGE($B$2:$B$242))</f>
        <v>14665.036556690675</v>
      </c>
      <c r="L68" s="24">
        <f t="shared" si="11"/>
        <v>-14375.694288149673</v>
      </c>
      <c r="M68" s="24">
        <f>2*Subsurface_Inputs!$C$34*F68/Subsurface_Inputs!$C$35*1000000</f>
        <v>12.901219521920732</v>
      </c>
      <c r="N68" s="24">
        <f>2*Subsurface_Inputs!$C$34*I68/Subsurface_Inputs!$C$35*1000000</f>
        <v>54.421002346040794</v>
      </c>
      <c r="O68" s="24">
        <f>2*Subsurface_Inputs!$C$34*K68/Subsurface_Inputs!$C$35*1000000</f>
        <v>174.1455755428604</v>
      </c>
      <c r="P68" s="24">
        <f>Subsurface_Inputs!$C$37-2*Subsurface_Inputs!$C$36*(F68/1000)</f>
        <v>-11.955572741857742</v>
      </c>
      <c r="Q68" s="24">
        <f>Subsurface_Inputs!$C$38+Subsurface_Inputs!$C$39*H68-2*Subsurface_Inputs!$C$36*(I68/1000)</f>
        <v>-24.075381897755534</v>
      </c>
      <c r="R68" s="24">
        <f>Subsurface_Inputs!$C$40-2*Subsurface_Inputs!$C$36*(K68/1000)-Subsurface_Inputs!$C$41*ABS(L68-AVERAGE($L$2:$L$242))</f>
        <v>-33.94211916341586</v>
      </c>
      <c r="S68" s="24">
        <f t="shared" si="12"/>
        <v>-412.34813888343888</v>
      </c>
      <c r="T68" s="24">
        <f t="shared" si="13"/>
        <v>13.498380928017387</v>
      </c>
      <c r="U68" s="25" t="str">
        <f>IF(H68&gt;=Subsurface_Inputs!$C$42,"Lens visible","Weak/no lens")</f>
        <v>Lens visible</v>
      </c>
      <c r="V68" s="25" t="str">
        <f t="shared" si="14"/>
        <v>Likely visible</v>
      </c>
      <c r="W68" s="24">
        <f>Subsurface_Inputs!$C$43</f>
        <v>-45</v>
      </c>
      <c r="X68" s="24">
        <f t="shared" si="15"/>
        <v>20.924618102244466</v>
      </c>
      <c r="Y68" s="24">
        <f t="shared" si="16"/>
        <v>11.05788083658414</v>
      </c>
      <c r="Z68" s="24">
        <f t="shared" si="17"/>
        <v>20.924618102244466</v>
      </c>
      <c r="AA68" s="24">
        <v>0</v>
      </c>
    </row>
    <row r="69" spans="1:27">
      <c r="A69" s="24">
        <f>Model_Data!A69</f>
        <v>-26.5</v>
      </c>
      <c r="B69" s="24">
        <f>Model_Data!Y69</f>
        <v>290.55977847511139</v>
      </c>
      <c r="C69" s="24">
        <f>Model_Data!X69</f>
        <v>-78.119420028637307</v>
      </c>
      <c r="D69" s="24">
        <f>Model_Data!B69</f>
        <v>400.78027777777777</v>
      </c>
      <c r="E69" s="24">
        <f>Inputs!$C$6</f>
        <v>25</v>
      </c>
      <c r="F69" s="24">
        <f>Subsurface_Inputs!$C$5+Subsurface_Inputs!$C$6*SIN(2*PI()*(A69+Subsurface_Inputs!$C$7)/Subsurface_Inputs!$C$8)+Subsurface_Inputs!$C$9*COS(2*PI()*A69/Subsurface_Inputs!$C$10)+Subsurface_Inputs!$C$11*(B69-AVERAGE($B$2:$B$242))</f>
        <v>1083.8477594852482</v>
      </c>
      <c r="G69" s="24">
        <f t="shared" si="9"/>
        <v>-793.28798101013672</v>
      </c>
      <c r="H69" s="24">
        <f>MIN(1,MAX(0,Subsurface_Inputs!$C$13*EXP(-0.5*((A69-Subsurface_Inputs!$C$14)/Subsurface_Inputs!$C$15)^2)+Subsurface_Inputs!$C$16*EXP(-0.5*((A69-Subsurface_Inputs!$C$17)/Subsurface_Inputs!$C$18)^2)))</f>
        <v>0.92077157276285526</v>
      </c>
      <c r="I69" s="24">
        <f>Subsurface_Inputs!$C$19+Subsurface_Inputs!$C$20*SIN(2*PI()*(A69-Subsurface_Inputs!$C$21)/Subsurface_Inputs!$C$22)-Subsurface_Inputs!$C$23*H69</f>
        <v>4563.7776088342625</v>
      </c>
      <c r="J69" s="24">
        <f t="shared" si="10"/>
        <v>-4273.2178303591509</v>
      </c>
      <c r="K69" s="24">
        <f>Subsurface_Inputs!$C$25+Subsurface_Inputs!$C$26*SIN(2*PI()*(A69+Subsurface_Inputs!$C$27)/Subsurface_Inputs!$C$28)+Subsurface_Inputs!$C$29*COS(2*PI()*(A69-Subsurface_Inputs!$C$30)/Subsurface_Inputs!$C$31)-Subsurface_Inputs!$C$32*(B69-AVERAGE($B$2:$B$242))</f>
        <v>14676.338809952045</v>
      </c>
      <c r="L69" s="24">
        <f t="shared" si="11"/>
        <v>-14385.779031476934</v>
      </c>
      <c r="M69" s="24">
        <f>2*Subsurface_Inputs!$C$34*F69/Subsurface_Inputs!$C$35*1000000</f>
        <v>12.870564021218586</v>
      </c>
      <c r="N69" s="24">
        <f>2*Subsurface_Inputs!$C$34*I69/Subsurface_Inputs!$C$35*1000000</f>
        <v>54.194319616439373</v>
      </c>
      <c r="O69" s="24">
        <f>2*Subsurface_Inputs!$C$34*K69/Subsurface_Inputs!$C$35*1000000</f>
        <v>174.27978846428911</v>
      </c>
      <c r="P69" s="24">
        <f>Subsurface_Inputs!$C$37-2*Subsurface_Inputs!$C$36*(F69/1000)</f>
        <v>-11.950925967073447</v>
      </c>
      <c r="Q69" s="24">
        <f>Subsurface_Inputs!$C$38+Subsurface_Inputs!$C$39*H69-2*Subsurface_Inputs!$C$36*(I69/1000)</f>
        <v>-23.927855541035974</v>
      </c>
      <c r="R69" s="24">
        <f>Subsurface_Inputs!$C$40-2*Subsurface_Inputs!$C$36*(K69/1000)-Subsurface_Inputs!$C$41*ABS(L69-AVERAGE($L$2:$L$242))</f>
        <v>-33.92212424597728</v>
      </c>
      <c r="S69" s="24">
        <f t="shared" si="12"/>
        <v>-401.04588562206845</v>
      </c>
      <c r="T69" s="24">
        <f t="shared" si="13"/>
        <v>13.540959679542336</v>
      </c>
      <c r="U69" s="25" t="str">
        <f>IF(H69&gt;=Subsurface_Inputs!$C$42,"Lens visible","Weak/no lens")</f>
        <v>Lens visible</v>
      </c>
      <c r="V69" s="25" t="str">
        <f t="shared" si="14"/>
        <v>Likely visible</v>
      </c>
      <c r="W69" s="24">
        <f>Subsurface_Inputs!$C$43</f>
        <v>-45</v>
      </c>
      <c r="X69" s="24">
        <f t="shared" si="15"/>
        <v>21.072144458964026</v>
      </c>
      <c r="Y69" s="24">
        <f t="shared" si="16"/>
        <v>11.07787575402272</v>
      </c>
      <c r="Z69" s="24">
        <f t="shared" si="17"/>
        <v>21.072144458964026</v>
      </c>
      <c r="AA69" s="24">
        <v>0</v>
      </c>
    </row>
    <row r="70" spans="1:27">
      <c r="A70" s="24">
        <f>Model_Data!A70</f>
        <v>-26</v>
      </c>
      <c r="B70" s="24">
        <f>Model_Data!Y70</f>
        <v>271.74352983421755</v>
      </c>
      <c r="C70" s="24">
        <f>Model_Data!X70</f>
        <v>-82.173494419788938</v>
      </c>
      <c r="D70" s="24">
        <f>Model_Data!B70</f>
        <v>400.75111111111113</v>
      </c>
      <c r="E70" s="24">
        <f>Inputs!$C$6</f>
        <v>25</v>
      </c>
      <c r="F70" s="24">
        <f>Subsurface_Inputs!$C$5+Subsurface_Inputs!$C$6*SIN(2*PI()*(A70+Subsurface_Inputs!$C$7)/Subsurface_Inputs!$C$8)+Subsurface_Inputs!$C$9*COS(2*PI()*A70/Subsurface_Inputs!$C$10)+Subsurface_Inputs!$C$11*(B70-AVERAGE($B$2:$B$242))</f>
        <v>1080.3782090598897</v>
      </c>
      <c r="G70" s="24">
        <f t="shared" si="9"/>
        <v>-808.63467922567224</v>
      </c>
      <c r="H70" s="24">
        <f>MIN(1,MAX(0,Subsurface_Inputs!$C$13*EXP(-0.5*((A70-Subsurface_Inputs!$C$14)/Subsurface_Inputs!$C$15)^2)+Subsurface_Inputs!$C$16*EXP(-0.5*((A70-Subsurface_Inputs!$C$17)/Subsurface_Inputs!$C$18)^2)))</f>
        <v>0.93118873965744564</v>
      </c>
      <c r="I70" s="24">
        <f>Subsurface_Inputs!$C$19+Subsurface_Inputs!$C$20*SIN(2*PI()*(A70-Subsurface_Inputs!$C$21)/Subsurface_Inputs!$C$22)-Subsurface_Inputs!$C$23*H70</f>
        <v>4545.6686324724014</v>
      </c>
      <c r="J70" s="24">
        <f t="shared" si="10"/>
        <v>-4273.9251026381835</v>
      </c>
      <c r="K70" s="24">
        <f>Subsurface_Inputs!$C$25+Subsurface_Inputs!$C$26*SIN(2*PI()*(A70+Subsurface_Inputs!$C$27)/Subsurface_Inputs!$C$28)+Subsurface_Inputs!$C$29*COS(2*PI()*(A70-Subsurface_Inputs!$C$30)/Subsurface_Inputs!$C$31)-Subsurface_Inputs!$C$32*(B70-AVERAGE($B$2:$B$242))</f>
        <v>14691.249740602572</v>
      </c>
      <c r="L70" s="24">
        <f t="shared" si="11"/>
        <v>-14419.506210768355</v>
      </c>
      <c r="M70" s="24">
        <f>2*Subsurface_Inputs!$C$34*F70/Subsurface_Inputs!$C$35*1000000</f>
        <v>12.82936352005629</v>
      </c>
      <c r="N70" s="24">
        <f>2*Subsurface_Inputs!$C$34*I70/Subsurface_Inputs!$C$35*1000000</f>
        <v>53.979277662821495</v>
      </c>
      <c r="O70" s="24">
        <f>2*Subsurface_Inputs!$C$34*K70/Subsurface_Inputs!$C$35*1000000</f>
        <v>174.45685400312894</v>
      </c>
      <c r="P70" s="24">
        <f>Subsurface_Inputs!$C$37-2*Subsurface_Inputs!$C$36*(F70/1000)</f>
        <v>-11.944680776307802</v>
      </c>
      <c r="Q70" s="24">
        <f>Subsurface_Inputs!$C$38+Subsurface_Inputs!$C$39*H70-2*Subsurface_Inputs!$C$36*(I70/1000)</f>
        <v>-23.801504881533312</v>
      </c>
      <c r="R70" s="24">
        <f>Subsurface_Inputs!$C$40-2*Subsurface_Inputs!$C$36*(K70/1000)-Subsurface_Inputs!$C$41*ABS(L70-AVERAGE($L$2:$L$242))</f>
        <v>-33.814055203982541</v>
      </c>
      <c r="S70" s="24">
        <f t="shared" si="12"/>
        <v>-386.13495497154145</v>
      </c>
      <c r="T70" s="24">
        <f t="shared" si="13"/>
        <v>13.598247000359645</v>
      </c>
      <c r="U70" s="25" t="str">
        <f>IF(H70&gt;=Subsurface_Inputs!$C$42,"Lens visible","Weak/no lens")</f>
        <v>Lens visible</v>
      </c>
      <c r="V70" s="25" t="str">
        <f t="shared" si="14"/>
        <v>Likely visible</v>
      </c>
      <c r="W70" s="24">
        <f>Subsurface_Inputs!$C$43</f>
        <v>-45</v>
      </c>
      <c r="X70" s="24">
        <f t="shared" si="15"/>
        <v>21.198495118466688</v>
      </c>
      <c r="Y70" s="24">
        <f t="shared" si="16"/>
        <v>11.185944796017459</v>
      </c>
      <c r="Z70" s="24">
        <f t="shared" si="17"/>
        <v>21.198495118466688</v>
      </c>
      <c r="AA70" s="24">
        <v>0</v>
      </c>
    </row>
    <row r="71" spans="1:27">
      <c r="A71" s="24">
        <f>Model_Data!A71</f>
        <v>-25.5</v>
      </c>
      <c r="B71" s="24">
        <f>Model_Data!Y71</f>
        <v>271.72277085419893</v>
      </c>
      <c r="C71" s="24">
        <f>Model_Data!X71</f>
        <v>-104.31813701930129</v>
      </c>
      <c r="D71" s="24">
        <f>Model_Data!B71</f>
        <v>400.72250000000003</v>
      </c>
      <c r="E71" s="24">
        <f>Inputs!$C$6</f>
        <v>25</v>
      </c>
      <c r="F71" s="24">
        <f>Subsurface_Inputs!$C$5+Subsurface_Inputs!$C$6*SIN(2*PI()*(A71+Subsurface_Inputs!$C$7)/Subsurface_Inputs!$C$8)+Subsurface_Inputs!$C$9*COS(2*PI()*A71/Subsurface_Inputs!$C$10)+Subsurface_Inputs!$C$11*(B71-AVERAGE($B$2:$B$242))</f>
        <v>1077.5062061004098</v>
      </c>
      <c r="G71" s="24">
        <f t="shared" si="9"/>
        <v>-805.78343524621096</v>
      </c>
      <c r="H71" s="24">
        <f>MIN(1,MAX(0,Subsurface_Inputs!$C$13*EXP(-0.5*((A71-Subsurface_Inputs!$C$14)/Subsurface_Inputs!$C$15)^2)+Subsurface_Inputs!$C$16*EXP(-0.5*((A71-Subsurface_Inputs!$C$17)/Subsurface_Inputs!$C$18)^2)))</f>
        <v>0.93937239240544779</v>
      </c>
      <c r="I71" s="24">
        <f>Subsurface_Inputs!$C$19+Subsurface_Inputs!$C$20*SIN(2*PI()*(A71-Subsurface_Inputs!$C$21)/Subsurface_Inputs!$C$22)-Subsurface_Inputs!$C$23*H71</f>
        <v>4528.5812617365982</v>
      </c>
      <c r="J71" s="24">
        <f t="shared" si="10"/>
        <v>-4256.8584908823996</v>
      </c>
      <c r="K71" s="24">
        <f>Subsurface_Inputs!$C$25+Subsurface_Inputs!$C$26*SIN(2*PI()*(A71+Subsurface_Inputs!$C$27)/Subsurface_Inputs!$C$28)+Subsurface_Inputs!$C$29*COS(2*PI()*(A71-Subsurface_Inputs!$C$30)/Subsurface_Inputs!$C$31)-Subsurface_Inputs!$C$32*(B71-AVERAGE($B$2:$B$242))</f>
        <v>14704.337559090227</v>
      </c>
      <c r="L71" s="24">
        <f t="shared" si="11"/>
        <v>-14432.614788236027</v>
      </c>
      <c r="M71" s="24">
        <f>2*Subsurface_Inputs!$C$34*F71/Subsurface_Inputs!$C$35*1000000</f>
        <v>12.795258824414653</v>
      </c>
      <c r="N71" s="24">
        <f>2*Subsurface_Inputs!$C$34*I71/Subsurface_Inputs!$C$35*1000000</f>
        <v>53.776367155248082</v>
      </c>
      <c r="O71" s="24">
        <f>2*Subsurface_Inputs!$C$34*K71/Subsurface_Inputs!$C$35*1000000</f>
        <v>174.61227030054641</v>
      </c>
      <c r="P71" s="24">
        <f>Subsurface_Inputs!$C$37-2*Subsurface_Inputs!$C$36*(F71/1000)</f>
        <v>-11.939511170980738</v>
      </c>
      <c r="Q71" s="24">
        <f>Subsurface_Inputs!$C$38+Subsurface_Inputs!$C$39*H71-2*Subsurface_Inputs!$C$36*(I71/1000)</f>
        <v>-23.697094739476846</v>
      </c>
      <c r="R71" s="24">
        <f>Subsurface_Inputs!$C$40-2*Subsurface_Inputs!$C$36*(K71/1000)-Subsurface_Inputs!$C$41*ABS(L71-AVERAGE($L$2:$L$242))</f>
        <v>-33.785178967389641</v>
      </c>
      <c r="S71" s="24">
        <f t="shared" si="12"/>
        <v>-373.04713648388679</v>
      </c>
      <c r="T71" s="24">
        <f t="shared" si="13"/>
        <v>13.64663839135231</v>
      </c>
      <c r="U71" s="25" t="str">
        <f>IF(H71&gt;=Subsurface_Inputs!$C$42,"Lens visible","Weak/no lens")</f>
        <v>Lens visible</v>
      </c>
      <c r="V71" s="25" t="str">
        <f t="shared" si="14"/>
        <v>Likely visible</v>
      </c>
      <c r="W71" s="24">
        <f>Subsurface_Inputs!$C$43</f>
        <v>-45</v>
      </c>
      <c r="X71" s="24">
        <f t="shared" si="15"/>
        <v>21.302905260523154</v>
      </c>
      <c r="Y71" s="24">
        <f t="shared" si="16"/>
        <v>11.214821032610359</v>
      </c>
      <c r="Z71" s="24">
        <f t="shared" si="17"/>
        <v>21.302905260523154</v>
      </c>
      <c r="AA71" s="24">
        <v>0</v>
      </c>
    </row>
    <row r="72" spans="1:27">
      <c r="A72" s="24">
        <f>Model_Data!A72</f>
        <v>-25</v>
      </c>
      <c r="B72" s="24">
        <f>Model_Data!Y72</f>
        <v>260.27138413189709</v>
      </c>
      <c r="C72" s="24">
        <f>Model_Data!X72</f>
        <v>-97.552975883581098</v>
      </c>
      <c r="D72" s="24">
        <f>Model_Data!B72</f>
        <v>400.69444444444446</v>
      </c>
      <c r="E72" s="24">
        <f>Inputs!$C$6</f>
        <v>25</v>
      </c>
      <c r="F72" s="24">
        <f>Subsurface_Inputs!$C$5+Subsurface_Inputs!$C$6*SIN(2*PI()*(A72+Subsurface_Inputs!$C$7)/Subsurface_Inputs!$C$8)+Subsurface_Inputs!$C$9*COS(2*PI()*A72/Subsurface_Inputs!$C$10)+Subsurface_Inputs!$C$11*(B72-AVERAGE($B$2:$B$242))</f>
        <v>1073.9658997599292</v>
      </c>
      <c r="G72" s="24">
        <f t="shared" si="9"/>
        <v>-813.69451562803215</v>
      </c>
      <c r="H72" s="24">
        <f>MIN(1,MAX(0,Subsurface_Inputs!$C$13*EXP(-0.5*((A72-Subsurface_Inputs!$C$14)/Subsurface_Inputs!$C$15)^2)+Subsurface_Inputs!$C$16*EXP(-0.5*((A72-Subsurface_Inputs!$C$17)/Subsurface_Inputs!$C$18)^2)))</f>
        <v>0.94526185527119844</v>
      </c>
      <c r="I72" s="24">
        <f>Subsurface_Inputs!$C$19+Subsurface_Inputs!$C$20*SIN(2*PI()*(A72-Subsurface_Inputs!$C$21)/Subsurface_Inputs!$C$22)-Subsurface_Inputs!$C$23*H72</f>
        <v>4512.5522543229472</v>
      </c>
      <c r="J72" s="24">
        <f t="shared" si="10"/>
        <v>-4252.2808701910499</v>
      </c>
      <c r="K72" s="24">
        <f>Subsurface_Inputs!$C$25+Subsurface_Inputs!$C$26*SIN(2*PI()*(A72+Subsurface_Inputs!$C$27)/Subsurface_Inputs!$C$28)+Subsurface_Inputs!$C$29*COS(2*PI()*(A72-Subsurface_Inputs!$C$30)/Subsurface_Inputs!$C$31)-Subsurface_Inputs!$C$32*(B72-AVERAGE($B$2:$B$242))</f>
        <v>14719.836152269878</v>
      </c>
      <c r="L72" s="24">
        <f t="shared" si="11"/>
        <v>-14459.564768137981</v>
      </c>
      <c r="M72" s="24">
        <f>2*Subsurface_Inputs!$C$34*F72/Subsurface_Inputs!$C$35*1000000</f>
        <v>12.753218105124406</v>
      </c>
      <c r="N72" s="24">
        <f>2*Subsurface_Inputs!$C$34*I72/Subsurface_Inputs!$C$35*1000000</f>
        <v>53.586024587015103</v>
      </c>
      <c r="O72" s="24">
        <f>2*Subsurface_Inputs!$C$34*K72/Subsurface_Inputs!$C$35*1000000</f>
        <v>174.79631426245138</v>
      </c>
      <c r="P72" s="24">
        <f>Subsurface_Inputs!$C$37-2*Subsurface_Inputs!$C$36*(F72/1000)</f>
        <v>-11.933138619567872</v>
      </c>
      <c r="Q72" s="24">
        <f>Subsurface_Inputs!$C$38+Subsurface_Inputs!$C$39*H72-2*Subsurface_Inputs!$C$36*(I72/1000)</f>
        <v>-23.615237360340519</v>
      </c>
      <c r="R72" s="24">
        <f>Subsurface_Inputs!$C$40-2*Subsurface_Inputs!$C$36*(K72/1000)-Subsurface_Inputs!$C$41*ABS(L72-AVERAGE($L$2:$L$242))</f>
        <v>-33.705276515505183</v>
      </c>
      <c r="S72" s="24">
        <f t="shared" si="12"/>
        <v>-357.54854330423586</v>
      </c>
      <c r="T72" s="24">
        <f t="shared" si="13"/>
        <v>13.706055430214592</v>
      </c>
      <c r="U72" s="25" t="str">
        <f>IF(H72&gt;=Subsurface_Inputs!$C$42,"Lens visible","Weak/no lens")</f>
        <v>Lens visible</v>
      </c>
      <c r="V72" s="25" t="str">
        <f t="shared" si="14"/>
        <v>Likely visible</v>
      </c>
      <c r="W72" s="24">
        <f>Subsurface_Inputs!$C$43</f>
        <v>-45</v>
      </c>
      <c r="X72" s="24">
        <f t="shared" si="15"/>
        <v>21.384762639659481</v>
      </c>
      <c r="Y72" s="24">
        <f t="shared" si="16"/>
        <v>11.294723484494817</v>
      </c>
      <c r="Z72" s="24">
        <f t="shared" si="17"/>
        <v>21.384762639659481</v>
      </c>
      <c r="AA72" s="24">
        <v>0</v>
      </c>
    </row>
    <row r="73" spans="1:27">
      <c r="A73" s="24">
        <f>Model_Data!A73</f>
        <v>-24.5</v>
      </c>
      <c r="B73" s="24">
        <f>Model_Data!Y73</f>
        <v>276.49363528969542</v>
      </c>
      <c r="C73" s="24">
        <f>Model_Data!X73</f>
        <v>-113.61582851930044</v>
      </c>
      <c r="D73" s="24">
        <f>Model_Data!B73</f>
        <v>400.66694444444443</v>
      </c>
      <c r="E73" s="24">
        <f>Inputs!$C$6</f>
        <v>25</v>
      </c>
      <c r="F73" s="24">
        <f>Subsurface_Inputs!$C$5+Subsurface_Inputs!$C$6*SIN(2*PI()*(A73+Subsurface_Inputs!$C$7)/Subsurface_Inputs!$C$8)+Subsurface_Inputs!$C$9*COS(2*PI()*A73/Subsurface_Inputs!$C$10)+Subsurface_Inputs!$C$11*(B73-AVERAGE($B$2:$B$242))</f>
        <v>1071.2771369281047</v>
      </c>
      <c r="G73" s="24">
        <f t="shared" si="9"/>
        <v>-794.78350163840923</v>
      </c>
      <c r="H73" s="24">
        <f>MIN(1,MAX(0,Subsurface_Inputs!$C$13*EXP(-0.5*((A73-Subsurface_Inputs!$C$14)/Subsurface_Inputs!$C$15)^2)+Subsurface_Inputs!$C$16*EXP(-0.5*((A73-Subsurface_Inputs!$C$17)/Subsurface_Inputs!$C$18)^2)))</f>
        <v>0.94881324193686589</v>
      </c>
      <c r="I73" s="24">
        <f>Subsurface_Inputs!$C$19+Subsurface_Inputs!$C$20*SIN(2*PI()*(A73-Subsurface_Inputs!$C$21)/Subsurface_Inputs!$C$22)-Subsurface_Inputs!$C$23*H73</f>
        <v>4497.6135932627421</v>
      </c>
      <c r="J73" s="24">
        <f t="shared" si="10"/>
        <v>-4221.1199579730464</v>
      </c>
      <c r="K73" s="24">
        <f>Subsurface_Inputs!$C$25+Subsurface_Inputs!$C$26*SIN(2*PI()*(A73+Subsurface_Inputs!$C$27)/Subsurface_Inputs!$C$28)+Subsurface_Inputs!$C$29*COS(2*PI()*(A73-Subsurface_Inputs!$C$30)/Subsurface_Inputs!$C$31)-Subsurface_Inputs!$C$32*(B73-AVERAGE($B$2:$B$242))</f>
        <v>14732.271053468079</v>
      </c>
      <c r="L73" s="24">
        <f t="shared" si="11"/>
        <v>-14455.777418178384</v>
      </c>
      <c r="M73" s="24">
        <f>2*Subsurface_Inputs!$C$34*F73/Subsurface_Inputs!$C$35*1000000</f>
        <v>12.721289364337688</v>
      </c>
      <c r="N73" s="24">
        <f>2*Subsurface_Inputs!$C$34*I73/Subsurface_Inputs!$C$35*1000000</f>
        <v>53.408629752838422</v>
      </c>
      <c r="O73" s="24">
        <f>2*Subsurface_Inputs!$C$34*K73/Subsurface_Inputs!$C$35*1000000</f>
        <v>174.94397724423862</v>
      </c>
      <c r="P73" s="24">
        <f>Subsurface_Inputs!$C$37-2*Subsurface_Inputs!$C$36*(F73/1000)</f>
        <v>-11.928298846470588</v>
      </c>
      <c r="Q73" s="24">
        <f>Subsurface_Inputs!$C$38+Subsurface_Inputs!$C$39*H73-2*Subsurface_Inputs!$C$36*(I73/1000)</f>
        <v>-23.556385290441142</v>
      </c>
      <c r="R73" s="24">
        <f>Subsurface_Inputs!$C$40-2*Subsurface_Inputs!$C$36*(K73/1000)-Subsurface_Inputs!$C$41*ABS(L73-AVERAGE($L$2:$L$242))</f>
        <v>-33.74280873750034</v>
      </c>
      <c r="S73" s="24">
        <f t="shared" si="12"/>
        <v>-345.1136421060346</v>
      </c>
      <c r="T73" s="24">
        <f t="shared" si="13"/>
        <v>13.752063350957883</v>
      </c>
      <c r="U73" s="25" t="str">
        <f>IF(H73&gt;=Subsurface_Inputs!$C$42,"Lens visible","Weak/no lens")</f>
        <v>Lens visible</v>
      </c>
      <c r="V73" s="25" t="str">
        <f t="shared" si="14"/>
        <v>Likely visible</v>
      </c>
      <c r="W73" s="24">
        <f>Subsurface_Inputs!$C$43</f>
        <v>-45</v>
      </c>
      <c r="X73" s="24">
        <f t="shared" si="15"/>
        <v>21.443614709558858</v>
      </c>
      <c r="Y73" s="24">
        <f t="shared" si="16"/>
        <v>11.25719126249966</v>
      </c>
      <c r="Z73" s="24">
        <f t="shared" si="17"/>
        <v>21.443614709558858</v>
      </c>
      <c r="AA73" s="24">
        <v>0</v>
      </c>
    </row>
    <row r="74" spans="1:27">
      <c r="A74" s="24">
        <f>Model_Data!A74</f>
        <v>-24</v>
      </c>
      <c r="B74" s="24">
        <f>Model_Data!Y74</f>
        <v>268.57917598156757</v>
      </c>
      <c r="C74" s="24">
        <f>Model_Data!X74</f>
        <v>-111.48853690711687</v>
      </c>
      <c r="D74" s="24">
        <f>Model_Data!B74</f>
        <v>400.64</v>
      </c>
      <c r="E74" s="24">
        <f>Inputs!$C$6</f>
        <v>25</v>
      </c>
      <c r="F74" s="24">
        <f>Subsurface_Inputs!$C$5+Subsurface_Inputs!$C$6*SIN(2*PI()*(A74+Subsurface_Inputs!$C$7)/Subsurface_Inputs!$C$8)+Subsurface_Inputs!$C$9*COS(2*PI()*A74/Subsurface_Inputs!$C$10)+Subsurface_Inputs!$C$11*(B74-AVERAGE($B$2:$B$242))</f>
        <v>1067.3370569913695</v>
      </c>
      <c r="G74" s="24">
        <f t="shared" si="9"/>
        <v>-798.75788100980196</v>
      </c>
      <c r="H74" s="24">
        <f>MIN(1,MAX(0,Subsurface_Inputs!$C$13*EXP(-0.5*((A74-Subsurface_Inputs!$C$14)/Subsurface_Inputs!$C$15)^2)+Subsurface_Inputs!$C$16*EXP(-0.5*((A74-Subsurface_Inputs!$C$17)/Subsurface_Inputs!$C$18)^2)))</f>
        <v>0.95000000008939778</v>
      </c>
      <c r="I74" s="24">
        <f>Subsurface_Inputs!$C$19+Subsurface_Inputs!$C$20*SIN(2*PI()*(A74-Subsurface_Inputs!$C$21)/Subsurface_Inputs!$C$22)-Subsurface_Inputs!$C$23*H74</f>
        <v>4483.7923247403232</v>
      </c>
      <c r="J74" s="24">
        <f t="shared" si="10"/>
        <v>-4215.2131487587558</v>
      </c>
      <c r="K74" s="24">
        <f>Subsurface_Inputs!$C$25+Subsurface_Inputs!$C$26*SIN(2*PI()*(A74+Subsurface_Inputs!$C$27)/Subsurface_Inputs!$C$28)+Subsurface_Inputs!$C$29*COS(2*PI()*(A74-Subsurface_Inputs!$C$30)/Subsurface_Inputs!$C$31)-Subsurface_Inputs!$C$32*(B74-AVERAGE($B$2:$B$242))</f>
        <v>14748.893722340972</v>
      </c>
      <c r="L74" s="24">
        <f t="shared" si="11"/>
        <v>-14480.314546359405</v>
      </c>
      <c r="M74" s="24">
        <f>2*Subsurface_Inputs!$C$34*F74/Subsurface_Inputs!$C$35*1000000</f>
        <v>12.674501380849533</v>
      </c>
      <c r="N74" s="24">
        <f>2*Subsurface_Inputs!$C$34*I74/Subsurface_Inputs!$C$35*1000000</f>
        <v>53.244503822959913</v>
      </c>
      <c r="O74" s="24">
        <f>2*Subsurface_Inputs!$C$34*K74/Subsurface_Inputs!$C$35*1000000</f>
        <v>175.14136947212282</v>
      </c>
      <c r="P74" s="24">
        <f>Subsurface_Inputs!$C$37-2*Subsurface_Inputs!$C$36*(F74/1000)</f>
        <v>-11.921206702584465</v>
      </c>
      <c r="Q74" s="24">
        <f>Subsurface_Inputs!$C$38+Subsurface_Inputs!$C$39*H74-2*Subsurface_Inputs!$C$36*(I74/1000)</f>
        <v>-23.520826183728001</v>
      </c>
      <c r="R74" s="24">
        <f>Subsurface_Inputs!$C$40-2*Subsurface_Inputs!$C$36*(K74/1000)-Subsurface_Inputs!$C$41*ABS(L74-AVERAGE($L$2:$L$242))</f>
        <v>-33.674581028747468</v>
      </c>
      <c r="S74" s="24">
        <f t="shared" si="12"/>
        <v>-328.49097323314163</v>
      </c>
      <c r="T74" s="24">
        <f t="shared" si="13"/>
        <v>13.818403123672518</v>
      </c>
      <c r="U74" s="25" t="str">
        <f>IF(H74&gt;=Subsurface_Inputs!$C$42,"Lens visible","Weak/no lens")</f>
        <v>Lens visible</v>
      </c>
      <c r="V74" s="25" t="str">
        <f t="shared" si="14"/>
        <v>Likely visible</v>
      </c>
      <c r="W74" s="24">
        <f>Subsurface_Inputs!$C$43</f>
        <v>-45</v>
      </c>
      <c r="X74" s="24">
        <f t="shared" si="15"/>
        <v>21.479173816271999</v>
      </c>
      <c r="Y74" s="24">
        <f t="shared" si="16"/>
        <v>11.325418971252532</v>
      </c>
      <c r="Z74" s="24">
        <f t="shared" si="17"/>
        <v>21.479173816271999</v>
      </c>
      <c r="AA74" s="24">
        <v>0</v>
      </c>
    </row>
    <row r="75" spans="1:27">
      <c r="A75" s="24">
        <f>Model_Data!A75</f>
        <v>-23.5</v>
      </c>
      <c r="B75" s="24">
        <f>Model_Data!Y75</f>
        <v>273.93459884711217</v>
      </c>
      <c r="C75" s="24">
        <f>Model_Data!X75</f>
        <v>-125.65162794647964</v>
      </c>
      <c r="D75" s="24">
        <f>Model_Data!B75</f>
        <v>400.61361111111108</v>
      </c>
      <c r="E75" s="24">
        <f>Inputs!$C$6</f>
        <v>25</v>
      </c>
      <c r="F75" s="24">
        <f>Subsurface_Inputs!$C$5+Subsurface_Inputs!$C$6*SIN(2*PI()*(A75+Subsurface_Inputs!$C$7)/Subsurface_Inputs!$C$8)+Subsurface_Inputs!$C$9*COS(2*PI()*A75/Subsurface_Inputs!$C$10)+Subsurface_Inputs!$C$11*(B75-AVERAGE($B$2:$B$242))</f>
        <v>1063.6264391684263</v>
      </c>
      <c r="G75" s="24">
        <f t="shared" si="9"/>
        <v>-789.69184032131409</v>
      </c>
      <c r="H75" s="24">
        <f>MIN(1,MAX(0,Subsurface_Inputs!$C$13*EXP(-0.5*((A75-Subsurface_Inputs!$C$14)/Subsurface_Inputs!$C$15)^2)+Subsurface_Inputs!$C$16*EXP(-0.5*((A75-Subsurface_Inputs!$C$17)/Subsurface_Inputs!$C$18)^2)))</f>
        <v>0.9488132420144012</v>
      </c>
      <c r="I75" s="24">
        <f>Subsurface_Inputs!$C$19+Subsurface_Inputs!$C$20*SIN(2*PI()*(A75-Subsurface_Inputs!$C$21)/Subsurface_Inputs!$C$22)-Subsurface_Inputs!$C$23*H75</f>
        <v>4471.1104484091329</v>
      </c>
      <c r="J75" s="24">
        <f t="shared" si="10"/>
        <v>-4197.1758495620206</v>
      </c>
      <c r="K75" s="24">
        <f>Subsurface_Inputs!$C$25+Subsurface_Inputs!$C$26*SIN(2*PI()*(A75+Subsurface_Inputs!$C$27)/Subsurface_Inputs!$C$28)+Subsurface_Inputs!$C$29*COS(2*PI()*(A75-Subsurface_Inputs!$C$30)/Subsurface_Inputs!$C$31)-Subsurface_Inputs!$C$32*(B75-AVERAGE($B$2:$B$242))</f>
        <v>14764.46311292151</v>
      </c>
      <c r="L75" s="24">
        <f t="shared" si="11"/>
        <v>-14490.528514074398</v>
      </c>
      <c r="M75" s="24">
        <f>2*Subsurface_Inputs!$C$34*F75/Subsurface_Inputs!$C$35*1000000</f>
        <v>12.630438232837724</v>
      </c>
      <c r="N75" s="24">
        <f>2*Subsurface_Inputs!$C$34*I75/Subsurface_Inputs!$C$35*1000000</f>
        <v>53.093908040663628</v>
      </c>
      <c r="O75" s="24">
        <f>2*Subsurface_Inputs!$C$34*K75/Subsurface_Inputs!$C$35*1000000</f>
        <v>175.32625414479432</v>
      </c>
      <c r="P75" s="24">
        <f>Subsurface_Inputs!$C$37-2*Subsurface_Inputs!$C$36*(F75/1000)</f>
        <v>-11.914527590503168</v>
      </c>
      <c r="Q75" s="24">
        <f>Subsurface_Inputs!$C$38+Subsurface_Inputs!$C$39*H75-2*Subsurface_Inputs!$C$36*(I75/1000)</f>
        <v>-23.508679629006828</v>
      </c>
      <c r="R75" s="24">
        <f>Subsurface_Inputs!$C$40-2*Subsurface_Inputs!$C$36*(K75/1000)-Subsurface_Inputs!$C$41*ABS(L75-AVERAGE($L$2:$L$242))</f>
        <v>-33.661750060932462</v>
      </c>
      <c r="S75" s="24">
        <f t="shared" si="12"/>
        <v>-312.92158265260332</v>
      </c>
      <c r="T75" s="24">
        <f t="shared" si="13"/>
        <v>13.881248687711066</v>
      </c>
      <c r="U75" s="25" t="str">
        <f>IF(H75&gt;=Subsurface_Inputs!$C$42,"Lens visible","Weak/no lens")</f>
        <v>Lens visible</v>
      </c>
      <c r="V75" s="25" t="str">
        <f t="shared" si="14"/>
        <v>Likely visible</v>
      </c>
      <c r="W75" s="24">
        <f>Subsurface_Inputs!$C$43</f>
        <v>-45</v>
      </c>
      <c r="X75" s="24">
        <f t="shared" si="15"/>
        <v>21.491320370993172</v>
      </c>
      <c r="Y75" s="24">
        <f t="shared" si="16"/>
        <v>11.338249939067538</v>
      </c>
      <c r="Z75" s="24">
        <f t="shared" si="17"/>
        <v>21.491320370993172</v>
      </c>
      <c r="AA75" s="24">
        <v>0</v>
      </c>
    </row>
    <row r="76" spans="1:27">
      <c r="A76" s="24">
        <f>Model_Data!A76</f>
        <v>-23</v>
      </c>
      <c r="B76" s="24">
        <f>Model_Data!Y76</f>
        <v>279.55588840772998</v>
      </c>
      <c r="C76" s="24">
        <f>Model_Data!X76</f>
        <v>-132.54578984267809</v>
      </c>
      <c r="D76" s="24">
        <f>Model_Data!B76</f>
        <v>400.58777777777777</v>
      </c>
      <c r="E76" s="24">
        <f>Inputs!$C$6</f>
        <v>25</v>
      </c>
      <c r="F76" s="24">
        <f>Subsurface_Inputs!$C$5+Subsurface_Inputs!$C$6*SIN(2*PI()*(A76+Subsurface_Inputs!$C$7)/Subsurface_Inputs!$C$8)+Subsurface_Inputs!$C$9*COS(2*PI()*A76/Subsurface_Inputs!$C$10)+Subsurface_Inputs!$C$11*(B76-AVERAGE($B$2:$B$242))</f>
        <v>1059.6253530699855</v>
      </c>
      <c r="G76" s="24">
        <f t="shared" si="9"/>
        <v>-780.06946466225554</v>
      </c>
      <c r="H76" s="24">
        <f>MIN(1,MAX(0,Subsurface_Inputs!$C$13*EXP(-0.5*((A76-Subsurface_Inputs!$C$14)/Subsurface_Inputs!$C$15)^2)+Subsurface_Inputs!$C$16*EXP(-0.5*((A76-Subsurface_Inputs!$C$17)/Subsurface_Inputs!$C$18)^2)))</f>
        <v>0.94526185543928676</v>
      </c>
      <c r="I76" s="24">
        <f>Subsurface_Inputs!$C$19+Subsurface_Inputs!$C$20*SIN(2*PI()*(A76-Subsurface_Inputs!$C$21)/Subsurface_Inputs!$C$22)-Subsurface_Inputs!$C$23*H76</f>
        <v>4459.5848616323892</v>
      </c>
      <c r="J76" s="24">
        <f t="shared" si="10"/>
        <v>-4180.0289732246592</v>
      </c>
      <c r="K76" s="24">
        <f>Subsurface_Inputs!$C$25+Subsurface_Inputs!$C$26*SIN(2*PI()*(A76+Subsurface_Inputs!$C$27)/Subsurface_Inputs!$C$28)+Subsurface_Inputs!$C$29*COS(2*PI()*(A76-Subsurface_Inputs!$C$30)/Subsurface_Inputs!$C$31)-Subsurface_Inputs!$C$32*(B76-AVERAGE($B$2:$B$242))</f>
        <v>14780.793521743946</v>
      </c>
      <c r="L76" s="24">
        <f t="shared" si="11"/>
        <v>-14501.237633336215</v>
      </c>
      <c r="M76" s="24">
        <f>2*Subsurface_Inputs!$C$34*F76/Subsurface_Inputs!$C$35*1000000</f>
        <v>12.582925808390911</v>
      </c>
      <c r="N76" s="24">
        <f>2*Subsurface_Inputs!$C$34*I76/Subsurface_Inputs!$C$35*1000000</f>
        <v>52.957043060140307</v>
      </c>
      <c r="O76" s="24">
        <f>2*Subsurface_Inputs!$C$34*K76/Subsurface_Inputs!$C$35*1000000</f>
        <v>175.52017581912767</v>
      </c>
      <c r="P76" s="24">
        <f>Subsurface_Inputs!$C$37-2*Subsurface_Inputs!$C$36*(F76/1000)</f>
        <v>-11.907325635525973</v>
      </c>
      <c r="Q76" s="24">
        <f>Subsurface_Inputs!$C$38+Subsurface_Inputs!$C$39*H76-2*Subsurface_Inputs!$C$36*(I76/1000)</f>
        <v>-23.51989605198472</v>
      </c>
      <c r="R76" s="24">
        <f>Subsurface_Inputs!$C$40-2*Subsurface_Inputs!$C$36*(K76/1000)-Subsurface_Inputs!$C$41*ABS(L76-AVERAGE($L$2:$L$242))</f>
        <v>-33.648308319765583</v>
      </c>
      <c r="S76" s="24">
        <f t="shared" si="12"/>
        <v>-296.59117383016746</v>
      </c>
      <c r="T76" s="24">
        <f t="shared" si="13"/>
        <v>13.949074999876595</v>
      </c>
      <c r="U76" s="25" t="str">
        <f>IF(H76&gt;=Subsurface_Inputs!$C$42,"Lens visible","Weak/no lens")</f>
        <v>Lens visible</v>
      </c>
      <c r="V76" s="25" t="str">
        <f t="shared" si="14"/>
        <v>Likely visible</v>
      </c>
      <c r="W76" s="24">
        <f>Subsurface_Inputs!$C$43</f>
        <v>-45</v>
      </c>
      <c r="X76" s="24">
        <f t="shared" si="15"/>
        <v>21.48010394801528</v>
      </c>
      <c r="Y76" s="24">
        <f t="shared" si="16"/>
        <v>11.351691680234417</v>
      </c>
      <c r="Z76" s="24">
        <f t="shared" si="17"/>
        <v>21.48010394801528</v>
      </c>
      <c r="AA76" s="24">
        <v>0</v>
      </c>
    </row>
    <row r="77" spans="1:27">
      <c r="A77" s="24">
        <f>Model_Data!A77</f>
        <v>-22.5</v>
      </c>
      <c r="B77" s="24">
        <f>Model_Data!Y77</f>
        <v>286.69936407981004</v>
      </c>
      <c r="C77" s="24">
        <f>Model_Data!X77</f>
        <v>-138.29494668428998</v>
      </c>
      <c r="D77" s="24">
        <f>Model_Data!B77</f>
        <v>400.5625</v>
      </c>
      <c r="E77" s="24">
        <f>Inputs!$C$6</f>
        <v>25</v>
      </c>
      <c r="F77" s="24">
        <f>Subsurface_Inputs!$C$5+Subsurface_Inputs!$C$6*SIN(2*PI()*(A77+Subsurface_Inputs!$C$7)/Subsurface_Inputs!$C$8)+Subsurface_Inputs!$C$9*COS(2*PI()*A77/Subsurface_Inputs!$C$10)+Subsurface_Inputs!$C$11*(B77-AVERAGE($B$2:$B$242))</f>
        <v>1055.4003997163388</v>
      </c>
      <c r="G77" s="24">
        <f t="shared" si="9"/>
        <v>-768.70103563652879</v>
      </c>
      <c r="H77" s="24">
        <f>MIN(1,MAX(0,Subsurface_Inputs!$C$13*EXP(-0.5*((A77-Subsurface_Inputs!$C$14)/Subsurface_Inputs!$C$15)^2)+Subsurface_Inputs!$C$16*EXP(-0.5*((A77-Subsurface_Inputs!$C$17)/Subsurface_Inputs!$C$18)^2)))</f>
        <v>0.93937239269209161</v>
      </c>
      <c r="I77" s="24">
        <f>Subsurface_Inputs!$C$19+Subsurface_Inputs!$C$20*SIN(2*PI()*(A77-Subsurface_Inputs!$C$21)/Subsurface_Inputs!$C$22)-Subsurface_Inputs!$C$23*H77</f>
        <v>4449.2273581552054</v>
      </c>
      <c r="J77" s="24">
        <f t="shared" si="10"/>
        <v>-4162.5279940753953</v>
      </c>
      <c r="K77" s="24">
        <f>Subsurface_Inputs!$C$25+Subsurface_Inputs!$C$26*SIN(2*PI()*(A77+Subsurface_Inputs!$C$27)/Subsurface_Inputs!$C$28)+Subsurface_Inputs!$C$29*COS(2*PI()*(A77-Subsurface_Inputs!$C$30)/Subsurface_Inputs!$C$31)-Subsurface_Inputs!$C$32*(B77-AVERAGE($B$2:$B$242))</f>
        <v>14797.70065261399</v>
      </c>
      <c r="L77" s="24">
        <f t="shared" si="11"/>
        <v>-14511.00128853418</v>
      </c>
      <c r="M77" s="24">
        <f>2*Subsurface_Inputs!$C$34*F77/Subsurface_Inputs!$C$35*1000000</f>
        <v>12.532754986752089</v>
      </c>
      <c r="N77" s="24">
        <f>2*Subsurface_Inputs!$C$34*I77/Subsurface_Inputs!$C$35*1000000</f>
        <v>52.834048930719035</v>
      </c>
      <c r="O77" s="24">
        <f>2*Subsurface_Inputs!$C$34*K77/Subsurface_Inputs!$C$35*1000000</f>
        <v>175.72094599960153</v>
      </c>
      <c r="P77" s="24">
        <f>Subsurface_Inputs!$C$37-2*Subsurface_Inputs!$C$36*(F77/1000)</f>
        <v>-11.899720719489411</v>
      </c>
      <c r="Q77" s="24">
        <f>Subsurface_Inputs!$C$38+Subsurface_Inputs!$C$39*H77-2*Subsurface_Inputs!$C$36*(I77/1000)</f>
        <v>-23.554257710450546</v>
      </c>
      <c r="R77" s="24">
        <f>Subsurface_Inputs!$C$40-2*Subsurface_Inputs!$C$36*(K77/1000)-Subsurface_Inputs!$C$41*ABS(L77-AVERAGE($L$2:$L$242))</f>
        <v>-33.639686534539798</v>
      </c>
      <c r="S77" s="24">
        <f t="shared" si="12"/>
        <v>-279.68404296012341</v>
      </c>
      <c r="T77" s="24">
        <f t="shared" si="13"/>
        <v>14.0209352361352</v>
      </c>
      <c r="U77" s="25" t="str">
        <f>IF(H77&gt;=Subsurface_Inputs!$C$42,"Lens visible","Weak/no lens")</f>
        <v>Lens visible</v>
      </c>
      <c r="V77" s="25" t="str">
        <f t="shared" si="14"/>
        <v>Likely visible</v>
      </c>
      <c r="W77" s="24">
        <f>Subsurface_Inputs!$C$43</f>
        <v>-45</v>
      </c>
      <c r="X77" s="24">
        <f t="shared" si="15"/>
        <v>21.445742289549454</v>
      </c>
      <c r="Y77" s="24">
        <f t="shared" si="16"/>
        <v>11.360313465460202</v>
      </c>
      <c r="Z77" s="24">
        <f t="shared" si="17"/>
        <v>21.445742289549454</v>
      </c>
      <c r="AA77" s="24">
        <v>0</v>
      </c>
    </row>
    <row r="78" spans="1:27">
      <c r="A78" s="24">
        <f>Model_Data!A78</f>
        <v>-22</v>
      </c>
      <c r="B78" s="24">
        <f>Model_Data!Y78</f>
        <v>316.60820817766938</v>
      </c>
      <c r="C78" s="24">
        <f>Model_Data!X78</f>
        <v>-144.0992283446906</v>
      </c>
      <c r="D78" s="24">
        <f>Model_Data!B78</f>
        <v>400.53777777777776</v>
      </c>
      <c r="E78" s="24">
        <f>Inputs!$C$6</f>
        <v>25</v>
      </c>
      <c r="F78" s="24">
        <f>Subsurface_Inputs!$C$5+Subsurface_Inputs!$C$6*SIN(2*PI()*(A78+Subsurface_Inputs!$C$7)/Subsurface_Inputs!$C$8)+Subsurface_Inputs!$C$9*COS(2*PI()*A78/Subsurface_Inputs!$C$10)+Subsurface_Inputs!$C$11*(B78-AVERAGE($B$2:$B$242))</f>
        <v>1051.8338169356318</v>
      </c>
      <c r="G78" s="24">
        <f t="shared" si="9"/>
        <v>-735.22560875796239</v>
      </c>
      <c r="H78" s="24">
        <f>MIN(1,MAX(0,Subsurface_Inputs!$C$13*EXP(-0.5*((A78-Subsurface_Inputs!$C$14)/Subsurface_Inputs!$C$15)^2)+Subsurface_Inputs!$C$16*EXP(-0.5*((A78-Subsurface_Inputs!$C$17)/Subsurface_Inputs!$C$18)^2)))</f>
        <v>0.93118874010982844</v>
      </c>
      <c r="I78" s="24">
        <f>Subsurface_Inputs!$C$19+Subsurface_Inputs!$C$20*SIN(2*PI()*(A78-Subsurface_Inputs!$C$21)/Subsurface_Inputs!$C$22)-Subsurface_Inputs!$C$23*H78</f>
        <v>4440.0446807850267</v>
      </c>
      <c r="J78" s="24">
        <f t="shared" si="10"/>
        <v>-4123.4364726073572</v>
      </c>
      <c r="K78" s="24">
        <f>Subsurface_Inputs!$C$25+Subsurface_Inputs!$C$26*SIN(2*PI()*(A78+Subsurface_Inputs!$C$27)/Subsurface_Inputs!$C$28)+Subsurface_Inputs!$C$29*COS(2*PI()*(A78-Subsurface_Inputs!$C$30)/Subsurface_Inputs!$C$31)-Subsurface_Inputs!$C$32*(B78-AVERAGE($B$2:$B$242))</f>
        <v>14812.199905041163</v>
      </c>
      <c r="L78" s="24">
        <f t="shared" si="11"/>
        <v>-14495.591696863494</v>
      </c>
      <c r="M78" s="24">
        <f>2*Subsurface_Inputs!$C$34*F78/Subsurface_Inputs!$C$35*1000000</f>
        <v>12.490402237840318</v>
      </c>
      <c r="N78" s="24">
        <f>2*Subsurface_Inputs!$C$34*I78/Subsurface_Inputs!$C$35*1000000</f>
        <v>52.725005722441146</v>
      </c>
      <c r="O78" s="24">
        <f>2*Subsurface_Inputs!$C$34*K78/Subsurface_Inputs!$C$35*1000000</f>
        <v>175.89312290820385</v>
      </c>
      <c r="P78" s="24">
        <f>Subsurface_Inputs!$C$37-2*Subsurface_Inputs!$C$36*(F78/1000)</f>
        <v>-11.893300870484138</v>
      </c>
      <c r="Q78" s="24">
        <f>Subsurface_Inputs!$C$38+Subsurface_Inputs!$C$39*H78-2*Subsurface_Inputs!$C$36*(I78/1000)</f>
        <v>-23.611381764424593</v>
      </c>
      <c r="R78" s="24">
        <f>Subsurface_Inputs!$C$40-2*Subsurface_Inputs!$C$36*(K78/1000)-Subsurface_Inputs!$C$41*ABS(L78-AVERAGE($L$2:$L$242))</f>
        <v>-33.72742355559145</v>
      </c>
      <c r="S78" s="24">
        <f t="shared" si="12"/>
        <v>-265.1847905329505</v>
      </c>
      <c r="T78" s="24">
        <f t="shared" si="13"/>
        <v>14.082262489139588</v>
      </c>
      <c r="U78" s="25" t="str">
        <f>IF(H78&gt;=Subsurface_Inputs!$C$42,"Lens visible","Weak/no lens")</f>
        <v>Lens visible</v>
      </c>
      <c r="V78" s="25" t="str">
        <f t="shared" si="14"/>
        <v>Likely visible</v>
      </c>
      <c r="W78" s="24">
        <f>Subsurface_Inputs!$C$43</f>
        <v>-45</v>
      </c>
      <c r="X78" s="24">
        <f t="shared" si="15"/>
        <v>21.388618235575407</v>
      </c>
      <c r="Y78" s="24">
        <f t="shared" si="16"/>
        <v>11.27257644440855</v>
      </c>
      <c r="Z78" s="24">
        <f t="shared" si="17"/>
        <v>21.388618235575407</v>
      </c>
      <c r="AA78" s="24">
        <v>0</v>
      </c>
    </row>
    <row r="79" spans="1:27">
      <c r="A79" s="24">
        <f>Model_Data!A79</f>
        <v>-21.5</v>
      </c>
      <c r="B79" s="24">
        <f>Model_Data!Y79</f>
        <v>332.44947759769417</v>
      </c>
      <c r="C79" s="24">
        <f>Model_Data!X79</f>
        <v>-156.9345481530768</v>
      </c>
      <c r="D79" s="24">
        <f>Model_Data!B79</f>
        <v>400.51361111111112</v>
      </c>
      <c r="E79" s="24">
        <f>Inputs!$C$6</f>
        <v>25</v>
      </c>
      <c r="F79" s="24">
        <f>Subsurface_Inputs!$C$5+Subsurface_Inputs!$C$6*SIN(2*PI()*(A79+Subsurface_Inputs!$C$7)/Subsurface_Inputs!$C$8)+Subsurface_Inputs!$C$9*COS(2*PI()*A79/Subsurface_Inputs!$C$10)+Subsurface_Inputs!$C$11*(B79-AVERAGE($B$2:$B$242))</f>
        <v>1047.5006423149632</v>
      </c>
      <c r="G79" s="24">
        <f t="shared" si="9"/>
        <v>-715.0511647172691</v>
      </c>
      <c r="H79" s="24">
        <f>MIN(1,MAX(0,Subsurface_Inputs!$C$13*EXP(-0.5*((A79-Subsurface_Inputs!$C$14)/Subsurface_Inputs!$C$15)^2)+Subsurface_Inputs!$C$16*EXP(-0.5*((A79-Subsurface_Inputs!$C$17)/Subsurface_Inputs!$C$18)^2)))</f>
        <v>0.92077157345432303</v>
      </c>
      <c r="I79" s="24">
        <f>Subsurface_Inputs!$C$19+Subsurface_Inputs!$C$20*SIN(2*PI()*(A79-Subsurface_Inputs!$C$21)/Subsurface_Inputs!$C$22)-Subsurface_Inputs!$C$23*H79</f>
        <v>4432.038626737618</v>
      </c>
      <c r="J79" s="24">
        <f t="shared" si="10"/>
        <v>-4099.5891491399234</v>
      </c>
      <c r="K79" s="24">
        <f>Subsurface_Inputs!$C$25+Subsurface_Inputs!$C$26*SIN(2*PI()*(A79+Subsurface_Inputs!$C$27)/Subsurface_Inputs!$C$28)+Subsurface_Inputs!$C$29*COS(2*PI()*(A79-Subsurface_Inputs!$C$30)/Subsurface_Inputs!$C$31)-Subsurface_Inputs!$C$32*(B79-AVERAGE($B$2:$B$242))</f>
        <v>14829.435200520922</v>
      </c>
      <c r="L79" s="24">
        <f t="shared" si="11"/>
        <v>-14496.985722923228</v>
      </c>
      <c r="M79" s="24">
        <f>2*Subsurface_Inputs!$C$34*F79/Subsurface_Inputs!$C$35*1000000</f>
        <v>12.438946301448548</v>
      </c>
      <c r="N79" s="24">
        <f>2*Subsurface_Inputs!$C$34*I79/Subsurface_Inputs!$C$35*1000000</f>
        <v>52.62993477703138</v>
      </c>
      <c r="O79" s="24">
        <f>2*Subsurface_Inputs!$C$34*K79/Subsurface_Inputs!$C$35*1000000</f>
        <v>176.09779000462541</v>
      </c>
      <c r="P79" s="24">
        <f>Subsurface_Inputs!$C$37-2*Subsurface_Inputs!$C$36*(F79/1000)</f>
        <v>-11.885501156166933</v>
      </c>
      <c r="Q79" s="24">
        <f>Subsurface_Inputs!$C$38+Subsurface_Inputs!$C$39*H79-2*Subsurface_Inputs!$C$36*(I79/1000)</f>
        <v>-23.690725367038805</v>
      </c>
      <c r="R79" s="24">
        <f>Subsurface_Inputs!$C$40-2*Subsurface_Inputs!$C$36*(K79/1000)-Subsurface_Inputs!$C$41*ABS(L79-AVERAGE($L$2:$L$242))</f>
        <v>-33.752870983216084</v>
      </c>
      <c r="S79" s="24">
        <f t="shared" si="12"/>
        <v>-247.94949505319164</v>
      </c>
      <c r="T79" s="24">
        <f t="shared" si="13"/>
        <v>14.156970030823139</v>
      </c>
      <c r="U79" s="25" t="str">
        <f>IF(H79&gt;=Subsurface_Inputs!$C$42,"Lens visible","Weak/no lens")</f>
        <v>Lens visible</v>
      </c>
      <c r="V79" s="25" t="str">
        <f t="shared" si="14"/>
        <v>Likely visible</v>
      </c>
      <c r="W79" s="24">
        <f>Subsurface_Inputs!$C$43</f>
        <v>-45</v>
      </c>
      <c r="X79" s="24">
        <f t="shared" si="15"/>
        <v>21.309274632961195</v>
      </c>
      <c r="Y79" s="24">
        <f t="shared" si="16"/>
        <v>11.247129016783916</v>
      </c>
      <c r="Z79" s="24">
        <f t="shared" si="17"/>
        <v>21.309274632961195</v>
      </c>
      <c r="AA79" s="24">
        <v>0</v>
      </c>
    </row>
    <row r="80" spans="1:27">
      <c r="A80" s="24">
        <f>Model_Data!A80</f>
        <v>-21</v>
      </c>
      <c r="B80" s="24">
        <f>Model_Data!Y80</f>
        <v>317.91812880175183</v>
      </c>
      <c r="C80" s="24">
        <f>Model_Data!X80</f>
        <v>-142.37794992196604</v>
      </c>
      <c r="D80" s="24">
        <f>Model_Data!B80</f>
        <v>400.49</v>
      </c>
      <c r="E80" s="24">
        <f>Inputs!$C$6</f>
        <v>25</v>
      </c>
      <c r="F80" s="24">
        <f>Subsurface_Inputs!$C$5+Subsurface_Inputs!$C$6*SIN(2*PI()*(A80+Subsurface_Inputs!$C$7)/Subsurface_Inputs!$C$8)+Subsurface_Inputs!$C$9*COS(2*PI()*A80/Subsurface_Inputs!$C$10)+Subsurface_Inputs!$C$11*(B80-AVERAGE($B$2:$B$242))</f>
        <v>1041.8121991926193</v>
      </c>
      <c r="G80" s="24">
        <f t="shared" si="9"/>
        <v>-723.89407039086745</v>
      </c>
      <c r="H80" s="24">
        <f>MIN(1,MAX(0,Subsurface_Inputs!$C$13*EXP(-0.5*((A80-Subsurface_Inputs!$C$14)/Subsurface_Inputs!$C$15)^2)+Subsurface_Inputs!$C$16*EXP(-0.5*((A80-Subsurface_Inputs!$C$17)/Subsurface_Inputs!$C$18)^2)))</f>
        <v>0.90819760878881084</v>
      </c>
      <c r="I80" s="24">
        <f>Subsurface_Inputs!$C$19+Subsurface_Inputs!$C$20*SIN(2*PI()*(A80-Subsurface_Inputs!$C$21)/Subsurface_Inputs!$C$22)-Subsurface_Inputs!$C$23*H80</f>
        <v>4425.2062034169958</v>
      </c>
      <c r="J80" s="24">
        <f t="shared" si="10"/>
        <v>-4107.2880746152441</v>
      </c>
      <c r="K80" s="24">
        <f>Subsurface_Inputs!$C$25+Subsurface_Inputs!$C$26*SIN(2*PI()*(A80+Subsurface_Inputs!$C$27)/Subsurface_Inputs!$C$28)+Subsurface_Inputs!$C$29*COS(2*PI()*(A80-Subsurface_Inputs!$C$30)/Subsurface_Inputs!$C$31)-Subsurface_Inputs!$C$32*(B80-AVERAGE($B$2:$B$242))</f>
        <v>14851.674432510064</v>
      </c>
      <c r="L80" s="24">
        <f t="shared" si="11"/>
        <v>-14533.756303708313</v>
      </c>
      <c r="M80" s="24">
        <f>2*Subsurface_Inputs!$C$34*F80/Subsurface_Inputs!$C$35*1000000</f>
        <v>12.371396711806955</v>
      </c>
      <c r="N80" s="24">
        <f>2*Subsurface_Inputs!$C$34*I80/Subsurface_Inputs!$C$35*1000000</f>
        <v>52.548800557766214</v>
      </c>
      <c r="O80" s="24">
        <f>2*Subsurface_Inputs!$C$34*K80/Subsurface_Inputs!$C$35*1000000</f>
        <v>176.36187825557582</v>
      </c>
      <c r="P80" s="24">
        <f>Subsurface_Inputs!$C$37-2*Subsurface_Inputs!$C$36*(F80/1000)</f>
        <v>-11.875261958546714</v>
      </c>
      <c r="Q80" s="24">
        <f>Subsurface_Inputs!$C$38+Subsurface_Inputs!$C$39*H80-2*Subsurface_Inputs!$C$36*(I80/1000)</f>
        <v>-23.791592687051295</v>
      </c>
      <c r="R80" s="24">
        <f>Subsurface_Inputs!$C$40-2*Subsurface_Inputs!$C$36*(K80/1000)-Subsurface_Inputs!$C$41*ABS(L80-AVERAGE($L$2:$L$242))</f>
        <v>-33.645819277656202</v>
      </c>
      <c r="S80" s="24">
        <f t="shared" si="12"/>
        <v>-225.71026306404929</v>
      </c>
      <c r="T80" s="24">
        <f t="shared" si="13"/>
        <v>14.255615785666334</v>
      </c>
      <c r="U80" s="25" t="str">
        <f>IF(H80&gt;=Subsurface_Inputs!$C$42,"Lens visible","Weak/no lens")</f>
        <v>Lens visible</v>
      </c>
      <c r="V80" s="25" t="str">
        <f t="shared" si="14"/>
        <v>Likely visible</v>
      </c>
      <c r="W80" s="24">
        <f>Subsurface_Inputs!$C$43</f>
        <v>-45</v>
      </c>
      <c r="X80" s="24">
        <f t="shared" si="15"/>
        <v>21.208407312948705</v>
      </c>
      <c r="Y80" s="24">
        <f t="shared" si="16"/>
        <v>11.354180722343798</v>
      </c>
      <c r="Z80" s="24">
        <f t="shared" si="17"/>
        <v>21.208407312948705</v>
      </c>
      <c r="AA80" s="24">
        <v>0</v>
      </c>
    </row>
    <row r="81" spans="1:27">
      <c r="A81" s="24">
        <f>Model_Data!A81</f>
        <v>-20.5</v>
      </c>
      <c r="B81" s="24">
        <f>Model_Data!Y81</f>
        <v>343.37986587370784</v>
      </c>
      <c r="C81" s="24">
        <f>Model_Data!X81</f>
        <v>-140.55086511584989</v>
      </c>
      <c r="D81" s="24">
        <f>Model_Data!B81</f>
        <v>400.46694444444444</v>
      </c>
      <c r="E81" s="24">
        <f>Inputs!$C$6</f>
        <v>25</v>
      </c>
      <c r="F81" s="24">
        <f>Subsurface_Inputs!$C$5+Subsurface_Inputs!$C$6*SIN(2*PI()*(A81+Subsurface_Inputs!$C$7)/Subsurface_Inputs!$C$8)+Subsurface_Inputs!$C$9*COS(2*PI()*A81/Subsurface_Inputs!$C$10)+Subsurface_Inputs!$C$11*(B81-AVERAGE($B$2:$B$242))</f>
        <v>1037.6607893939624</v>
      </c>
      <c r="G81" s="24">
        <f t="shared" si="9"/>
        <v>-694.28092352025465</v>
      </c>
      <c r="H81" s="24">
        <f>MIN(1,MAX(0,Subsurface_Inputs!$C$13*EXP(-0.5*((A81-Subsurface_Inputs!$C$14)/Subsurface_Inputs!$C$15)^2)+Subsurface_Inputs!$C$16*EXP(-0.5*((A81-Subsurface_Inputs!$C$17)/Subsurface_Inputs!$C$18)^2)))</f>
        <v>0.89355866175312793</v>
      </c>
      <c r="I81" s="24">
        <f>Subsurface_Inputs!$C$19+Subsurface_Inputs!$C$20*SIN(2*PI()*(A81-Subsurface_Inputs!$C$21)/Subsurface_Inputs!$C$22)-Subsurface_Inputs!$C$23*H81</f>
        <v>4419.5398315595003</v>
      </c>
      <c r="J81" s="24">
        <f t="shared" si="10"/>
        <v>-4076.1599656857925</v>
      </c>
      <c r="K81" s="24">
        <f>Subsurface_Inputs!$C$25+Subsurface_Inputs!$C$26*SIN(2*PI()*(A81+Subsurface_Inputs!$C$27)/Subsurface_Inputs!$C$28)+Subsurface_Inputs!$C$29*COS(2*PI()*(A81-Subsurface_Inputs!$C$30)/Subsurface_Inputs!$C$31)-Subsurface_Inputs!$C$32*(B81-AVERAGE($B$2:$B$242))</f>
        <v>14869.049486702863</v>
      </c>
      <c r="L81" s="24">
        <f t="shared" si="11"/>
        <v>-14525.669620829154</v>
      </c>
      <c r="M81" s="24">
        <f>2*Subsurface_Inputs!$C$34*F81/Subsurface_Inputs!$C$35*1000000</f>
        <v>12.322099211189986</v>
      </c>
      <c r="N81" s="24">
        <f>2*Subsurface_Inputs!$C$34*I81/Subsurface_Inputs!$C$35*1000000</f>
        <v>52.481513061785634</v>
      </c>
      <c r="O81" s="24">
        <f>2*Subsurface_Inputs!$C$34*K81/Subsurface_Inputs!$C$35*1000000</f>
        <v>176.56820497019373</v>
      </c>
      <c r="P81" s="24">
        <f>Subsurface_Inputs!$C$37-2*Subsurface_Inputs!$C$36*(F81/1000)</f>
        <v>-11.867789420909132</v>
      </c>
      <c r="Q81" s="24">
        <f>Subsurface_Inputs!$C$38+Subsurface_Inputs!$C$39*H81-2*Subsurface_Inputs!$C$36*(I81/1000)</f>
        <v>-23.91314374102895</v>
      </c>
      <c r="R81" s="24">
        <f>Subsurface_Inputs!$C$40-2*Subsurface_Inputs!$C$36*(K81/1000)-Subsurface_Inputs!$C$41*ABS(L81-AVERAGE($L$2:$L$242))</f>
        <v>-33.709441106719872</v>
      </c>
      <c r="S81" s="24">
        <f t="shared" si="12"/>
        <v>-208.33520887125087</v>
      </c>
      <c r="T81" s="24">
        <f t="shared" si="13"/>
        <v>14.329393226265216</v>
      </c>
      <c r="U81" s="25" t="str">
        <f>IF(H81&gt;=Subsurface_Inputs!$C$42,"Lens visible","Weak/no lens")</f>
        <v>Lens visible</v>
      </c>
      <c r="V81" s="25" t="str">
        <f t="shared" si="14"/>
        <v>Likely visible</v>
      </c>
      <c r="W81" s="24">
        <f>Subsurface_Inputs!$C$43</f>
        <v>-45</v>
      </c>
      <c r="X81" s="24">
        <f t="shared" si="15"/>
        <v>21.08685625897105</v>
      </c>
      <c r="Y81" s="24">
        <f t="shared" si="16"/>
        <v>11.290558893280128</v>
      </c>
      <c r="Z81" s="24">
        <f t="shared" si="17"/>
        <v>21.08685625897105</v>
      </c>
      <c r="AA81" s="24">
        <v>0</v>
      </c>
    </row>
    <row r="82" spans="1:27">
      <c r="A82" s="24">
        <f>Model_Data!A82</f>
        <v>-20</v>
      </c>
      <c r="B82" s="24">
        <f>Model_Data!Y82</f>
        <v>338.15830709982725</v>
      </c>
      <c r="C82" s="24">
        <f>Model_Data!X82</f>
        <v>-146.32822187126578</v>
      </c>
      <c r="D82" s="24">
        <f>Model_Data!B82</f>
        <v>400.44444444444446</v>
      </c>
      <c r="E82" s="24">
        <f>Inputs!$C$6</f>
        <v>25</v>
      </c>
      <c r="F82" s="24">
        <f>Subsurface_Inputs!$C$5+Subsurface_Inputs!$C$6*SIN(2*PI()*(A82+Subsurface_Inputs!$C$7)/Subsurface_Inputs!$C$8)+Subsurface_Inputs!$C$9*COS(2*PI()*A82/Subsurface_Inputs!$C$10)+Subsurface_Inputs!$C$11*(B82-AVERAGE($B$2:$B$242))</f>
        <v>1032.3098306448724</v>
      </c>
      <c r="G82" s="24">
        <f t="shared" si="9"/>
        <v>-694.15152354504517</v>
      </c>
      <c r="H82" s="24">
        <f>MIN(1,MAX(0,Subsurface_Inputs!$C$13*EXP(-0.5*((A82-Subsurface_Inputs!$C$14)/Subsurface_Inputs!$C$15)^2)+Subsurface_Inputs!$C$16*EXP(-0.5*((A82-Subsurface_Inputs!$C$17)/Subsurface_Inputs!$C$18)^2)))</f>
        <v>0.87696053137290375</v>
      </c>
      <c r="I82" s="24">
        <f>Subsurface_Inputs!$C$19+Subsurface_Inputs!$C$20*SIN(2*PI()*(A82-Subsurface_Inputs!$C$21)/Subsurface_Inputs!$C$22)-Subsurface_Inputs!$C$23*H82</f>
        <v>4415.0275919026963</v>
      </c>
      <c r="J82" s="24">
        <f t="shared" si="10"/>
        <v>-4076.8692848028691</v>
      </c>
      <c r="K82" s="24">
        <f>Subsurface_Inputs!$C$25+Subsurface_Inputs!$C$26*SIN(2*PI()*(A82+Subsurface_Inputs!$C$27)/Subsurface_Inputs!$C$28)+Subsurface_Inputs!$C$29*COS(2*PI()*(A82-Subsurface_Inputs!$C$30)/Subsurface_Inputs!$C$31)-Subsurface_Inputs!$C$32*(B82-AVERAGE($B$2:$B$242))</f>
        <v>14891.436062206307</v>
      </c>
      <c r="L82" s="24">
        <f t="shared" si="11"/>
        <v>-14553.277755106479</v>
      </c>
      <c r="M82" s="24">
        <f>2*Subsurface_Inputs!$C$34*F82/Subsurface_Inputs!$C$35*1000000</f>
        <v>12.258557208586435</v>
      </c>
      <c r="N82" s="24">
        <f>2*Subsurface_Inputs!$C$34*I82/Subsurface_Inputs!$C$35*1000000</f>
        <v>52.427930749257207</v>
      </c>
      <c r="O82" s="24">
        <f>2*Subsurface_Inputs!$C$34*K82/Subsurface_Inputs!$C$35*1000000</f>
        <v>176.83404290795886</v>
      </c>
      <c r="P82" s="24">
        <f>Subsurface_Inputs!$C$37-2*Subsurface_Inputs!$C$36*(F82/1000)</f>
        <v>-11.85815769516077</v>
      </c>
      <c r="Q82" s="24">
        <f>Subsurface_Inputs!$C$38+Subsurface_Inputs!$C$39*H82-2*Subsurface_Inputs!$C$36*(I82/1000)</f>
        <v>-24.05440488306872</v>
      </c>
      <c r="R82" s="24">
        <f>Subsurface_Inputs!$C$40-2*Subsurface_Inputs!$C$36*(K82/1000)-Subsurface_Inputs!$C$41*ABS(L82-AVERAGE($L$2:$L$242))</f>
        <v>-33.639304405516768</v>
      </c>
      <c r="S82" s="24">
        <f t="shared" si="12"/>
        <v>-185.94863336780691</v>
      </c>
      <c r="T82" s="24">
        <f t="shared" si="13"/>
        <v>14.425355276238912</v>
      </c>
      <c r="U82" s="25" t="str">
        <f>IF(H82&gt;=Subsurface_Inputs!$C$42,"Lens visible","Weak/no lens")</f>
        <v>Lens visible</v>
      </c>
      <c r="V82" s="25" t="str">
        <f t="shared" si="14"/>
        <v>Likely visible</v>
      </c>
      <c r="W82" s="24">
        <f>Subsurface_Inputs!$C$43</f>
        <v>-45</v>
      </c>
      <c r="X82" s="24">
        <f t="shared" si="15"/>
        <v>20.94559511693128</v>
      </c>
      <c r="Y82" s="24">
        <f t="shared" si="16"/>
        <v>11.360695594483232</v>
      </c>
      <c r="Z82" s="24">
        <f t="shared" si="17"/>
        <v>20.94559511693128</v>
      </c>
      <c r="AA82" s="24">
        <v>0</v>
      </c>
    </row>
    <row r="83" spans="1:27">
      <c r="A83" s="24">
        <f>Model_Data!A83</f>
        <v>-19.5</v>
      </c>
      <c r="B83" s="24">
        <f>Model_Data!Y83</f>
        <v>363.81454233492502</v>
      </c>
      <c r="C83" s="24">
        <f>Model_Data!X83</f>
        <v>-140.04833812864371</v>
      </c>
      <c r="D83" s="24">
        <f>Model_Data!B83</f>
        <v>400.42250000000001</v>
      </c>
      <c r="E83" s="24">
        <f>Inputs!$C$6</f>
        <v>25</v>
      </c>
      <c r="F83" s="24">
        <f>Subsurface_Inputs!$C$5+Subsurface_Inputs!$C$6*SIN(2*PI()*(A83+Subsurface_Inputs!$C$7)/Subsurface_Inputs!$C$8)+Subsurface_Inputs!$C$9*COS(2*PI()*A83/Subsurface_Inputs!$C$10)+Subsurface_Inputs!$C$11*(B83-AVERAGE($B$2:$B$242))</f>
        <v>1028.3233861410174</v>
      </c>
      <c r="G83" s="24">
        <f t="shared" si="9"/>
        <v>-664.50884380609239</v>
      </c>
      <c r="H83" s="24">
        <f>MIN(1,MAX(0,Subsurface_Inputs!$C$13*EXP(-0.5*((A83-Subsurface_Inputs!$C$14)/Subsurface_Inputs!$C$15)^2)+Subsurface_Inputs!$C$16*EXP(-0.5*((A83-Subsurface_Inputs!$C$17)/Subsurface_Inputs!$C$18)^2)))</f>
        <v>0.85852172738034327</v>
      </c>
      <c r="I83" s="24">
        <f>Subsurface_Inputs!$C$19+Subsurface_Inputs!$C$20*SIN(2*PI()*(A83-Subsurface_Inputs!$C$21)/Subsurface_Inputs!$C$22)-Subsurface_Inputs!$C$23*H83</f>
        <v>4411.6535108556282</v>
      </c>
      <c r="J83" s="24">
        <f t="shared" si="10"/>
        <v>-4047.838968520703</v>
      </c>
      <c r="K83" s="24">
        <f>Subsurface_Inputs!$C$25+Subsurface_Inputs!$C$26*SIN(2*PI()*(A83+Subsurface_Inputs!$C$27)/Subsurface_Inputs!$C$28)+Subsurface_Inputs!$C$29*COS(2*PI()*(A83-Subsurface_Inputs!$C$30)/Subsurface_Inputs!$C$31)-Subsurface_Inputs!$C$32*(B83-AVERAGE($B$2:$B$242))</f>
        <v>14910.194563445199</v>
      </c>
      <c r="L83" s="24">
        <f t="shared" si="11"/>
        <v>-14546.380021110273</v>
      </c>
      <c r="M83" s="24">
        <f>2*Subsurface_Inputs!$C$34*F83/Subsurface_Inputs!$C$35*1000000</f>
        <v>12.211218651344529</v>
      </c>
      <c r="N83" s="24">
        <f>2*Subsurface_Inputs!$C$34*I83/Subsurface_Inputs!$C$35*1000000</f>
        <v>52.387863935676585</v>
      </c>
      <c r="O83" s="24">
        <f>2*Subsurface_Inputs!$C$34*K83/Subsurface_Inputs!$C$35*1000000</f>
        <v>177.05679789271051</v>
      </c>
      <c r="P83" s="24">
        <f>Subsurface_Inputs!$C$37-2*Subsurface_Inputs!$C$36*(F83/1000)</f>
        <v>-11.850982095053832</v>
      </c>
      <c r="Q83" s="24">
        <f>Subsurface_Inputs!$C$38+Subsurface_Inputs!$C$39*H83-2*Subsurface_Inputs!$C$36*(I83/1000)</f>
        <v>-24.214280773117043</v>
      </c>
      <c r="R83" s="24">
        <f>Subsurface_Inputs!$C$40-2*Subsurface_Inputs!$C$36*(K83/1000)-Subsurface_Inputs!$C$41*ABS(L83-AVERAGE($L$2:$L$242))</f>
        <v>-33.700660643731595</v>
      </c>
      <c r="S83" s="24">
        <f t="shared" si="12"/>
        <v>-167.19013212891514</v>
      </c>
      <c r="T83" s="24">
        <f t="shared" si="13"/>
        <v>14.499519085526773</v>
      </c>
      <c r="U83" s="25" t="str">
        <f>IF(H83&gt;=Subsurface_Inputs!$C$42,"Lens visible","Weak/no lens")</f>
        <v>Lens visible</v>
      </c>
      <c r="V83" s="25" t="str">
        <f t="shared" si="14"/>
        <v>Likely visible</v>
      </c>
      <c r="W83" s="24">
        <f>Subsurface_Inputs!$C$43</f>
        <v>-45</v>
      </c>
      <c r="X83" s="24">
        <f t="shared" si="15"/>
        <v>20.785719226882957</v>
      </c>
      <c r="Y83" s="24">
        <f t="shared" si="16"/>
        <v>11.299339356268405</v>
      </c>
      <c r="Z83" s="24">
        <f t="shared" si="17"/>
        <v>20.785719226882957</v>
      </c>
      <c r="AA83" s="24">
        <v>0</v>
      </c>
    </row>
    <row r="84" spans="1:27">
      <c r="A84" s="24">
        <f>Model_Data!A84</f>
        <v>-19</v>
      </c>
      <c r="B84" s="24">
        <f>Model_Data!Y84</f>
        <v>371.18641988342398</v>
      </c>
      <c r="C84" s="24">
        <f>Model_Data!X84</f>
        <v>-144.88352309984418</v>
      </c>
      <c r="D84" s="24">
        <f>Model_Data!B84</f>
        <v>400.40111111111111</v>
      </c>
      <c r="E84" s="24">
        <f>Inputs!$C$6</f>
        <v>25</v>
      </c>
      <c r="F84" s="24">
        <f>Subsurface_Inputs!$C$5+Subsurface_Inputs!$C$6*SIN(2*PI()*(A84+Subsurface_Inputs!$C$7)/Subsurface_Inputs!$C$8)+Subsurface_Inputs!$C$9*COS(2*PI()*A84/Subsurface_Inputs!$C$10)+Subsurface_Inputs!$C$11*(B84-AVERAGE($B$2:$B$242))</f>
        <v>1023.8458104268633</v>
      </c>
      <c r="G84" s="24">
        <f t="shared" si="9"/>
        <v>-652.65939054343926</v>
      </c>
      <c r="H84" s="24">
        <f>MIN(1,MAX(0,Subsurface_Inputs!$C$13*EXP(-0.5*((A84-Subsurface_Inputs!$C$14)/Subsurface_Inputs!$C$15)^2)+Subsurface_Inputs!$C$16*EXP(-0.5*((A84-Subsurface_Inputs!$C$17)/Subsurface_Inputs!$C$18)^2)))</f>
        <v>0.83837206245206919</v>
      </c>
      <c r="I84" s="24">
        <f>Subsurface_Inputs!$C$19+Subsurface_Inputs!$C$20*SIN(2*PI()*(A84-Subsurface_Inputs!$C$21)/Subsurface_Inputs!$C$22)-Subsurface_Inputs!$C$23*H84</f>
        <v>4409.3978800621317</v>
      </c>
      <c r="J84" s="24">
        <f t="shared" si="10"/>
        <v>-4038.2114601787075</v>
      </c>
      <c r="K84" s="24">
        <f>Subsurface_Inputs!$C$25+Subsurface_Inputs!$C$26*SIN(2*PI()*(A84+Subsurface_Inputs!$C$27)/Subsurface_Inputs!$C$28)+Subsurface_Inputs!$C$29*COS(2*PI()*(A84-Subsurface_Inputs!$C$30)/Subsurface_Inputs!$C$31)-Subsurface_Inputs!$C$32*(B84-AVERAGE($B$2:$B$242))</f>
        <v>14932.184635308322</v>
      </c>
      <c r="L84" s="24">
        <f t="shared" si="11"/>
        <v>-14560.998215424897</v>
      </c>
      <c r="M84" s="24">
        <f>2*Subsurface_Inputs!$C$34*F84/Subsurface_Inputs!$C$35*1000000</f>
        <v>12.158047969037412</v>
      </c>
      <c r="N84" s="24">
        <f>2*Subsurface_Inputs!$C$34*I84/Subsurface_Inputs!$C$35*1000000</f>
        <v>52.361078586644055</v>
      </c>
      <c r="O84" s="24">
        <f>2*Subsurface_Inputs!$C$34*K84/Subsurface_Inputs!$C$35*1000000</f>
        <v>177.3179273966179</v>
      </c>
      <c r="P84" s="24">
        <f>Subsurface_Inputs!$C$37-2*Subsurface_Inputs!$C$36*(F84/1000)</f>
        <v>-11.842922458768355</v>
      </c>
      <c r="Q84" s="24">
        <f>Subsurface_Inputs!$C$38+Subsurface_Inputs!$C$39*H84-2*Subsurface_Inputs!$C$36*(I84/1000)</f>
        <v>-24.391567622043215</v>
      </c>
      <c r="R84" s="24">
        <f>Subsurface_Inputs!$C$40-2*Subsurface_Inputs!$C$36*(K84/1000)-Subsurface_Inputs!$C$41*ABS(L84-AVERAGE($L$2:$L$242))</f>
        <v>-33.681769995826727</v>
      </c>
      <c r="S84" s="24">
        <f t="shared" si="12"/>
        <v>-145.20006026579176</v>
      </c>
      <c r="T84" s="24">
        <f t="shared" si="13"/>
        <v>14.584407616106544</v>
      </c>
      <c r="U84" s="25" t="str">
        <f>IF(H84&gt;=Subsurface_Inputs!$C$42,"Lens visible","Weak/no lens")</f>
        <v>Lens visible</v>
      </c>
      <c r="V84" s="25" t="str">
        <f t="shared" si="14"/>
        <v>Likely visible</v>
      </c>
      <c r="W84" s="24">
        <f>Subsurface_Inputs!$C$43</f>
        <v>-45</v>
      </c>
      <c r="X84" s="24">
        <f t="shared" si="15"/>
        <v>20.608432377956785</v>
      </c>
      <c r="Y84" s="24">
        <f t="shared" si="16"/>
        <v>11.318230004173273</v>
      </c>
      <c r="Z84" s="24">
        <f t="shared" si="17"/>
        <v>20.608432377956785</v>
      </c>
      <c r="AA84" s="24">
        <v>0</v>
      </c>
    </row>
    <row r="85" spans="1:27">
      <c r="A85" s="24">
        <f>Model_Data!A85</f>
        <v>-18.5</v>
      </c>
      <c r="B85" s="24">
        <f>Model_Data!Y85</f>
        <v>365.6884368087795</v>
      </c>
      <c r="C85" s="24">
        <f>Model_Data!X85</f>
        <v>-136.66366560462208</v>
      </c>
      <c r="D85" s="24">
        <f>Model_Data!B85</f>
        <v>400.38027777777779</v>
      </c>
      <c r="E85" s="24">
        <f>Inputs!$C$6</f>
        <v>25</v>
      </c>
      <c r="F85" s="24">
        <f>Subsurface_Inputs!$C$5+Subsurface_Inputs!$C$6*SIN(2*PI()*(A85+Subsurface_Inputs!$C$7)/Subsurface_Inputs!$C$8)+Subsurface_Inputs!$C$9*COS(2*PI()*A85/Subsurface_Inputs!$C$10)+Subsurface_Inputs!$C$11*(B85-AVERAGE($B$2:$B$242))</f>
        <v>1019.2115825935767</v>
      </c>
      <c r="G85" s="24">
        <f t="shared" si="9"/>
        <v>-653.52314578479718</v>
      </c>
      <c r="H85" s="24">
        <f>MIN(1,MAX(0,Subsurface_Inputs!$C$13*EXP(-0.5*((A85-Subsurface_Inputs!$C$14)/Subsurface_Inputs!$C$15)^2)+Subsurface_Inputs!$C$16*EXP(-0.5*((A85-Subsurface_Inputs!$C$17)/Subsurface_Inputs!$C$18)^2)))</f>
        <v>0.81665113273529932</v>
      </c>
      <c r="I85" s="24">
        <f>Subsurface_Inputs!$C$19+Subsurface_Inputs!$C$20*SIN(2*PI()*(A85-Subsurface_Inputs!$C$21)/Subsurface_Inputs!$C$22)-Subsurface_Inputs!$C$23*H85</f>
        <v>4408.2376042749638</v>
      </c>
      <c r="J85" s="24">
        <f t="shared" si="10"/>
        <v>-4042.5491674661844</v>
      </c>
      <c r="K85" s="24">
        <f>Subsurface_Inputs!$C$25+Subsurface_Inputs!$C$26*SIN(2*PI()*(A85+Subsurface_Inputs!$C$27)/Subsurface_Inputs!$C$28)+Subsurface_Inputs!$C$29*COS(2*PI()*(A85-Subsurface_Inputs!$C$30)/Subsurface_Inputs!$C$31)-Subsurface_Inputs!$C$32*(B85-AVERAGE($B$2:$B$242))</f>
        <v>14956.623219107312</v>
      </c>
      <c r="L85" s="24">
        <f t="shared" si="11"/>
        <v>-14590.934782298533</v>
      </c>
      <c r="M85" s="24">
        <f>2*Subsurface_Inputs!$C$34*F85/Subsurface_Inputs!$C$35*1000000</f>
        <v>12.103017061333587</v>
      </c>
      <c r="N85" s="24">
        <f>2*Subsurface_Inputs!$C$34*I85/Subsurface_Inputs!$C$35*1000000</f>
        <v>52.34730044882874</v>
      </c>
      <c r="O85" s="24">
        <f>2*Subsurface_Inputs!$C$34*K85/Subsurface_Inputs!$C$35*1000000</f>
        <v>177.6081326903228</v>
      </c>
      <c r="P85" s="24">
        <f>Subsurface_Inputs!$C$37-2*Subsurface_Inputs!$C$36*(F85/1000)</f>
        <v>-11.834580848668438</v>
      </c>
      <c r="Q85" s="24">
        <f>Subsurface_Inputs!$C$38+Subsurface_Inputs!$C$39*H85-2*Subsurface_Inputs!$C$36*(I85/1000)</f>
        <v>-24.58496749307724</v>
      </c>
      <c r="R85" s="24">
        <f>Subsurface_Inputs!$C$40-2*Subsurface_Inputs!$C$36*(K85/1000)-Subsurface_Inputs!$C$41*ABS(L85-AVERAGE($L$2:$L$242))</f>
        <v>-33.606013179170368</v>
      </c>
      <c r="S85" s="24">
        <f t="shared" si="12"/>
        <v>-120.76147646680147</v>
      </c>
      <c r="T85" s="24">
        <f t="shared" si="13"/>
        <v>14.674699026719608</v>
      </c>
      <c r="U85" s="25" t="str">
        <f>IF(H85&gt;=Subsurface_Inputs!$C$42,"Lens visible","Weak/no lens")</f>
        <v>Lens visible</v>
      </c>
      <c r="V85" s="25" t="str">
        <f t="shared" si="14"/>
        <v>Likely visible</v>
      </c>
      <c r="W85" s="24">
        <f>Subsurface_Inputs!$C$43</f>
        <v>-45</v>
      </c>
      <c r="X85" s="24">
        <f t="shared" si="15"/>
        <v>20.41503250692276</v>
      </c>
      <c r="Y85" s="24">
        <f t="shared" si="16"/>
        <v>11.393986820829632</v>
      </c>
      <c r="Z85" s="24">
        <f t="shared" si="17"/>
        <v>20.41503250692276</v>
      </c>
      <c r="AA85" s="24">
        <v>0</v>
      </c>
    </row>
    <row r="86" spans="1:27">
      <c r="A86" s="24">
        <f>Model_Data!A86</f>
        <v>-18</v>
      </c>
      <c r="B86" s="24">
        <f>Model_Data!Y86</f>
        <v>392.02205415360987</v>
      </c>
      <c r="C86" s="24">
        <f>Model_Data!X86</f>
        <v>-149.12259877495586</v>
      </c>
      <c r="D86" s="24">
        <f>Model_Data!B86</f>
        <v>400.36</v>
      </c>
      <c r="E86" s="24">
        <f>Inputs!$C$6</f>
        <v>25</v>
      </c>
      <c r="F86" s="24">
        <f>Subsurface_Inputs!$C$5+Subsurface_Inputs!$C$6*SIN(2*PI()*(A86+Subsurface_Inputs!$C$7)/Subsurface_Inputs!$C$8)+Subsurface_Inputs!$C$9*COS(2*PI()*A86/Subsurface_Inputs!$C$10)+Subsurface_Inputs!$C$11*(B86-AVERAGE($B$2:$B$242))</f>
        <v>1016.3313604829787</v>
      </c>
      <c r="G86" s="24">
        <f t="shared" si="9"/>
        <v>-624.30930632936884</v>
      </c>
      <c r="H86" s="24">
        <f>MIN(1,MAX(0,Subsurface_Inputs!$C$13*EXP(-0.5*((A86-Subsurface_Inputs!$C$14)/Subsurface_Inputs!$C$15)^2)+Subsurface_Inputs!$C$16*EXP(-0.5*((A86-Subsurface_Inputs!$C$17)/Subsurface_Inputs!$C$18)^2)))</f>
        <v>0.79350671150169427</v>
      </c>
      <c r="I86" s="24">
        <f>Subsurface_Inputs!$C$19+Subsurface_Inputs!$C$20*SIN(2*PI()*(A86-Subsurface_Inputs!$C$21)/Subsurface_Inputs!$C$22)-Subsurface_Inputs!$C$23*H86</f>
        <v>4408.1465716039602</v>
      </c>
      <c r="J86" s="24">
        <f t="shared" si="10"/>
        <v>-4016.1245174503501</v>
      </c>
      <c r="K86" s="24">
        <f>Subsurface_Inputs!$C$25+Subsurface_Inputs!$C$26*SIN(2*PI()*(A86+Subsurface_Inputs!$C$27)/Subsurface_Inputs!$C$28)+Subsurface_Inputs!$C$29*COS(2*PI()*(A86-Subsurface_Inputs!$C$30)/Subsurface_Inputs!$C$31)-Subsurface_Inputs!$C$32*(B86-AVERAGE($B$2:$B$242))</f>
        <v>14977.225154246555</v>
      </c>
      <c r="L86" s="24">
        <f t="shared" si="11"/>
        <v>-14585.203100092946</v>
      </c>
      <c r="M86" s="24">
        <f>2*Subsurface_Inputs!$C$34*F86/Subsurface_Inputs!$C$35*1000000</f>
        <v>12.068814764244017</v>
      </c>
      <c r="N86" s="24">
        <f>2*Subsurface_Inputs!$C$34*I86/Subsurface_Inputs!$C$35*1000000</f>
        <v>52.346219446621632</v>
      </c>
      <c r="O86" s="24">
        <f>2*Subsurface_Inputs!$C$34*K86/Subsurface_Inputs!$C$35*1000000</f>
        <v>177.85277823472711</v>
      </c>
      <c r="P86" s="24">
        <f>Subsurface_Inputs!$C$37-2*Subsurface_Inputs!$C$36*(F86/1000)</f>
        <v>-11.829396448869362</v>
      </c>
      <c r="Q86" s="24">
        <f>Subsurface_Inputs!$C$38+Subsurface_Inputs!$C$39*H86-2*Subsurface_Inputs!$C$36*(I86/1000)</f>
        <v>-24.793103425371879</v>
      </c>
      <c r="R86" s="24">
        <f>Subsurface_Inputs!$C$40-2*Subsurface_Inputs!$C$36*(K86/1000)-Subsurface_Inputs!$C$41*ABS(L86-AVERAGE($L$2:$L$242))</f>
        <v>-33.66602339124335</v>
      </c>
      <c r="S86" s="24">
        <f t="shared" si="12"/>
        <v>-100.15954132755905</v>
      </c>
      <c r="T86" s="24">
        <f t="shared" si="13"/>
        <v>14.736557127519033</v>
      </c>
      <c r="U86" s="25" t="str">
        <f>IF(H86&gt;=Subsurface_Inputs!$C$42,"Lens visible","Weak/no lens")</f>
        <v>Lens visible</v>
      </c>
      <c r="V86" s="25" t="str">
        <f t="shared" si="14"/>
        <v>Likely visible</v>
      </c>
      <c r="W86" s="24">
        <f>Subsurface_Inputs!$C$43</f>
        <v>-45</v>
      </c>
      <c r="X86" s="24">
        <f t="shared" si="15"/>
        <v>20.206896574628121</v>
      </c>
      <c r="Y86" s="24">
        <f t="shared" si="16"/>
        <v>11.33397660875665</v>
      </c>
      <c r="Z86" s="24">
        <f t="shared" si="17"/>
        <v>20.206896574628121</v>
      </c>
      <c r="AA86" s="24">
        <v>0</v>
      </c>
    </row>
    <row r="87" spans="1:27">
      <c r="A87" s="24">
        <f>Model_Data!A87</f>
        <v>-17.5</v>
      </c>
      <c r="B87" s="24">
        <f>Model_Data!Y87</f>
        <v>397.07097057156574</v>
      </c>
      <c r="C87" s="24">
        <f>Model_Data!X87</f>
        <v>-139.0731304771746</v>
      </c>
      <c r="D87" s="24">
        <f>Model_Data!B87</f>
        <v>400.34027777777777</v>
      </c>
      <c r="E87" s="24">
        <f>Inputs!$C$6</f>
        <v>25</v>
      </c>
      <c r="F87" s="24">
        <f>Subsurface_Inputs!$C$5+Subsurface_Inputs!$C$6*SIN(2*PI()*(A87+Subsurface_Inputs!$C$7)/Subsurface_Inputs!$C$8)+Subsurface_Inputs!$C$9*COS(2*PI()*A87/Subsurface_Inputs!$C$10)+Subsurface_Inputs!$C$11*(B87-AVERAGE($B$2:$B$242))</f>
        <v>1013.2052820771047</v>
      </c>
      <c r="G87" s="24">
        <f t="shared" si="9"/>
        <v>-616.13431150553902</v>
      </c>
      <c r="H87" s="24">
        <f>MIN(1,MAX(0,Subsurface_Inputs!$C$13*EXP(-0.5*((A87-Subsurface_Inputs!$C$14)/Subsurface_Inputs!$C$15)^2)+Subsurface_Inputs!$C$16*EXP(-0.5*((A87-Subsurface_Inputs!$C$17)/Subsurface_Inputs!$C$18)^2)))</f>
        <v>0.76909308171586865</v>
      </c>
      <c r="I87" s="24">
        <f>Subsurface_Inputs!$C$19+Subsurface_Inputs!$C$20*SIN(2*PI()*(A87-Subsurface_Inputs!$C$21)/Subsurface_Inputs!$C$22)-Subsurface_Inputs!$C$23*H87</f>
        <v>4409.096039971746</v>
      </c>
      <c r="J87" s="24">
        <f t="shared" si="10"/>
        <v>-4012.0250694001802</v>
      </c>
      <c r="K87" s="24">
        <f>Subsurface_Inputs!$C$25+Subsurface_Inputs!$C$26*SIN(2*PI()*(A87+Subsurface_Inputs!$C$27)/Subsurface_Inputs!$C$28)+Subsurface_Inputs!$C$29*COS(2*PI()*(A87-Subsurface_Inputs!$C$30)/Subsurface_Inputs!$C$31)-Subsurface_Inputs!$C$32*(B87-AVERAGE($B$2:$B$242))</f>
        <v>15001.397890806353</v>
      </c>
      <c r="L87" s="24">
        <f t="shared" si="11"/>
        <v>-14604.326920234787</v>
      </c>
      <c r="M87" s="24">
        <f>2*Subsurface_Inputs!$C$34*F87/Subsurface_Inputs!$C$35*1000000</f>
        <v>12.031692952710948</v>
      </c>
      <c r="N87" s="24">
        <f>2*Subsurface_Inputs!$C$34*I87/Subsurface_Inputs!$C$35*1000000</f>
        <v>52.357494271251532</v>
      </c>
      <c r="O87" s="24">
        <f>2*Subsurface_Inputs!$C$34*K87/Subsurface_Inputs!$C$35*1000000</f>
        <v>178.13982662389265</v>
      </c>
      <c r="P87" s="24">
        <f>Subsurface_Inputs!$C$37-2*Subsurface_Inputs!$C$36*(F87/1000)</f>
        <v>-11.823769507738788</v>
      </c>
      <c r="Q87" s="24">
        <f>Subsurface_Inputs!$C$38+Subsurface_Inputs!$C$39*H87-2*Subsurface_Inputs!$C$36*(I87/1000)</f>
        <v>-25.014535136506325</v>
      </c>
      <c r="R87" s="24">
        <f>Subsurface_Inputs!$C$40-2*Subsurface_Inputs!$C$36*(K87/1000)-Subsurface_Inputs!$C$41*ABS(L87-AVERAGE($L$2:$L$242))</f>
        <v>-33.633039036483616</v>
      </c>
      <c r="S87" s="24">
        <f t="shared" si="12"/>
        <v>-75.986804767760987</v>
      </c>
      <c r="T87" s="24">
        <f t="shared" si="13"/>
        <v>14.805882042040864</v>
      </c>
      <c r="U87" s="25" t="str">
        <f>IF(H87&gt;=Subsurface_Inputs!$C$42,"Lens visible","Weak/no lens")</f>
        <v>Lens visible</v>
      </c>
      <c r="V87" s="25" t="str">
        <f t="shared" si="14"/>
        <v>Likely visible</v>
      </c>
      <c r="W87" s="24">
        <f>Subsurface_Inputs!$C$43</f>
        <v>-45</v>
      </c>
      <c r="X87" s="24">
        <f t="shared" si="15"/>
        <v>19.985464863493675</v>
      </c>
      <c r="Y87" s="24">
        <f t="shared" si="16"/>
        <v>11.366960963516384</v>
      </c>
      <c r="Z87" s="24">
        <f t="shared" si="17"/>
        <v>19.985464863493675</v>
      </c>
      <c r="AA87" s="24">
        <v>0</v>
      </c>
    </row>
    <row r="88" spans="1:27">
      <c r="A88" s="24">
        <f>Model_Data!A88</f>
        <v>-17</v>
      </c>
      <c r="B88" s="24">
        <f>Model_Data!Y88</f>
        <v>381.37310246850825</v>
      </c>
      <c r="C88" s="24">
        <f>Model_Data!X88</f>
        <v>-125.70874899839603</v>
      </c>
      <c r="D88" s="24">
        <f>Model_Data!B88</f>
        <v>400.32111111111112</v>
      </c>
      <c r="E88" s="24">
        <f>Inputs!$C$6</f>
        <v>25</v>
      </c>
      <c r="F88" s="24">
        <f>Subsurface_Inputs!$C$5+Subsurface_Inputs!$C$6*SIN(2*PI()*(A88+Subsurface_Inputs!$C$7)/Subsurface_Inputs!$C$8)+Subsurface_Inputs!$C$9*COS(2*PI()*A88/Subsurface_Inputs!$C$10)+Subsurface_Inputs!$C$11*(B88-AVERAGE($B$2:$B$242))</f>
        <v>1009.9792320080988</v>
      </c>
      <c r="G88" s="24">
        <f t="shared" si="9"/>
        <v>-628.6061295395906</v>
      </c>
      <c r="H88" s="24">
        <f>MIN(1,MAX(0,Subsurface_Inputs!$C$13*EXP(-0.5*((A88-Subsurface_Inputs!$C$14)/Subsurface_Inputs!$C$15)^2)+Subsurface_Inputs!$C$16*EXP(-0.5*((A88-Subsurface_Inputs!$C$17)/Subsurface_Inputs!$C$18)^2)))</f>
        <v>0.74356933372344614</v>
      </c>
      <c r="I88" s="24">
        <f>Subsurface_Inputs!$C$19+Subsurface_Inputs!$C$20*SIN(2*PI()*(A88-Subsurface_Inputs!$C$21)/Subsurface_Inputs!$C$22)-Subsurface_Inputs!$C$23*H88</f>
        <v>4411.0550335080079</v>
      </c>
      <c r="J88" s="24">
        <f t="shared" si="10"/>
        <v>-4029.6819310394994</v>
      </c>
      <c r="K88" s="24">
        <f>Subsurface_Inputs!$C$25+Subsurface_Inputs!$C$26*SIN(2*PI()*(A88+Subsurface_Inputs!$C$27)/Subsurface_Inputs!$C$28)+Subsurface_Inputs!$C$29*COS(2*PI()*(A88-Subsurface_Inputs!$C$30)/Subsurface_Inputs!$C$31)-Subsurface_Inputs!$C$32*(B88-AVERAGE($B$2:$B$242))</f>
        <v>15029.035468184995</v>
      </c>
      <c r="L88" s="24">
        <f t="shared" si="11"/>
        <v>-14647.662365716487</v>
      </c>
      <c r="M88" s="24">
        <f>2*Subsurface_Inputs!$C$34*F88/Subsurface_Inputs!$C$35*1000000</f>
        <v>11.993383989495932</v>
      </c>
      <c r="N88" s="24">
        <f>2*Subsurface_Inputs!$C$34*I88/Subsurface_Inputs!$C$35*1000000</f>
        <v>52.380757087920166</v>
      </c>
      <c r="O88" s="24">
        <f>2*Subsurface_Inputs!$C$34*K88/Subsurface_Inputs!$C$35*1000000</f>
        <v>178.46801958819984</v>
      </c>
      <c r="P88" s="24">
        <f>Subsurface_Inputs!$C$37-2*Subsurface_Inputs!$C$36*(F88/1000)</f>
        <v>-11.817962617614578</v>
      </c>
      <c r="Q88" s="24">
        <f>Subsurface_Inputs!$C$38+Subsurface_Inputs!$C$39*H88-2*Subsurface_Inputs!$C$36*(I88/1000)</f>
        <v>-25.247775056803398</v>
      </c>
      <c r="R88" s="24">
        <f>Subsurface_Inputs!$C$40-2*Subsurface_Inputs!$C$36*(K88/1000)-Subsurface_Inputs!$C$41*ABS(L88-AVERAGE($L$2:$L$242))</f>
        <v>-33.509444893838378</v>
      </c>
      <c r="S88" s="24">
        <f t="shared" si="12"/>
        <v>-48.349227389118823</v>
      </c>
      <c r="T88" s="24">
        <f t="shared" si="13"/>
        <v>14.880539115941426</v>
      </c>
      <c r="U88" s="25" t="str">
        <f>IF(H88&gt;=Subsurface_Inputs!$C$42,"Lens visible","Weak/no lens")</f>
        <v>Lens visible</v>
      </c>
      <c r="V88" s="25" t="str">
        <f t="shared" si="14"/>
        <v>Likely visible</v>
      </c>
      <c r="W88" s="24">
        <f>Subsurface_Inputs!$C$43</f>
        <v>-45</v>
      </c>
      <c r="X88" s="24">
        <f t="shared" si="15"/>
        <v>19.752224943196602</v>
      </c>
      <c r="Y88" s="24">
        <f t="shared" si="16"/>
        <v>11.490555106161622</v>
      </c>
      <c r="Z88" s="24">
        <f t="shared" si="17"/>
        <v>19.752224943196602</v>
      </c>
      <c r="AA88" s="24">
        <v>0</v>
      </c>
    </row>
    <row r="89" spans="1:27">
      <c r="A89" s="24">
        <f>Model_Data!A89</f>
        <v>-16.5</v>
      </c>
      <c r="B89" s="24">
        <f>Model_Data!Y89</f>
        <v>387.14310586746348</v>
      </c>
      <c r="C89" s="24">
        <f>Model_Data!X89</f>
        <v>-123.86861357235706</v>
      </c>
      <c r="D89" s="24">
        <f>Model_Data!B89</f>
        <v>400.30250000000001</v>
      </c>
      <c r="E89" s="24">
        <f>Inputs!$C$6</f>
        <v>25</v>
      </c>
      <c r="F89" s="24">
        <f>Subsurface_Inputs!$C$5+Subsurface_Inputs!$C$6*SIN(2*PI()*(A89+Subsurface_Inputs!$C$7)/Subsurface_Inputs!$C$8)+Subsurface_Inputs!$C$9*COS(2*PI()*A89/Subsurface_Inputs!$C$10)+Subsurface_Inputs!$C$11*(B89-AVERAGE($B$2:$B$242))</f>
        <v>1008.4630768777303</v>
      </c>
      <c r="G89" s="24">
        <f t="shared" si="9"/>
        <v>-621.31997101026673</v>
      </c>
      <c r="H89" s="24">
        <f>MIN(1,MAX(0,Subsurface_Inputs!$C$13*EXP(-0.5*((A89-Subsurface_Inputs!$C$14)/Subsurface_Inputs!$C$15)^2)+Subsurface_Inputs!$C$16*EXP(-0.5*((A89-Subsurface_Inputs!$C$17)/Subsurface_Inputs!$C$18)^2)))</f>
        <v>0.71709765415551574</v>
      </c>
      <c r="I89" s="24">
        <f>Subsurface_Inputs!$C$19+Subsurface_Inputs!$C$20*SIN(2*PI()*(A89-Subsurface_Inputs!$C$21)/Subsurface_Inputs!$C$22)-Subsurface_Inputs!$C$23*H89</f>
        <v>4413.9907426368945</v>
      </c>
      <c r="J89" s="24">
        <f t="shared" si="10"/>
        <v>-4026.8476367694311</v>
      </c>
      <c r="K89" s="24">
        <f>Subsurface_Inputs!$C$25+Subsurface_Inputs!$C$26*SIN(2*PI()*(A89+Subsurface_Inputs!$C$27)/Subsurface_Inputs!$C$28)+Subsurface_Inputs!$C$29*COS(2*PI()*(A89-Subsurface_Inputs!$C$30)/Subsurface_Inputs!$C$31)-Subsurface_Inputs!$C$32*(B89-AVERAGE($B$2:$B$242))</f>
        <v>15054.195422736151</v>
      </c>
      <c r="L89" s="24">
        <f t="shared" si="11"/>
        <v>-14667.052316868687</v>
      </c>
      <c r="M89" s="24">
        <f>2*Subsurface_Inputs!$C$34*F89/Subsurface_Inputs!$C$35*1000000</f>
        <v>11.97537982654894</v>
      </c>
      <c r="N89" s="24">
        <f>2*Subsurface_Inputs!$C$34*I89/Subsurface_Inputs!$C$35*1000000</f>
        <v>52.415618286792743</v>
      </c>
      <c r="O89" s="24">
        <f>2*Subsurface_Inputs!$C$34*K89/Subsurface_Inputs!$C$35*1000000</f>
        <v>178.76679107431281</v>
      </c>
      <c r="P89" s="24">
        <f>Subsurface_Inputs!$C$37-2*Subsurface_Inputs!$C$36*(F89/1000)</f>
        <v>-11.815233538379914</v>
      </c>
      <c r="Q89" s="24">
        <f>Subsurface_Inputs!$C$38+Subsurface_Inputs!$C$39*H89-2*Subsurface_Inputs!$C$36*(I89/1000)</f>
        <v>-25.491304449346771</v>
      </c>
      <c r="R89" s="24">
        <f>Subsurface_Inputs!$C$40-2*Subsurface_Inputs!$C$36*(K89/1000)-Subsurface_Inputs!$C$41*ABS(L89-AVERAGE($L$2:$L$242))</f>
        <v>-33.477173007421655</v>
      </c>
      <c r="S89" s="24">
        <f t="shared" si="12"/>
        <v>-23.189272837962562</v>
      </c>
      <c r="T89" s="24">
        <f t="shared" si="13"/>
        <v>14.927859797648672</v>
      </c>
      <c r="U89" s="25" t="str">
        <f>IF(H89&gt;=Subsurface_Inputs!$C$42,"Lens visible","Weak/no lens")</f>
        <v>Lens visible</v>
      </c>
      <c r="V89" s="25" t="str">
        <f t="shared" si="14"/>
        <v>Likely visible</v>
      </c>
      <c r="W89" s="24">
        <f>Subsurface_Inputs!$C$43</f>
        <v>-45</v>
      </c>
      <c r="X89" s="24">
        <f t="shared" si="15"/>
        <v>19.508695550653229</v>
      </c>
      <c r="Y89" s="24">
        <f t="shared" si="16"/>
        <v>11.522826992578345</v>
      </c>
      <c r="Z89" s="24">
        <f t="shared" si="17"/>
        <v>19.508695550653229</v>
      </c>
      <c r="AA89" s="24">
        <v>0</v>
      </c>
    </row>
    <row r="90" spans="1:27">
      <c r="A90" s="24">
        <f>Model_Data!A90</f>
        <v>-16</v>
      </c>
      <c r="B90" s="24">
        <f>Model_Data!Y90</f>
        <v>413.29561486427639</v>
      </c>
      <c r="C90" s="24">
        <f>Model_Data!X90</f>
        <v>-97.48037396441562</v>
      </c>
      <c r="D90" s="24">
        <f>Model_Data!B90</f>
        <v>400.28444444444443</v>
      </c>
      <c r="E90" s="24">
        <f>Inputs!$C$6</f>
        <v>25</v>
      </c>
      <c r="F90" s="24">
        <f>Subsurface_Inputs!$C$5+Subsurface_Inputs!$C$6*SIN(2*PI()*(A90+Subsurface_Inputs!$C$7)/Subsurface_Inputs!$C$8)+Subsurface_Inputs!$C$9*COS(2*PI()*A90/Subsurface_Inputs!$C$10)+Subsurface_Inputs!$C$11*(B90-AVERAGE($B$2:$B$242))</f>
        <v>1008.728927986176</v>
      </c>
      <c r="G90" s="24">
        <f t="shared" si="9"/>
        <v>-595.43331312189957</v>
      </c>
      <c r="H90" s="24">
        <f>MIN(1,MAX(0,Subsurface_Inputs!$C$13*EXP(-0.5*((A90-Subsurface_Inputs!$C$14)/Subsurface_Inputs!$C$15)^2)+Subsurface_Inputs!$C$16*EXP(-0.5*((A90-Subsurface_Inputs!$C$17)/Subsurface_Inputs!$C$18)^2)))</f>
        <v>0.68984163152921774</v>
      </c>
      <c r="I90" s="24">
        <f>Subsurface_Inputs!$C$19+Subsurface_Inputs!$C$20*SIN(2*PI()*(A90-Subsurface_Inputs!$C$21)/Subsurface_Inputs!$C$22)-Subsurface_Inputs!$C$23*H90</f>
        <v>4417.8689217579567</v>
      </c>
      <c r="J90" s="24">
        <f t="shared" si="10"/>
        <v>-4004.5733068936802</v>
      </c>
      <c r="K90" s="24">
        <f>Subsurface_Inputs!$C$25+Subsurface_Inputs!$C$26*SIN(2*PI()*(A90+Subsurface_Inputs!$C$27)/Subsurface_Inputs!$C$28)+Subsurface_Inputs!$C$29*COS(2*PI()*(A90-Subsurface_Inputs!$C$30)/Subsurface_Inputs!$C$31)-Subsurface_Inputs!$C$32*(B90-AVERAGE($B$2:$B$242))</f>
        <v>15076.995599774111</v>
      </c>
      <c r="L90" s="24">
        <f t="shared" si="11"/>
        <v>-14663.699984909834</v>
      </c>
      <c r="M90" s="24">
        <f>2*Subsurface_Inputs!$C$34*F90/Subsurface_Inputs!$C$35*1000000</f>
        <v>11.97853677703522</v>
      </c>
      <c r="N90" s="24">
        <f>2*Subsurface_Inputs!$C$34*I90/Subsurface_Inputs!$C$35*1000000</f>
        <v>52.461671205412138</v>
      </c>
      <c r="O90" s="24">
        <f>2*Subsurface_Inputs!$C$34*K90/Subsurface_Inputs!$C$35*1000000</f>
        <v>179.03754048140809</v>
      </c>
      <c r="P90" s="24">
        <f>Subsurface_Inputs!$C$37-2*Subsurface_Inputs!$C$36*(F90/1000)</f>
        <v>-11.815712070375117</v>
      </c>
      <c r="Q90" s="24">
        <f>Subsurface_Inputs!$C$38+Subsurface_Inputs!$C$39*H90-2*Subsurface_Inputs!$C$36*(I90/1000)</f>
        <v>-25.74358937540136</v>
      </c>
      <c r="R90" s="24">
        <f>Subsurface_Inputs!$C$40-2*Subsurface_Inputs!$C$36*(K90/1000)-Subsurface_Inputs!$C$41*ABS(L90-AVERAGE($L$2:$L$242))</f>
        <v>-33.531622653925403</v>
      </c>
      <c r="S90" s="24">
        <f t="shared" si="12"/>
        <v>-0.38909580000290589</v>
      </c>
      <c r="T90" s="24">
        <f t="shared" si="13"/>
        <v>14.946528429469936</v>
      </c>
      <c r="U90" s="25" t="str">
        <f>IF(H90&gt;=Subsurface_Inputs!$C$42,"Lens visible","Weak/no lens")</f>
        <v>Lens visible</v>
      </c>
      <c r="V90" s="25" t="str">
        <f t="shared" si="14"/>
        <v>Likely visible</v>
      </c>
      <c r="W90" s="24">
        <f>Subsurface_Inputs!$C$43</f>
        <v>-45</v>
      </c>
      <c r="X90" s="24">
        <f t="shared" si="15"/>
        <v>19.25641062459864</v>
      </c>
      <c r="Y90" s="24">
        <f t="shared" si="16"/>
        <v>11.468377346074597</v>
      </c>
      <c r="Z90" s="24">
        <f t="shared" si="17"/>
        <v>19.25641062459864</v>
      </c>
      <c r="AA90" s="24">
        <v>0</v>
      </c>
    </row>
    <row r="91" spans="1:27">
      <c r="A91" s="24">
        <f>Model_Data!A91</f>
        <v>-15.5</v>
      </c>
      <c r="B91" s="24">
        <f>Model_Data!Y91</f>
        <v>405.17934846817269</v>
      </c>
      <c r="C91" s="24">
        <f>Model_Data!X91</f>
        <v>-109.31712972071381</v>
      </c>
      <c r="D91" s="24">
        <f>Model_Data!B91</f>
        <v>400.26694444444445</v>
      </c>
      <c r="E91" s="24">
        <f>Inputs!$C$6</f>
        <v>25</v>
      </c>
      <c r="F91" s="24">
        <f>Subsurface_Inputs!$C$5+Subsurface_Inputs!$C$6*SIN(2*PI()*(A91+Subsurface_Inputs!$C$7)/Subsurface_Inputs!$C$8)+Subsurface_Inputs!$C$9*COS(2*PI()*A91/Subsurface_Inputs!$C$10)+Subsurface_Inputs!$C$11*(B91-AVERAGE($B$2:$B$242))</f>
        <v>1008.6978894988345</v>
      </c>
      <c r="G91" s="24">
        <f t="shared" si="9"/>
        <v>-603.51854103066171</v>
      </c>
      <c r="H91" s="24">
        <f>MIN(1,MAX(0,Subsurface_Inputs!$C$13*EXP(-0.5*((A91-Subsurface_Inputs!$C$14)/Subsurface_Inputs!$C$15)^2)+Subsurface_Inputs!$C$16*EXP(-0.5*((A91-Subsurface_Inputs!$C$17)/Subsurface_Inputs!$C$18)^2)))</f>
        <v>0.6619646029266818</v>
      </c>
      <c r="I91" s="24">
        <f>Subsurface_Inputs!$C$19+Subsurface_Inputs!$C$20*SIN(2*PI()*(A91-Subsurface_Inputs!$C$21)/Subsurface_Inputs!$C$22)-Subsurface_Inputs!$C$23*H91</f>
        <v>4422.6542786820519</v>
      </c>
      <c r="J91" s="24">
        <f t="shared" si="10"/>
        <v>-4017.4749302138794</v>
      </c>
      <c r="K91" s="24">
        <f>Subsurface_Inputs!$C$25+Subsurface_Inputs!$C$26*SIN(2*PI()*(A91+Subsurface_Inputs!$C$27)/Subsurface_Inputs!$C$28)+Subsurface_Inputs!$C$29*COS(2*PI()*(A91-Subsurface_Inputs!$C$30)/Subsurface_Inputs!$C$31)-Subsurface_Inputs!$C$32*(B91-AVERAGE($B$2:$B$242))</f>
        <v>15105.051448537502</v>
      </c>
      <c r="L91" s="24">
        <f t="shared" si="11"/>
        <v>-14699.872100069329</v>
      </c>
      <c r="M91" s="24">
        <f>2*Subsurface_Inputs!$C$34*F91/Subsurface_Inputs!$C$35*1000000</f>
        <v>11.978168198667127</v>
      </c>
      <c r="N91" s="24">
        <f>2*Subsurface_Inputs!$C$34*I91/Subsurface_Inputs!$C$35*1000000</f>
        <v>52.51849675320419</v>
      </c>
      <c r="O91" s="24">
        <f>2*Subsurface_Inputs!$C$34*K91/Subsurface_Inputs!$C$35*1000000</f>
        <v>179.37070036896495</v>
      </c>
      <c r="P91" s="24">
        <f>Subsurface_Inputs!$C$37-2*Subsurface_Inputs!$C$36*(F91/1000)</f>
        <v>-11.815656201097902</v>
      </c>
      <c r="Q91" s="24">
        <f>Subsurface_Inputs!$C$38+Subsurface_Inputs!$C$39*H91-2*Subsurface_Inputs!$C$36*(I91/1000)</f>
        <v>-26.003096275287557</v>
      </c>
      <c r="R91" s="24">
        <f>Subsurface_Inputs!$C$40-2*Subsurface_Inputs!$C$36*(K91/1000)-Subsurface_Inputs!$C$41*ABS(L91-AVERAGE($L$2:$L$242))</f>
        <v>-33.437434721061514</v>
      </c>
      <c r="S91" s="24">
        <f t="shared" si="12"/>
        <v>27.666752963388717</v>
      </c>
      <c r="T91" s="24">
        <f t="shared" si="13"/>
        <v>14.97480227309919</v>
      </c>
      <c r="U91" s="25" t="str">
        <f>IF(H91&gt;=Subsurface_Inputs!$C$42,"Lens visible","Weak/no lens")</f>
        <v>Lens visible</v>
      </c>
      <c r="V91" s="25" t="str">
        <f t="shared" si="14"/>
        <v>Likely visible</v>
      </c>
      <c r="W91" s="24">
        <f>Subsurface_Inputs!$C$43</f>
        <v>-45</v>
      </c>
      <c r="X91" s="24">
        <f t="shared" si="15"/>
        <v>18.996903724712443</v>
      </c>
      <c r="Y91" s="24">
        <f t="shared" si="16"/>
        <v>11.562565278938486</v>
      </c>
      <c r="Z91" s="24">
        <f t="shared" si="17"/>
        <v>18.996903724712443</v>
      </c>
      <c r="AA91" s="24">
        <v>0</v>
      </c>
    </row>
    <row r="92" spans="1:27">
      <c r="A92" s="24">
        <f>Model_Data!A92</f>
        <v>-15</v>
      </c>
      <c r="B92" s="24">
        <f>Model_Data!Y92</f>
        <v>416.63024006091615</v>
      </c>
      <c r="C92" s="24">
        <f>Model_Data!X92</f>
        <v>-90.495309029444954</v>
      </c>
      <c r="D92" s="24">
        <f>Model_Data!B92</f>
        <v>400.25</v>
      </c>
      <c r="E92" s="24">
        <f>Inputs!$C$6</f>
        <v>25</v>
      </c>
      <c r="F92" s="24">
        <f>Subsurface_Inputs!$C$5+Subsurface_Inputs!$C$6*SIN(2*PI()*(A92+Subsurface_Inputs!$C$7)/Subsurface_Inputs!$C$8)+Subsurface_Inputs!$C$9*COS(2*PI()*A92/Subsurface_Inputs!$C$10)+Subsurface_Inputs!$C$11*(B92-AVERAGE($B$2:$B$242))</f>
        <v>1010.6196695489464</v>
      </c>
      <c r="G92" s="24">
        <f t="shared" si="9"/>
        <v>-593.98942948803028</v>
      </c>
      <c r="H92" s="24">
        <f>MIN(1,MAX(0,Subsurface_Inputs!$C$13*EXP(-0.5*((A92-Subsurface_Inputs!$C$14)/Subsurface_Inputs!$C$15)^2)+Subsurface_Inputs!$C$16*EXP(-0.5*((A92-Subsurface_Inputs!$C$17)/Subsurface_Inputs!$C$18)^2)))</f>
        <v>0.63362806459642884</v>
      </c>
      <c r="I92" s="24">
        <f>Subsurface_Inputs!$C$19+Subsurface_Inputs!$C$20*SIN(2*PI()*(A92-Subsurface_Inputs!$C$21)/Subsurface_Inputs!$C$22)-Subsurface_Inputs!$C$23*H92</f>
        <v>4428.3108503504363</v>
      </c>
      <c r="J92" s="24">
        <f t="shared" si="10"/>
        <v>-4011.6806102895202</v>
      </c>
      <c r="K92" s="24">
        <f>Subsurface_Inputs!$C$25+Subsurface_Inputs!$C$26*SIN(2*PI()*(A92+Subsurface_Inputs!$C$27)/Subsurface_Inputs!$C$28)+Subsurface_Inputs!$C$29*COS(2*PI()*(A92-Subsurface_Inputs!$C$30)/Subsurface_Inputs!$C$31)-Subsurface_Inputs!$C$32*(B92-AVERAGE($B$2:$B$242))</f>
        <v>15130.78865834882</v>
      </c>
      <c r="L92" s="24">
        <f t="shared" si="11"/>
        <v>-14714.158418287903</v>
      </c>
      <c r="M92" s="24">
        <f>2*Subsurface_Inputs!$C$34*F92/Subsurface_Inputs!$C$35*1000000</f>
        <v>12.000989109586769</v>
      </c>
      <c r="N92" s="24">
        <f>2*Subsurface_Inputs!$C$34*I92/Subsurface_Inputs!$C$35*1000000</f>
        <v>52.58566787309757</v>
      </c>
      <c r="O92" s="24">
        <f>2*Subsurface_Inputs!$C$34*K92/Subsurface_Inputs!$C$35*1000000</f>
        <v>179.67632669305442</v>
      </c>
      <c r="P92" s="24">
        <f>Subsurface_Inputs!$C$37-2*Subsurface_Inputs!$C$36*(F92/1000)</f>
        <v>-11.819115405188104</v>
      </c>
      <c r="Q92" s="24">
        <f>Subsurface_Inputs!$C$38+Subsurface_Inputs!$C$39*H92-2*Subsurface_Inputs!$C$36*(I92/1000)</f>
        <v>-26.268306949262929</v>
      </c>
      <c r="R92" s="24">
        <f>Subsurface_Inputs!$C$40-2*Subsurface_Inputs!$C$36*(K92/1000)-Subsurface_Inputs!$C$41*ABS(L92-AVERAGE($L$2:$L$242))</f>
        <v>-33.426616425847598</v>
      </c>
      <c r="S92" s="24">
        <f t="shared" si="12"/>
        <v>53.403962774706088</v>
      </c>
      <c r="T92" s="24">
        <f t="shared" si="13"/>
        <v>14.971793162408863</v>
      </c>
      <c r="U92" s="25" t="str">
        <f>IF(H92&gt;=Subsurface_Inputs!$C$42,"Lens visible","Weak/no lens")</f>
        <v>Lens visible</v>
      </c>
      <c r="V92" s="25" t="str">
        <f t="shared" si="14"/>
        <v>Likely visible</v>
      </c>
      <c r="W92" s="24">
        <f>Subsurface_Inputs!$C$43</f>
        <v>-45</v>
      </c>
      <c r="X92" s="24">
        <f t="shared" si="15"/>
        <v>18.731693050737071</v>
      </c>
      <c r="Y92" s="24">
        <f t="shared" si="16"/>
        <v>11.573383574152402</v>
      </c>
      <c r="Z92" s="24">
        <f t="shared" si="17"/>
        <v>18.731693050737071</v>
      </c>
      <c r="AA92" s="24">
        <v>0</v>
      </c>
    </row>
    <row r="93" spans="1:27">
      <c r="A93" s="24">
        <f>Model_Data!A93</f>
        <v>-14.5</v>
      </c>
      <c r="B93" s="24">
        <f>Model_Data!Y93</f>
        <v>425.31373753688456</v>
      </c>
      <c r="C93" s="24">
        <f>Model_Data!X93</f>
        <v>-86.652484826799366</v>
      </c>
      <c r="D93" s="24">
        <f>Model_Data!B93</f>
        <v>400.23361111111109</v>
      </c>
      <c r="E93" s="24">
        <f>Inputs!$C$6</f>
        <v>25</v>
      </c>
      <c r="F93" s="24">
        <f>Subsurface_Inputs!$C$5+Subsurface_Inputs!$C$6*SIN(2*PI()*(A93+Subsurface_Inputs!$C$7)/Subsurface_Inputs!$C$8)+Subsurface_Inputs!$C$9*COS(2*PI()*A93/Subsurface_Inputs!$C$10)+Subsurface_Inputs!$C$11*(B93-AVERAGE($B$2:$B$242))</f>
        <v>1013.6839099277079</v>
      </c>
      <c r="G93" s="24">
        <f t="shared" si="9"/>
        <v>-588.37017239082331</v>
      </c>
      <c r="H93" s="24">
        <f>MIN(1,MAX(0,Subsurface_Inputs!$C$13*EXP(-0.5*((A93-Subsurface_Inputs!$C$14)/Subsurface_Inputs!$C$15)^2)+Subsurface_Inputs!$C$16*EXP(-0.5*((A93-Subsurface_Inputs!$C$17)/Subsurface_Inputs!$C$18)^2)))</f>
        <v>0.60499016739183886</v>
      </c>
      <c r="I93" s="24">
        <f>Subsurface_Inputs!$C$19+Subsurface_Inputs!$C$20*SIN(2*PI()*(A93-Subsurface_Inputs!$C$21)/Subsurface_Inputs!$C$22)-Subsurface_Inputs!$C$23*H93</f>
        <v>4434.8023598259588</v>
      </c>
      <c r="J93" s="24">
        <f t="shared" si="10"/>
        <v>-4009.4886222890741</v>
      </c>
      <c r="K93" s="24">
        <f>Subsurface_Inputs!$C$25+Subsurface_Inputs!$C$26*SIN(2*PI()*(A93+Subsurface_Inputs!$C$27)/Subsurface_Inputs!$C$28)+Subsurface_Inputs!$C$29*COS(2*PI()*(A93-Subsurface_Inputs!$C$30)/Subsurface_Inputs!$C$31)-Subsurface_Inputs!$C$32*(B93-AVERAGE($B$2:$B$242))</f>
        <v>15157.295315059795</v>
      </c>
      <c r="L93" s="24">
        <f t="shared" si="11"/>
        <v>-14731.981577522911</v>
      </c>
      <c r="M93" s="24">
        <f>2*Subsurface_Inputs!$C$34*F93/Subsurface_Inputs!$C$35*1000000</f>
        <v>12.03737660185781</v>
      </c>
      <c r="N93" s="24">
        <f>2*Subsurface_Inputs!$C$34*I93/Subsurface_Inputs!$C$35*1000000</f>
        <v>52.662753780751927</v>
      </c>
      <c r="O93" s="24">
        <f>2*Subsurface_Inputs!$C$34*K93/Subsurface_Inputs!$C$35*1000000</f>
        <v>179.99109010812029</v>
      </c>
      <c r="P93" s="24">
        <f>Subsurface_Inputs!$C$37-2*Subsurface_Inputs!$C$36*(F93/1000)</f>
        <v>-11.824631037869874</v>
      </c>
      <c r="Q93" s="24">
        <f>Subsurface_Inputs!$C$38+Subsurface_Inputs!$C$39*H93-2*Subsurface_Inputs!$C$36*(I93/1000)</f>
        <v>-26.537732741160173</v>
      </c>
      <c r="R93" s="24">
        <f>Subsurface_Inputs!$C$40-2*Subsurface_Inputs!$C$36*(K93/1000)-Subsurface_Inputs!$C$41*ABS(L93-AVERAGE($L$2:$L$242))</f>
        <v>-33.403035770987323</v>
      </c>
      <c r="S93" s="24">
        <f t="shared" si="12"/>
        <v>79.910619485681309</v>
      </c>
      <c r="T93" s="24">
        <f t="shared" si="13"/>
        <v>14.952684132217071</v>
      </c>
      <c r="U93" s="25" t="str">
        <f>IF(H93&gt;=Subsurface_Inputs!$C$42,"Lens visible","Weak/no lens")</f>
        <v>Lens visible</v>
      </c>
      <c r="V93" s="25" t="str">
        <f t="shared" si="14"/>
        <v>Likely visible</v>
      </c>
      <c r="W93" s="24">
        <f>Subsurface_Inputs!$C$43</f>
        <v>-45</v>
      </c>
      <c r="X93" s="24">
        <f t="shared" si="15"/>
        <v>18.462267258839827</v>
      </c>
      <c r="Y93" s="24">
        <f t="shared" si="16"/>
        <v>11.596964229012677</v>
      </c>
      <c r="Z93" s="24">
        <f t="shared" si="17"/>
        <v>18.462267258839827</v>
      </c>
      <c r="AA93" s="24">
        <v>0</v>
      </c>
    </row>
    <row r="94" spans="1:27">
      <c r="A94" s="24">
        <f>Model_Data!A94</f>
        <v>-14</v>
      </c>
      <c r="B94" s="24">
        <f>Model_Data!Y94</f>
        <v>420.95759288927439</v>
      </c>
      <c r="C94" s="24">
        <f>Model_Data!X94</f>
        <v>-84.365972581405018</v>
      </c>
      <c r="D94" s="24">
        <f>Model_Data!B94</f>
        <v>400.21777777777777</v>
      </c>
      <c r="E94" s="24">
        <f>Inputs!$C$6</f>
        <v>25</v>
      </c>
      <c r="F94" s="24">
        <f>Subsurface_Inputs!$C$5+Subsurface_Inputs!$C$6*SIN(2*PI()*(A94+Subsurface_Inputs!$C$7)/Subsurface_Inputs!$C$8)+Subsurface_Inputs!$C$9*COS(2*PI()*A94/Subsurface_Inputs!$C$10)+Subsurface_Inputs!$C$11*(B94-AVERAGE($B$2:$B$242))</f>
        <v>1017.5473342998754</v>
      </c>
      <c r="G94" s="24">
        <f t="shared" si="9"/>
        <v>-596.58974141060094</v>
      </c>
      <c r="H94" s="24">
        <f>MIN(1,MAX(0,Subsurface_Inputs!$C$13*EXP(-0.5*((A94-Subsurface_Inputs!$C$14)/Subsurface_Inputs!$C$15)^2)+Subsurface_Inputs!$C$16*EXP(-0.5*((A94-Subsurface_Inputs!$C$17)/Subsurface_Inputs!$C$18)^2)))</f>
        <v>0.57620431569749697</v>
      </c>
      <c r="I94" s="24">
        <f>Subsurface_Inputs!$C$19+Subsurface_Inputs!$C$20*SIN(2*PI()*(A94-Subsurface_Inputs!$C$21)/Subsurface_Inputs!$C$22)-Subsurface_Inputs!$C$23*H94</f>
        <v>4442.0925500861795</v>
      </c>
      <c r="J94" s="24">
        <f t="shared" si="10"/>
        <v>-4021.1349571969049</v>
      </c>
      <c r="K94" s="24">
        <f>Subsurface_Inputs!$C$25+Subsurface_Inputs!$C$26*SIN(2*PI()*(A94+Subsurface_Inputs!$C$27)/Subsurface_Inputs!$C$28)+Subsurface_Inputs!$C$29*COS(2*PI()*(A94-Subsurface_Inputs!$C$30)/Subsurface_Inputs!$C$31)-Subsurface_Inputs!$C$32*(B94-AVERAGE($B$2:$B$242))</f>
        <v>15185.969392963387</v>
      </c>
      <c r="L94" s="24">
        <f t="shared" si="11"/>
        <v>-14765.011800074113</v>
      </c>
      <c r="M94" s="24">
        <f>2*Subsurface_Inputs!$C$34*F94/Subsurface_Inputs!$C$35*1000000</f>
        <v>12.083254309578251</v>
      </c>
      <c r="N94" s="24">
        <f>2*Subsurface_Inputs!$C$34*I94/Subsurface_Inputs!$C$35*1000000</f>
        <v>52.749323928311767</v>
      </c>
      <c r="O94" s="24">
        <f>2*Subsurface_Inputs!$C$34*K94/Subsurface_Inputs!$C$35*1000000</f>
        <v>180.33159139363559</v>
      </c>
      <c r="P94" s="24">
        <f>Subsurface_Inputs!$C$37-2*Subsurface_Inputs!$C$36*(F94/1000)</f>
        <v>-11.831585201739776</v>
      </c>
      <c r="Q94" s="24">
        <f>Subsurface_Inputs!$C$38+Subsurface_Inputs!$C$39*H94-2*Subsurface_Inputs!$C$36*(I94/1000)</f>
        <v>-26.809927748877652</v>
      </c>
      <c r="R94" s="24">
        <f>Subsurface_Inputs!$C$40-2*Subsurface_Inputs!$C$36*(K94/1000)-Subsurface_Inputs!$C$41*ABS(L94-AVERAGE($L$2:$L$242))</f>
        <v>-33.346961593659216</v>
      </c>
      <c r="S94" s="24">
        <f t="shared" si="12"/>
        <v>108.58469738927306</v>
      </c>
      <c r="T94" s="24">
        <f t="shared" si="13"/>
        <v>14.924091372527757</v>
      </c>
      <c r="U94" s="25" t="str">
        <f>IF(H94&gt;=Subsurface_Inputs!$C$42,"Lens visible","Weak/no lens")</f>
        <v>Lens visible</v>
      </c>
      <c r="V94" s="25" t="str">
        <f t="shared" si="14"/>
        <v>Likely visible</v>
      </c>
      <c r="W94" s="24">
        <f>Subsurface_Inputs!$C$43</f>
        <v>-45</v>
      </c>
      <c r="X94" s="24">
        <f t="shared" si="15"/>
        <v>18.190072251122348</v>
      </c>
      <c r="Y94" s="24">
        <f t="shared" si="16"/>
        <v>11.653038406340784</v>
      </c>
      <c r="Z94" s="24">
        <f t="shared" si="17"/>
        <v>18.190072251122348</v>
      </c>
      <c r="AA94" s="24">
        <v>0</v>
      </c>
    </row>
    <row r="95" spans="1:27">
      <c r="A95" s="24">
        <f>Model_Data!A95</f>
        <v>-13.5</v>
      </c>
      <c r="B95" s="24">
        <f>Model_Data!Y95</f>
        <v>418.77001789703809</v>
      </c>
      <c r="C95" s="24">
        <f>Model_Data!X95</f>
        <v>-61.032054933534482</v>
      </c>
      <c r="D95" s="24">
        <f>Model_Data!B95</f>
        <v>400.20249999999999</v>
      </c>
      <c r="E95" s="24">
        <f>Inputs!$C$6</f>
        <v>25</v>
      </c>
      <c r="F95" s="24">
        <f>Subsurface_Inputs!$C$5+Subsurface_Inputs!$C$6*SIN(2*PI()*(A95+Subsurface_Inputs!$C$7)/Subsurface_Inputs!$C$8)+Subsurface_Inputs!$C$9*COS(2*PI()*A95/Subsurface_Inputs!$C$10)+Subsurface_Inputs!$C$11*(B95-AVERAGE($B$2:$B$242))</f>
        <v>1022.8685537598411</v>
      </c>
      <c r="G95" s="24">
        <f t="shared" si="9"/>
        <v>-604.09853586280303</v>
      </c>
      <c r="H95" s="24">
        <f>MIN(1,MAX(0,Subsurface_Inputs!$C$13*EXP(-0.5*((A95-Subsurface_Inputs!$C$14)/Subsurface_Inputs!$C$15)^2)+Subsurface_Inputs!$C$16*EXP(-0.5*((A95-Subsurface_Inputs!$C$17)/Subsurface_Inputs!$C$18)^2)))</f>
        <v>0.54741788595933949</v>
      </c>
      <c r="I95" s="24">
        <f>Subsurface_Inputs!$C$19+Subsurface_Inputs!$C$20*SIN(2*PI()*(A95-Subsurface_Inputs!$C$21)/Subsurface_Inputs!$C$22)-Subsurface_Inputs!$C$23*H95</f>
        <v>4450.1454907542138</v>
      </c>
      <c r="J95" s="24">
        <f t="shared" si="10"/>
        <v>-4031.3754728571757</v>
      </c>
      <c r="K95" s="24">
        <f>Subsurface_Inputs!$C$25+Subsurface_Inputs!$C$26*SIN(2*PI()*(A95+Subsurface_Inputs!$C$27)/Subsurface_Inputs!$C$28)+Subsurface_Inputs!$C$29*COS(2*PI()*(A95-Subsurface_Inputs!$C$30)/Subsurface_Inputs!$C$31)-Subsurface_Inputs!$C$32*(B95-AVERAGE($B$2:$B$242))</f>
        <v>15214.640299238325</v>
      </c>
      <c r="L95" s="24">
        <f t="shared" si="11"/>
        <v>-14795.870281341286</v>
      </c>
      <c r="M95" s="24">
        <f>2*Subsurface_Inputs!$C$34*F95/Subsurface_Inputs!$C$35*1000000</f>
        <v>12.146443161638958</v>
      </c>
      <c r="N95" s="24">
        <f>2*Subsurface_Inputs!$C$34*I95/Subsurface_Inputs!$C$35*1000000</f>
        <v>52.84495164679894</v>
      </c>
      <c r="O95" s="24">
        <f>2*Subsurface_Inputs!$C$34*K95/Subsurface_Inputs!$C$35*1000000</f>
        <v>180.67205501643551</v>
      </c>
      <c r="P95" s="24">
        <f>Subsurface_Inputs!$C$37-2*Subsurface_Inputs!$C$36*(F95/1000)</f>
        <v>-11.841163396767714</v>
      </c>
      <c r="Q95" s="24">
        <f>Subsurface_Inputs!$C$38+Subsurface_Inputs!$C$39*H95-2*Subsurface_Inputs!$C$36*(I95/1000)</f>
        <v>-27.083500909723533</v>
      </c>
      <c r="R95" s="24">
        <f>Subsurface_Inputs!$C$40-2*Subsurface_Inputs!$C$36*(K95/1000)-Subsurface_Inputs!$C$41*ABS(L95-AVERAGE($L$2:$L$242))</f>
        <v>-33.52200315002279</v>
      </c>
      <c r="S95" s="24">
        <f t="shared" si="12"/>
        <v>137.25560366421087</v>
      </c>
      <c r="T95" s="24">
        <f t="shared" si="13"/>
        <v>14.874482398850404</v>
      </c>
      <c r="U95" s="25" t="str">
        <f>IF(H95&gt;=Subsurface_Inputs!$C$42,"Lens visible","Weak/no lens")</f>
        <v>Lens visible</v>
      </c>
      <c r="V95" s="25" t="str">
        <f t="shared" si="14"/>
        <v>Likely visible</v>
      </c>
      <c r="W95" s="24">
        <f>Subsurface_Inputs!$C$43</f>
        <v>-45</v>
      </c>
      <c r="X95" s="24">
        <f t="shared" si="15"/>
        <v>17.916499090276467</v>
      </c>
      <c r="Y95" s="24">
        <f t="shared" si="16"/>
        <v>11.47799684997721</v>
      </c>
      <c r="Z95" s="24">
        <f t="shared" si="17"/>
        <v>17.916499090276467</v>
      </c>
      <c r="AA95" s="24">
        <v>0</v>
      </c>
    </row>
    <row r="96" spans="1:27">
      <c r="A96" s="24">
        <f>Model_Data!A96</f>
        <v>-13</v>
      </c>
      <c r="B96" s="24">
        <f>Model_Data!Y96</f>
        <v>432.88444582509743</v>
      </c>
      <c r="C96" s="24">
        <f>Model_Data!X96</f>
        <v>-64.092434824295424</v>
      </c>
      <c r="D96" s="24">
        <f>Model_Data!B96</f>
        <v>400.1877777777778</v>
      </c>
      <c r="E96" s="24">
        <f>Inputs!$C$6</f>
        <v>25</v>
      </c>
      <c r="F96" s="24">
        <f>Subsurface_Inputs!$C$5+Subsurface_Inputs!$C$6*SIN(2*PI()*(A96+Subsurface_Inputs!$C$7)/Subsurface_Inputs!$C$8)+Subsurface_Inputs!$C$9*COS(2*PI()*A96/Subsurface_Inputs!$C$10)+Subsurface_Inputs!$C$11*(B96-AVERAGE($B$2:$B$242))</f>
        <v>1030.2442188006162</v>
      </c>
      <c r="G96" s="24">
        <f t="shared" si="9"/>
        <v>-597.35977297551881</v>
      </c>
      <c r="H96" s="24">
        <f>MIN(1,MAX(0,Subsurface_Inputs!$C$13*EXP(-0.5*((A96-Subsurface_Inputs!$C$14)/Subsurface_Inputs!$C$15)^2)+Subsurface_Inputs!$C$16*EXP(-0.5*((A96-Subsurface_Inputs!$C$17)/Subsurface_Inputs!$C$18)^2)))</f>
        <v>0.51877107819583079</v>
      </c>
      <c r="I96" s="24">
        <f>Subsurface_Inputs!$C$19+Subsurface_Inputs!$C$20*SIN(2*PI()*(A96-Subsurface_Inputs!$C$21)/Subsurface_Inputs!$C$22)-Subsurface_Inputs!$C$23*H96</f>
        <v>4458.9258545579696</v>
      </c>
      <c r="J96" s="24">
        <f t="shared" si="10"/>
        <v>-4026.0414087328722</v>
      </c>
      <c r="K96" s="24">
        <f>Subsurface_Inputs!$C$25+Subsurface_Inputs!$C$26*SIN(2*PI()*(A96+Subsurface_Inputs!$C$27)/Subsurface_Inputs!$C$28)+Subsurface_Inputs!$C$29*COS(2*PI()*(A96-Subsurface_Inputs!$C$30)/Subsurface_Inputs!$C$31)-Subsurface_Inputs!$C$32*(B96-AVERAGE($B$2:$B$242))</f>
        <v>15241.286697126136</v>
      </c>
      <c r="L96" s="24">
        <f t="shared" si="11"/>
        <v>-14808.402251301039</v>
      </c>
      <c r="M96" s="24">
        <f>2*Subsurface_Inputs!$C$34*F96/Subsurface_Inputs!$C$35*1000000</f>
        <v>12.234028312113821</v>
      </c>
      <c r="N96" s="24">
        <f>2*Subsurface_Inputs!$C$34*I96/Subsurface_Inputs!$C$35*1000000</f>
        <v>52.949217429033432</v>
      </c>
      <c r="O96" s="24">
        <f>2*Subsurface_Inputs!$C$34*K96/Subsurface_Inputs!$C$35*1000000</f>
        <v>180.98847784145738</v>
      </c>
      <c r="P96" s="24">
        <f>Subsurface_Inputs!$C$37-2*Subsurface_Inputs!$C$36*(F96/1000)</f>
        <v>-11.854439593841109</v>
      </c>
      <c r="Q96" s="24">
        <f>Subsurface_Inputs!$C$38+Subsurface_Inputs!$C$39*H96-2*Subsurface_Inputs!$C$36*(I96/1000)</f>
        <v>-27.357126834441871</v>
      </c>
      <c r="R96" s="24">
        <f>Subsurface_Inputs!$C$40-2*Subsurface_Inputs!$C$36*(K96/1000)-Subsurface_Inputs!$C$41*ABS(L96-AVERAGE($L$2:$L$242))</f>
        <v>-33.620094546059867</v>
      </c>
      <c r="S96" s="24">
        <f t="shared" si="12"/>
        <v>163.90200155202183</v>
      </c>
      <c r="T96" s="24">
        <f t="shared" si="13"/>
        <v>14.793858018314967</v>
      </c>
      <c r="U96" s="25" t="str">
        <f>IF(H96&gt;=Subsurface_Inputs!$C$42,"Lens visible","Weak/no lens")</f>
        <v>Lens visible</v>
      </c>
      <c r="V96" s="25" t="str">
        <f t="shared" si="14"/>
        <v>Likely visible</v>
      </c>
      <c r="W96" s="24">
        <f>Subsurface_Inputs!$C$43</f>
        <v>-45</v>
      </c>
      <c r="X96" s="24">
        <f t="shared" si="15"/>
        <v>17.642873165558129</v>
      </c>
      <c r="Y96" s="24">
        <f t="shared" si="16"/>
        <v>11.379905453940133</v>
      </c>
      <c r="Z96" s="24">
        <f t="shared" si="17"/>
        <v>17.642873165558129</v>
      </c>
      <c r="AA96" s="24">
        <v>0</v>
      </c>
    </row>
    <row r="97" spans="1:27">
      <c r="A97" s="24">
        <f>Model_Data!A97</f>
        <v>-12.5</v>
      </c>
      <c r="B97" s="24">
        <f>Model_Data!Y97</f>
        <v>448.86831612559951</v>
      </c>
      <c r="C97" s="24">
        <f>Model_Data!X97</f>
        <v>-70.183922281311382</v>
      </c>
      <c r="D97" s="24">
        <f>Model_Data!B97</f>
        <v>400.17361111111109</v>
      </c>
      <c r="E97" s="24">
        <f>Inputs!$C$6</f>
        <v>25</v>
      </c>
      <c r="F97" s="24">
        <f>Subsurface_Inputs!$C$5+Subsurface_Inputs!$C$6*SIN(2*PI()*(A97+Subsurface_Inputs!$C$7)/Subsurface_Inputs!$C$8)+Subsurface_Inputs!$C$9*COS(2*PI()*A97/Subsurface_Inputs!$C$10)+Subsurface_Inputs!$C$11*(B97-AVERAGE($B$2:$B$242))</f>
        <v>1039.1080488222817</v>
      </c>
      <c r="G97" s="24">
        <f t="shared" si="9"/>
        <v>-590.23973269668227</v>
      </c>
      <c r="H97" s="24">
        <f>MIN(1,MAX(0,Subsurface_Inputs!$C$13*EXP(-0.5*((A97-Subsurface_Inputs!$C$14)/Subsurface_Inputs!$C$15)^2)+Subsurface_Inputs!$C$16*EXP(-0.5*((A97-Subsurface_Inputs!$C$17)/Subsurface_Inputs!$C$18)^2)))</f>
        <v>0.49039591099441382</v>
      </c>
      <c r="I97" s="24">
        <f>Subsurface_Inputs!$C$19+Subsurface_Inputs!$C$20*SIN(2*PI()*(A97-Subsurface_Inputs!$C$21)/Subsurface_Inputs!$C$22)-Subsurface_Inputs!$C$23*H97</f>
        <v>4468.3991609955592</v>
      </c>
      <c r="J97" s="24">
        <f t="shared" si="10"/>
        <v>-4019.5308448699598</v>
      </c>
      <c r="K97" s="24">
        <f>Subsurface_Inputs!$C$25+Subsurface_Inputs!$C$26*SIN(2*PI()*(A97+Subsurface_Inputs!$C$27)/Subsurface_Inputs!$C$28)+Subsurface_Inputs!$C$29*COS(2*PI()*(A97-Subsurface_Inputs!$C$30)/Subsurface_Inputs!$C$31)-Subsurface_Inputs!$C$32*(B97-AVERAGE($B$2:$B$242))</f>
        <v>15267.885369240817</v>
      </c>
      <c r="L97" s="24">
        <f t="shared" si="11"/>
        <v>-14819.017053115218</v>
      </c>
      <c r="M97" s="24">
        <f>2*Subsurface_Inputs!$C$34*F97/Subsurface_Inputs!$C$35*1000000</f>
        <v>12.33928524581937</v>
      </c>
      <c r="N97" s="24">
        <f>2*Subsurface_Inputs!$C$34*I97/Subsurface_Inputs!$C$35*1000000</f>
        <v>53.06171182313129</v>
      </c>
      <c r="O97" s="24">
        <f>2*Subsurface_Inputs!$C$34*K97/Subsurface_Inputs!$C$35*1000000</f>
        <v>181.30433392856506</v>
      </c>
      <c r="P97" s="24">
        <f>Subsurface_Inputs!$C$37-2*Subsurface_Inputs!$C$36*(F97/1000)</f>
        <v>-11.870394487880107</v>
      </c>
      <c r="Q97" s="24">
        <f>Subsurface_Inputs!$C$38+Subsurface_Inputs!$C$39*H97-2*Subsurface_Inputs!$C$36*(I97/1000)</f>
        <v>-27.629555290842283</v>
      </c>
      <c r="R97" s="24">
        <f>Subsurface_Inputs!$C$40-2*Subsurface_Inputs!$C$36*(K97/1000)-Subsurface_Inputs!$C$41*ABS(L97-AVERAGE($L$2:$L$242))</f>
        <v>-33.710431363123007</v>
      </c>
      <c r="S97" s="24">
        <f t="shared" si="12"/>
        <v>190.50067366670373</v>
      </c>
      <c r="T97" s="24">
        <f t="shared" si="13"/>
        <v>14.693260615722627</v>
      </c>
      <c r="U97" s="25" t="str">
        <f>IF(H97&gt;=Subsurface_Inputs!$C$42,"Lens visible","Weak/no lens")</f>
        <v>Lens visible</v>
      </c>
      <c r="V97" s="25" t="str">
        <f t="shared" si="14"/>
        <v>Likely visible</v>
      </c>
      <c r="W97" s="24">
        <f>Subsurface_Inputs!$C$43</f>
        <v>-45</v>
      </c>
      <c r="X97" s="24">
        <f t="shared" si="15"/>
        <v>17.370444709157717</v>
      </c>
      <c r="Y97" s="24">
        <f t="shared" si="16"/>
        <v>11.289568636876993</v>
      </c>
      <c r="Z97" s="24">
        <f t="shared" si="17"/>
        <v>17.370444709157717</v>
      </c>
      <c r="AA97" s="24">
        <v>0</v>
      </c>
    </row>
    <row r="98" spans="1:27">
      <c r="A98" s="24">
        <f>Model_Data!A98</f>
        <v>-12</v>
      </c>
      <c r="B98" s="24">
        <f>Model_Data!Y98</f>
        <v>437.99189931001791</v>
      </c>
      <c r="C98" s="24">
        <f>Model_Data!X98</f>
        <v>-47.557945529629748</v>
      </c>
      <c r="D98" s="24">
        <f>Model_Data!B98</f>
        <v>400.16</v>
      </c>
      <c r="E98" s="24">
        <f>Inputs!$C$6</f>
        <v>25</v>
      </c>
      <c r="F98" s="24">
        <f>Subsurface_Inputs!$C$5+Subsurface_Inputs!$C$6*SIN(2*PI()*(A98+Subsurface_Inputs!$C$7)/Subsurface_Inputs!$C$8)+Subsurface_Inputs!$C$9*COS(2*PI()*A98/Subsurface_Inputs!$C$10)+Subsurface_Inputs!$C$11*(B98-AVERAGE($B$2:$B$242))</f>
        <v>1048.3006086212249</v>
      </c>
      <c r="G98" s="24">
        <f t="shared" si="9"/>
        <v>-610.30870931120694</v>
      </c>
      <c r="H98" s="24">
        <f>MIN(1,MAX(0,Subsurface_Inputs!$C$13*EXP(-0.5*((A98-Subsurface_Inputs!$C$14)/Subsurface_Inputs!$C$15)^2)+Subsurface_Inputs!$C$16*EXP(-0.5*((A98-Subsurface_Inputs!$C$17)/Subsurface_Inputs!$C$18)^2)))</f>
        <v>0.46241536755992085</v>
      </c>
      <c r="I98" s="24">
        <f>Subsurface_Inputs!$C$19+Subsurface_Inputs!$C$20*SIN(2*PI()*(A98-Subsurface_Inputs!$C$21)/Subsurface_Inputs!$C$22)-Subsurface_Inputs!$C$23*H98</f>
        <v>4478.5319853872543</v>
      </c>
      <c r="J98" s="24">
        <f t="shared" si="10"/>
        <v>-4040.5400860772365</v>
      </c>
      <c r="K98" s="24">
        <f>Subsurface_Inputs!$C$25+Subsurface_Inputs!$C$26*SIN(2*PI()*(A98+Subsurface_Inputs!$C$27)/Subsurface_Inputs!$C$28)+Subsurface_Inputs!$C$29*COS(2*PI()*(A98-Subsurface_Inputs!$C$30)/Subsurface_Inputs!$C$31)-Subsurface_Inputs!$C$32*(B98-AVERAGE($B$2:$B$242))</f>
        <v>15298.413678377055</v>
      </c>
      <c r="L98" s="24">
        <f t="shared" si="11"/>
        <v>-14860.421779067037</v>
      </c>
      <c r="M98" s="24">
        <f>2*Subsurface_Inputs!$C$34*F98/Subsurface_Inputs!$C$35*1000000</f>
        <v>12.44844580677063</v>
      </c>
      <c r="N98" s="24">
        <f>2*Subsurface_Inputs!$C$34*I98/Subsurface_Inputs!$C$35*1000000</f>
        <v>53.182037914971914</v>
      </c>
      <c r="O98" s="24">
        <f>2*Subsurface_Inputs!$C$34*K98/Subsurface_Inputs!$C$35*1000000</f>
        <v>181.66685399077755</v>
      </c>
      <c r="P98" s="24">
        <f>Subsurface_Inputs!$C$37-2*Subsurface_Inputs!$C$36*(F98/1000)</f>
        <v>-11.886941095518205</v>
      </c>
      <c r="Q98" s="24">
        <f>Subsurface_Inputs!$C$38+Subsurface_Inputs!$C$39*H98-2*Subsurface_Inputs!$C$36*(I98/1000)</f>
        <v>-27.899619265657769</v>
      </c>
      <c r="R98" s="24">
        <f>Subsurface_Inputs!$C$40-2*Subsurface_Inputs!$C$36*(K98/1000)-Subsurface_Inputs!$C$41*ABS(L98-AVERAGE($L$2:$L$242))</f>
        <v>-33.931001223375517</v>
      </c>
      <c r="S98" s="24">
        <f t="shared" si="12"/>
        <v>221.02898280294175</v>
      </c>
      <c r="T98" s="24">
        <f t="shared" si="13"/>
        <v>14.593536961214074</v>
      </c>
      <c r="U98" s="25" t="str">
        <f>IF(H98&gt;=Subsurface_Inputs!$C$42,"Lens visible","Weak/no lens")</f>
        <v>Lens visible</v>
      </c>
      <c r="V98" s="25" t="str">
        <f t="shared" si="14"/>
        <v>Likely visible</v>
      </c>
      <c r="W98" s="24">
        <f>Subsurface_Inputs!$C$43</f>
        <v>-45</v>
      </c>
      <c r="X98" s="24">
        <f t="shared" si="15"/>
        <v>17.100380734342231</v>
      </c>
      <c r="Y98" s="24">
        <f t="shared" si="16"/>
        <v>11.068998776624483</v>
      </c>
      <c r="Z98" s="24">
        <f t="shared" si="17"/>
        <v>17.100380734342231</v>
      </c>
      <c r="AA98" s="24">
        <v>0</v>
      </c>
    </row>
    <row r="99" spans="1:27">
      <c r="A99" s="24">
        <f>Model_Data!A99</f>
        <v>-11.5</v>
      </c>
      <c r="B99" s="24">
        <f>Model_Data!Y99</f>
        <v>458.91089147275255</v>
      </c>
      <c r="C99" s="24">
        <f>Model_Data!X99</f>
        <v>-48.067808115448663</v>
      </c>
      <c r="D99" s="24">
        <f>Model_Data!B99</f>
        <v>400.14694444444444</v>
      </c>
      <c r="E99" s="24">
        <f>Inputs!$C$6</f>
        <v>25</v>
      </c>
      <c r="F99" s="24">
        <f>Subsurface_Inputs!$C$5+Subsurface_Inputs!$C$6*SIN(2*PI()*(A99+Subsurface_Inputs!$C$7)/Subsurface_Inputs!$C$8)+Subsurface_Inputs!$C$9*COS(2*PI()*A99/Subsurface_Inputs!$C$10)+Subsurface_Inputs!$C$11*(B99-AVERAGE($B$2:$B$242))</f>
        <v>1060.1360035426487</v>
      </c>
      <c r="G99" s="24">
        <f t="shared" si="9"/>
        <v>-601.22511206989611</v>
      </c>
      <c r="H99" s="24">
        <f>MIN(1,MAX(0,Subsurface_Inputs!$C$13*EXP(-0.5*((A99-Subsurface_Inputs!$C$14)/Subsurface_Inputs!$C$15)^2)+Subsurface_Inputs!$C$16*EXP(-0.5*((A99-Subsurface_Inputs!$C$17)/Subsurface_Inputs!$C$18)^2)))</f>
        <v>0.43494269744759079</v>
      </c>
      <c r="I99" s="24">
        <f>Subsurface_Inputs!$C$19+Subsurface_Inputs!$C$20*SIN(2*PI()*(A99-Subsurface_Inputs!$C$21)/Subsurface_Inputs!$C$22)-Subsurface_Inputs!$C$23*H99</f>
        <v>4489.292132196133</v>
      </c>
      <c r="J99" s="24">
        <f t="shared" si="10"/>
        <v>-4030.3812407233804</v>
      </c>
      <c r="K99" s="24">
        <f>Subsurface_Inputs!$C$25+Subsurface_Inputs!$C$26*SIN(2*PI()*(A99+Subsurface_Inputs!$C$27)/Subsurface_Inputs!$C$28)+Subsurface_Inputs!$C$29*COS(2*PI()*(A99-Subsurface_Inputs!$C$30)/Subsurface_Inputs!$C$31)-Subsurface_Inputs!$C$32*(B99-AVERAGE($B$2:$B$242))</f>
        <v>15324.614103451207</v>
      </c>
      <c r="L99" s="24">
        <f t="shared" si="11"/>
        <v>-14865.703211978454</v>
      </c>
      <c r="M99" s="24">
        <f>2*Subsurface_Inputs!$C$34*F99/Subsurface_Inputs!$C$35*1000000</f>
        <v>12.588989722389313</v>
      </c>
      <c r="N99" s="24">
        <f>2*Subsurface_Inputs!$C$34*I99/Subsurface_Inputs!$C$35*1000000</f>
        <v>53.309813386360219</v>
      </c>
      <c r="O99" s="24">
        <f>2*Subsurface_Inputs!$C$34*K99/Subsurface_Inputs!$C$35*1000000</f>
        <v>181.97798094135609</v>
      </c>
      <c r="P99" s="24">
        <f>Subsurface_Inputs!$C$37-2*Subsurface_Inputs!$C$36*(F99/1000)</f>
        <v>-11.908244806376768</v>
      </c>
      <c r="Q99" s="24">
        <f>Subsurface_Inputs!$C$38+Subsurface_Inputs!$C$39*H99-2*Subsurface_Inputs!$C$36*(I99/1000)</f>
        <v>-28.166241560924721</v>
      </c>
      <c r="R99" s="24">
        <f>Subsurface_Inputs!$C$40-2*Subsurface_Inputs!$C$36*(K99/1000)-Subsurface_Inputs!$C$41*ABS(L99-AVERAGE($L$2:$L$242))</f>
        <v>-33.999287720154655</v>
      </c>
      <c r="S99" s="24">
        <f t="shared" si="12"/>
        <v>247.22940787709376</v>
      </c>
      <c r="T99" s="24">
        <f t="shared" si="13"/>
        <v>14.455328422241163</v>
      </c>
      <c r="U99" s="25" t="str">
        <f>IF(H99&gt;=Subsurface_Inputs!$C$42,"Lens visible","Weak/no lens")</f>
        <v>Lens visible</v>
      </c>
      <c r="V99" s="25" t="str">
        <f t="shared" si="14"/>
        <v>Likely visible</v>
      </c>
      <c r="W99" s="24">
        <f>Subsurface_Inputs!$C$43</f>
        <v>-45</v>
      </c>
      <c r="X99" s="24">
        <f t="shared" si="15"/>
        <v>16.833758439075279</v>
      </c>
      <c r="Y99" s="24">
        <f t="shared" si="16"/>
        <v>11.000712279845345</v>
      </c>
      <c r="Z99" s="24">
        <f t="shared" si="17"/>
        <v>16.833758439075279</v>
      </c>
      <c r="AA99" s="24">
        <v>0</v>
      </c>
    </row>
    <row r="100" spans="1:27">
      <c r="A100" s="24">
        <f>Model_Data!A100</f>
        <v>-11</v>
      </c>
      <c r="B100" s="24">
        <f>Model_Data!Y100</f>
        <v>462.54124928234683</v>
      </c>
      <c r="C100" s="24">
        <f>Model_Data!X100</f>
        <v>-43.289835573332148</v>
      </c>
      <c r="D100" s="24">
        <f>Model_Data!B100</f>
        <v>400.13444444444445</v>
      </c>
      <c r="E100" s="24">
        <f>Inputs!$C$6</f>
        <v>25</v>
      </c>
      <c r="F100" s="24">
        <f>Subsurface_Inputs!$C$5+Subsurface_Inputs!$C$6*SIN(2*PI()*(A100+Subsurface_Inputs!$C$7)/Subsurface_Inputs!$C$8)+Subsurface_Inputs!$C$9*COS(2*PI()*A100/Subsurface_Inputs!$C$10)+Subsurface_Inputs!$C$11*(B100-AVERAGE($B$2:$B$242))</f>
        <v>1072.596647937675</v>
      </c>
      <c r="G100" s="24">
        <f t="shared" si="9"/>
        <v>-610.05539865532819</v>
      </c>
      <c r="H100" s="24">
        <f>MIN(1,MAX(0,Subsurface_Inputs!$C$13*EXP(-0.5*((A100-Subsurface_Inputs!$C$14)/Subsurface_Inputs!$C$15)^2)+Subsurface_Inputs!$C$16*EXP(-0.5*((A100-Subsurface_Inputs!$C$17)/Subsurface_Inputs!$C$18)^2)))</f>
        <v>0.40808087574759389</v>
      </c>
      <c r="I100" s="24">
        <f>Subsurface_Inputs!$C$19+Subsurface_Inputs!$C$20*SIN(2*PI()*(A100-Subsurface_Inputs!$C$21)/Subsurface_Inputs!$C$22)-Subsurface_Inputs!$C$23*H100</f>
        <v>4500.6487721849444</v>
      </c>
      <c r="J100" s="24">
        <f t="shared" si="10"/>
        <v>-4038.1075229025973</v>
      </c>
      <c r="K100" s="24">
        <f>Subsurface_Inputs!$C$25+Subsurface_Inputs!$C$26*SIN(2*PI()*(A100+Subsurface_Inputs!$C$27)/Subsurface_Inputs!$C$28)+Subsurface_Inputs!$C$29*COS(2*PI()*(A100-Subsurface_Inputs!$C$30)/Subsurface_Inputs!$C$31)-Subsurface_Inputs!$C$32*(B100-AVERAGE($B$2:$B$242))</f>
        <v>15353.311864414831</v>
      </c>
      <c r="L100" s="24">
        <f t="shared" si="11"/>
        <v>-14890.770615132484</v>
      </c>
      <c r="M100" s="24">
        <f>2*Subsurface_Inputs!$C$34*F100/Subsurface_Inputs!$C$35*1000000</f>
        <v>12.73695840159569</v>
      </c>
      <c r="N100" s="24">
        <f>2*Subsurface_Inputs!$C$34*I100/Subsurface_Inputs!$C$35*1000000</f>
        <v>53.4446721437482</v>
      </c>
      <c r="O100" s="24">
        <f>2*Subsurface_Inputs!$C$34*K100/Subsurface_Inputs!$C$35*1000000</f>
        <v>182.31876346040966</v>
      </c>
      <c r="P100" s="24">
        <f>Subsurface_Inputs!$C$37-2*Subsurface_Inputs!$C$36*(F100/1000)</f>
        <v>-11.930673966287815</v>
      </c>
      <c r="Q100" s="24">
        <f>Subsurface_Inputs!$C$38+Subsurface_Inputs!$C$39*H100-2*Subsurface_Inputs!$C$36*(I100/1000)</f>
        <v>-28.428439908204552</v>
      </c>
      <c r="R100" s="24">
        <f>Subsurface_Inputs!$C$40-2*Subsurface_Inputs!$C$36*(K100/1000)-Subsurface_Inputs!$C$41*ABS(L100-AVERAGE($L$2:$L$242))</f>
        <v>-34.151213302505298</v>
      </c>
      <c r="S100" s="24">
        <f t="shared" si="12"/>
        <v>275.92716884071706</v>
      </c>
      <c r="T100" s="24">
        <f t="shared" si="13"/>
        <v>14.314152383316939</v>
      </c>
      <c r="U100" s="25" t="str">
        <f>IF(H100&gt;=Subsurface_Inputs!$C$42,"Lens visible","Weak/no lens")</f>
        <v>Lens visible</v>
      </c>
      <c r="V100" s="25" t="str">
        <f t="shared" si="14"/>
        <v>Likely visible</v>
      </c>
      <c r="W100" s="24">
        <f>Subsurface_Inputs!$C$43</f>
        <v>-45</v>
      </c>
      <c r="X100" s="24">
        <f t="shared" si="15"/>
        <v>16.571560091795448</v>
      </c>
      <c r="Y100" s="24">
        <f t="shared" si="16"/>
        <v>10.848786697494702</v>
      </c>
      <c r="Z100" s="24">
        <f t="shared" si="17"/>
        <v>16.571560091795448</v>
      </c>
      <c r="AA100" s="24">
        <v>0</v>
      </c>
    </row>
    <row r="101" spans="1:27">
      <c r="A101" s="24">
        <f>Model_Data!A101</f>
        <v>-10.5</v>
      </c>
      <c r="B101" s="24">
        <f>Model_Data!Y101</f>
        <v>470.10163194835405</v>
      </c>
      <c r="C101" s="24">
        <f>Model_Data!X101</f>
        <v>-52.096314636551988</v>
      </c>
      <c r="D101" s="24">
        <f>Model_Data!B101</f>
        <v>400.1225</v>
      </c>
      <c r="E101" s="24">
        <f>Inputs!$C$6</f>
        <v>25</v>
      </c>
      <c r="F101" s="24">
        <f>Subsurface_Inputs!$C$5+Subsurface_Inputs!$C$6*SIN(2*PI()*(A101+Subsurface_Inputs!$C$7)/Subsurface_Inputs!$C$8)+Subsurface_Inputs!$C$9*COS(2*PI()*A101/Subsurface_Inputs!$C$10)+Subsurface_Inputs!$C$11*(B101-AVERAGE($B$2:$B$242))</f>
        <v>1086.4551303799872</v>
      </c>
      <c r="G101" s="24">
        <f t="shared" si="9"/>
        <v>-616.35349843163317</v>
      </c>
      <c r="H101" s="24">
        <f>MIN(1,MAX(0,Subsurface_Inputs!$C$13*EXP(-0.5*((A101-Subsurface_Inputs!$C$14)/Subsurface_Inputs!$C$15)^2)+Subsurface_Inputs!$C$16*EXP(-0.5*((A101-Subsurface_Inputs!$C$17)/Subsurface_Inputs!$C$18)^2)))</f>
        <v>0.38192221875034676</v>
      </c>
      <c r="I101" s="24">
        <f>Subsurface_Inputs!$C$19+Subsurface_Inputs!$C$20*SIN(2*PI()*(A101-Subsurface_Inputs!$C$21)/Subsurface_Inputs!$C$22)-Subsurface_Inputs!$C$23*H101</f>
        <v>4512.5725436313523</v>
      </c>
      <c r="J101" s="24">
        <f t="shared" si="10"/>
        <v>-4042.4709116829981</v>
      </c>
      <c r="K101" s="24">
        <f>Subsurface_Inputs!$C$25+Subsurface_Inputs!$C$26*SIN(2*PI()*(A101+Subsurface_Inputs!$C$27)/Subsurface_Inputs!$C$28)+Subsurface_Inputs!$C$29*COS(2*PI()*(A101-Subsurface_Inputs!$C$30)/Subsurface_Inputs!$C$31)-Subsurface_Inputs!$C$32*(B101-AVERAGE($B$2:$B$242))</f>
        <v>15381.489084576646</v>
      </c>
      <c r="L101" s="24">
        <f t="shared" si="11"/>
        <v>-14911.387452628293</v>
      </c>
      <c r="M101" s="24">
        <f>2*Subsurface_Inputs!$C$34*F101/Subsurface_Inputs!$C$35*1000000</f>
        <v>12.90152624237383</v>
      </c>
      <c r="N101" s="24">
        <f>2*Subsurface_Inputs!$C$34*I101/Subsurface_Inputs!$C$35*1000000</f>
        <v>53.586265520154001</v>
      </c>
      <c r="O101" s="24">
        <f>2*Subsurface_Inputs!$C$34*K101/Subsurface_Inputs!$C$35*1000000</f>
        <v>182.65336461897539</v>
      </c>
      <c r="P101" s="24">
        <f>Subsurface_Inputs!$C$37-2*Subsurface_Inputs!$C$36*(F101/1000)</f>
        <v>-11.955619234683978</v>
      </c>
      <c r="Q101" s="24">
        <f>Subsurface_Inputs!$C$38+Subsurface_Inputs!$C$39*H101-2*Subsurface_Inputs!$C$36*(I101/1000)</f>
        <v>-28.685330609783314</v>
      </c>
      <c r="R101" s="24">
        <f>Subsurface_Inputs!$C$40-2*Subsurface_Inputs!$C$36*(K101/1000)-Subsurface_Inputs!$C$41*ABS(L101-AVERAGE($L$2:$L$242))</f>
        <v>-34.284399648779804</v>
      </c>
      <c r="S101" s="24">
        <f t="shared" si="12"/>
        <v>304.10438900253212</v>
      </c>
      <c r="T101" s="24">
        <f t="shared" si="13"/>
        <v>14.157500530368868</v>
      </c>
      <c r="U101" s="25" t="str">
        <f>IF(H101&gt;=Subsurface_Inputs!$C$42,"Lens visible","Weak/no lens")</f>
        <v>Lens visible</v>
      </c>
      <c r="V101" s="25" t="str">
        <f t="shared" si="14"/>
        <v>Likely visible</v>
      </c>
      <c r="W101" s="24">
        <f>Subsurface_Inputs!$C$43</f>
        <v>-45</v>
      </c>
      <c r="X101" s="24">
        <f t="shared" si="15"/>
        <v>16.314669390216686</v>
      </c>
      <c r="Y101" s="24">
        <f t="shared" si="16"/>
        <v>10.715600351220196</v>
      </c>
      <c r="Z101" s="24">
        <f t="shared" si="17"/>
        <v>16.314669390216686</v>
      </c>
      <c r="AA101" s="24">
        <v>0</v>
      </c>
    </row>
    <row r="102" spans="1:27">
      <c r="A102" s="24">
        <f>Model_Data!A102</f>
        <v>-10</v>
      </c>
      <c r="B102" s="24">
        <f>Model_Data!Y102</f>
        <v>471.51448488312155</v>
      </c>
      <c r="C102" s="24">
        <f>Model_Data!X102</f>
        <v>-49.423131521111884</v>
      </c>
      <c r="D102" s="24">
        <f>Model_Data!B102</f>
        <v>400.11111111111109</v>
      </c>
      <c r="E102" s="24">
        <f>Inputs!$C$6</f>
        <v>25</v>
      </c>
      <c r="F102" s="24">
        <f>Subsurface_Inputs!$C$5+Subsurface_Inputs!$C$6*SIN(2*PI()*(A102+Subsurface_Inputs!$C$7)/Subsurface_Inputs!$C$8)+Subsurface_Inputs!$C$9*COS(2*PI()*A102/Subsurface_Inputs!$C$10)+Subsurface_Inputs!$C$11*(B102-AVERAGE($B$2:$B$242))</f>
        <v>1101.2108186217465</v>
      </c>
      <c r="G102" s="24">
        <f t="shared" si="9"/>
        <v>-629.69633373862496</v>
      </c>
      <c r="H102" s="24">
        <f>MIN(1,MAX(0,Subsurface_Inputs!$C$13*EXP(-0.5*((A102-Subsurface_Inputs!$C$14)/Subsurface_Inputs!$C$15)^2)+Subsurface_Inputs!$C$16*EXP(-0.5*((A102-Subsurface_Inputs!$C$17)/Subsurface_Inputs!$C$18)^2)))</f>
        <v>0.35654815256605005</v>
      </c>
      <c r="I102" s="24">
        <f>Subsurface_Inputs!$C$19+Subsurface_Inputs!$C$20*SIN(2*PI()*(A102-Subsurface_Inputs!$C$21)/Subsurface_Inputs!$C$22)-Subsurface_Inputs!$C$23*H102</f>
        <v>4525.0356184347756</v>
      </c>
      <c r="J102" s="24">
        <f t="shared" si="10"/>
        <v>-4053.5211335516542</v>
      </c>
      <c r="K102" s="24">
        <f>Subsurface_Inputs!$C$25+Subsurface_Inputs!$C$26*SIN(2*PI()*(A102+Subsurface_Inputs!$C$27)/Subsurface_Inputs!$C$28)+Subsurface_Inputs!$C$29*COS(2*PI()*(A102-Subsurface_Inputs!$C$30)/Subsurface_Inputs!$C$31)-Subsurface_Inputs!$C$32*(B102-AVERAGE($B$2:$B$242))</f>
        <v>15410.508745213121</v>
      </c>
      <c r="L102" s="24">
        <f t="shared" si="11"/>
        <v>-14938.994260329999</v>
      </c>
      <c r="M102" s="24">
        <f>2*Subsurface_Inputs!$C$34*F102/Subsurface_Inputs!$C$35*1000000</f>
        <v>13.07674829596086</v>
      </c>
      <c r="N102" s="24">
        <f>2*Subsurface_Inputs!$C$34*I102/Subsurface_Inputs!$C$35*1000000</f>
        <v>53.734263060172786</v>
      </c>
      <c r="O102" s="24">
        <f>2*Subsurface_Inputs!$C$34*K102/Subsurface_Inputs!$C$35*1000000</f>
        <v>182.99796965859198</v>
      </c>
      <c r="P102" s="24">
        <f>Subsurface_Inputs!$C$37-2*Subsurface_Inputs!$C$36*(F102/1000)</f>
        <v>-11.982179473519144</v>
      </c>
      <c r="Q102" s="24">
        <f>Subsurface_Inputs!$C$38+Subsurface_Inputs!$C$39*H102-2*Subsurface_Inputs!$C$36*(I102/1000)</f>
        <v>-28.936130740088146</v>
      </c>
      <c r="R102" s="24">
        <f>Subsurface_Inputs!$C$40-2*Subsurface_Inputs!$C$36*(K102/1000)-Subsurface_Inputs!$C$41*ABS(L102-AVERAGE($L$2:$L$242))</f>
        <v>-34.447062268732282</v>
      </c>
      <c r="S102" s="24">
        <f t="shared" si="12"/>
        <v>333.12404963900735</v>
      </c>
      <c r="T102" s="24">
        <f t="shared" si="13"/>
        <v>13.994149425902487</v>
      </c>
      <c r="U102" s="25" t="str">
        <f>IF(H102&gt;=Subsurface_Inputs!$C$42,"Lens visible","Weak/no lens")</f>
        <v>Lens visible</v>
      </c>
      <c r="V102" s="25" t="str">
        <f t="shared" si="14"/>
        <v>Likely visible</v>
      </c>
      <c r="W102" s="24">
        <f>Subsurface_Inputs!$C$43</f>
        <v>-45</v>
      </c>
      <c r="X102" s="24">
        <f t="shared" si="15"/>
        <v>16.063869259911854</v>
      </c>
      <c r="Y102" s="24">
        <f t="shared" si="16"/>
        <v>10.552937731267718</v>
      </c>
      <c r="Z102" s="24">
        <f t="shared" si="17"/>
        <v>16.063869259911854</v>
      </c>
      <c r="AA102" s="24">
        <v>0</v>
      </c>
    </row>
    <row r="103" spans="1:27">
      <c r="A103" s="24">
        <f>Model_Data!A103</f>
        <v>-9.5</v>
      </c>
      <c r="B103" s="24">
        <f>Model_Data!Y103</f>
        <v>470.58157381705621</v>
      </c>
      <c r="C103" s="24">
        <f>Model_Data!X103</f>
        <v>-32.277557975083496</v>
      </c>
      <c r="D103" s="24">
        <f>Model_Data!B103</f>
        <v>400.10027777777776</v>
      </c>
      <c r="E103" s="24">
        <f>Inputs!$C$6</f>
        <v>25</v>
      </c>
      <c r="F103" s="24">
        <f>Subsurface_Inputs!$C$5+Subsurface_Inputs!$C$6*SIN(2*PI()*(A103+Subsurface_Inputs!$C$7)/Subsurface_Inputs!$C$8)+Subsurface_Inputs!$C$9*COS(2*PI()*A103/Subsurface_Inputs!$C$10)+Subsurface_Inputs!$C$11*(B103-AVERAGE($B$2:$B$242))</f>
        <v>1116.8978309704698</v>
      </c>
      <c r="G103" s="24">
        <f t="shared" si="9"/>
        <v>-646.31625715341363</v>
      </c>
      <c r="H103" s="24">
        <f>MIN(1,MAX(0,Subsurface_Inputs!$C$13*EXP(-0.5*((A103-Subsurface_Inputs!$C$14)/Subsurface_Inputs!$C$15)^2)+Subsurface_Inputs!$C$16*EXP(-0.5*((A103-Subsurface_Inputs!$C$17)/Subsurface_Inputs!$C$18)^2)))</f>
        <v>0.33202912884414421</v>
      </c>
      <c r="I103" s="24">
        <f>Subsurface_Inputs!$C$19+Subsurface_Inputs!$C$20*SIN(2*PI()*(A103-Subsurface_Inputs!$C$21)/Subsurface_Inputs!$C$22)-Subsurface_Inputs!$C$23*H103</f>
        <v>4538.0117345043163</v>
      </c>
      <c r="J103" s="24">
        <f t="shared" si="10"/>
        <v>-4067.43016068726</v>
      </c>
      <c r="K103" s="24">
        <f>Subsurface_Inputs!$C$25+Subsurface_Inputs!$C$26*SIN(2*PI()*(A103+Subsurface_Inputs!$C$27)/Subsurface_Inputs!$C$28)+Subsurface_Inputs!$C$29*COS(2*PI()*(A103-Subsurface_Inputs!$C$30)/Subsurface_Inputs!$C$31)-Subsurface_Inputs!$C$32*(B103-AVERAGE($B$2:$B$242))</f>
        <v>15439.79021897657</v>
      </c>
      <c r="L103" s="24">
        <f t="shared" si="11"/>
        <v>-14969.208645159513</v>
      </c>
      <c r="M103" s="24">
        <f>2*Subsurface_Inputs!$C$34*F103/Subsurface_Inputs!$C$35*1000000</f>
        <v>13.263029713225384</v>
      </c>
      <c r="N103" s="24">
        <f>2*Subsurface_Inputs!$C$34*I103/Subsurface_Inputs!$C$35*1000000</f>
        <v>53.888352904579634</v>
      </c>
      <c r="O103" s="24">
        <f>2*Subsurface_Inputs!$C$34*K103/Subsurface_Inputs!$C$35*1000000</f>
        <v>183.34568369814221</v>
      </c>
      <c r="P103" s="24">
        <f>Subsurface_Inputs!$C$37-2*Subsurface_Inputs!$C$36*(F103/1000)</f>
        <v>-12.010416095746846</v>
      </c>
      <c r="Q103" s="24">
        <f>Subsurface_Inputs!$C$38+Subsurface_Inputs!$C$39*H103-2*Subsurface_Inputs!$C$36*(I103/1000)</f>
        <v>-29.180158962510472</v>
      </c>
      <c r="R103" s="24">
        <f>Subsurface_Inputs!$C$40-2*Subsurface_Inputs!$C$36*(K103/1000)-Subsurface_Inputs!$C$41*ABS(L103-AVERAGE($L$2:$L$242))</f>
        <v>-34.620626460824546</v>
      </c>
      <c r="S103" s="24">
        <f t="shared" si="12"/>
        <v>362.40552340245631</v>
      </c>
      <c r="T103" s="24">
        <f t="shared" si="13"/>
        <v>13.823816101031348</v>
      </c>
      <c r="U103" s="25" t="str">
        <f>IF(H103&gt;=Subsurface_Inputs!$C$42,"Lens visible","Weak/no lens")</f>
        <v>Lens visible</v>
      </c>
      <c r="V103" s="25" t="str">
        <f t="shared" si="14"/>
        <v>Likely visible</v>
      </c>
      <c r="W103" s="24">
        <f>Subsurface_Inputs!$C$43</f>
        <v>-45</v>
      </c>
      <c r="X103" s="24">
        <f t="shared" si="15"/>
        <v>15.819841037489528</v>
      </c>
      <c r="Y103" s="24">
        <f t="shared" si="16"/>
        <v>10.379373539175454</v>
      </c>
      <c r="Z103" s="24">
        <f t="shared" si="17"/>
        <v>15.819841037489528</v>
      </c>
      <c r="AA103" s="24">
        <v>0</v>
      </c>
    </row>
    <row r="104" spans="1:27">
      <c r="A104" s="24">
        <f>Model_Data!A104</f>
        <v>-9</v>
      </c>
      <c r="B104" s="24">
        <f>Model_Data!Y104</f>
        <v>480.61828567521798</v>
      </c>
      <c r="C104" s="24">
        <f>Model_Data!X104</f>
        <v>-47.421474838397501</v>
      </c>
      <c r="D104" s="24">
        <f>Model_Data!B104</f>
        <v>400.09</v>
      </c>
      <c r="E104" s="24">
        <f>Inputs!$C$6</f>
        <v>25</v>
      </c>
      <c r="F104" s="24">
        <f>Subsurface_Inputs!$C$5+Subsurface_Inputs!$C$6*SIN(2*PI()*(A104+Subsurface_Inputs!$C$7)/Subsurface_Inputs!$C$8)+Subsurface_Inputs!$C$9*COS(2*PI()*A104/Subsurface_Inputs!$C$10)+Subsurface_Inputs!$C$11*(B104-AVERAGE($B$2:$B$242))</f>
        <v>1133.9117338896804</v>
      </c>
      <c r="G104" s="24">
        <f t="shared" si="9"/>
        <v>-653.29344821446239</v>
      </c>
      <c r="H104" s="24">
        <f>MIN(1,MAX(0,Subsurface_Inputs!$C$13*EXP(-0.5*((A104-Subsurface_Inputs!$C$14)/Subsurface_Inputs!$C$15)^2)+Subsurface_Inputs!$C$16*EXP(-0.5*((A104-Subsurface_Inputs!$C$17)/Subsurface_Inputs!$C$18)^2)))</f>
        <v>0.30842467967697906</v>
      </c>
      <c r="I104" s="24">
        <f>Subsurface_Inputs!$C$19+Subsurface_Inputs!$C$20*SIN(2*PI()*(A104-Subsurface_Inputs!$C$21)/Subsurface_Inputs!$C$22)-Subsurface_Inputs!$C$23*H104</f>
        <v>4551.4761963097189</v>
      </c>
      <c r="J104" s="24">
        <f t="shared" si="10"/>
        <v>-4070.857910634501</v>
      </c>
      <c r="K104" s="24">
        <f>Subsurface_Inputs!$C$25+Subsurface_Inputs!$C$26*SIN(2*PI()*(A104+Subsurface_Inputs!$C$27)/Subsurface_Inputs!$C$28)+Subsurface_Inputs!$C$29*COS(2*PI()*(A104-Subsurface_Inputs!$C$30)/Subsurface_Inputs!$C$31)-Subsurface_Inputs!$C$32*(B104-AVERAGE($B$2:$B$242))</f>
        <v>15467.420577548042</v>
      </c>
      <c r="L104" s="24">
        <f t="shared" si="11"/>
        <v>-14986.802291872824</v>
      </c>
      <c r="M104" s="24">
        <f>2*Subsurface_Inputs!$C$34*F104/Subsurface_Inputs!$C$35*1000000</f>
        <v>13.465067799161453</v>
      </c>
      <c r="N104" s="24">
        <f>2*Subsurface_Inputs!$C$34*I104/Subsurface_Inputs!$C$35*1000000</f>
        <v>54.04824179687202</v>
      </c>
      <c r="O104" s="24">
        <f>2*Subsurface_Inputs!$C$34*K104/Subsurface_Inputs!$C$35*1000000</f>
        <v>183.67379093996766</v>
      </c>
      <c r="P104" s="24">
        <f>Subsurface_Inputs!$C$37-2*Subsurface_Inputs!$C$36*(F104/1000)</f>
        <v>-12.041041121001424</v>
      </c>
      <c r="Q104" s="24">
        <f>Subsurface_Inputs!$C$38+Subsurface_Inputs!$C$39*H104-2*Subsurface_Inputs!$C$36*(I104/1000)</f>
        <v>-29.416835036264683</v>
      </c>
      <c r="R104" s="24">
        <f>Subsurface_Inputs!$C$40-2*Subsurface_Inputs!$C$36*(K104/1000)-Subsurface_Inputs!$C$41*ABS(L104-AVERAGE($L$2:$L$242))</f>
        <v>-34.740735693106437</v>
      </c>
      <c r="S104" s="24">
        <f t="shared" si="12"/>
        <v>390.03588197392855</v>
      </c>
      <c r="T104" s="24">
        <f t="shared" si="13"/>
        <v>13.640762429091227</v>
      </c>
      <c r="U104" s="25" t="str">
        <f>IF(H104&gt;=Subsurface_Inputs!$C$42,"Lens visible","Weak/no lens")</f>
        <v>Lens visible</v>
      </c>
      <c r="V104" s="25" t="str">
        <f t="shared" si="14"/>
        <v>Likely visible</v>
      </c>
      <c r="W104" s="24">
        <f>Subsurface_Inputs!$C$43</f>
        <v>-45</v>
      </c>
      <c r="X104" s="24">
        <f t="shared" si="15"/>
        <v>15.583164963735317</v>
      </c>
      <c r="Y104" s="24">
        <f t="shared" si="16"/>
        <v>10.259264306893563</v>
      </c>
      <c r="Z104" s="24">
        <f t="shared" si="17"/>
        <v>15.583164963735317</v>
      </c>
      <c r="AA104" s="24">
        <v>0</v>
      </c>
    </row>
    <row r="105" spans="1:27">
      <c r="A105" s="24">
        <f>Model_Data!A105</f>
        <v>-8.5</v>
      </c>
      <c r="B105" s="24">
        <f>Model_Data!Y105</f>
        <v>460.62061079043809</v>
      </c>
      <c r="C105" s="24">
        <f>Model_Data!X105</f>
        <v>-61.848322891668573</v>
      </c>
      <c r="D105" s="24">
        <f>Model_Data!B105</f>
        <v>400.08027777777778</v>
      </c>
      <c r="E105" s="24">
        <f>Inputs!$C$6</f>
        <v>25</v>
      </c>
      <c r="F105" s="24">
        <f>Subsurface_Inputs!$C$5+Subsurface_Inputs!$C$6*SIN(2*PI()*(A105+Subsurface_Inputs!$C$7)/Subsurface_Inputs!$C$8)+Subsurface_Inputs!$C$9*COS(2*PI()*A105/Subsurface_Inputs!$C$10)+Subsurface_Inputs!$C$11*(B105-AVERAGE($B$2:$B$242))</f>
        <v>1150.4579025882576</v>
      </c>
      <c r="G105" s="24">
        <f t="shared" si="9"/>
        <v>-689.83729179781949</v>
      </c>
      <c r="H105" s="24">
        <f>MIN(1,MAX(0,Subsurface_Inputs!$C$13*EXP(-0.5*((A105-Subsurface_Inputs!$C$14)/Subsurface_Inputs!$C$15)^2)+Subsurface_Inputs!$C$16*EXP(-0.5*((A105-Subsurface_Inputs!$C$17)/Subsurface_Inputs!$C$18)^2)))</f>
        <v>0.28578360200652886</v>
      </c>
      <c r="I105" s="24">
        <f>Subsurface_Inputs!$C$19+Subsurface_Inputs!$C$20*SIN(2*PI()*(A105-Subsurface_Inputs!$C$21)/Subsurface_Inputs!$C$22)-Subsurface_Inputs!$C$23*H105</f>
        <v>4565.4058458986838</v>
      </c>
      <c r="J105" s="24">
        <f t="shared" si="10"/>
        <v>-4104.7852351082456</v>
      </c>
      <c r="K105" s="24">
        <f>Subsurface_Inputs!$C$25+Subsurface_Inputs!$C$26*SIN(2*PI()*(A105+Subsurface_Inputs!$C$27)/Subsurface_Inputs!$C$28)+Subsurface_Inputs!$C$29*COS(2*PI()*(A105-Subsurface_Inputs!$C$30)/Subsurface_Inputs!$C$31)-Subsurface_Inputs!$C$32*(B105-AVERAGE($B$2:$B$242))</f>
        <v>15499.091325220381</v>
      </c>
      <c r="L105" s="24">
        <f t="shared" si="11"/>
        <v>-15038.470714429943</v>
      </c>
      <c r="M105" s="24">
        <f>2*Subsurface_Inputs!$C$34*F105/Subsurface_Inputs!$C$35*1000000</f>
        <v>13.661551596518805</v>
      </c>
      <c r="N105" s="24">
        <f>2*Subsurface_Inputs!$C$34*I105/Subsurface_Inputs!$C$35*1000000</f>
        <v>54.21365473910393</v>
      </c>
      <c r="O105" s="24">
        <f>2*Subsurface_Inputs!$C$34*K105/Subsurface_Inputs!$C$35*1000000</f>
        <v>184.0498773247476</v>
      </c>
      <c r="P105" s="24">
        <f>Subsurface_Inputs!$C$37-2*Subsurface_Inputs!$C$36*(F105/1000)</f>
        <v>-12.070824224658864</v>
      </c>
      <c r="Q105" s="24">
        <f>Subsurface_Inputs!$C$38+Subsurface_Inputs!$C$39*H105-2*Subsurface_Inputs!$C$36*(I105/1000)</f>
        <v>-29.645678104558868</v>
      </c>
      <c r="R105" s="24">
        <f>Subsurface_Inputs!$C$40-2*Subsurface_Inputs!$C$36*(K105/1000)-Subsurface_Inputs!$C$41*ABS(L105-AVERAGE($L$2:$L$242))</f>
        <v>-35.004416729145127</v>
      </c>
      <c r="S105" s="24">
        <f t="shared" si="12"/>
        <v>421.70662964626717</v>
      </c>
      <c r="T105" s="24">
        <f t="shared" si="13"/>
        <v>13.472106445921314</v>
      </c>
      <c r="U105" s="25" t="str">
        <f>IF(H105&gt;=Subsurface_Inputs!$C$42,"Lens visible","Weak/no lens")</f>
        <v>Lens visible</v>
      </c>
      <c r="V105" s="25" t="str">
        <f t="shared" si="14"/>
        <v>Likely visible</v>
      </c>
      <c r="W105" s="24">
        <f>Subsurface_Inputs!$C$43</f>
        <v>-45</v>
      </c>
      <c r="X105" s="24">
        <f t="shared" si="15"/>
        <v>15.354321895441132</v>
      </c>
      <c r="Y105" s="24">
        <f t="shared" si="16"/>
        <v>9.9955832708548726</v>
      </c>
      <c r="Z105" s="24">
        <f t="shared" si="17"/>
        <v>15.354321895441132</v>
      </c>
      <c r="AA105" s="24">
        <v>0</v>
      </c>
    </row>
    <row r="106" spans="1:27">
      <c r="A106" s="24">
        <f>Model_Data!A106</f>
        <v>-8</v>
      </c>
      <c r="B106" s="24">
        <f>Model_Data!Y106</f>
        <v>475.66592239631382</v>
      </c>
      <c r="C106" s="24">
        <f>Model_Data!X106</f>
        <v>-39.340995770370029</v>
      </c>
      <c r="D106" s="24">
        <f>Model_Data!B106</f>
        <v>400.07111111111112</v>
      </c>
      <c r="E106" s="24">
        <f>Inputs!$C$6</f>
        <v>25</v>
      </c>
      <c r="F106" s="24">
        <f>Subsurface_Inputs!$C$5+Subsurface_Inputs!$C$6*SIN(2*PI()*(A106+Subsurface_Inputs!$C$7)/Subsurface_Inputs!$C$8)+Subsurface_Inputs!$C$9*COS(2*PI()*A106/Subsurface_Inputs!$C$10)+Subsurface_Inputs!$C$11*(B106-AVERAGE($B$2:$B$242))</f>
        <v>1168.9695627914543</v>
      </c>
      <c r="G106" s="24">
        <f t="shared" si="9"/>
        <v>-693.30364039514052</v>
      </c>
      <c r="H106" s="24">
        <f>MIN(1,MAX(0,Subsurface_Inputs!$C$13*EXP(-0.5*((A106-Subsurface_Inputs!$C$14)/Subsurface_Inputs!$C$15)^2)+Subsurface_Inputs!$C$16*EXP(-0.5*((A106-Subsurface_Inputs!$C$17)/Subsurface_Inputs!$C$18)^2)))</f>
        <v>0.26414426040415828</v>
      </c>
      <c r="I106" s="24">
        <f>Subsurface_Inputs!$C$19+Subsurface_Inputs!$C$20*SIN(2*PI()*(A106-Subsurface_Inputs!$C$21)/Subsurface_Inputs!$C$22)-Subsurface_Inputs!$C$23*H106</f>
        <v>4579.7790070293122</v>
      </c>
      <c r="J106" s="24">
        <f t="shared" si="10"/>
        <v>-4104.1130846329979</v>
      </c>
      <c r="K106" s="24">
        <f>Subsurface_Inputs!$C$25+Subsurface_Inputs!$C$26*SIN(2*PI()*(A106+Subsurface_Inputs!$C$27)/Subsurface_Inputs!$C$28)+Subsurface_Inputs!$C$29*COS(2*PI()*(A106-Subsurface_Inputs!$C$30)/Subsurface_Inputs!$C$31)-Subsurface_Inputs!$C$32*(B106-AVERAGE($B$2:$B$242))</f>
        <v>15525.64240190194</v>
      </c>
      <c r="L106" s="24">
        <f t="shared" si="11"/>
        <v>-15049.976479505625</v>
      </c>
      <c r="M106" s="24">
        <f>2*Subsurface_Inputs!$C$34*F106/Subsurface_Inputs!$C$35*1000000</f>
        <v>13.881375373150906</v>
      </c>
      <c r="N106" s="24">
        <f>2*Subsurface_Inputs!$C$34*I106/Subsurface_Inputs!$C$35*1000000</f>
        <v>54.384334328465165</v>
      </c>
      <c r="O106" s="24">
        <f>2*Subsurface_Inputs!$C$34*K106/Subsurface_Inputs!$C$35*1000000</f>
        <v>184.36516822171325</v>
      </c>
      <c r="P106" s="24">
        <f>Subsurface_Inputs!$C$37-2*Subsurface_Inputs!$C$36*(F106/1000)</f>
        <v>-12.104145213024617</v>
      </c>
      <c r="Q106" s="24">
        <f>Subsurface_Inputs!$C$38+Subsurface_Inputs!$C$39*H106-2*Subsurface_Inputs!$C$36*(I106/1000)</f>
        <v>-29.86630386901534</v>
      </c>
      <c r="R106" s="24">
        <f>Subsurface_Inputs!$C$40-2*Subsurface_Inputs!$C$36*(K106/1000)-Subsurface_Inputs!$C$41*ABS(L106-AVERAGE($L$2:$L$242))</f>
        <v>-35.098231727474662</v>
      </c>
      <c r="S106" s="24">
        <f t="shared" si="12"/>
        <v>448.25770632782587</v>
      </c>
      <c r="T106" s="24">
        <f t="shared" si="13"/>
        <v>13.281477034207207</v>
      </c>
      <c r="U106" s="25" t="str">
        <f>IF(H106&gt;=Subsurface_Inputs!$C$42,"Lens visible","Weak/no lens")</f>
        <v>Lens visible</v>
      </c>
      <c r="V106" s="25" t="str">
        <f t="shared" si="14"/>
        <v>Likely visible</v>
      </c>
      <c r="W106" s="24">
        <f>Subsurface_Inputs!$C$43</f>
        <v>-45</v>
      </c>
      <c r="X106" s="24">
        <f t="shared" si="15"/>
        <v>15.13369613098466</v>
      </c>
      <c r="Y106" s="24">
        <f t="shared" si="16"/>
        <v>9.901768272525338</v>
      </c>
      <c r="Z106" s="24">
        <f t="shared" si="17"/>
        <v>15.13369613098466</v>
      </c>
      <c r="AA106" s="24">
        <v>0</v>
      </c>
    </row>
    <row r="107" spans="1:27">
      <c r="A107" s="24">
        <f>Model_Data!A107</f>
        <v>-7.5</v>
      </c>
      <c r="B107" s="24">
        <f>Model_Data!Y107</f>
        <v>470.26409514391321</v>
      </c>
      <c r="C107" s="24">
        <f>Model_Data!X107</f>
        <v>-43.223811451652651</v>
      </c>
      <c r="D107" s="24">
        <f>Model_Data!B107</f>
        <v>400.0625</v>
      </c>
      <c r="E107" s="24">
        <f>Inputs!$C$6</f>
        <v>25</v>
      </c>
      <c r="F107" s="24">
        <f>Subsurface_Inputs!$C$5+Subsurface_Inputs!$C$6*SIN(2*PI()*(A107+Subsurface_Inputs!$C$7)/Subsurface_Inputs!$C$8)+Subsurface_Inputs!$C$9*COS(2*PI()*A107/Subsurface_Inputs!$C$10)+Subsurface_Inputs!$C$11*(B107-AVERAGE($B$2:$B$242))</f>
        <v>1187.0441427572598</v>
      </c>
      <c r="G107" s="24">
        <f t="shared" si="9"/>
        <v>-716.7800476133466</v>
      </c>
      <c r="H107" s="24">
        <f>MIN(1,MAX(0,Subsurface_Inputs!$C$13*EXP(-0.5*((A107-Subsurface_Inputs!$C$14)/Subsurface_Inputs!$C$15)^2)+Subsurface_Inputs!$C$16*EXP(-0.5*((A107-Subsurface_Inputs!$C$17)/Subsurface_Inputs!$C$18)^2)))</f>
        <v>0.24353499597302528</v>
      </c>
      <c r="I107" s="24">
        <f>Subsurface_Inputs!$C$19+Subsurface_Inputs!$C$20*SIN(2*PI()*(A107-Subsurface_Inputs!$C$21)/Subsurface_Inputs!$C$22)-Subsurface_Inputs!$C$23*H107</f>
        <v>4594.5754053331302</v>
      </c>
      <c r="J107" s="24">
        <f t="shared" si="10"/>
        <v>-4124.3113101892168</v>
      </c>
      <c r="K107" s="24">
        <f>Subsurface_Inputs!$C$25+Subsurface_Inputs!$C$26*SIN(2*PI()*(A107+Subsurface_Inputs!$C$27)/Subsurface_Inputs!$C$28)+Subsurface_Inputs!$C$29*COS(2*PI()*(A107-Subsurface_Inputs!$C$30)/Subsurface_Inputs!$C$31)-Subsurface_Inputs!$C$32*(B107-AVERAGE($B$2:$B$242))</f>
        <v>15554.793139416372</v>
      </c>
      <c r="L107" s="24">
        <f t="shared" si="11"/>
        <v>-15084.529044272458</v>
      </c>
      <c r="M107" s="24">
        <f>2*Subsurface_Inputs!$C$34*F107/Subsurface_Inputs!$C$35*1000000</f>
        <v>14.096008873631655</v>
      </c>
      <c r="N107" s="24">
        <f>2*Subsurface_Inputs!$C$34*I107/Subsurface_Inputs!$C$35*1000000</f>
        <v>54.560039809226772</v>
      </c>
      <c r="O107" s="24">
        <f>2*Subsurface_Inputs!$C$34*K107/Subsurface_Inputs!$C$35*1000000</f>
        <v>184.71132978376087</v>
      </c>
      <c r="P107" s="24">
        <f>Subsurface_Inputs!$C$37-2*Subsurface_Inputs!$C$36*(F107/1000)</f>
        <v>-12.136679456963067</v>
      </c>
      <c r="Q107" s="24">
        <f>Subsurface_Inputs!$C$38+Subsurface_Inputs!$C$39*H107-2*Subsurface_Inputs!$C$36*(I107/1000)</f>
        <v>-30.078420765842409</v>
      </c>
      <c r="R107" s="24">
        <f>Subsurface_Inputs!$C$40-2*Subsurface_Inputs!$C$36*(K107/1000)-Subsurface_Inputs!$C$41*ABS(L107-AVERAGE($L$2:$L$242))</f>
        <v>-35.288913314067969</v>
      </c>
      <c r="S107" s="24">
        <f t="shared" si="12"/>
        <v>477.40844384225784</v>
      </c>
      <c r="T107" s="24">
        <f t="shared" si="13"/>
        <v>13.103803455266441</v>
      </c>
      <c r="U107" s="25" t="str">
        <f>IF(H107&gt;=Subsurface_Inputs!$C$42,"Lens visible","Weak/no lens")</f>
        <v>Lens visible</v>
      </c>
      <c r="V107" s="25" t="str">
        <f t="shared" si="14"/>
        <v>Likely visible</v>
      </c>
      <c r="W107" s="24">
        <f>Subsurface_Inputs!$C$43</f>
        <v>-45</v>
      </c>
      <c r="X107" s="24">
        <f t="shared" si="15"/>
        <v>14.921579234157591</v>
      </c>
      <c r="Y107" s="24">
        <f t="shared" si="16"/>
        <v>9.7110866859320311</v>
      </c>
      <c r="Z107" s="24">
        <f t="shared" si="17"/>
        <v>14.921579234157591</v>
      </c>
      <c r="AA107" s="24">
        <v>0</v>
      </c>
    </row>
    <row r="108" spans="1:27">
      <c r="A108" s="24">
        <f>Model_Data!A108</f>
        <v>-7</v>
      </c>
      <c r="B108" s="24">
        <f>Model_Data!Y108</f>
        <v>442.95708145426426</v>
      </c>
      <c r="C108" s="24">
        <f>Model_Data!X108</f>
        <v>-48.04634011268098</v>
      </c>
      <c r="D108" s="24">
        <f>Model_Data!B108</f>
        <v>400.05444444444447</v>
      </c>
      <c r="E108" s="24">
        <f>Inputs!$C$6</f>
        <v>25</v>
      </c>
      <c r="F108" s="24">
        <f>Subsurface_Inputs!$C$5+Subsurface_Inputs!$C$6*SIN(2*PI()*(A108+Subsurface_Inputs!$C$7)/Subsurface_Inputs!$C$8)+Subsurface_Inputs!$C$9*COS(2*PI()*A108/Subsurface_Inputs!$C$10)+Subsurface_Inputs!$C$11*(B108-AVERAGE($B$2:$B$242))</f>
        <v>1204.4298221034696</v>
      </c>
      <c r="G108" s="24">
        <f t="shared" si="9"/>
        <v>-761.47274064920543</v>
      </c>
      <c r="H108" s="24">
        <f>MIN(1,MAX(0,Subsurface_Inputs!$C$13*EXP(-0.5*((A108-Subsurface_Inputs!$C$14)/Subsurface_Inputs!$C$15)^2)+Subsurface_Inputs!$C$16*EXP(-0.5*((A108-Subsurface_Inputs!$C$17)/Subsurface_Inputs!$C$18)^2)))</f>
        <v>0.22397462833383863</v>
      </c>
      <c r="I108" s="24">
        <f>Subsurface_Inputs!$C$19+Subsurface_Inputs!$C$20*SIN(2*PI()*(A108-Subsurface_Inputs!$C$21)/Subsurface_Inputs!$C$22)-Subsurface_Inputs!$C$23*H108</f>
        <v>4609.7760676112648</v>
      </c>
      <c r="J108" s="24">
        <f t="shared" si="10"/>
        <v>-4166.8189861570008</v>
      </c>
      <c r="K108" s="24">
        <f>Subsurface_Inputs!$C$25+Subsurface_Inputs!$C$26*SIN(2*PI()*(A108+Subsurface_Inputs!$C$27)/Subsurface_Inputs!$C$28)+Subsurface_Inputs!$C$29*COS(2*PI()*(A108-Subsurface_Inputs!$C$30)/Subsurface_Inputs!$C$31)-Subsurface_Inputs!$C$32*(B108-AVERAGE($B$2:$B$242))</f>
        <v>15586.69843418237</v>
      </c>
      <c r="L108" s="24">
        <f t="shared" si="11"/>
        <v>-15143.741352728106</v>
      </c>
      <c r="M108" s="24">
        <f>2*Subsurface_Inputs!$C$34*F108/Subsurface_Inputs!$C$35*1000000</f>
        <v>14.302461760690298</v>
      </c>
      <c r="N108" s="24">
        <f>2*Subsurface_Inputs!$C$34*I108/Subsurface_Inputs!$C$35*1000000</f>
        <v>54.740545876894949</v>
      </c>
      <c r="O108" s="24">
        <f>2*Subsurface_Inputs!$C$34*K108/Subsurface_Inputs!$C$35*1000000</f>
        <v>185.09020138755204</v>
      </c>
      <c r="P108" s="24">
        <f>Subsurface_Inputs!$C$37-2*Subsurface_Inputs!$C$36*(F108/1000)</f>
        <v>-12.167973679786245</v>
      </c>
      <c r="Q108" s="24">
        <f>Subsurface_Inputs!$C$38+Subsurface_Inputs!$C$39*H108-2*Subsurface_Inputs!$C$36*(I108/1000)</f>
        <v>-30.281825266695726</v>
      </c>
      <c r="R108" s="24">
        <f>Subsurface_Inputs!$C$40-2*Subsurface_Inputs!$C$36*(K108/1000)-Subsurface_Inputs!$C$41*ABS(L108-AVERAGE($L$2:$L$242))</f>
        <v>-35.583192078469359</v>
      </c>
      <c r="S108" s="24">
        <f t="shared" si="12"/>
        <v>509.31373860825624</v>
      </c>
      <c r="T108" s="24">
        <f t="shared" si="13"/>
        <v>12.941142894453634</v>
      </c>
      <c r="U108" s="25" t="str">
        <f>IF(H108&gt;=Subsurface_Inputs!$C$42,"Lens visible","Weak/no lens")</f>
        <v>Lens visible</v>
      </c>
      <c r="V108" s="25" t="str">
        <f t="shared" si="14"/>
        <v>Likely visible</v>
      </c>
      <c r="W108" s="24">
        <f>Subsurface_Inputs!$C$43</f>
        <v>-45</v>
      </c>
      <c r="X108" s="24">
        <f t="shared" si="15"/>
        <v>14.718174733304274</v>
      </c>
      <c r="Y108" s="24">
        <f t="shared" si="16"/>
        <v>9.4168079215306406</v>
      </c>
      <c r="Z108" s="24">
        <f t="shared" si="17"/>
        <v>14.718174733304274</v>
      </c>
      <c r="AA108" s="24">
        <v>0</v>
      </c>
    </row>
    <row r="109" spans="1:27">
      <c r="A109" s="24">
        <f>Model_Data!A109</f>
        <v>-6.5</v>
      </c>
      <c r="B109" s="24">
        <f>Model_Data!Y109</f>
        <v>455.81004784744528</v>
      </c>
      <c r="C109" s="24">
        <f>Model_Data!X109</f>
        <v>-59.466303655605586</v>
      </c>
      <c r="D109" s="24">
        <f>Model_Data!B109</f>
        <v>400.04694444444442</v>
      </c>
      <c r="E109" s="24">
        <f>Inputs!$C$6</f>
        <v>25</v>
      </c>
      <c r="F109" s="24">
        <f>Subsurface_Inputs!$C$5+Subsurface_Inputs!$C$6*SIN(2*PI()*(A109+Subsurface_Inputs!$C$7)/Subsurface_Inputs!$C$8)+Subsurface_Inputs!$C$9*COS(2*PI()*A109/Subsurface_Inputs!$C$10)+Subsurface_Inputs!$C$11*(B109-AVERAGE($B$2:$B$242))</f>
        <v>1223.4079584474887</v>
      </c>
      <c r="G109" s="24">
        <f t="shared" si="9"/>
        <v>-767.59791060004341</v>
      </c>
      <c r="H109" s="24">
        <f>MIN(1,MAX(0,Subsurface_Inputs!$C$13*EXP(-0.5*((A109-Subsurface_Inputs!$C$14)/Subsurface_Inputs!$C$15)^2)+Subsurface_Inputs!$C$16*EXP(-0.5*((A109-Subsurface_Inputs!$C$17)/Subsurface_Inputs!$C$18)^2)))</f>
        <v>0.20547303719226348</v>
      </c>
      <c r="I109" s="24">
        <f>Subsurface_Inputs!$C$19+Subsurface_Inputs!$C$20*SIN(2*PI()*(A109-Subsurface_Inputs!$C$21)/Subsurface_Inputs!$C$22)-Subsurface_Inputs!$C$23*H109</f>
        <v>4625.3632034751636</v>
      </c>
      <c r="J109" s="24">
        <f t="shared" si="10"/>
        <v>-4169.5531556277183</v>
      </c>
      <c r="K109" s="24">
        <f>Subsurface_Inputs!$C$25+Subsurface_Inputs!$C$26*SIN(2*PI()*(A109+Subsurface_Inputs!$C$27)/Subsurface_Inputs!$C$28)+Subsurface_Inputs!$C$29*COS(2*PI()*(A109-Subsurface_Inputs!$C$30)/Subsurface_Inputs!$C$31)-Subsurface_Inputs!$C$32*(B109-AVERAGE($B$2:$B$242))</f>
        <v>15612.620101689698</v>
      </c>
      <c r="L109" s="24">
        <f t="shared" si="11"/>
        <v>-15156.810053842251</v>
      </c>
      <c r="M109" s="24">
        <f>2*Subsurface_Inputs!$C$34*F109/Subsurface_Inputs!$C$35*1000000</f>
        <v>14.527824886352077</v>
      </c>
      <c r="N109" s="24">
        <f>2*Subsurface_Inputs!$C$34*I109/Subsurface_Inputs!$C$35*1000000</f>
        <v>54.925641272708674</v>
      </c>
      <c r="O109" s="24">
        <f>2*Subsurface_Inputs!$C$34*K109/Subsurface_Inputs!$C$35*1000000</f>
        <v>185.39801812497672</v>
      </c>
      <c r="P109" s="24">
        <f>Subsurface_Inputs!$C$37-2*Subsurface_Inputs!$C$36*(F109/1000)</f>
        <v>-12.202134325205479</v>
      </c>
      <c r="Q109" s="24">
        <f>Subsurface_Inputs!$C$38+Subsurface_Inputs!$C$39*H109-2*Subsurface_Inputs!$C$36*(I109/1000)</f>
        <v>-30.476396431524925</v>
      </c>
      <c r="R109" s="24">
        <f>Subsurface_Inputs!$C$40-2*Subsurface_Inputs!$C$36*(K109/1000)-Subsurface_Inputs!$C$41*ABS(L109-AVERAGE($L$2:$L$242))</f>
        <v>-35.682125884439131</v>
      </c>
      <c r="S109" s="24">
        <f t="shared" si="12"/>
        <v>535.23540611558383</v>
      </c>
      <c r="T109" s="24">
        <f t="shared" si="13"/>
        <v>12.761581281114271</v>
      </c>
      <c r="U109" s="25" t="str">
        <f>IF(H109&gt;=Subsurface_Inputs!$C$42,"Lens visible","Weak/no lens")</f>
        <v>Lens visible</v>
      </c>
      <c r="V109" s="25" t="str">
        <f t="shared" si="14"/>
        <v>Likely visible</v>
      </c>
      <c r="W109" s="24">
        <f>Subsurface_Inputs!$C$43</f>
        <v>-45</v>
      </c>
      <c r="X109" s="24">
        <f t="shared" si="15"/>
        <v>14.523603568475075</v>
      </c>
      <c r="Y109" s="24">
        <f t="shared" si="16"/>
        <v>9.3178741155608691</v>
      </c>
      <c r="Z109" s="24">
        <f t="shared" si="17"/>
        <v>14.523603568475075</v>
      </c>
      <c r="AA109" s="24">
        <v>0</v>
      </c>
    </row>
    <row r="110" spans="1:27">
      <c r="A110" s="24">
        <f>Model_Data!A110</f>
        <v>-6</v>
      </c>
      <c r="B110" s="24">
        <f>Model_Data!Y110</f>
        <v>447.75344272198197</v>
      </c>
      <c r="C110" s="24">
        <f>Model_Data!X110</f>
        <v>-61.098645360716475</v>
      </c>
      <c r="D110" s="24">
        <f>Model_Data!B110</f>
        <v>400.04</v>
      </c>
      <c r="E110" s="24">
        <f>Inputs!$C$6</f>
        <v>25</v>
      </c>
      <c r="F110" s="24">
        <f>Subsurface_Inputs!$C$5+Subsurface_Inputs!$C$6*SIN(2*PI()*(A110+Subsurface_Inputs!$C$7)/Subsurface_Inputs!$C$8)+Subsurface_Inputs!$C$9*COS(2*PI()*A110/Subsurface_Inputs!$C$10)+Subsurface_Inputs!$C$11*(B110-AVERAGE($B$2:$B$242))</f>
        <v>1241.3297195139276</v>
      </c>
      <c r="G110" s="24">
        <f t="shared" si="9"/>
        <v>-793.57627679194559</v>
      </c>
      <c r="H110" s="24">
        <f>MIN(1,MAX(0,Subsurface_Inputs!$C$13*EXP(-0.5*((A110-Subsurface_Inputs!$C$14)/Subsurface_Inputs!$C$15)^2)+Subsurface_Inputs!$C$16*EXP(-0.5*((A110-Subsurface_Inputs!$C$17)/Subsurface_Inputs!$C$18)^2)))</f>
        <v>0.188031809837609</v>
      </c>
      <c r="I110" s="24">
        <f>Subsurface_Inputs!$C$19+Subsurface_Inputs!$C$20*SIN(2*PI()*(A110-Subsurface_Inputs!$C$21)/Subsurface_Inputs!$C$22)-Subsurface_Inputs!$C$23*H110</f>
        <v>4641.320072576792</v>
      </c>
      <c r="J110" s="24">
        <f t="shared" si="10"/>
        <v>-4193.5666298548103</v>
      </c>
      <c r="K110" s="24">
        <f>Subsurface_Inputs!$C$25+Subsurface_Inputs!$C$26*SIN(2*PI()*(A110+Subsurface_Inputs!$C$27)/Subsurface_Inputs!$C$28)+Subsurface_Inputs!$C$29*COS(2*PI()*(A110-Subsurface_Inputs!$C$30)/Subsurface_Inputs!$C$31)-Subsurface_Inputs!$C$32*(B110-AVERAGE($B$2:$B$242))</f>
        <v>15641.059100480645</v>
      </c>
      <c r="L110" s="24">
        <f t="shared" si="11"/>
        <v>-15193.305657758663</v>
      </c>
      <c r="M110" s="24">
        <f>2*Subsurface_Inputs!$C$34*F110/Subsurface_Inputs!$C$35*1000000</f>
        <v>14.740643680467713</v>
      </c>
      <c r="N110" s="24">
        <f>2*Subsurface_Inputs!$C$34*I110/Subsurface_Inputs!$C$35*1000000</f>
        <v>55.115127207013927</v>
      </c>
      <c r="O110" s="24">
        <f>2*Subsurface_Inputs!$C$34*K110/Subsurface_Inputs!$C$35*1000000</f>
        <v>185.73572787381829</v>
      </c>
      <c r="P110" s="24">
        <f>Subsurface_Inputs!$C$37-2*Subsurface_Inputs!$C$36*(F110/1000)</f>
        <v>-12.234393495125069</v>
      </c>
      <c r="Q110" s="24">
        <f>Subsurface_Inputs!$C$38+Subsurface_Inputs!$C$39*H110-2*Subsurface_Inputs!$C$36*(I110/1000)</f>
        <v>-30.662089842099746</v>
      </c>
      <c r="R110" s="24">
        <f>Subsurface_Inputs!$C$40-2*Subsurface_Inputs!$C$36*(K110/1000)-Subsurface_Inputs!$C$41*ABS(L110-AVERAGE($L$2:$L$242))</f>
        <v>-35.879298497928474</v>
      </c>
      <c r="S110" s="24">
        <f t="shared" si="12"/>
        <v>563.67440490653098</v>
      </c>
      <c r="T110" s="24">
        <f t="shared" si="13"/>
        <v>12.600245409902275</v>
      </c>
      <c r="U110" s="25" t="str">
        <f>IF(H110&gt;=Subsurface_Inputs!$C$42,"Lens visible","Weak/no lens")</f>
        <v>Lens visible</v>
      </c>
      <c r="V110" s="25" t="str">
        <f t="shared" si="14"/>
        <v>Likely visible</v>
      </c>
      <c r="W110" s="24">
        <f>Subsurface_Inputs!$C$43</f>
        <v>-45</v>
      </c>
      <c r="X110" s="24">
        <f t="shared" si="15"/>
        <v>14.337910157900254</v>
      </c>
      <c r="Y110" s="24">
        <f t="shared" si="16"/>
        <v>9.1207015020715261</v>
      </c>
      <c r="Z110" s="24">
        <f t="shared" si="17"/>
        <v>14.337910157900254</v>
      </c>
      <c r="AA110" s="24">
        <v>0</v>
      </c>
    </row>
    <row r="111" spans="1:27">
      <c r="A111" s="24">
        <f>Model_Data!A111</f>
        <v>-5.5</v>
      </c>
      <c r="B111" s="24">
        <f>Model_Data!Y111</f>
        <v>437.23203216912464</v>
      </c>
      <c r="C111" s="24">
        <f>Model_Data!X111</f>
        <v>-63.59054434613801</v>
      </c>
      <c r="D111" s="24">
        <f>Model_Data!B111</f>
        <v>400.0336111111111</v>
      </c>
      <c r="E111" s="24">
        <f>Inputs!$C$6</f>
        <v>25</v>
      </c>
      <c r="F111" s="24">
        <f>Subsurface_Inputs!$C$5+Subsurface_Inputs!$C$6*SIN(2*PI()*(A111+Subsurface_Inputs!$C$7)/Subsurface_Inputs!$C$8)+Subsurface_Inputs!$C$9*COS(2*PI()*A111/Subsurface_Inputs!$C$10)+Subsurface_Inputs!$C$11*(B111-AVERAGE($B$2:$B$242))</f>
        <v>1258.7251117027915</v>
      </c>
      <c r="G111" s="24">
        <f t="shared" si="9"/>
        <v>-821.4930795336669</v>
      </c>
      <c r="H111" s="24">
        <f>MIN(1,MAX(0,Subsurface_Inputs!$C$13*EXP(-0.5*((A111-Subsurface_Inputs!$C$14)/Subsurface_Inputs!$C$15)^2)+Subsurface_Inputs!$C$16*EXP(-0.5*((A111-Subsurface_Inputs!$C$17)/Subsurface_Inputs!$C$18)^2)))</f>
        <v>0.17164494106807282</v>
      </c>
      <c r="I111" s="24">
        <f>Subsurface_Inputs!$C$19+Subsurface_Inputs!$C$20*SIN(2*PI()*(A111-Subsurface_Inputs!$C$21)/Subsurface_Inputs!$C$22)-Subsurface_Inputs!$C$23*H111</f>
        <v>4657.6308406362523</v>
      </c>
      <c r="J111" s="24">
        <f t="shared" si="10"/>
        <v>-4220.3988084671273</v>
      </c>
      <c r="K111" s="24">
        <f>Subsurface_Inputs!$C$25+Subsurface_Inputs!$C$26*SIN(2*PI()*(A111+Subsurface_Inputs!$C$27)/Subsurface_Inputs!$C$28)+Subsurface_Inputs!$C$29*COS(2*PI()*(A111-Subsurface_Inputs!$C$30)/Subsurface_Inputs!$C$31)-Subsurface_Inputs!$C$32*(B111-AVERAGE($B$2:$B$242))</f>
        <v>15669.38478023053</v>
      </c>
      <c r="L111" s="24">
        <f t="shared" si="11"/>
        <v>-15232.152748061406</v>
      </c>
      <c r="M111" s="24">
        <f>2*Subsurface_Inputs!$C$34*F111/Subsurface_Inputs!$C$35*1000000</f>
        <v>14.947211906384711</v>
      </c>
      <c r="N111" s="24">
        <f>2*Subsurface_Inputs!$C$34*I111/Subsurface_Inputs!$C$35*1000000</f>
        <v>55.308815649608697</v>
      </c>
      <c r="O111" s="24">
        <f>2*Subsurface_Inputs!$C$34*K111/Subsurface_Inputs!$C$35*1000000</f>
        <v>186.07209197244279</v>
      </c>
      <c r="P111" s="24">
        <f>Subsurface_Inputs!$C$37-2*Subsurface_Inputs!$C$36*(F111/1000)</f>
        <v>-12.265705201065025</v>
      </c>
      <c r="Q111" s="24">
        <f>Subsurface_Inputs!$C$38+Subsurface_Inputs!$C$39*H111-2*Subsurface_Inputs!$C$36*(I111/1000)</f>
        <v>-30.838931043532597</v>
      </c>
      <c r="R111" s="24">
        <f>Subsurface_Inputs!$C$40-2*Subsurface_Inputs!$C$36*(K111/1000)-Subsurface_Inputs!$C$41*ABS(L111-AVERAGE($L$2:$L$242))</f>
        <v>-36.08567308268924</v>
      </c>
      <c r="S111" s="24">
        <f t="shared" si="12"/>
        <v>592.00008465641622</v>
      </c>
      <c r="T111" s="24">
        <f t="shared" si="13"/>
        <v>12.448615376420936</v>
      </c>
      <c r="U111" s="25" t="str">
        <f>IF(H111&gt;=Subsurface_Inputs!$C$42,"Lens visible","Weak/no lens")</f>
        <v>Weak/no lens</v>
      </c>
      <c r="V111" s="25" t="str">
        <f t="shared" si="14"/>
        <v>Likely visible</v>
      </c>
      <c r="W111" s="24">
        <f>Subsurface_Inputs!$C$43</f>
        <v>-45</v>
      </c>
      <c r="X111" s="24">
        <f t="shared" si="15"/>
        <v>14.161068956467403</v>
      </c>
      <c r="Y111" s="24">
        <f t="shared" si="16"/>
        <v>8.9143269173107598</v>
      </c>
      <c r="Z111" s="24">
        <f t="shared" si="17"/>
        <v>14.161068956467403</v>
      </c>
      <c r="AA111" s="24">
        <v>0</v>
      </c>
    </row>
    <row r="112" spans="1:27">
      <c r="A112" s="24">
        <f>Model_Data!A112</f>
        <v>-5</v>
      </c>
      <c r="B112" s="24">
        <f>Model_Data!Y112</f>
        <v>426.49509936551561</v>
      </c>
      <c r="C112" s="24">
        <f>Model_Data!X112</f>
        <v>-73.645604458171718</v>
      </c>
      <c r="D112" s="24">
        <f>Model_Data!B112</f>
        <v>400.02777777777777</v>
      </c>
      <c r="E112" s="24">
        <f>Inputs!$C$6</f>
        <v>25</v>
      </c>
      <c r="F112" s="24">
        <f>Subsurface_Inputs!$C$5+Subsurface_Inputs!$C$6*SIN(2*PI()*(A112+Subsurface_Inputs!$C$7)/Subsurface_Inputs!$C$8)+Subsurface_Inputs!$C$9*COS(2*PI()*A112/Subsurface_Inputs!$C$10)+Subsurface_Inputs!$C$11*(B112-AVERAGE($B$2:$B$242))</f>
        <v>1275.4777201178747</v>
      </c>
      <c r="G112" s="24">
        <f t="shared" si="9"/>
        <v>-848.98262075235903</v>
      </c>
      <c r="H112" s="24">
        <f>MIN(1,MAX(0,Subsurface_Inputs!$C$13*EXP(-0.5*((A112-Subsurface_Inputs!$C$14)/Subsurface_Inputs!$C$15)^2)+Subsurface_Inputs!$C$16*EXP(-0.5*((A112-Subsurface_Inputs!$C$17)/Subsurface_Inputs!$C$18)^2)))</f>
        <v>0.15629957245233433</v>
      </c>
      <c r="I112" s="24">
        <f>Subsurface_Inputs!$C$19+Subsurface_Inputs!$C$20*SIN(2*PI()*(A112-Subsurface_Inputs!$C$21)/Subsurface_Inputs!$C$22)-Subsurface_Inputs!$C$23*H112</f>
        <v>4674.280427373219</v>
      </c>
      <c r="J112" s="24">
        <f t="shared" si="10"/>
        <v>-4247.7853280077034</v>
      </c>
      <c r="K112" s="24">
        <f>Subsurface_Inputs!$C$25+Subsurface_Inputs!$C$26*SIN(2*PI()*(A112+Subsurface_Inputs!$C$27)/Subsurface_Inputs!$C$28)+Subsurface_Inputs!$C$29*COS(2*PI()*(A112-Subsurface_Inputs!$C$30)/Subsurface_Inputs!$C$31)-Subsurface_Inputs!$C$32*(B112-AVERAGE($B$2:$B$242))</f>
        <v>15697.234366267417</v>
      </c>
      <c r="L112" s="24">
        <f t="shared" si="11"/>
        <v>-15270.739266901903</v>
      </c>
      <c r="M112" s="24">
        <f>2*Subsurface_Inputs!$C$34*F112/Subsurface_Inputs!$C$35*1000000</f>
        <v>15.146147150972137</v>
      </c>
      <c r="N112" s="24">
        <f>2*Subsurface_Inputs!$C$34*I112/Subsurface_Inputs!$C$35*1000000</f>
        <v>55.506527523946779</v>
      </c>
      <c r="O112" s="24">
        <f>2*Subsurface_Inputs!$C$34*K112/Subsurface_Inputs!$C$35*1000000</f>
        <v>186.40280251450491</v>
      </c>
      <c r="P112" s="24">
        <f>Subsurface_Inputs!$C$37-2*Subsurface_Inputs!$C$36*(F112/1000)</f>
        <v>-12.295859896212175</v>
      </c>
      <c r="Q112" s="24">
        <f>Subsurface_Inputs!$C$38+Subsurface_Inputs!$C$39*H112-2*Subsurface_Inputs!$C$36*(I112/1000)</f>
        <v>-31.007008617200782</v>
      </c>
      <c r="R112" s="24">
        <f>Subsurface_Inputs!$C$40-2*Subsurface_Inputs!$C$36*(K112/1000)-Subsurface_Inputs!$C$41*ABS(L112-AVERAGE($L$2:$L$242))</f>
        <v>-36.290148412917631</v>
      </c>
      <c r="S112" s="24">
        <f t="shared" si="12"/>
        <v>619.84967069330378</v>
      </c>
      <c r="T112" s="24">
        <f t="shared" si="13"/>
        <v>12.306945169388564</v>
      </c>
      <c r="U112" s="25" t="str">
        <f>IF(H112&gt;=Subsurface_Inputs!$C$42,"Lens visible","Weak/no lens")</f>
        <v>Weak/no lens</v>
      </c>
      <c r="V112" s="25" t="str">
        <f t="shared" si="14"/>
        <v>Likely visible</v>
      </c>
      <c r="W112" s="24">
        <f>Subsurface_Inputs!$C$43</f>
        <v>-45</v>
      </c>
      <c r="X112" s="24">
        <f t="shared" si="15"/>
        <v>13.992991382799218</v>
      </c>
      <c r="Y112" s="24">
        <f t="shared" si="16"/>
        <v>8.709851587082369</v>
      </c>
      <c r="Z112" s="24">
        <f t="shared" si="17"/>
        <v>13.992991382799218</v>
      </c>
      <c r="AA112" s="24">
        <v>0</v>
      </c>
    </row>
    <row r="113" spans="1:27">
      <c r="A113" s="24">
        <f>Model_Data!A113</f>
        <v>-4.5</v>
      </c>
      <c r="B113" s="24">
        <f>Model_Data!Y113</f>
        <v>423.30568039506915</v>
      </c>
      <c r="C113" s="24">
        <f>Model_Data!X113</f>
        <v>-73.089350881891278</v>
      </c>
      <c r="D113" s="24">
        <f>Model_Data!B113</f>
        <v>400.02249999999998</v>
      </c>
      <c r="E113" s="24">
        <f>Inputs!$C$6</f>
        <v>25</v>
      </c>
      <c r="F113" s="24">
        <f>Subsurface_Inputs!$C$5+Subsurface_Inputs!$C$6*SIN(2*PI()*(A113+Subsurface_Inputs!$C$7)/Subsurface_Inputs!$C$8)+Subsurface_Inputs!$C$9*COS(2*PI()*A113/Subsurface_Inputs!$C$10)+Subsurface_Inputs!$C$11*(B113-AVERAGE($B$2:$B$242))</f>
        <v>1291.696220755583</v>
      </c>
      <c r="G113" s="24">
        <f t="shared" si="9"/>
        <v>-868.3905403605138</v>
      </c>
      <c r="H113" s="24">
        <f>MIN(1,MAX(0,Subsurface_Inputs!$C$13*EXP(-0.5*((A113-Subsurface_Inputs!$C$14)/Subsurface_Inputs!$C$15)^2)+Subsurface_Inputs!$C$16*EXP(-0.5*((A113-Subsurface_Inputs!$C$17)/Subsurface_Inputs!$C$18)^2)))</f>
        <v>0.14197675849033212</v>
      </c>
      <c r="I113" s="24">
        <f>Subsurface_Inputs!$C$19+Subsurface_Inputs!$C$20*SIN(2*PI()*(A113-Subsurface_Inputs!$C$21)/Subsurface_Inputs!$C$22)-Subsurface_Inputs!$C$23*H113</f>
        <v>4691.2543492899104</v>
      </c>
      <c r="J113" s="24">
        <f t="shared" si="10"/>
        <v>-4267.9486688948409</v>
      </c>
      <c r="K113" s="24">
        <f>Subsurface_Inputs!$C$25+Subsurface_Inputs!$C$26*SIN(2*PI()*(A113+Subsurface_Inputs!$C$27)/Subsurface_Inputs!$C$28)+Subsurface_Inputs!$C$29*COS(2*PI()*(A113-Subsurface_Inputs!$C$30)/Subsurface_Inputs!$C$31)-Subsurface_Inputs!$C$32*(B113-AVERAGE($B$2:$B$242))</f>
        <v>15723.473778049673</v>
      </c>
      <c r="L113" s="24">
        <f t="shared" si="11"/>
        <v>-15300.168097654603</v>
      </c>
      <c r="M113" s="24">
        <f>2*Subsurface_Inputs!$C$34*F113/Subsurface_Inputs!$C$35*1000000</f>
        <v>15.338739928840626</v>
      </c>
      <c r="N113" s="24">
        <f>2*Subsurface_Inputs!$C$34*I113/Subsurface_Inputs!$C$35*1000000</f>
        <v>55.708090840204129</v>
      </c>
      <c r="O113" s="24">
        <f>2*Subsurface_Inputs!$C$34*K113/Subsurface_Inputs!$C$35*1000000</f>
        <v>186.71439242763347</v>
      </c>
      <c r="P113" s="24">
        <f>Subsurface_Inputs!$C$37-2*Subsurface_Inputs!$C$36*(F113/1000)</f>
        <v>-12.325053197360049</v>
      </c>
      <c r="Q113" s="24">
        <f>Subsurface_Inputs!$C$38+Subsurface_Inputs!$C$39*H113-2*Subsurface_Inputs!$C$36*(I113/1000)</f>
        <v>-31.166467002308849</v>
      </c>
      <c r="R113" s="24">
        <f>Subsurface_Inputs!$C$40-2*Subsurface_Inputs!$C$36*(K113/1000)-Subsurface_Inputs!$C$41*ABS(L113-AVERAGE($L$2:$L$242))</f>
        <v>-36.455094677136493</v>
      </c>
      <c r="S113" s="24">
        <f t="shared" si="12"/>
        <v>646.08908247555883</v>
      </c>
      <c r="T113" s="24">
        <f t="shared" si="13"/>
        <v>12.172733437938033</v>
      </c>
      <c r="U113" s="25" t="str">
        <f>IF(H113&gt;=Subsurface_Inputs!$C$42,"Lens visible","Weak/no lens")</f>
        <v>Weak/no lens</v>
      </c>
      <c r="V113" s="25" t="str">
        <f t="shared" si="14"/>
        <v>Likely visible</v>
      </c>
      <c r="W113" s="24">
        <f>Subsurface_Inputs!$C$43</f>
        <v>-45</v>
      </c>
      <c r="X113" s="24">
        <f t="shared" si="15"/>
        <v>13.833532997691151</v>
      </c>
      <c r="Y113" s="24">
        <f t="shared" si="16"/>
        <v>8.5449053228635066</v>
      </c>
      <c r="Z113" s="24">
        <f t="shared" si="17"/>
        <v>13.833532997691151</v>
      </c>
      <c r="AA113" s="24">
        <v>0</v>
      </c>
    </row>
    <row r="114" spans="1:27">
      <c r="A114" s="24">
        <f>Model_Data!A114</f>
        <v>-4</v>
      </c>
      <c r="B114" s="24">
        <f>Model_Data!Y114</f>
        <v>426.01474675634427</v>
      </c>
      <c r="C114" s="24">
        <f>Model_Data!X114</f>
        <v>-74.236730975515414</v>
      </c>
      <c r="D114" s="24">
        <f>Model_Data!B114</f>
        <v>400.01777777777778</v>
      </c>
      <c r="E114" s="24">
        <f>Inputs!$C$6</f>
        <v>25</v>
      </c>
      <c r="F114" s="24">
        <f>Subsurface_Inputs!$C$5+Subsurface_Inputs!$C$6*SIN(2*PI()*(A114+Subsurface_Inputs!$C$7)/Subsurface_Inputs!$C$8)+Subsurface_Inputs!$C$9*COS(2*PI()*A114/Subsurface_Inputs!$C$10)+Subsurface_Inputs!$C$11*(B114-AVERAGE($B$2:$B$242))</f>
        <v>1307.1204466457566</v>
      </c>
      <c r="G114" s="24">
        <f t="shared" si="9"/>
        <v>-881.10569988941234</v>
      </c>
      <c r="H114" s="24">
        <f>MIN(1,MAX(0,Subsurface_Inputs!$C$13*EXP(-0.5*((A114-Subsurface_Inputs!$C$14)/Subsurface_Inputs!$C$15)^2)+Subsurface_Inputs!$C$16*EXP(-0.5*((A114-Subsurface_Inputs!$C$17)/Subsurface_Inputs!$C$18)^2)))</f>
        <v>0.12865224809328879</v>
      </c>
      <c r="I114" s="24">
        <f>Subsurface_Inputs!$C$19+Subsurface_Inputs!$C$20*SIN(2*PI()*(A114-Subsurface_Inputs!$C$21)/Subsurface_Inputs!$C$22)-Subsurface_Inputs!$C$23*H114</f>
        <v>4708.5385600456448</v>
      </c>
      <c r="J114" s="24">
        <f t="shared" si="10"/>
        <v>-4282.523813289301</v>
      </c>
      <c r="K114" s="24">
        <f>Subsurface_Inputs!$C$25+Subsurface_Inputs!$C$26*SIN(2*PI()*(A114+Subsurface_Inputs!$C$27)/Subsurface_Inputs!$C$28)+Subsurface_Inputs!$C$29*COS(2*PI()*(A114-Subsurface_Inputs!$C$30)/Subsurface_Inputs!$C$31)-Subsurface_Inputs!$C$32*(B114-AVERAGE($B$2:$B$242))</f>
        <v>15748.287353885482</v>
      </c>
      <c r="L114" s="24">
        <f t="shared" si="11"/>
        <v>-15322.272607129138</v>
      </c>
      <c r="M114" s="24">
        <f>2*Subsurface_Inputs!$C$34*F114/Subsurface_Inputs!$C$35*1000000</f>
        <v>15.521900787974104</v>
      </c>
      <c r="N114" s="24">
        <f>2*Subsurface_Inputs!$C$34*I114/Subsurface_Inputs!$C$35*1000000</f>
        <v>55.913338799745581</v>
      </c>
      <c r="O114" s="24">
        <f>2*Subsurface_Inputs!$C$34*K114/Subsurface_Inputs!$C$35*1000000</f>
        <v>187.00905070744747</v>
      </c>
      <c r="P114" s="24">
        <f>Subsurface_Inputs!$C$37-2*Subsurface_Inputs!$C$36*(F114/1000)</f>
        <v>-12.352816803962362</v>
      </c>
      <c r="Q114" s="24">
        <f>Subsurface_Inputs!$C$38+Subsurface_Inputs!$C$39*H114-2*Subsurface_Inputs!$C$36*(I114/1000)</f>
        <v>-31.31749917524256</v>
      </c>
      <c r="R114" s="24">
        <f>Subsurface_Inputs!$C$40-2*Subsurface_Inputs!$C$36*(K114/1000)-Subsurface_Inputs!$C$41*ABS(L114-AVERAGE($L$2:$L$242))</f>
        <v>-36.588177151539085</v>
      </c>
      <c r="S114" s="24">
        <f t="shared" si="12"/>
        <v>670.90265831136821</v>
      </c>
      <c r="T114" s="24">
        <f t="shared" si="13"/>
        <v>12.048076666765992</v>
      </c>
      <c r="U114" s="25" t="str">
        <f>IF(H114&gt;=Subsurface_Inputs!$C$42,"Lens visible","Weak/no lens")</f>
        <v>Weak/no lens</v>
      </c>
      <c r="V114" s="25" t="str">
        <f t="shared" si="14"/>
        <v>Likely visible</v>
      </c>
      <c r="W114" s="24">
        <f>Subsurface_Inputs!$C$43</f>
        <v>-45</v>
      </c>
      <c r="X114" s="24">
        <f t="shared" si="15"/>
        <v>13.68250082475744</v>
      </c>
      <c r="Y114" s="24">
        <f t="shared" si="16"/>
        <v>8.4118228484609148</v>
      </c>
      <c r="Z114" s="24">
        <f t="shared" si="17"/>
        <v>13.68250082475744</v>
      </c>
      <c r="AA114" s="24">
        <v>0</v>
      </c>
    </row>
    <row r="115" spans="1:27">
      <c r="A115" s="24">
        <f>Model_Data!A115</f>
        <v>-3.5</v>
      </c>
      <c r="B115" s="24">
        <f>Model_Data!Y115</f>
        <v>404.9650488224043</v>
      </c>
      <c r="C115" s="24">
        <f>Model_Data!X115</f>
        <v>-78.649068093608037</v>
      </c>
      <c r="D115" s="24">
        <f>Model_Data!B115</f>
        <v>400.01361111111112</v>
      </c>
      <c r="E115" s="24">
        <f>Inputs!$C$6</f>
        <v>25</v>
      </c>
      <c r="F115" s="24">
        <f>Subsurface_Inputs!$C$5+Subsurface_Inputs!$C$6*SIN(2*PI()*(A115+Subsurface_Inputs!$C$7)/Subsurface_Inputs!$C$8)+Subsurface_Inputs!$C$9*COS(2*PI()*A115/Subsurface_Inputs!$C$10)+Subsurface_Inputs!$C$11*(B115-AVERAGE($B$2:$B$242))</f>
        <v>1320.3805424870961</v>
      </c>
      <c r="G115" s="24">
        <f t="shared" si="9"/>
        <v>-915.41549366469189</v>
      </c>
      <c r="H115" s="24">
        <f>MIN(1,MAX(0,Subsurface_Inputs!$C$13*EXP(-0.5*((A115-Subsurface_Inputs!$C$14)/Subsurface_Inputs!$C$15)^2)+Subsurface_Inputs!$C$16*EXP(-0.5*((A115-Subsurface_Inputs!$C$17)/Subsurface_Inputs!$C$18)^2)))</f>
        <v>0.11629727082714168</v>
      </c>
      <c r="I115" s="24">
        <f>Subsurface_Inputs!$C$19+Subsurface_Inputs!$C$20*SIN(2*PI()*(A115-Subsurface_Inputs!$C$21)/Subsurface_Inputs!$C$22)-Subsurface_Inputs!$C$23*H115</f>
        <v>4726.1192909153915</v>
      </c>
      <c r="J115" s="24">
        <f t="shared" si="10"/>
        <v>-4321.1542420929873</v>
      </c>
      <c r="K115" s="24">
        <f>Subsurface_Inputs!$C$25+Subsurface_Inputs!$C$26*SIN(2*PI()*(A115+Subsurface_Inputs!$C$27)/Subsurface_Inputs!$C$28)+Subsurface_Inputs!$C$29*COS(2*PI()*(A115-Subsurface_Inputs!$C$30)/Subsurface_Inputs!$C$31)-Subsurface_Inputs!$C$32*(B115-AVERAGE($B$2:$B$242))</f>
        <v>15775.781421619809</v>
      </c>
      <c r="L115" s="24">
        <f t="shared" si="11"/>
        <v>-15370.816372797404</v>
      </c>
      <c r="M115" s="24">
        <f>2*Subsurface_Inputs!$C$34*F115/Subsurface_Inputs!$C$35*1000000</f>
        <v>15.679362858601541</v>
      </c>
      <c r="N115" s="24">
        <f>2*Subsurface_Inputs!$C$34*I115/Subsurface_Inputs!$C$35*1000000</f>
        <v>56.122107900588993</v>
      </c>
      <c r="O115" s="24">
        <f>2*Subsurface_Inputs!$C$34*K115/Subsurface_Inputs!$C$35*1000000</f>
        <v>187.33553951169284</v>
      </c>
      <c r="P115" s="24">
        <f>Subsurface_Inputs!$C$37-2*Subsurface_Inputs!$C$36*(F115/1000)</f>
        <v>-12.376684976476774</v>
      </c>
      <c r="Q115" s="24">
        <f>Subsurface_Inputs!$C$38+Subsurface_Inputs!$C$39*H115-2*Subsurface_Inputs!$C$36*(I115/1000)</f>
        <v>-31.460339286203428</v>
      </c>
      <c r="R115" s="24">
        <f>Subsurface_Inputs!$C$40-2*Subsurface_Inputs!$C$36*(K115/1000)-Subsurface_Inputs!$C$41*ABS(L115-AVERAGE($L$2:$L$242))</f>
        <v>-36.831841536133943</v>
      </c>
      <c r="S115" s="24">
        <f t="shared" si="12"/>
        <v>698.39672604569569</v>
      </c>
      <c r="T115" s="24">
        <f t="shared" si="13"/>
        <v>11.947905103103247</v>
      </c>
      <c r="U115" s="25" t="str">
        <f>IF(H115&gt;=Subsurface_Inputs!$C$42,"Lens visible","Weak/no lens")</f>
        <v>Weak/no lens</v>
      </c>
      <c r="V115" s="25" t="str">
        <f t="shared" si="14"/>
        <v>Likely visible</v>
      </c>
      <c r="W115" s="24">
        <f>Subsurface_Inputs!$C$43</f>
        <v>-45</v>
      </c>
      <c r="X115" s="24">
        <f t="shared" si="15"/>
        <v>13.539660713796572</v>
      </c>
      <c r="Y115" s="24">
        <f t="shared" si="16"/>
        <v>8.1681584638660567</v>
      </c>
      <c r="Z115" s="24">
        <f t="shared" si="17"/>
        <v>13.539660713796572</v>
      </c>
      <c r="AA115" s="24">
        <v>0</v>
      </c>
    </row>
    <row r="116" spans="1:27">
      <c r="A116" s="24">
        <f>Model_Data!A116</f>
        <v>-3</v>
      </c>
      <c r="B116" s="24">
        <f>Model_Data!Y116</f>
        <v>420.14741895597808</v>
      </c>
      <c r="C116" s="24">
        <f>Model_Data!X116</f>
        <v>-67.681977394603621</v>
      </c>
      <c r="D116" s="24">
        <f>Model_Data!B116</f>
        <v>400.01</v>
      </c>
      <c r="E116" s="24">
        <f>Inputs!$C$6</f>
        <v>25</v>
      </c>
      <c r="F116" s="24">
        <f>Subsurface_Inputs!$C$5+Subsurface_Inputs!$C$6*SIN(2*PI()*(A116+Subsurface_Inputs!$C$7)/Subsurface_Inputs!$C$8)+Subsurface_Inputs!$C$9*COS(2*PI()*A116/Subsurface_Inputs!$C$10)+Subsurface_Inputs!$C$11*(B116-AVERAGE($B$2:$B$242))</f>
        <v>1333.7060672736175</v>
      </c>
      <c r="G116" s="24">
        <f t="shared" si="9"/>
        <v>-913.55864831763938</v>
      </c>
      <c r="H116" s="24">
        <f>MIN(1,MAX(0,Subsurface_Inputs!$C$13*EXP(-0.5*((A116-Subsurface_Inputs!$C$14)/Subsurface_Inputs!$C$15)^2)+Subsurface_Inputs!$C$16*EXP(-0.5*((A116-Subsurface_Inputs!$C$17)/Subsurface_Inputs!$C$18)^2)))</f>
        <v>0.10487931851518159</v>
      </c>
      <c r="I116" s="24">
        <f>Subsurface_Inputs!$C$19+Subsurface_Inputs!$C$20*SIN(2*PI()*(A116-Subsurface_Inputs!$C$21)/Subsurface_Inputs!$C$22)-Subsurface_Inputs!$C$23*H116</f>
        <v>4743.9828935465448</v>
      </c>
      <c r="J116" s="24">
        <f t="shared" si="10"/>
        <v>-4323.8354745905672</v>
      </c>
      <c r="K116" s="24">
        <f>Subsurface_Inputs!$C$25+Subsurface_Inputs!$C$26*SIN(2*PI()*(A116+Subsurface_Inputs!$C$27)/Subsurface_Inputs!$C$28)+Subsurface_Inputs!$C$29*COS(2*PI()*(A116-Subsurface_Inputs!$C$30)/Subsurface_Inputs!$C$31)-Subsurface_Inputs!$C$32*(B116-AVERAGE($B$2:$B$242))</f>
        <v>15797.512523197043</v>
      </c>
      <c r="L116" s="24">
        <f t="shared" si="11"/>
        <v>-15377.365104241066</v>
      </c>
      <c r="M116" s="24">
        <f>2*Subsurface_Inputs!$C$34*F116/Subsurface_Inputs!$C$35*1000000</f>
        <v>15.837601890218592</v>
      </c>
      <c r="N116" s="24">
        <f>2*Subsurface_Inputs!$C$34*I116/Subsurface_Inputs!$C$35*1000000</f>
        <v>56.334236070160571</v>
      </c>
      <c r="O116" s="24">
        <f>2*Subsurface_Inputs!$C$34*K116/Subsurface_Inputs!$C$35*1000000</f>
        <v>187.59359377406844</v>
      </c>
      <c r="P116" s="24">
        <f>Subsurface_Inputs!$C$37-2*Subsurface_Inputs!$C$36*(F116/1000)</f>
        <v>-12.400670921092512</v>
      </c>
      <c r="Q116" s="24">
        <f>Subsurface_Inputs!$C$38+Subsurface_Inputs!$C$39*H116-2*Subsurface_Inputs!$C$36*(I116/1000)</f>
        <v>-31.595255341747148</v>
      </c>
      <c r="R116" s="24">
        <f>Subsurface_Inputs!$C$40-2*Subsurface_Inputs!$C$36*(K116/1000)-Subsurface_Inputs!$C$41*ABS(L116-AVERAGE($L$2:$L$242))</f>
        <v>-36.897152444747604</v>
      </c>
      <c r="S116" s="24">
        <f t="shared" si="12"/>
        <v>720.12782762292954</v>
      </c>
      <c r="T116" s="24">
        <f t="shared" si="13"/>
        <v>11.844823166689615</v>
      </c>
      <c r="U116" s="25" t="str">
        <f>IF(H116&gt;=Subsurface_Inputs!$C$42,"Lens visible","Weak/no lens")</f>
        <v>Weak/no lens</v>
      </c>
      <c r="V116" s="25" t="str">
        <f t="shared" si="14"/>
        <v>Likely visible</v>
      </c>
      <c r="W116" s="24">
        <f>Subsurface_Inputs!$C$43</f>
        <v>-45</v>
      </c>
      <c r="X116" s="24">
        <f t="shared" si="15"/>
        <v>13.404744658252852</v>
      </c>
      <c r="Y116" s="24">
        <f t="shared" si="16"/>
        <v>8.1028475552523958</v>
      </c>
      <c r="Z116" s="24">
        <f t="shared" si="17"/>
        <v>13.404744658252852</v>
      </c>
      <c r="AA116" s="24">
        <v>0</v>
      </c>
    </row>
    <row r="117" spans="1:27">
      <c r="A117" s="24">
        <f>Model_Data!A117</f>
        <v>-2.5</v>
      </c>
      <c r="B117" s="24">
        <f>Model_Data!Y117</f>
        <v>420.97624209783453</v>
      </c>
      <c r="C117" s="24">
        <f>Model_Data!X117</f>
        <v>-49.834492958636119</v>
      </c>
      <c r="D117" s="24">
        <f>Model_Data!B117</f>
        <v>400.00694444444446</v>
      </c>
      <c r="E117" s="24">
        <f>Inputs!$C$6</f>
        <v>25</v>
      </c>
      <c r="F117" s="24">
        <f>Subsurface_Inputs!$C$5+Subsurface_Inputs!$C$6*SIN(2*PI()*(A117+Subsurface_Inputs!$C$7)/Subsurface_Inputs!$C$8)+Subsurface_Inputs!$C$9*COS(2*PI()*A117/Subsurface_Inputs!$C$10)+Subsurface_Inputs!$C$11*(B117-AVERAGE($B$2:$B$242))</f>
        <v>1344.9196633073145</v>
      </c>
      <c r="G117" s="24">
        <f t="shared" si="9"/>
        <v>-923.94342120947999</v>
      </c>
      <c r="H117" s="24">
        <f>MIN(1,MAX(0,Subsurface_Inputs!$C$13*EXP(-0.5*((A117-Subsurface_Inputs!$C$14)/Subsurface_Inputs!$C$15)^2)+Subsurface_Inputs!$C$16*EXP(-0.5*((A117-Subsurface_Inputs!$C$17)/Subsurface_Inputs!$C$18)^2)))</f>
        <v>9.436291403447819E-2</v>
      </c>
      <c r="I117" s="24">
        <f>Subsurface_Inputs!$C$19+Subsurface_Inputs!$C$20*SIN(2*PI()*(A117-Subsurface_Inputs!$C$21)/Subsurface_Inputs!$C$22)-Subsurface_Inputs!$C$23*H117</f>
        <v>4762.1156869290735</v>
      </c>
      <c r="J117" s="24">
        <f t="shared" si="10"/>
        <v>-4341.1394448312385</v>
      </c>
      <c r="K117" s="24">
        <f>Subsurface_Inputs!$C$25+Subsurface_Inputs!$C$26*SIN(2*PI()*(A117+Subsurface_Inputs!$C$27)/Subsurface_Inputs!$C$28)+Subsurface_Inputs!$C$29*COS(2*PI()*(A117-Subsurface_Inputs!$C$30)/Subsurface_Inputs!$C$31)-Subsurface_Inputs!$C$32*(B117-AVERAGE($B$2:$B$242))</f>
        <v>15820.518953735622</v>
      </c>
      <c r="L117" s="24">
        <f t="shared" si="11"/>
        <v>-15399.542711637787</v>
      </c>
      <c r="M117" s="24">
        <f>2*Subsurface_Inputs!$C$34*F117/Subsurface_Inputs!$C$35*1000000</f>
        <v>15.970762017548953</v>
      </c>
      <c r="N117" s="24">
        <f>2*Subsurface_Inputs!$C$34*I117/Subsurface_Inputs!$C$35*1000000</f>
        <v>56.549560848083445</v>
      </c>
      <c r="O117" s="24">
        <f>2*Subsurface_Inputs!$C$34*K117/Subsurface_Inputs!$C$35*1000000</f>
        <v>187.86679241710215</v>
      </c>
      <c r="P117" s="24">
        <f>Subsurface_Inputs!$C$37-2*Subsurface_Inputs!$C$36*(F117/1000)</f>
        <v>-12.420855393953167</v>
      </c>
      <c r="Q117" s="24">
        <f>Subsurface_Inputs!$C$38+Subsurface_Inputs!$C$39*H117-2*Subsurface_Inputs!$C$36*(I117/1000)</f>
        <v>-31.72254201016203</v>
      </c>
      <c r="R117" s="24">
        <f>Subsurface_Inputs!$C$40-2*Subsurface_Inputs!$C$36*(K117/1000)-Subsurface_Inputs!$C$41*ABS(L117-AVERAGE($L$2:$L$242))</f>
        <v>-37.027274449303938</v>
      </c>
      <c r="S117" s="24">
        <f t="shared" si="12"/>
        <v>743.13425816150811</v>
      </c>
      <c r="T117" s="24">
        <f t="shared" si="13"/>
        <v>11.763170236377627</v>
      </c>
      <c r="U117" s="25" t="str">
        <f>IF(H117&gt;=Subsurface_Inputs!$C$42,"Lens visible","Weak/no lens")</f>
        <v>Weak/no lens</v>
      </c>
      <c r="V117" s="25" t="str">
        <f t="shared" si="14"/>
        <v>Likely visible</v>
      </c>
      <c r="W117" s="24">
        <f>Subsurface_Inputs!$C$43</f>
        <v>-45</v>
      </c>
      <c r="X117" s="24">
        <f t="shared" si="15"/>
        <v>13.27745798983797</v>
      </c>
      <c r="Y117" s="24">
        <f t="shared" si="16"/>
        <v>7.9727255506960617</v>
      </c>
      <c r="Z117" s="24">
        <f t="shared" si="17"/>
        <v>13.27745798983797</v>
      </c>
      <c r="AA117" s="24">
        <v>0</v>
      </c>
    </row>
    <row r="118" spans="1:27">
      <c r="A118" s="24">
        <f>Model_Data!A118</f>
        <v>-2</v>
      </c>
      <c r="B118" s="24">
        <f>Model_Data!Y118</f>
        <v>435.98300826713626</v>
      </c>
      <c r="C118" s="24">
        <f>Model_Data!X118</f>
        <v>-59.607279956221248</v>
      </c>
      <c r="D118" s="24">
        <f>Model_Data!B118</f>
        <v>400.00444444444446</v>
      </c>
      <c r="E118" s="24">
        <f>Inputs!$C$6</f>
        <v>25</v>
      </c>
      <c r="F118" s="24">
        <f>Subsurface_Inputs!$C$5+Subsurface_Inputs!$C$6*SIN(2*PI()*(A118+Subsurface_Inputs!$C$7)/Subsurface_Inputs!$C$8)+Subsurface_Inputs!$C$9*COS(2*PI()*A118/Subsurface_Inputs!$C$10)+Subsurface_Inputs!$C$11*(B118-AVERAGE($B$2:$B$242))</f>
        <v>1355.0272017032962</v>
      </c>
      <c r="G118" s="24">
        <f t="shared" si="9"/>
        <v>-919.04419343615996</v>
      </c>
      <c r="H118" s="24">
        <f>MIN(1,MAX(0,Subsurface_Inputs!$C$13*EXP(-0.5*((A118-Subsurface_Inputs!$C$14)/Subsurface_Inputs!$C$15)^2)+Subsurface_Inputs!$C$16*EXP(-0.5*((A118-Subsurface_Inputs!$C$17)/Subsurface_Inputs!$C$18)^2)))</f>
        <v>8.4710360425948747E-2</v>
      </c>
      <c r="I118" s="24">
        <f>Subsurface_Inputs!$C$19+Subsurface_Inputs!$C$20*SIN(2*PI()*(A118-Subsurface_Inputs!$C$21)/Subsurface_Inputs!$C$22)-Subsurface_Inputs!$C$23*H118</f>
        <v>4780.5038101840901</v>
      </c>
      <c r="J118" s="24">
        <f t="shared" si="10"/>
        <v>-4344.520801916954</v>
      </c>
      <c r="K118" s="24">
        <f>Subsurface_Inputs!$C$25+Subsurface_Inputs!$C$26*SIN(2*PI()*(A118+Subsurface_Inputs!$C$27)/Subsurface_Inputs!$C$28)+Subsurface_Inputs!$C$29*COS(2*PI()*(A118-Subsurface_Inputs!$C$30)/Subsurface_Inputs!$C$31)-Subsurface_Inputs!$C$32*(B118-AVERAGE($B$2:$B$242))</f>
        <v>15840.763766829245</v>
      </c>
      <c r="L118" s="24">
        <f t="shared" si="11"/>
        <v>-15404.780758562109</v>
      </c>
      <c r="M118" s="24">
        <f>2*Subsurface_Inputs!$C$34*F118/Subsurface_Inputs!$C$35*1000000</f>
        <v>16.090787841179562</v>
      </c>
      <c r="N118" s="24">
        <f>2*Subsurface_Inputs!$C$34*I118/Subsurface_Inputs!$C$35*1000000</f>
        <v>56.767917638059323</v>
      </c>
      <c r="O118" s="24">
        <f>2*Subsurface_Inputs!$C$34*K118/Subsurface_Inputs!$C$35*1000000</f>
        <v>188.10719717943041</v>
      </c>
      <c r="P118" s="24">
        <f>Subsurface_Inputs!$C$37-2*Subsurface_Inputs!$C$36*(F118/1000)</f>
        <v>-12.439048963065932</v>
      </c>
      <c r="Q118" s="24">
        <f>Subsurface_Inputs!$C$38+Subsurface_Inputs!$C$39*H118-2*Subsurface_Inputs!$C$36*(I118/1000)</f>
        <v>-31.842513614497825</v>
      </c>
      <c r="R118" s="24">
        <f>Subsurface_Inputs!$C$40-2*Subsurface_Inputs!$C$36*(K118/1000)-Subsurface_Inputs!$C$41*ABS(L118-AVERAGE($L$2:$L$242))</f>
        <v>-37.084667300569734</v>
      </c>
      <c r="S118" s="24">
        <f t="shared" si="12"/>
        <v>763.37907125513084</v>
      </c>
      <c r="T118" s="24">
        <f t="shared" si="13"/>
        <v>11.690365881155071</v>
      </c>
      <c r="U118" s="25" t="str">
        <f>IF(H118&gt;=Subsurface_Inputs!$C$42,"Lens visible","Weak/no lens")</f>
        <v>Weak/no lens</v>
      </c>
      <c r="V118" s="25" t="str">
        <f t="shared" si="14"/>
        <v>Likely visible</v>
      </c>
      <c r="W118" s="24">
        <f>Subsurface_Inputs!$C$43</f>
        <v>-45</v>
      </c>
      <c r="X118" s="24">
        <f t="shared" si="15"/>
        <v>13.157486385502175</v>
      </c>
      <c r="Y118" s="24">
        <f t="shared" si="16"/>
        <v>7.915332699430266</v>
      </c>
      <c r="Z118" s="24">
        <f t="shared" si="17"/>
        <v>13.157486385502175</v>
      </c>
      <c r="AA118" s="24">
        <v>0</v>
      </c>
    </row>
    <row r="119" spans="1:27">
      <c r="A119" s="24">
        <f>Model_Data!A119</f>
        <v>-1.5</v>
      </c>
      <c r="B119" s="24">
        <f>Model_Data!Y119</f>
        <v>431.10580672292525</v>
      </c>
      <c r="C119" s="24">
        <f>Model_Data!X119</f>
        <v>-34.15455011761312</v>
      </c>
      <c r="D119" s="24">
        <f>Model_Data!B119</f>
        <v>400.0025</v>
      </c>
      <c r="E119" s="24">
        <f>Inputs!$C$6</f>
        <v>25</v>
      </c>
      <c r="F119" s="24">
        <f>Subsurface_Inputs!$C$5+Subsurface_Inputs!$C$6*SIN(2*PI()*(A119+Subsurface_Inputs!$C$7)/Subsurface_Inputs!$C$8)+Subsurface_Inputs!$C$9*COS(2*PI()*A119/Subsurface_Inputs!$C$10)+Subsurface_Inputs!$C$11*(B119-AVERAGE($B$2:$B$242))</f>
        <v>1362.5514766017757</v>
      </c>
      <c r="G119" s="24">
        <f t="shared" si="9"/>
        <v>-931.44566987885037</v>
      </c>
      <c r="H119" s="24">
        <f>MIN(1,MAX(0,Subsurface_Inputs!$C$13*EXP(-0.5*((A119-Subsurface_Inputs!$C$14)/Subsurface_Inputs!$C$15)^2)+Subsurface_Inputs!$C$16*EXP(-0.5*((A119-Subsurface_Inputs!$C$17)/Subsurface_Inputs!$C$18)^2)))</f>
        <v>7.5882464729631199E-2</v>
      </c>
      <c r="I119" s="24">
        <f>Subsurface_Inputs!$C$19+Subsurface_Inputs!$C$20*SIN(2*PI()*(A119-Subsurface_Inputs!$C$21)/Subsurface_Inputs!$C$22)-Subsurface_Inputs!$C$23*H119</f>
        <v>4799.1330824642528</v>
      </c>
      <c r="J119" s="24">
        <f t="shared" si="10"/>
        <v>-4368.0272757413277</v>
      </c>
      <c r="K119" s="24">
        <f>Subsurface_Inputs!$C$25+Subsurface_Inputs!$C$26*SIN(2*PI()*(A119+Subsurface_Inputs!$C$27)/Subsurface_Inputs!$C$28)+Subsurface_Inputs!$C$29*COS(2*PI()*(A119-Subsurface_Inputs!$C$30)/Subsurface_Inputs!$C$31)-Subsurface_Inputs!$C$32*(B119-AVERAGE($B$2:$B$242))</f>
        <v>15862.974345451357</v>
      </c>
      <c r="L119" s="24">
        <f t="shared" si="11"/>
        <v>-15431.868538728431</v>
      </c>
      <c r="M119" s="24">
        <f>2*Subsurface_Inputs!$C$34*F119/Subsurface_Inputs!$C$35*1000000</f>
        <v>16.180137716147353</v>
      </c>
      <c r="N119" s="24">
        <f>2*Subsurface_Inputs!$C$34*I119/Subsurface_Inputs!$C$35*1000000</f>
        <v>56.98913804420237</v>
      </c>
      <c r="O119" s="24">
        <f>2*Subsurface_Inputs!$C$34*K119/Subsurface_Inputs!$C$35*1000000</f>
        <v>188.37094517503451</v>
      </c>
      <c r="P119" s="24">
        <f>Subsurface_Inputs!$C$37-2*Subsurface_Inputs!$C$36*(F119/1000)</f>
        <v>-12.452592657883196</v>
      </c>
      <c r="Q119" s="24">
        <f>Subsurface_Inputs!$C$38+Subsurface_Inputs!$C$39*H119-2*Subsurface_Inputs!$C$36*(I119/1000)</f>
        <v>-31.955497365868972</v>
      </c>
      <c r="R119" s="24">
        <f>Subsurface_Inputs!$C$40-2*Subsurface_Inputs!$C$36*(K119/1000)-Subsurface_Inputs!$C$41*ABS(L119-AVERAGE($L$2:$L$242))</f>
        <v>-37.232997462754838</v>
      </c>
      <c r="S119" s="24">
        <f t="shared" si="12"/>
        <v>785.58964987724357</v>
      </c>
      <c r="T119" s="24">
        <f t="shared" si="13"/>
        <v>11.642110127841818</v>
      </c>
      <c r="U119" s="25" t="str">
        <f>IF(H119&gt;=Subsurface_Inputs!$C$42,"Lens visible","Weak/no lens")</f>
        <v>Weak/no lens</v>
      </c>
      <c r="V119" s="25" t="str">
        <f t="shared" si="14"/>
        <v>Likely visible</v>
      </c>
      <c r="W119" s="24">
        <f>Subsurface_Inputs!$C$43</f>
        <v>-45</v>
      </c>
      <c r="X119" s="24">
        <f t="shared" si="15"/>
        <v>13.044502634131028</v>
      </c>
      <c r="Y119" s="24">
        <f t="shared" si="16"/>
        <v>7.7670025372451619</v>
      </c>
      <c r="Z119" s="24">
        <f t="shared" si="17"/>
        <v>13.044502634131028</v>
      </c>
      <c r="AA119" s="24">
        <v>0</v>
      </c>
    </row>
    <row r="120" spans="1:27">
      <c r="A120" s="24">
        <f>Model_Data!A120</f>
        <v>-1</v>
      </c>
      <c r="B120" s="24">
        <f>Model_Data!Y120</f>
        <v>440.99441024200883</v>
      </c>
      <c r="C120" s="24">
        <f>Model_Data!X120</f>
        <v>-38.265792887993427</v>
      </c>
      <c r="D120" s="24">
        <f>Model_Data!B120</f>
        <v>400.00111111111113</v>
      </c>
      <c r="E120" s="24">
        <f>Inputs!$C$6</f>
        <v>25</v>
      </c>
      <c r="F120" s="24">
        <f>Subsurface_Inputs!$C$5+Subsurface_Inputs!$C$6*SIN(2*PI()*(A120+Subsurface_Inputs!$C$7)/Subsurface_Inputs!$C$8)+Subsurface_Inputs!$C$9*COS(2*PI()*A120/Subsurface_Inputs!$C$10)+Subsurface_Inputs!$C$11*(B120-AVERAGE($B$2:$B$242))</f>
        <v>1368.7861969163889</v>
      </c>
      <c r="G120" s="24">
        <f t="shared" si="9"/>
        <v>-927.79178667438009</v>
      </c>
      <c r="H120" s="24">
        <f>MIN(1,MAX(0,Subsurface_Inputs!$C$13*EXP(-0.5*((A120-Subsurface_Inputs!$C$14)/Subsurface_Inputs!$C$15)^2)+Subsurface_Inputs!$C$16*EXP(-0.5*((A120-Subsurface_Inputs!$C$17)/Subsurface_Inputs!$C$18)^2)))</f>
        <v>6.7839232216057588E-2</v>
      </c>
      <c r="I120" s="24">
        <f>Subsurface_Inputs!$C$19+Subsurface_Inputs!$C$20*SIN(2*PI()*(A120-Subsurface_Inputs!$C$21)/Subsurface_Inputs!$C$22)-Subsurface_Inputs!$C$23*H120</f>
        <v>4817.988870955649</v>
      </c>
      <c r="J120" s="24">
        <f t="shared" si="10"/>
        <v>-4376.9944607136404</v>
      </c>
      <c r="K120" s="24">
        <f>Subsurface_Inputs!$C$25+Subsurface_Inputs!$C$26*SIN(2*PI()*(A120+Subsurface_Inputs!$C$27)/Subsurface_Inputs!$C$28)+Subsurface_Inputs!$C$29*COS(2*PI()*(A120-Subsurface_Inputs!$C$30)/Subsurface_Inputs!$C$31)-Subsurface_Inputs!$C$32*(B120-AVERAGE($B$2:$B$242))</f>
        <v>15882.259787427234</v>
      </c>
      <c r="L120" s="24">
        <f t="shared" si="11"/>
        <v>-15441.265377185226</v>
      </c>
      <c r="M120" s="24">
        <f>2*Subsurface_Inputs!$C$34*F120/Subsurface_Inputs!$C$35*1000000</f>
        <v>16.254174282871201</v>
      </c>
      <c r="N120" s="24">
        <f>2*Subsurface_Inputs!$C$34*I120/Subsurface_Inputs!$C$35*1000000</f>
        <v>57.213048303577104</v>
      </c>
      <c r="O120" s="24">
        <f>2*Subsurface_Inputs!$C$34*K120/Subsurface_Inputs!$C$35*1000000</f>
        <v>188.59995751874771</v>
      </c>
      <c r="P120" s="24">
        <f>Subsurface_Inputs!$C$37-2*Subsurface_Inputs!$C$36*(F120/1000)</f>
        <v>-12.463815154449499</v>
      </c>
      <c r="Q120" s="24">
        <f>Subsurface_Inputs!$C$38+Subsurface_Inputs!$C$39*H120-2*Subsurface_Inputs!$C$36*(I120/1000)</f>
        <v>-32.061826877775651</v>
      </c>
      <c r="R120" s="24">
        <f>Subsurface_Inputs!$C$40-2*Subsurface_Inputs!$C$36*(K120/1000)-Subsurface_Inputs!$C$41*ABS(L120-AVERAGE($L$2:$L$242))</f>
        <v>-37.305298612138586</v>
      </c>
      <c r="S120" s="24">
        <f t="shared" si="12"/>
        <v>804.87509185312047</v>
      </c>
      <c r="T120" s="24">
        <f t="shared" si="13"/>
        <v>11.603170621684306</v>
      </c>
      <c r="U120" s="25" t="str">
        <f>IF(H120&gt;=Subsurface_Inputs!$C$42,"Lens visible","Weak/no lens")</f>
        <v>Weak/no lens</v>
      </c>
      <c r="V120" s="25" t="str">
        <f t="shared" si="14"/>
        <v>Likely visible</v>
      </c>
      <c r="W120" s="24">
        <f>Subsurface_Inputs!$C$43</f>
        <v>-45</v>
      </c>
      <c r="X120" s="24">
        <f t="shared" si="15"/>
        <v>12.938173122224349</v>
      </c>
      <c r="Y120" s="24">
        <f t="shared" si="16"/>
        <v>7.6947013878614143</v>
      </c>
      <c r="Z120" s="24">
        <f t="shared" si="17"/>
        <v>12.938173122224349</v>
      </c>
      <c r="AA120" s="24">
        <v>0</v>
      </c>
    </row>
    <row r="121" spans="1:27">
      <c r="A121" s="24">
        <f>Model_Data!A121</f>
        <v>-0.5</v>
      </c>
      <c r="B121" s="24">
        <f>Model_Data!Y121</f>
        <v>474.23278667183286</v>
      </c>
      <c r="C121" s="24">
        <f>Model_Data!X121</f>
        <v>-15.949828195457984</v>
      </c>
      <c r="D121" s="24">
        <f>Model_Data!B121</f>
        <v>400.0002777777778</v>
      </c>
      <c r="E121" s="24">
        <f>Inputs!$C$6</f>
        <v>25</v>
      </c>
      <c r="F121" s="24">
        <f>Subsurface_Inputs!$C$5+Subsurface_Inputs!$C$6*SIN(2*PI()*(A121+Subsurface_Inputs!$C$7)/Subsurface_Inputs!$C$8)+Subsurface_Inputs!$C$9*COS(2*PI()*A121/Subsurface_Inputs!$C$10)+Subsurface_Inputs!$C$11*(B121-AVERAGE($B$2:$B$242))</f>
        <v>1374.0063177418226</v>
      </c>
      <c r="G121" s="24">
        <f t="shared" si="9"/>
        <v>-899.77353106998976</v>
      </c>
      <c r="H121" s="24">
        <f>MIN(1,MAX(0,Subsurface_Inputs!$C$13*EXP(-0.5*((A121-Subsurface_Inputs!$C$14)/Subsurface_Inputs!$C$15)^2)+Subsurface_Inputs!$C$16*EXP(-0.5*((A121-Subsurface_Inputs!$C$17)/Subsurface_Inputs!$C$18)^2)))</f>
        <v>6.0540527874735579E-2</v>
      </c>
      <c r="I121" s="24">
        <f>Subsurface_Inputs!$C$19+Subsurface_Inputs!$C$20*SIN(2*PI()*(A121-Subsurface_Inputs!$C$21)/Subsurface_Inputs!$C$22)-Subsurface_Inputs!$C$23*H121</f>
        <v>4837.0559676836865</v>
      </c>
      <c r="J121" s="24">
        <f t="shared" si="10"/>
        <v>-4362.8231810118541</v>
      </c>
      <c r="K121" s="24">
        <f>Subsurface_Inputs!$C$25+Subsurface_Inputs!$C$26*SIN(2*PI()*(A121+Subsurface_Inputs!$C$27)/Subsurface_Inputs!$C$28)+Subsurface_Inputs!$C$29*COS(2*PI()*(A121-Subsurface_Inputs!$C$30)/Subsurface_Inputs!$C$31)-Subsurface_Inputs!$C$32*(B121-AVERAGE($B$2:$B$242))</f>
        <v>15897.379848026414</v>
      </c>
      <c r="L121" s="24">
        <f t="shared" si="11"/>
        <v>-15423.147061354581</v>
      </c>
      <c r="M121" s="24">
        <f>2*Subsurface_Inputs!$C$34*F121/Subsurface_Inputs!$C$35*1000000</f>
        <v>16.316162600597806</v>
      </c>
      <c r="N121" s="24">
        <f>2*Subsurface_Inputs!$C$34*I121/Subsurface_Inputs!$C$35*1000000</f>
        <v>57.439467823283017</v>
      </c>
      <c r="O121" s="24">
        <f>2*Subsurface_Inputs!$C$34*K121/Subsurface_Inputs!$C$35*1000000</f>
        <v>188.77950645100628</v>
      </c>
      <c r="P121" s="24">
        <f>Subsurface_Inputs!$C$37-2*Subsurface_Inputs!$C$36*(F121/1000)</f>
        <v>-12.473211371935282</v>
      </c>
      <c r="Q121" s="24">
        <f>Subsurface_Inputs!$C$38+Subsurface_Inputs!$C$39*H121-2*Subsurface_Inputs!$C$36*(I121/1000)</f>
        <v>-32.161835990958018</v>
      </c>
      <c r="R121" s="24">
        <f>Subsurface_Inputs!$C$40-2*Subsurface_Inputs!$C$36*(K121/1000)-Subsurface_Inputs!$C$41*ABS(L121-AVERAGE($L$2:$L$242))</f>
        <v>-37.26004145789453</v>
      </c>
      <c r="S121" s="24">
        <f t="shared" si="12"/>
        <v>819.99515245230032</v>
      </c>
      <c r="T121" s="24">
        <f t="shared" si="13"/>
        <v>11.570092249760346</v>
      </c>
      <c r="U121" s="25" t="str">
        <f>IF(H121&gt;=Subsurface_Inputs!$C$42,"Lens visible","Weak/no lens")</f>
        <v>Weak/no lens</v>
      </c>
      <c r="V121" s="25" t="str">
        <f t="shared" si="14"/>
        <v>Likely visible</v>
      </c>
      <c r="W121" s="24">
        <f>Subsurface_Inputs!$C$43</f>
        <v>-45</v>
      </c>
      <c r="X121" s="24">
        <f t="shared" si="15"/>
        <v>12.838164009041982</v>
      </c>
      <c r="Y121" s="24">
        <f t="shared" si="16"/>
        <v>7.7399585421054695</v>
      </c>
      <c r="Z121" s="24">
        <f t="shared" si="17"/>
        <v>12.838164009041982</v>
      </c>
      <c r="AA121" s="24">
        <v>0</v>
      </c>
    </row>
    <row r="122" spans="1:27">
      <c r="A122" s="24">
        <f>Model_Data!A122</f>
        <v>0</v>
      </c>
      <c r="B122" s="24">
        <f>Model_Data!Y122</f>
        <v>480.44802858922253</v>
      </c>
      <c r="C122" s="24">
        <f>Model_Data!X122</f>
        <v>-4.948127387128106</v>
      </c>
      <c r="D122" s="24">
        <f>Model_Data!B122</f>
        <v>400</v>
      </c>
      <c r="E122" s="24">
        <f>Inputs!$C$6</f>
        <v>25</v>
      </c>
      <c r="F122" s="24">
        <f>Subsurface_Inputs!$C$5+Subsurface_Inputs!$C$6*SIN(2*PI()*(A122+Subsurface_Inputs!$C$7)/Subsurface_Inputs!$C$8)+Subsurface_Inputs!$C$9*COS(2*PI()*A122/Subsurface_Inputs!$C$10)+Subsurface_Inputs!$C$11*(B122-AVERAGE($B$2:$B$242))</f>
        <v>1376.1534460093067</v>
      </c>
      <c r="G122" s="24">
        <f t="shared" si="9"/>
        <v>-895.70541742008413</v>
      </c>
      <c r="H122" s="24">
        <f>MIN(1,MAX(0,Subsurface_Inputs!$C$13*EXP(-0.5*((A122-Subsurface_Inputs!$C$14)/Subsurface_Inputs!$C$15)^2)+Subsurface_Inputs!$C$16*EXP(-0.5*((A122-Subsurface_Inputs!$C$17)/Subsurface_Inputs!$C$18)^2)))</f>
        <v>5.3946703107281571E-2</v>
      </c>
      <c r="I122" s="24">
        <f>Subsurface_Inputs!$C$19+Subsurface_Inputs!$C$20*SIN(2*PI()*(A122-Subsurface_Inputs!$C$21)/Subsurface_Inputs!$C$22)-Subsurface_Inputs!$C$23*H122</f>
        <v>4856.3184755634329</v>
      </c>
      <c r="J122" s="24">
        <f t="shared" si="10"/>
        <v>-4375.8704469742106</v>
      </c>
      <c r="K122" s="24">
        <f>Subsurface_Inputs!$C$25+Subsurface_Inputs!$C$26*SIN(2*PI()*(A122+Subsurface_Inputs!$C$27)/Subsurface_Inputs!$C$28)+Subsurface_Inputs!$C$29*COS(2*PI()*(A122-Subsurface_Inputs!$C$30)/Subsurface_Inputs!$C$31)-Subsurface_Inputs!$C$32*(B122-AVERAGE($B$2:$B$242))</f>
        <v>15915.349780721908</v>
      </c>
      <c r="L122" s="24">
        <f t="shared" si="11"/>
        <v>-15434.901752132686</v>
      </c>
      <c r="M122" s="24">
        <f>2*Subsurface_Inputs!$C$34*F122/Subsurface_Inputs!$C$35*1000000</f>
        <v>16.341659494960119</v>
      </c>
      <c r="N122" s="24">
        <f>2*Subsurface_Inputs!$C$34*I122/Subsurface_Inputs!$C$35*1000000</f>
        <v>57.668207827315733</v>
      </c>
      <c r="O122" s="24">
        <f>2*Subsurface_Inputs!$C$34*K122/Subsurface_Inputs!$C$35*1000000</f>
        <v>188.99289727752256</v>
      </c>
      <c r="P122" s="24">
        <f>Subsurface_Inputs!$C$37-2*Subsurface_Inputs!$C$36*(F122/1000)</f>
        <v>-12.477076202816752</v>
      </c>
      <c r="Q122" s="24">
        <f>Subsurface_Inputs!$C$38+Subsurface_Inputs!$C$39*H122-2*Subsurface_Inputs!$C$36*(I122/1000)</f>
        <v>-32.255852928048647</v>
      </c>
      <c r="R122" s="24">
        <f>Subsurface_Inputs!$C$40-2*Subsurface_Inputs!$C$36*(K122/1000)-Subsurface_Inputs!$C$41*ABS(L122-AVERAGE($L$2:$L$242))</f>
        <v>-37.339406099858849</v>
      </c>
      <c r="S122" s="24">
        <f t="shared" si="12"/>
        <v>837.96508514779453</v>
      </c>
      <c r="T122" s="24">
        <f t="shared" si="13"/>
        <v>11.565098228598467</v>
      </c>
      <c r="U122" s="25" t="str">
        <f>IF(H122&gt;=Subsurface_Inputs!$C$42,"Lens visible","Weak/no lens")</f>
        <v>Weak/no lens</v>
      </c>
      <c r="V122" s="25" t="str">
        <f t="shared" si="14"/>
        <v>Likely visible</v>
      </c>
      <c r="W122" s="24">
        <f>Subsurface_Inputs!$C$43</f>
        <v>-45</v>
      </c>
      <c r="X122" s="24">
        <f t="shared" si="15"/>
        <v>12.744147071951353</v>
      </c>
      <c r="Y122" s="24">
        <f t="shared" si="16"/>
        <v>7.6605939001411514</v>
      </c>
      <c r="Z122" s="24">
        <f t="shared" si="17"/>
        <v>12.744147071951353</v>
      </c>
      <c r="AA122" s="24">
        <v>0</v>
      </c>
    </row>
    <row r="123" spans="1:27">
      <c r="A123" s="24">
        <f>Model_Data!A123</f>
        <v>0.5</v>
      </c>
      <c r="B123" s="24">
        <f>Model_Data!Y123</f>
        <v>482.74518112800712</v>
      </c>
      <c r="C123" s="24">
        <f>Model_Data!X123</f>
        <v>2.2595691323213032</v>
      </c>
      <c r="D123" s="24">
        <f>Model_Data!B123</f>
        <v>400.0002777777778</v>
      </c>
      <c r="E123" s="24">
        <f>Inputs!$C$6</f>
        <v>25</v>
      </c>
      <c r="F123" s="24">
        <f>Subsurface_Inputs!$C$5+Subsurface_Inputs!$C$6*SIN(2*PI()*(A123+Subsurface_Inputs!$C$7)/Subsurface_Inputs!$C$8)+Subsurface_Inputs!$C$9*COS(2*PI()*A123/Subsurface_Inputs!$C$10)+Subsurface_Inputs!$C$11*(B123-AVERAGE($B$2:$B$242))</f>
        <v>1376.1338813240491</v>
      </c>
      <c r="G123" s="24">
        <f t="shared" si="9"/>
        <v>-893.38870019604201</v>
      </c>
      <c r="H123" s="24">
        <f>MIN(1,MAX(0,Subsurface_Inputs!$C$13*EXP(-0.5*((A123-Subsurface_Inputs!$C$14)/Subsurface_Inputs!$C$15)^2)+Subsurface_Inputs!$C$16*EXP(-0.5*((A123-Subsurface_Inputs!$C$17)/Subsurface_Inputs!$C$18)^2)))</f>
        <v>4.8019186524446693E-2</v>
      </c>
      <c r="I123" s="24">
        <f>Subsurface_Inputs!$C$19+Subsurface_Inputs!$C$20*SIN(2*PI()*(A123-Subsurface_Inputs!$C$21)/Subsurface_Inputs!$C$22)-Subsurface_Inputs!$C$23*H123</f>
        <v>4875.7597039050361</v>
      </c>
      <c r="J123" s="24">
        <f t="shared" si="10"/>
        <v>-4393.014522777029</v>
      </c>
      <c r="K123" s="24">
        <f>Subsurface_Inputs!$C$25+Subsurface_Inputs!$C$26*SIN(2*PI()*(A123+Subsurface_Inputs!$C$27)/Subsurface_Inputs!$C$28)+Subsurface_Inputs!$C$29*COS(2*PI()*(A123-Subsurface_Inputs!$C$30)/Subsurface_Inputs!$C$31)-Subsurface_Inputs!$C$32*(B123-AVERAGE($B$2:$B$242))</f>
        <v>15932.899548678191</v>
      </c>
      <c r="L123" s="24">
        <f t="shared" si="11"/>
        <v>-15450.154367550183</v>
      </c>
      <c r="M123" s="24">
        <f>2*Subsurface_Inputs!$C$34*F123/Subsurface_Inputs!$C$35*1000000</f>
        <v>16.341427166635444</v>
      </c>
      <c r="N123" s="24">
        <f>2*Subsurface_Inputs!$C$34*I123/Subsurface_Inputs!$C$35*1000000</f>
        <v>57.899070115706273</v>
      </c>
      <c r="O123" s="24">
        <f>2*Subsurface_Inputs!$C$34*K123/Subsurface_Inputs!$C$35*1000000</f>
        <v>189.20129869742874</v>
      </c>
      <c r="P123" s="24">
        <f>Subsurface_Inputs!$C$37-2*Subsurface_Inputs!$C$36*(F123/1000)</f>
        <v>-12.477040986383289</v>
      </c>
      <c r="Q123" s="24">
        <f>Subsurface_Inputs!$C$38+Subsurface_Inputs!$C$39*H123-2*Subsurface_Inputs!$C$36*(I123/1000)</f>
        <v>-32.344194788309039</v>
      </c>
      <c r="R123" s="24">
        <f>Subsurface_Inputs!$C$40-2*Subsurface_Inputs!$C$36*(K123/1000)-Subsurface_Inputs!$C$41*ABS(L123-AVERAGE($L$2:$L$242))</f>
        <v>-37.432006143850145</v>
      </c>
      <c r="S123" s="24">
        <f t="shared" si="12"/>
        <v>855.5148531040777</v>
      </c>
      <c r="T123" s="24">
        <f t="shared" si="13"/>
        <v>11.578015602194411</v>
      </c>
      <c r="U123" s="25" t="str">
        <f>IF(H123&gt;=Subsurface_Inputs!$C$42,"Lens visible","Weak/no lens")</f>
        <v>Weak/no lens</v>
      </c>
      <c r="V123" s="25" t="str">
        <f t="shared" si="14"/>
        <v>Likely visible</v>
      </c>
      <c r="W123" s="24">
        <f>Subsurface_Inputs!$C$43</f>
        <v>-45</v>
      </c>
      <c r="X123" s="24">
        <f t="shared" si="15"/>
        <v>12.655805211690961</v>
      </c>
      <c r="Y123" s="24">
        <f t="shared" si="16"/>
        <v>7.5679938561498545</v>
      </c>
      <c r="Z123" s="24">
        <f t="shared" si="17"/>
        <v>12.655805211690961</v>
      </c>
      <c r="AA123" s="24">
        <v>0</v>
      </c>
    </row>
    <row r="124" spans="1:27">
      <c r="A124" s="24">
        <f>Model_Data!A124</f>
        <v>1</v>
      </c>
      <c r="B124" s="24">
        <f>Model_Data!Y124</f>
        <v>497.58165314697214</v>
      </c>
      <c r="C124" s="24">
        <f>Model_Data!X124</f>
        <v>43.076446221267872</v>
      </c>
      <c r="D124" s="24">
        <f>Model_Data!B124</f>
        <v>400.00111111111113</v>
      </c>
      <c r="E124" s="24">
        <f>Inputs!$C$6</f>
        <v>25</v>
      </c>
      <c r="F124" s="24">
        <f>Subsurface_Inputs!$C$5+Subsurface_Inputs!$C$6*SIN(2*PI()*(A124+Subsurface_Inputs!$C$7)/Subsurface_Inputs!$C$8)+Subsurface_Inputs!$C$9*COS(2*PI()*A124/Subsurface_Inputs!$C$10)+Subsurface_Inputs!$C$11*(B124-AVERAGE($B$2:$B$242))</f>
        <v>1374.6138282324846</v>
      </c>
      <c r="G124" s="24">
        <f t="shared" si="9"/>
        <v>-877.03217508551245</v>
      </c>
      <c r="H124" s="24">
        <f>MIN(1,MAX(0,Subsurface_Inputs!$C$13*EXP(-0.5*((A124-Subsurface_Inputs!$C$14)/Subsurface_Inputs!$C$15)^2)+Subsurface_Inputs!$C$16*EXP(-0.5*((A124-Subsurface_Inputs!$C$17)/Subsurface_Inputs!$C$18)^2)))</f>
        <v>4.2721038535456821E-2</v>
      </c>
      <c r="I124" s="24">
        <f>Subsurface_Inputs!$C$19+Subsurface_Inputs!$C$20*SIN(2*PI()*(A124-Subsurface_Inputs!$C$21)/Subsurface_Inputs!$C$22)-Subsurface_Inputs!$C$23*H124</f>
        <v>4895.3620733942907</v>
      </c>
      <c r="J124" s="24">
        <f t="shared" si="10"/>
        <v>-4397.7804202473189</v>
      </c>
      <c r="K124" s="24">
        <f>Subsurface_Inputs!$C$25+Subsurface_Inputs!$C$26*SIN(2*PI()*(A124+Subsurface_Inputs!$C$27)/Subsurface_Inputs!$C$28)+Subsurface_Inputs!$C$29*COS(2*PI()*(A124-Subsurface_Inputs!$C$30)/Subsurface_Inputs!$C$31)-Subsurface_Inputs!$C$32*(B124-AVERAGE($B$2:$B$242))</f>
        <v>15947.69149082374</v>
      </c>
      <c r="L124" s="24">
        <f t="shared" si="11"/>
        <v>-15450.109837676768</v>
      </c>
      <c r="M124" s="24">
        <f>2*Subsurface_Inputs!$C$34*F124/Subsurface_Inputs!$C$35*1000000</f>
        <v>16.323376715860029</v>
      </c>
      <c r="N124" s="24">
        <f>2*Subsurface_Inputs!$C$34*I124/Subsurface_Inputs!$C$35*1000000</f>
        <v>58.131845936176532</v>
      </c>
      <c r="O124" s="24">
        <f>2*Subsurface_Inputs!$C$34*K124/Subsurface_Inputs!$C$35*1000000</f>
        <v>189.37695126183766</v>
      </c>
      <c r="P124" s="24">
        <f>Subsurface_Inputs!$C$37-2*Subsurface_Inputs!$C$36*(F124/1000)</f>
        <v>-12.474304890818473</v>
      </c>
      <c r="Q124" s="24">
        <f>Subsurface_Inputs!$C$38+Subsurface_Inputs!$C$39*H124-2*Subsurface_Inputs!$C$36*(I124/1000)</f>
        <v>-32.427162385290615</v>
      </c>
      <c r="R124" s="24">
        <f>Subsurface_Inputs!$C$40-2*Subsurface_Inputs!$C$36*(K124/1000)-Subsurface_Inputs!$C$41*ABS(L124-AVERAGE($L$2:$L$242))</f>
        <v>-37.45845352021847</v>
      </c>
      <c r="S124" s="24">
        <f t="shared" si="12"/>
        <v>870.30679524962579</v>
      </c>
      <c r="T124" s="24">
        <f t="shared" si="13"/>
        <v>11.601579413273988</v>
      </c>
      <c r="U124" s="25" t="str">
        <f>IF(H124&gt;=Subsurface_Inputs!$C$42,"Lens visible","Weak/no lens")</f>
        <v>Weak/no lens</v>
      </c>
      <c r="V124" s="25" t="str">
        <f t="shared" si="14"/>
        <v>Likely visible</v>
      </c>
      <c r="W124" s="24">
        <f>Subsurface_Inputs!$C$43</f>
        <v>-45</v>
      </c>
      <c r="X124" s="24">
        <f t="shared" si="15"/>
        <v>12.572837614709385</v>
      </c>
      <c r="Y124" s="24">
        <f t="shared" si="16"/>
        <v>7.5415464797815304</v>
      </c>
      <c r="Z124" s="24">
        <f t="shared" si="17"/>
        <v>12.572837614709385</v>
      </c>
      <c r="AA124" s="24">
        <v>0</v>
      </c>
    </row>
    <row r="125" spans="1:27">
      <c r="A125" s="24">
        <f>Model_Data!A125</f>
        <v>1.5</v>
      </c>
      <c r="B125" s="24">
        <f>Model_Data!Y125</f>
        <v>516.864115303311</v>
      </c>
      <c r="C125" s="24">
        <f>Model_Data!X125</f>
        <v>46.814954828478903</v>
      </c>
      <c r="D125" s="24">
        <f>Model_Data!B125</f>
        <v>400.0025</v>
      </c>
      <c r="E125" s="24">
        <f>Inputs!$C$6</f>
        <v>25</v>
      </c>
      <c r="F125" s="24">
        <f>Subsurface_Inputs!$C$5+Subsurface_Inputs!$C$6*SIN(2*PI()*(A125+Subsurface_Inputs!$C$7)/Subsurface_Inputs!$C$8)+Subsurface_Inputs!$C$9*COS(2*PI()*A125/Subsurface_Inputs!$C$10)+Subsurface_Inputs!$C$11*(B125-AVERAGE($B$2:$B$242))</f>
        <v>1371.3030922152291</v>
      </c>
      <c r="G125" s="24">
        <f t="shared" si="9"/>
        <v>-854.43897691191808</v>
      </c>
      <c r="H125" s="24">
        <f>MIN(1,MAX(0,Subsurface_Inputs!$C$13*EXP(-0.5*((A125-Subsurface_Inputs!$C$14)/Subsurface_Inputs!$C$15)^2)+Subsurface_Inputs!$C$16*EXP(-0.5*((A125-Subsurface_Inputs!$C$17)/Subsurface_Inputs!$C$18)^2)))</f>
        <v>3.8017470021169023E-2</v>
      </c>
      <c r="I125" s="24">
        <f>Subsurface_Inputs!$C$19+Subsurface_Inputs!$C$20*SIN(2*PI()*(A125-Subsurface_Inputs!$C$21)/Subsurface_Inputs!$C$22)-Subsurface_Inputs!$C$23*H125</f>
        <v>4915.1070304224986</v>
      </c>
      <c r="J125" s="24">
        <f t="shared" si="10"/>
        <v>-4398.2429151191873</v>
      </c>
      <c r="K125" s="24">
        <f>Subsurface_Inputs!$C$25+Subsurface_Inputs!$C$26*SIN(2*PI()*(A125+Subsurface_Inputs!$C$27)/Subsurface_Inputs!$C$28)+Subsurface_Inputs!$C$29*COS(2*PI()*(A125-Subsurface_Inputs!$C$30)/Subsurface_Inputs!$C$31)-Subsurface_Inputs!$C$32*(B125-AVERAGE($B$2:$B$242))</f>
        <v>15960.826835798127</v>
      </c>
      <c r="L125" s="24">
        <f t="shared" si="11"/>
        <v>-15443.962720494816</v>
      </c>
      <c r="M125" s="24">
        <f>2*Subsurface_Inputs!$C$34*F125/Subsurface_Inputs!$C$35*1000000</f>
        <v>16.284062117020355</v>
      </c>
      <c r="N125" s="24">
        <f>2*Subsurface_Inputs!$C$34*I125/Subsurface_Inputs!$C$35*1000000</f>
        <v>58.366314966816468</v>
      </c>
      <c r="O125" s="24">
        <f>2*Subsurface_Inputs!$C$34*K125/Subsurface_Inputs!$C$35*1000000</f>
        <v>189.53293193066696</v>
      </c>
      <c r="P125" s="24">
        <f>Subsurface_Inputs!$C$37-2*Subsurface_Inputs!$C$36*(F125/1000)</f>
        <v>-12.468345565987413</v>
      </c>
      <c r="Q125" s="24">
        <f>Subsurface_Inputs!$C$38+Subsurface_Inputs!$C$39*H125-2*Subsurface_Inputs!$C$36*(I125/1000)</f>
        <v>-32.505035424569975</v>
      </c>
      <c r="R125" s="24">
        <f>Subsurface_Inputs!$C$40-2*Subsurface_Inputs!$C$36*(K125/1000)-Subsurface_Inputs!$C$41*ABS(L125-AVERAGE($L$2:$L$242))</f>
        <v>-37.457508672444554</v>
      </c>
      <c r="S125" s="24">
        <f t="shared" si="12"/>
        <v>883.4421402240132</v>
      </c>
      <c r="T125" s="24">
        <f t="shared" si="13"/>
        <v>11.639167829786414</v>
      </c>
      <c r="U125" s="25" t="str">
        <f>IF(H125&gt;=Subsurface_Inputs!$C$42,"Lens visible","Weak/no lens")</f>
        <v>Weak/no lens</v>
      </c>
      <c r="V125" s="25" t="str">
        <f t="shared" si="14"/>
        <v>Likely visible</v>
      </c>
      <c r="W125" s="24">
        <f>Subsurface_Inputs!$C$43</f>
        <v>-45</v>
      </c>
      <c r="X125" s="24">
        <f t="shared" si="15"/>
        <v>12.494964575430025</v>
      </c>
      <c r="Y125" s="24">
        <f t="shared" si="16"/>
        <v>7.5424913275554459</v>
      </c>
      <c r="Z125" s="24">
        <f t="shared" si="17"/>
        <v>12.494964575430025</v>
      </c>
      <c r="AA125" s="24">
        <v>0</v>
      </c>
    </row>
    <row r="126" spans="1:27">
      <c r="A126" s="24">
        <f>Model_Data!A126</f>
        <v>2</v>
      </c>
      <c r="B126" s="24">
        <f>Model_Data!Y126</f>
        <v>534.50648407239817</v>
      </c>
      <c r="C126" s="24">
        <f>Model_Data!X126</f>
        <v>65.558177903204651</v>
      </c>
      <c r="D126" s="24">
        <f>Model_Data!B126</f>
        <v>400.00444444444446</v>
      </c>
      <c r="E126" s="24">
        <f>Inputs!$C$6</f>
        <v>25</v>
      </c>
      <c r="F126" s="24">
        <f>Subsurface_Inputs!$C$5+Subsurface_Inputs!$C$6*SIN(2*PI()*(A126+Subsurface_Inputs!$C$7)/Subsurface_Inputs!$C$8)+Subsurface_Inputs!$C$9*COS(2*PI()*A126/Subsurface_Inputs!$C$10)+Subsurface_Inputs!$C$11*(B126-AVERAGE($B$2:$B$242))</f>
        <v>1366.0168069015258</v>
      </c>
      <c r="G126" s="24">
        <f t="shared" si="9"/>
        <v>-831.51032282912763</v>
      </c>
      <c r="H126" s="24">
        <f>MIN(1,MAX(0,Subsurface_Inputs!$C$13*EXP(-0.5*((A126-Subsurface_Inputs!$C$14)/Subsurface_Inputs!$C$15)^2)+Subsurface_Inputs!$C$16*EXP(-0.5*((A126-Subsurface_Inputs!$C$17)/Subsurface_Inputs!$C$18)^2)))</f>
        <v>3.3876325780597377E-2</v>
      </c>
      <c r="I126" s="24">
        <f>Subsurface_Inputs!$C$19+Subsurface_Inputs!$C$20*SIN(2*PI()*(A126-Subsurface_Inputs!$C$21)/Subsurface_Inputs!$C$22)-Subsurface_Inputs!$C$23*H126</f>
        <v>4934.9749705431559</v>
      </c>
      <c r="J126" s="24">
        <f t="shared" si="10"/>
        <v>-4400.4684864707579</v>
      </c>
      <c r="K126" s="24">
        <f>Subsurface_Inputs!$C$25+Subsurface_Inputs!$C$26*SIN(2*PI()*(A126+Subsurface_Inputs!$C$27)/Subsurface_Inputs!$C$28)+Subsurface_Inputs!$C$29*COS(2*PI()*(A126-Subsurface_Inputs!$C$30)/Subsurface_Inputs!$C$31)-Subsurface_Inputs!$C$32*(B126-AVERAGE($B$2:$B$242))</f>
        <v>15973.127659706997</v>
      </c>
      <c r="L126" s="24">
        <f t="shared" si="11"/>
        <v>-15438.621175634598</v>
      </c>
      <c r="M126" s="24">
        <f>2*Subsurface_Inputs!$C$34*F126/Subsurface_Inputs!$C$35*1000000</f>
        <v>16.221288103816917</v>
      </c>
      <c r="N126" s="24">
        <f>2*Subsurface_Inputs!$C$34*I126/Subsurface_Inputs!$C$35*1000000</f>
        <v>58.602244407141278</v>
      </c>
      <c r="O126" s="24">
        <f>2*Subsurface_Inputs!$C$34*K126/Subsurface_Inputs!$C$35*1000000</f>
        <v>189.67900276049275</v>
      </c>
      <c r="P126" s="24">
        <f>Subsurface_Inputs!$C$37-2*Subsurface_Inputs!$C$36*(F126/1000)</f>
        <v>-12.458830252422747</v>
      </c>
      <c r="Q126" s="24">
        <f>Subsurface_Inputs!$C$38+Subsurface_Inputs!$C$39*H126-2*Subsurface_Inputs!$C$36*(I126/1000)</f>
        <v>-32.578068014952308</v>
      </c>
      <c r="R126" s="24">
        <f>Subsurface_Inputs!$C$40-2*Subsurface_Inputs!$C$36*(K126/1000)-Subsurface_Inputs!$C$41*ABS(L126-AVERAGE($L$2:$L$242))</f>
        <v>-37.458283976039652</v>
      </c>
      <c r="S126" s="24">
        <f t="shared" si="12"/>
        <v>895.74296413288357</v>
      </c>
      <c r="T126" s="24">
        <f t="shared" si="13"/>
        <v>11.693214592240722</v>
      </c>
      <c r="U126" s="25" t="str">
        <f>IF(H126&gt;=Subsurface_Inputs!$C$42,"Lens visible","Weak/no lens")</f>
        <v>Weak/no lens</v>
      </c>
      <c r="V126" s="25" t="str">
        <f t="shared" si="14"/>
        <v>Likely visible</v>
      </c>
      <c r="W126" s="24">
        <f>Subsurface_Inputs!$C$43</f>
        <v>-45</v>
      </c>
      <c r="X126" s="24">
        <f t="shared" si="15"/>
        <v>12.421931985047692</v>
      </c>
      <c r="Y126" s="24">
        <f t="shared" si="16"/>
        <v>7.5417160239603476</v>
      </c>
      <c r="Z126" s="24">
        <f t="shared" si="17"/>
        <v>12.421931985047692</v>
      </c>
      <c r="AA126" s="24">
        <v>0</v>
      </c>
    </row>
    <row r="127" spans="1:27">
      <c r="A127" s="24">
        <f>Model_Data!A127</f>
        <v>2.5</v>
      </c>
      <c r="B127" s="24">
        <f>Model_Data!Y127</f>
        <v>549.73081486924821</v>
      </c>
      <c r="C127" s="24">
        <f>Model_Data!X127</f>
        <v>70.900883626482283</v>
      </c>
      <c r="D127" s="24">
        <f>Model_Data!B127</f>
        <v>400.00694444444446</v>
      </c>
      <c r="E127" s="24">
        <f>Inputs!$C$6</f>
        <v>25</v>
      </c>
      <c r="F127" s="24">
        <f>Subsurface_Inputs!$C$5+Subsurface_Inputs!$C$6*SIN(2*PI()*(A127+Subsurface_Inputs!$C$7)/Subsurface_Inputs!$C$8)+Subsurface_Inputs!$C$9*COS(2*PI()*A127/Subsurface_Inputs!$C$10)+Subsurface_Inputs!$C$11*(B127-AVERAGE($B$2:$B$242))</f>
        <v>1358.8064762795664</v>
      </c>
      <c r="G127" s="24">
        <f t="shared" si="9"/>
        <v>-809.07566141031816</v>
      </c>
      <c r="H127" s="24">
        <f>MIN(1,MAX(0,Subsurface_Inputs!$C$13*EXP(-0.5*((A127-Subsurface_Inputs!$C$14)/Subsurface_Inputs!$C$15)^2)+Subsurface_Inputs!$C$16*EXP(-0.5*((A127-Subsurface_Inputs!$C$17)/Subsurface_Inputs!$C$18)^2)))</f>
        <v>3.0268533619586264E-2</v>
      </c>
      <c r="I127" s="24">
        <f>Subsurface_Inputs!$C$19+Subsurface_Inputs!$C$20*SIN(2*PI()*(A127-Subsurface_Inputs!$C$21)/Subsurface_Inputs!$C$22)-Subsurface_Inputs!$C$23*H127</f>
        <v>4954.9451707890357</v>
      </c>
      <c r="J127" s="24">
        <f t="shared" si="10"/>
        <v>-4405.2143559197875</v>
      </c>
      <c r="K127" s="24">
        <f>Subsurface_Inputs!$C$25+Subsurface_Inputs!$C$26*SIN(2*PI()*(A127+Subsurface_Inputs!$C$27)/Subsurface_Inputs!$C$28)+Subsurface_Inputs!$C$29*COS(2*PI()*(A127-Subsurface_Inputs!$C$30)/Subsurface_Inputs!$C$31)-Subsurface_Inputs!$C$32*(B127-AVERAGE($B$2:$B$242))</f>
        <v>15984.674832252707</v>
      </c>
      <c r="L127" s="24">
        <f t="shared" si="11"/>
        <v>-15434.944017383459</v>
      </c>
      <c r="M127" s="24">
        <f>2*Subsurface_Inputs!$C$34*F127/Subsurface_Inputs!$C$35*1000000</f>
        <v>16.135666280021148</v>
      </c>
      <c r="N127" s="24">
        <f>2*Subsurface_Inputs!$C$34*I127/Subsurface_Inputs!$C$35*1000000</f>
        <v>58.839388174364842</v>
      </c>
      <c r="O127" s="24">
        <f>2*Subsurface_Inputs!$C$34*K127/Subsurface_Inputs!$C$35*1000000</f>
        <v>189.81612406947087</v>
      </c>
      <c r="P127" s="24">
        <f>Subsurface_Inputs!$C$37-2*Subsurface_Inputs!$C$36*(F127/1000)</f>
        <v>-12.445851657303219</v>
      </c>
      <c r="Q127" s="24">
        <f>Subsurface_Inputs!$C$38+Subsurface_Inputs!$C$39*H127-2*Subsurface_Inputs!$C$36*(I127/1000)</f>
        <v>-32.64648450484399</v>
      </c>
      <c r="R127" s="24">
        <f>Subsurface_Inputs!$C$40-2*Subsurface_Inputs!$C$36*(K127/1000)-Subsurface_Inputs!$C$41*ABS(L127-AVERAGE($L$2:$L$242))</f>
        <v>-37.464360253617379</v>
      </c>
      <c r="S127" s="24">
        <f t="shared" si="12"/>
        <v>907.29013667859363</v>
      </c>
      <c r="T127" s="24">
        <f t="shared" si="13"/>
        <v>11.763761147223113</v>
      </c>
      <c r="U127" s="25" t="str">
        <f>IF(H127&gt;=Subsurface_Inputs!$C$42,"Lens visible","Weak/no lens")</f>
        <v>Weak/no lens</v>
      </c>
      <c r="V127" s="25" t="str">
        <f t="shared" si="14"/>
        <v>Likely visible</v>
      </c>
      <c r="W127" s="24">
        <f>Subsurface_Inputs!$C$43</f>
        <v>-45</v>
      </c>
      <c r="X127" s="24">
        <f t="shared" si="15"/>
        <v>12.35351549515601</v>
      </c>
      <c r="Y127" s="24">
        <f t="shared" si="16"/>
        <v>7.5356397463826212</v>
      </c>
      <c r="Z127" s="24">
        <f t="shared" si="17"/>
        <v>12.35351549515601</v>
      </c>
      <c r="AA127" s="24">
        <v>0</v>
      </c>
    </row>
    <row r="128" spans="1:27">
      <c r="A128" s="24">
        <f>Model_Data!A128</f>
        <v>3</v>
      </c>
      <c r="B128" s="24">
        <f>Model_Data!Y128</f>
        <v>536.84310410266767</v>
      </c>
      <c r="C128" s="24">
        <f>Model_Data!X128</f>
        <v>82.120865864262811</v>
      </c>
      <c r="D128" s="24">
        <f>Model_Data!B128</f>
        <v>400.01</v>
      </c>
      <c r="E128" s="24">
        <f>Inputs!$C$6</f>
        <v>25</v>
      </c>
      <c r="F128" s="24">
        <f>Subsurface_Inputs!$C$5+Subsurface_Inputs!$C$6*SIN(2*PI()*(A128+Subsurface_Inputs!$C$7)/Subsurface_Inputs!$C$8)+Subsurface_Inputs!$C$9*COS(2*PI()*A128/Subsurface_Inputs!$C$10)+Subsurface_Inputs!$C$11*(B128-AVERAGE($B$2:$B$242))</f>
        <v>1348.7496298570475</v>
      </c>
      <c r="G128" s="24">
        <f t="shared" si="9"/>
        <v>-811.9065257543798</v>
      </c>
      <c r="H128" s="24">
        <f>MIN(1,MAX(0,Subsurface_Inputs!$C$13*EXP(-0.5*((A128-Subsurface_Inputs!$C$14)/Subsurface_Inputs!$C$15)^2)+Subsurface_Inputs!$C$16*EXP(-0.5*((A128-Subsurface_Inputs!$C$17)/Subsurface_Inputs!$C$18)^2)))</f>
        <v>2.7168519902774892E-2</v>
      </c>
      <c r="I128" s="24">
        <f>Subsurface_Inputs!$C$19+Subsurface_Inputs!$C$20*SIN(2*PI()*(A128-Subsurface_Inputs!$C$21)/Subsurface_Inputs!$C$22)-Subsurface_Inputs!$C$23*H128</f>
        <v>4974.9957305937023</v>
      </c>
      <c r="J128" s="24">
        <f t="shared" si="10"/>
        <v>-4438.1526264910344</v>
      </c>
      <c r="K128" s="24">
        <f>Subsurface_Inputs!$C$25+Subsurface_Inputs!$C$26*SIN(2*PI()*(A128+Subsurface_Inputs!$C$27)/Subsurface_Inputs!$C$28)+Subsurface_Inputs!$C$29*COS(2*PI()*(A128-Subsurface_Inputs!$C$30)/Subsurface_Inputs!$C$31)-Subsurface_Inputs!$C$32*(B128-AVERAGE($B$2:$B$242))</f>
        <v>15999.039471084721</v>
      </c>
      <c r="L128" s="24">
        <f t="shared" si="11"/>
        <v>-15462.196366982054</v>
      </c>
      <c r="M128" s="24">
        <f>2*Subsurface_Inputs!$C$34*F128/Subsurface_Inputs!$C$35*1000000</f>
        <v>16.016242417583065</v>
      </c>
      <c r="N128" s="24">
        <f>2*Subsurface_Inputs!$C$34*I128/Subsurface_Inputs!$C$35*1000000</f>
        <v>59.077486201849617</v>
      </c>
      <c r="O128" s="24">
        <f>2*Subsurface_Inputs!$C$34*K128/Subsurface_Inputs!$C$35*1000000</f>
        <v>189.98670245754352</v>
      </c>
      <c r="P128" s="24">
        <f>Subsurface_Inputs!$C$37-2*Subsurface_Inputs!$C$36*(F128/1000)</f>
        <v>-12.427749333742685</v>
      </c>
      <c r="Q128" s="24">
        <f>Subsurface_Inputs!$C$38+Subsurface_Inputs!$C$39*H128-2*Subsurface_Inputs!$C$36*(I128/1000)</f>
        <v>-32.710475635943695</v>
      </c>
      <c r="R128" s="24">
        <f>Subsurface_Inputs!$C$40-2*Subsurface_Inputs!$C$36*(K128/1000)-Subsurface_Inputs!$C$41*ABS(L128-AVERAGE($L$2:$L$242))</f>
        <v>-37.599226001909379</v>
      </c>
      <c r="S128" s="24">
        <f t="shared" si="12"/>
        <v>921.65477551060758</v>
      </c>
      <c r="T128" s="24">
        <f t="shared" si="13"/>
        <v>11.86212705228356</v>
      </c>
      <c r="U128" s="25" t="str">
        <f>IF(H128&gt;=Subsurface_Inputs!$C$42,"Lens visible","Weak/no lens")</f>
        <v>Weak/no lens</v>
      </c>
      <c r="V128" s="25" t="str">
        <f t="shared" si="14"/>
        <v>Likely visible</v>
      </c>
      <c r="W128" s="24">
        <f>Subsurface_Inputs!$C$43</f>
        <v>-45</v>
      </c>
      <c r="X128" s="24">
        <f t="shared" si="15"/>
        <v>12.289524364056305</v>
      </c>
      <c r="Y128" s="24">
        <f t="shared" si="16"/>
        <v>7.4007739980906209</v>
      </c>
      <c r="Z128" s="24">
        <f t="shared" si="17"/>
        <v>12.289524364056305</v>
      </c>
      <c r="AA128" s="24">
        <v>0</v>
      </c>
    </row>
    <row r="129" spans="1:27">
      <c r="A129" s="24">
        <f>Model_Data!A129</f>
        <v>3.5</v>
      </c>
      <c r="B129" s="24">
        <f>Model_Data!Y129</f>
        <v>562.91901967460217</v>
      </c>
      <c r="C129" s="24">
        <f>Model_Data!X129</f>
        <v>98.61636326587373</v>
      </c>
      <c r="D129" s="24">
        <f>Model_Data!B129</f>
        <v>400.01361111111112</v>
      </c>
      <c r="E129" s="24">
        <f>Inputs!$C$6</f>
        <v>25</v>
      </c>
      <c r="F129" s="24">
        <f>Subsurface_Inputs!$C$5+Subsurface_Inputs!$C$6*SIN(2*PI()*(A129+Subsurface_Inputs!$C$7)/Subsurface_Inputs!$C$8)+Subsurface_Inputs!$C$9*COS(2*PI()*A129/Subsurface_Inputs!$C$10)+Subsurface_Inputs!$C$11*(B129-AVERAGE($B$2:$B$242))</f>
        <v>1338.6555162950121</v>
      </c>
      <c r="G129" s="24">
        <f t="shared" si="9"/>
        <v>-775.73649662040998</v>
      </c>
      <c r="H129" s="24">
        <f>MIN(1,MAX(0,Subsurface_Inputs!$C$13*EXP(-0.5*((A129-Subsurface_Inputs!$C$14)/Subsurface_Inputs!$C$15)^2)+Subsurface_Inputs!$C$16*EXP(-0.5*((A129-Subsurface_Inputs!$C$17)/Subsurface_Inputs!$C$18)^2)))</f>
        <v>2.4554592113773612E-2</v>
      </c>
      <c r="I129" s="24">
        <f>Subsurface_Inputs!$C$19+Subsurface_Inputs!$C$20*SIN(2*PI()*(A129-Subsurface_Inputs!$C$21)/Subsurface_Inputs!$C$22)-Subsurface_Inputs!$C$23*H129</f>
        <v>4995.1035211270664</v>
      </c>
      <c r="J129" s="24">
        <f t="shared" si="10"/>
        <v>-4432.1845014524642</v>
      </c>
      <c r="K129" s="24">
        <f>Subsurface_Inputs!$C$25+Subsurface_Inputs!$C$26*SIN(2*PI()*(A129+Subsurface_Inputs!$C$27)/Subsurface_Inputs!$C$28)+Subsurface_Inputs!$C$29*COS(2*PI()*(A129-Subsurface_Inputs!$C$30)/Subsurface_Inputs!$C$31)-Subsurface_Inputs!$C$32*(B129-AVERAGE($B$2:$B$242))</f>
        <v>16006.807001469824</v>
      </c>
      <c r="L129" s="24">
        <f t="shared" si="11"/>
        <v>-15443.887981795222</v>
      </c>
      <c r="M129" s="24">
        <f>2*Subsurface_Inputs!$C$34*F129/Subsurface_Inputs!$C$35*1000000</f>
        <v>15.896376012268606</v>
      </c>
      <c r="N129" s="24">
        <f>2*Subsurface_Inputs!$C$34*I129/Subsurface_Inputs!$C$35*1000000</f>
        <v>59.316263837472384</v>
      </c>
      <c r="O129" s="24">
        <f>2*Subsurface_Inputs!$C$34*K129/Subsurface_Inputs!$C$35*1000000</f>
        <v>190.07894096265949</v>
      </c>
      <c r="P129" s="24">
        <f>Subsurface_Inputs!$C$37-2*Subsurface_Inputs!$C$36*(F129/1000)</f>
        <v>-12.409579929331022</v>
      </c>
      <c r="Q129" s="24">
        <f>Subsurface_Inputs!$C$38+Subsurface_Inputs!$C$39*H129-2*Subsurface_Inputs!$C$36*(I129/1000)</f>
        <v>-32.770195009004752</v>
      </c>
      <c r="R129" s="24">
        <f>Subsurface_Inputs!$C$40-2*Subsurface_Inputs!$C$36*(K129/1000)-Subsurface_Inputs!$C$41*ABS(L129-AVERAGE($L$2:$L$242))</f>
        <v>-37.539974015855236</v>
      </c>
      <c r="S129" s="24">
        <f t="shared" si="12"/>
        <v>929.42230589571045</v>
      </c>
      <c r="T129" s="24">
        <f t="shared" si="13"/>
        <v>11.957375745010005</v>
      </c>
      <c r="U129" s="25" t="str">
        <f>IF(H129&gt;=Subsurface_Inputs!$C$42,"Lens visible","Weak/no lens")</f>
        <v>Weak/no lens</v>
      </c>
      <c r="V129" s="25" t="str">
        <f t="shared" si="14"/>
        <v>Likely visible</v>
      </c>
      <c r="W129" s="24">
        <f>Subsurface_Inputs!$C$43</f>
        <v>-45</v>
      </c>
      <c r="X129" s="24">
        <f t="shared" si="15"/>
        <v>12.229804990995248</v>
      </c>
      <c r="Y129" s="24">
        <f t="shared" si="16"/>
        <v>7.4600259841447638</v>
      </c>
      <c r="Z129" s="24">
        <f t="shared" si="17"/>
        <v>12.229804990995248</v>
      </c>
      <c r="AA129" s="24">
        <v>0</v>
      </c>
    </row>
    <row r="130" spans="1:27">
      <c r="A130" s="24">
        <f>Model_Data!A130</f>
        <v>4</v>
      </c>
      <c r="B130" s="24">
        <f>Model_Data!Y130</f>
        <v>561.66976905744889</v>
      </c>
      <c r="C130" s="24">
        <f>Model_Data!X130</f>
        <v>96.363113555281444</v>
      </c>
      <c r="D130" s="24">
        <f>Model_Data!B130</f>
        <v>400.01777777777778</v>
      </c>
      <c r="E130" s="24">
        <f>Inputs!$C$6</f>
        <v>25</v>
      </c>
      <c r="F130" s="24">
        <f>Subsurface_Inputs!$C$5+Subsurface_Inputs!$C$6*SIN(2*PI()*(A130+Subsurface_Inputs!$C$7)/Subsurface_Inputs!$C$8)+Subsurface_Inputs!$C$9*COS(2*PI()*A130/Subsurface_Inputs!$C$10)+Subsurface_Inputs!$C$11*(B130-AVERAGE($B$2:$B$242))</f>
        <v>1326.017674948426</v>
      </c>
      <c r="G130" s="24">
        <f t="shared" ref="G130:G193" si="18">B130-F130</f>
        <v>-764.34790589097713</v>
      </c>
      <c r="H130" s="24">
        <f>MIN(1,MAX(0,Subsurface_Inputs!$C$13*EXP(-0.5*((A130-Subsurface_Inputs!$C$14)/Subsurface_Inputs!$C$15)^2)+Subsurface_Inputs!$C$16*EXP(-0.5*((A130-Subsurface_Inputs!$C$17)/Subsurface_Inputs!$C$18)^2)))</f>
        <v>2.2409288468860672E-2</v>
      </c>
      <c r="I130" s="24">
        <f>Subsurface_Inputs!$C$19+Subsurface_Inputs!$C$20*SIN(2*PI()*(A130-Subsurface_Inputs!$C$21)/Subsurface_Inputs!$C$22)-Subsurface_Inputs!$C$23*H130</f>
        <v>5015.2441429736582</v>
      </c>
      <c r="J130" s="24">
        <f t="shared" ref="J130:J193" si="19">B130-I130</f>
        <v>-4453.574373916209</v>
      </c>
      <c r="K130" s="24">
        <f>Subsurface_Inputs!$C$25+Subsurface_Inputs!$C$26*SIN(2*PI()*(A130+Subsurface_Inputs!$C$27)/Subsurface_Inputs!$C$28)+Subsurface_Inputs!$C$29*COS(2*PI()*(A130-Subsurface_Inputs!$C$30)/Subsurface_Inputs!$C$31)-Subsurface_Inputs!$C$32*(B130-AVERAGE($B$2:$B$242))</f>
        <v>16017.23599184729</v>
      </c>
      <c r="L130" s="24">
        <f t="shared" ref="L130:L193" si="20">B130-K130</f>
        <v>-15455.566222789841</v>
      </c>
      <c r="M130" s="24">
        <f>2*Subsurface_Inputs!$C$34*F130/Subsurface_Inputs!$C$35*1000000</f>
        <v>15.746303140209072</v>
      </c>
      <c r="N130" s="24">
        <f>2*Subsurface_Inputs!$C$34*I130/Subsurface_Inputs!$C$35*1000000</f>
        <v>59.5554313410587</v>
      </c>
      <c r="O130" s="24">
        <f>2*Subsurface_Inputs!$C$34*K130/Subsurface_Inputs!$C$35*1000000</f>
        <v>190.20278399057108</v>
      </c>
      <c r="P130" s="24">
        <f>Subsurface_Inputs!$C$37-2*Subsurface_Inputs!$C$36*(F130/1000)</f>
        <v>-12.386831814907167</v>
      </c>
      <c r="Q130" s="24">
        <f>Subsurface_Inputs!$C$38+Subsurface_Inputs!$C$39*H130-2*Subsurface_Inputs!$C$36*(I130/1000)</f>
        <v>-32.825755861132841</v>
      </c>
      <c r="R130" s="24">
        <f>Subsurface_Inputs!$C$40-2*Subsurface_Inputs!$C$36*(K130/1000)-Subsurface_Inputs!$C$41*ABS(L130-AVERAGE($L$2:$L$242))</f>
        <v>-37.605459162513156</v>
      </c>
      <c r="S130" s="24">
        <f t="shared" ref="S130:S193" si="21">K130-AVERAGE($K$2:$K$242)</f>
        <v>939.85129627317656</v>
      </c>
      <c r="T130" s="24">
        <f t="shared" ref="T130:T193" si="22">K130/F130</f>
        <v>12.07920248308173</v>
      </c>
      <c r="U130" s="25" t="str">
        <f>IF(H130&gt;=Subsurface_Inputs!$C$42,"Lens visible","Weak/no lens")</f>
        <v>Weak/no lens</v>
      </c>
      <c r="V130" s="25" t="str">
        <f t="shared" ref="V130:V193" si="23">IF(R130&gt;=W130,"Likely visible","Weak")</f>
        <v>Likely visible</v>
      </c>
      <c r="W130" s="24">
        <f>Subsurface_Inputs!$C$43</f>
        <v>-45</v>
      </c>
      <c r="X130" s="24">
        <f t="shared" ref="X130:X193" si="24">Q130-W130</f>
        <v>12.174244138867159</v>
      </c>
      <c r="Y130" s="24">
        <f t="shared" ref="Y130:Y193" si="25">R130-W130</f>
        <v>7.3945408374868435</v>
      </c>
      <c r="Z130" s="24">
        <f t="shared" ref="Z130:Z193" si="26">MAX(Q130,R130)-W130</f>
        <v>12.174244138867159</v>
      </c>
      <c r="AA130" s="24">
        <v>0</v>
      </c>
    </row>
    <row r="131" spans="1:27">
      <c r="A131" s="24">
        <f>Model_Data!A131</f>
        <v>4.5</v>
      </c>
      <c r="B131" s="24">
        <f>Model_Data!Y131</f>
        <v>568.64363822483097</v>
      </c>
      <c r="C131" s="24">
        <f>Model_Data!X131</f>
        <v>82.519985907488817</v>
      </c>
      <c r="D131" s="24">
        <f>Model_Data!B131</f>
        <v>400.02249999999998</v>
      </c>
      <c r="E131" s="24">
        <f>Inputs!$C$6</f>
        <v>25</v>
      </c>
      <c r="F131" s="24">
        <f>Subsurface_Inputs!$C$5+Subsurface_Inputs!$C$6*SIN(2*PI()*(A131+Subsurface_Inputs!$C$7)/Subsurface_Inputs!$C$8)+Subsurface_Inputs!$C$9*COS(2*PI()*A131/Subsurface_Inputs!$C$10)+Subsurface_Inputs!$C$11*(B131-AVERAGE($B$2:$B$242))</f>
        <v>1312.4196434665605</v>
      </c>
      <c r="G131" s="24">
        <f t="shared" si="18"/>
        <v>-743.77600524172954</v>
      </c>
      <c r="H131" s="24">
        <f>MIN(1,MAX(0,Subsurface_Inputs!$C$13*EXP(-0.5*((A131-Subsurface_Inputs!$C$14)/Subsurface_Inputs!$C$15)^2)+Subsurface_Inputs!$C$16*EXP(-0.5*((A131-Subsurface_Inputs!$C$17)/Subsurface_Inputs!$C$18)^2)))</f>
        <v>2.0719693919225655E-2</v>
      </c>
      <c r="I131" s="24">
        <f>Subsurface_Inputs!$C$19+Subsurface_Inputs!$C$20*SIN(2*PI()*(A131-Subsurface_Inputs!$C$21)/Subsurface_Inputs!$C$22)-Subsurface_Inputs!$C$23*H131</f>
        <v>5035.3918922522171</v>
      </c>
      <c r="J131" s="24">
        <f t="shared" si="19"/>
        <v>-4466.7482540273859</v>
      </c>
      <c r="K131" s="24">
        <f>Subsurface_Inputs!$C$25+Subsurface_Inputs!$C$26*SIN(2*PI()*(A131+Subsurface_Inputs!$C$27)/Subsurface_Inputs!$C$28)+Subsurface_Inputs!$C$29*COS(2*PI()*(A131-Subsurface_Inputs!$C$30)/Subsurface_Inputs!$C$31)-Subsurface_Inputs!$C$32*(B131-AVERAGE($B$2:$B$242))</f>
        <v>16025.329990466244</v>
      </c>
      <c r="L131" s="24">
        <f t="shared" si="20"/>
        <v>-15456.686352241413</v>
      </c>
      <c r="M131" s="24">
        <f>2*Subsurface_Inputs!$C$34*F131/Subsurface_Inputs!$C$35*1000000</f>
        <v>15.584828123798081</v>
      </c>
      <c r="N131" s="24">
        <f>2*Subsurface_Inputs!$C$34*I131/Subsurface_Inputs!$C$35*1000000</f>
        <v>59.794683482057088</v>
      </c>
      <c r="O131" s="24">
        <f>2*Subsurface_Inputs!$C$34*K131/Subsurface_Inputs!$C$35*1000000</f>
        <v>190.29889926737192</v>
      </c>
      <c r="P131" s="24">
        <f>Subsurface_Inputs!$C$37-2*Subsurface_Inputs!$C$36*(F131/1000)</f>
        <v>-12.362355358239808</v>
      </c>
      <c r="Q131" s="24">
        <f>Subsurface_Inputs!$C$38+Subsurface_Inputs!$C$39*H131-2*Subsurface_Inputs!$C$36*(I131/1000)</f>
        <v>-32.877228160780959</v>
      </c>
      <c r="R131" s="24">
        <f>Subsurface_Inputs!$C$40-2*Subsurface_Inputs!$C$36*(K131/1000)-Subsurface_Inputs!$C$41*ABS(L131-AVERAGE($L$2:$L$242))</f>
        <v>-37.624508877833563</v>
      </c>
      <c r="S131" s="24">
        <f t="shared" si="21"/>
        <v>947.94529489212982</v>
      </c>
      <c r="T131" s="24">
        <f t="shared" si="22"/>
        <v>12.210522808190929</v>
      </c>
      <c r="U131" s="25" t="str">
        <f>IF(H131&gt;=Subsurface_Inputs!$C$42,"Lens visible","Weak/no lens")</f>
        <v>Weak/no lens</v>
      </c>
      <c r="V131" s="25" t="str">
        <f t="shared" si="23"/>
        <v>Likely visible</v>
      </c>
      <c r="W131" s="24">
        <f>Subsurface_Inputs!$C$43</f>
        <v>-45</v>
      </c>
      <c r="X131" s="24">
        <f t="shared" si="24"/>
        <v>12.122771839219041</v>
      </c>
      <c r="Y131" s="24">
        <f t="shared" si="25"/>
        <v>7.3754911221664372</v>
      </c>
      <c r="Z131" s="24">
        <f t="shared" si="26"/>
        <v>12.122771839219041</v>
      </c>
      <c r="AA131" s="24">
        <v>0</v>
      </c>
    </row>
    <row r="132" spans="1:27">
      <c r="A132" s="24">
        <f>Model_Data!A132</f>
        <v>5</v>
      </c>
      <c r="B132" s="24">
        <f>Model_Data!Y132</f>
        <v>548.81469209034094</v>
      </c>
      <c r="C132" s="24">
        <f>Model_Data!X132</f>
        <v>98.949763506231449</v>
      </c>
      <c r="D132" s="24">
        <f>Model_Data!B132</f>
        <v>400.02777777777777</v>
      </c>
      <c r="E132" s="24">
        <f>Inputs!$C$6</f>
        <v>25</v>
      </c>
      <c r="F132" s="24">
        <f>Subsurface_Inputs!$C$5+Subsurface_Inputs!$C$6*SIN(2*PI()*(A132+Subsurface_Inputs!$C$7)/Subsurface_Inputs!$C$8)+Subsurface_Inputs!$C$9*COS(2*PI()*A132/Subsurface_Inputs!$C$10)+Subsurface_Inputs!$C$11*(B132-AVERAGE($B$2:$B$242))</f>
        <v>1296.6359029784055</v>
      </c>
      <c r="G132" s="24">
        <f t="shared" si="18"/>
        <v>-747.82121088806457</v>
      </c>
      <c r="H132" s="24">
        <f>MIN(1,MAX(0,Subsurface_Inputs!$C$13*EXP(-0.5*((A132-Subsurface_Inputs!$C$14)/Subsurface_Inputs!$C$15)^2)+Subsurface_Inputs!$C$16*EXP(-0.5*((A132-Subsurface_Inputs!$C$17)/Subsurface_Inputs!$C$18)^2)))</f>
        <v>1.9477720976596405E-2</v>
      </c>
      <c r="I132" s="24">
        <f>Subsurface_Inputs!$C$19+Subsurface_Inputs!$C$20*SIN(2*PI()*(A132-Subsurface_Inputs!$C$21)/Subsurface_Inputs!$C$22)-Subsurface_Inputs!$C$23*H132</f>
        <v>5055.5197354906386</v>
      </c>
      <c r="J132" s="24">
        <f t="shared" si="19"/>
        <v>-4506.7050434002977</v>
      </c>
      <c r="K132" s="24">
        <f>Subsurface_Inputs!$C$25+Subsurface_Inputs!$C$26*SIN(2*PI()*(A132+Subsurface_Inputs!$C$27)/Subsurface_Inputs!$C$28)+Subsurface_Inputs!$C$29*COS(2*PI()*(A132-Subsurface_Inputs!$C$30)/Subsurface_Inputs!$C$31)-Subsurface_Inputs!$C$32*(B132-AVERAGE($B$2:$B$242))</f>
        <v>16035.975154282107</v>
      </c>
      <c r="L132" s="24">
        <f t="shared" si="20"/>
        <v>-15487.160462191765</v>
      </c>
      <c r="M132" s="24">
        <f>2*Subsurface_Inputs!$C$34*F132/Subsurface_Inputs!$C$35*1000000</f>
        <v>15.397398071312132</v>
      </c>
      <c r="N132" s="24">
        <f>2*Subsurface_Inputs!$C$34*I132/Subsurface_Inputs!$C$35*1000000</f>
        <v>60.033699241181964</v>
      </c>
      <c r="O132" s="24">
        <f>2*Subsurface_Inputs!$C$34*K132/Subsurface_Inputs!$C$35*1000000</f>
        <v>190.42530932931041</v>
      </c>
      <c r="P132" s="24">
        <f>Subsurface_Inputs!$C$37-2*Subsurface_Inputs!$C$36*(F132/1000)</f>
        <v>-12.333944625361131</v>
      </c>
      <c r="Q132" s="24">
        <f>Subsurface_Inputs!$C$38+Subsurface_Inputs!$C$39*H132-2*Subsurface_Inputs!$C$36*(I132/1000)</f>
        <v>-32.924636035093783</v>
      </c>
      <c r="R132" s="24">
        <f>Subsurface_Inputs!$C$40-2*Subsurface_Inputs!$C$36*(K132/1000)-Subsurface_Inputs!$C$41*ABS(L132-AVERAGE($L$2:$L$242))</f>
        <v>-37.765566612503513</v>
      </c>
      <c r="S132" s="24">
        <f t="shared" si="21"/>
        <v>958.59045870799309</v>
      </c>
      <c r="T132" s="24">
        <f t="shared" si="22"/>
        <v>12.367369372887998</v>
      </c>
      <c r="U132" s="25" t="str">
        <f>IF(H132&gt;=Subsurface_Inputs!$C$42,"Lens visible","Weak/no lens")</f>
        <v>Weak/no lens</v>
      </c>
      <c r="V132" s="25" t="str">
        <f t="shared" si="23"/>
        <v>Likely visible</v>
      </c>
      <c r="W132" s="24">
        <f>Subsurface_Inputs!$C$43</f>
        <v>-45</v>
      </c>
      <c r="X132" s="24">
        <f t="shared" si="24"/>
        <v>12.075363964906217</v>
      </c>
      <c r="Y132" s="24">
        <f t="shared" si="25"/>
        <v>7.2344333874964875</v>
      </c>
      <c r="Z132" s="24">
        <f t="shared" si="26"/>
        <v>12.075363964906217</v>
      </c>
      <c r="AA132" s="24">
        <v>0</v>
      </c>
    </row>
    <row r="133" spans="1:27">
      <c r="A133" s="24">
        <f>Model_Data!A133</f>
        <v>5.5</v>
      </c>
      <c r="B133" s="24">
        <f>Model_Data!Y133</f>
        <v>539.52128531641313</v>
      </c>
      <c r="C133" s="24">
        <f>Model_Data!X133</f>
        <v>97.114417477688932</v>
      </c>
      <c r="D133" s="24">
        <f>Model_Data!B133</f>
        <v>400.0336111111111</v>
      </c>
      <c r="E133" s="24">
        <f>Inputs!$C$6</f>
        <v>25</v>
      </c>
      <c r="F133" s="24">
        <f>Subsurface_Inputs!$C$5+Subsurface_Inputs!$C$6*SIN(2*PI()*(A133+Subsurface_Inputs!$C$7)/Subsurface_Inputs!$C$8)+Subsurface_Inputs!$C$9*COS(2*PI()*A133/Subsurface_Inputs!$C$10)+Subsurface_Inputs!$C$11*(B133-AVERAGE($B$2:$B$242))</f>
        <v>1280.3466130240581</v>
      </c>
      <c r="G133" s="24">
        <f t="shared" si="18"/>
        <v>-740.82532770764499</v>
      </c>
      <c r="H133" s="24">
        <f>MIN(1,MAX(0,Subsurface_Inputs!$C$13*EXP(-0.5*((A133-Subsurface_Inputs!$C$14)/Subsurface_Inputs!$C$15)^2)+Subsurface_Inputs!$C$16*EXP(-0.5*((A133-Subsurface_Inputs!$C$17)/Subsurface_Inputs!$C$18)^2)))</f>
        <v>1.8680352736261237E-2</v>
      </c>
      <c r="I133" s="24">
        <f>Subsurface_Inputs!$C$19+Subsurface_Inputs!$C$20*SIN(2*PI()*(A133-Subsurface_Inputs!$C$21)/Subsurface_Inputs!$C$22)-Subsurface_Inputs!$C$23*H133</f>
        <v>5075.599293824479</v>
      </c>
      <c r="J133" s="24">
        <f t="shared" si="19"/>
        <v>-4536.078008508066</v>
      </c>
      <c r="K133" s="24">
        <f>Subsurface_Inputs!$C$25+Subsurface_Inputs!$C$26*SIN(2*PI()*(A133+Subsurface_Inputs!$C$27)/Subsurface_Inputs!$C$28)+Subsurface_Inputs!$C$29*COS(2*PI()*(A133-Subsurface_Inputs!$C$30)/Subsurface_Inputs!$C$31)-Subsurface_Inputs!$C$32*(B133-AVERAGE($B$2:$B$242))</f>
        <v>16043.928899152816</v>
      </c>
      <c r="L133" s="24">
        <f t="shared" si="20"/>
        <v>-15504.407613836402</v>
      </c>
      <c r="M133" s="24">
        <f>2*Subsurface_Inputs!$C$34*F133/Subsurface_Inputs!$C$35*1000000</f>
        <v>15.20396467867663</v>
      </c>
      <c r="N133" s="24">
        <f>2*Subsurface_Inputs!$C$34*I133/Subsurface_Inputs!$C$35*1000000</f>
        <v>60.272141622772722</v>
      </c>
      <c r="O133" s="24">
        <f>2*Subsurface_Inputs!$C$34*K133/Subsurface_Inputs!$C$35*1000000</f>
        <v>190.5197591094304</v>
      </c>
      <c r="P133" s="24">
        <f>Subsurface_Inputs!$C$37-2*Subsurface_Inputs!$C$36*(F133/1000)</f>
        <v>-12.304623903443305</v>
      </c>
      <c r="Q133" s="24">
        <f>Subsurface_Inputs!$C$38+Subsurface_Inputs!$C$39*H133-2*Subsurface_Inputs!$C$36*(I133/1000)</f>
        <v>-32.967955554257713</v>
      </c>
      <c r="R133" s="24">
        <f>Subsurface_Inputs!$C$40-2*Subsurface_Inputs!$C$36*(K133/1000)-Subsurface_Inputs!$C$41*ABS(L133-AVERAGE($L$2:$L$242))</f>
        <v>-37.848871959849347</v>
      </c>
      <c r="S133" s="24">
        <f t="shared" si="21"/>
        <v>966.54420357870185</v>
      </c>
      <c r="T133" s="24">
        <f t="shared" si="22"/>
        <v>12.530926185104335</v>
      </c>
      <c r="U133" s="25" t="str">
        <f>IF(H133&gt;=Subsurface_Inputs!$C$42,"Lens visible","Weak/no lens")</f>
        <v>Weak/no lens</v>
      </c>
      <c r="V133" s="25" t="str">
        <f t="shared" si="23"/>
        <v>Likely visible</v>
      </c>
      <c r="W133" s="24">
        <f>Subsurface_Inputs!$C$43</f>
        <v>-45</v>
      </c>
      <c r="X133" s="24">
        <f t="shared" si="24"/>
        <v>12.032044445742287</v>
      </c>
      <c r="Y133" s="24">
        <f t="shared" si="25"/>
        <v>7.1511280401506525</v>
      </c>
      <c r="Z133" s="24">
        <f t="shared" si="26"/>
        <v>12.032044445742287</v>
      </c>
      <c r="AA133" s="24">
        <v>0</v>
      </c>
    </row>
    <row r="134" spans="1:27">
      <c r="A134" s="24">
        <f>Model_Data!A134</f>
        <v>6</v>
      </c>
      <c r="B134" s="24">
        <f>Model_Data!Y134</f>
        <v>533.69206209739866</v>
      </c>
      <c r="C134" s="24">
        <f>Model_Data!X134</f>
        <v>70.342553479412842</v>
      </c>
      <c r="D134" s="24">
        <f>Model_Data!B134</f>
        <v>400.04</v>
      </c>
      <c r="E134" s="24">
        <f>Inputs!$C$6</f>
        <v>25</v>
      </c>
      <c r="F134" s="24">
        <f>Subsurface_Inputs!$C$5+Subsurface_Inputs!$C$6*SIN(2*PI()*(A134+Subsurface_Inputs!$C$7)/Subsurface_Inputs!$C$8)+Subsurface_Inputs!$C$9*COS(2*PI()*A134/Subsurface_Inputs!$C$10)+Subsurface_Inputs!$C$11*(B134-AVERAGE($B$2:$B$242))</f>
        <v>1263.4636930421118</v>
      </c>
      <c r="G134" s="24">
        <f t="shared" si="18"/>
        <v>-729.77163094471314</v>
      </c>
      <c r="H134" s="24">
        <f>MIN(1,MAX(0,Subsurface_Inputs!$C$13*EXP(-0.5*((A134-Subsurface_Inputs!$C$14)/Subsurface_Inputs!$C$15)^2)+Subsurface_Inputs!$C$16*EXP(-0.5*((A134-Subsurface_Inputs!$C$17)/Subsurface_Inputs!$C$18)^2)))</f>
        <v>1.8329844288099802E-2</v>
      </c>
      <c r="I134" s="24">
        <f>Subsurface_Inputs!$C$19+Subsurface_Inputs!$C$20*SIN(2*PI()*(A134-Subsurface_Inputs!$C$21)/Subsurface_Inputs!$C$22)-Subsurface_Inputs!$C$23*H134</f>
        <v>5095.6008373708564</v>
      </c>
      <c r="J134" s="24">
        <f t="shared" si="19"/>
        <v>-4561.9087752734576</v>
      </c>
      <c r="K134" s="24">
        <f>Subsurface_Inputs!$C$25+Subsurface_Inputs!$C$26*SIN(2*PI()*(A134+Subsurface_Inputs!$C$27)/Subsurface_Inputs!$C$28)+Subsurface_Inputs!$C$29*COS(2*PI()*(A134-Subsurface_Inputs!$C$30)/Subsurface_Inputs!$C$31)-Subsurface_Inputs!$C$32*(B134-AVERAGE($B$2:$B$242))</f>
        <v>16050.168296224891</v>
      </c>
      <c r="L134" s="24">
        <f t="shared" si="20"/>
        <v>-15516.476234127493</v>
      </c>
      <c r="M134" s="24">
        <f>2*Subsurface_Inputs!$C$34*F134/Subsurface_Inputs!$C$35*1000000</f>
        <v>15.003481999636955</v>
      </c>
      <c r="N134" s="24">
        <f>2*Subsurface_Inputs!$C$34*I134/Subsurface_Inputs!$C$35*1000000</f>
        <v>60.509657587984577</v>
      </c>
      <c r="O134" s="24">
        <f>2*Subsurface_Inputs!$C$34*K134/Subsurface_Inputs!$C$35*1000000</f>
        <v>190.59385121209621</v>
      </c>
      <c r="P134" s="24">
        <f>Subsurface_Inputs!$C$37-2*Subsurface_Inputs!$C$36*(F134/1000)</f>
        <v>-12.274234647475801</v>
      </c>
      <c r="Q134" s="24">
        <f>Subsurface_Inputs!$C$38+Subsurface_Inputs!$C$39*H134-2*Subsurface_Inputs!$C$36*(I134/1000)</f>
        <v>-33.007112908674642</v>
      </c>
      <c r="R134" s="24">
        <f>Subsurface_Inputs!$C$40-2*Subsurface_Inputs!$C$36*(K134/1000)-Subsurface_Inputs!$C$41*ABS(L134-AVERAGE($L$2:$L$242))</f>
        <v>-37.90837735574344</v>
      </c>
      <c r="S134" s="24">
        <f t="shared" si="21"/>
        <v>972.78360065077686</v>
      </c>
      <c r="T134" s="24">
        <f t="shared" si="22"/>
        <v>12.70330788657647</v>
      </c>
      <c r="U134" s="25" t="str">
        <f>IF(H134&gt;=Subsurface_Inputs!$C$42,"Lens visible","Weak/no lens")</f>
        <v>Weak/no lens</v>
      </c>
      <c r="V134" s="25" t="str">
        <f t="shared" si="23"/>
        <v>Likely visible</v>
      </c>
      <c r="W134" s="24">
        <f>Subsurface_Inputs!$C$43</f>
        <v>-45</v>
      </c>
      <c r="X134" s="24">
        <f t="shared" si="24"/>
        <v>11.992887091325358</v>
      </c>
      <c r="Y134" s="24">
        <f t="shared" si="25"/>
        <v>7.0916226442565602</v>
      </c>
      <c r="Z134" s="24">
        <f t="shared" si="26"/>
        <v>11.992887091325358</v>
      </c>
      <c r="AA134" s="24">
        <v>0</v>
      </c>
    </row>
    <row r="135" spans="1:27">
      <c r="A135" s="24">
        <f>Model_Data!A135</f>
        <v>6.5</v>
      </c>
      <c r="B135" s="24">
        <f>Model_Data!Y135</f>
        <v>524.4263848132822</v>
      </c>
      <c r="C135" s="24">
        <f>Model_Data!X135</f>
        <v>77.64795080795966</v>
      </c>
      <c r="D135" s="24">
        <f>Model_Data!B135</f>
        <v>400.04694444444442</v>
      </c>
      <c r="E135" s="24">
        <f>Inputs!$C$6</f>
        <v>25</v>
      </c>
      <c r="F135" s="24">
        <f>Subsurface_Inputs!$C$5+Subsurface_Inputs!$C$6*SIN(2*PI()*(A135+Subsurface_Inputs!$C$7)/Subsurface_Inputs!$C$8)+Subsurface_Inputs!$C$9*COS(2*PI()*A135/Subsurface_Inputs!$C$10)+Subsurface_Inputs!$C$11*(B135-AVERAGE($B$2:$B$242))</f>
        <v>1245.9109802235196</v>
      </c>
      <c r="G135" s="24">
        <f t="shared" si="18"/>
        <v>-721.48459541023738</v>
      </c>
      <c r="H135" s="24">
        <f>MIN(1,MAX(0,Subsurface_Inputs!$C$13*EXP(-0.5*((A135-Subsurface_Inputs!$C$14)/Subsurface_Inputs!$C$15)^2)+Subsurface_Inputs!$C$16*EXP(-0.5*((A135-Subsurface_Inputs!$C$17)/Subsurface_Inputs!$C$18)^2)))</f>
        <v>1.8433877447186543E-2</v>
      </c>
      <c r="I135" s="24">
        <f>Subsurface_Inputs!$C$19+Subsurface_Inputs!$C$20*SIN(2*PI()*(A135-Subsurface_Inputs!$C$21)/Subsurface_Inputs!$C$22)-Subsurface_Inputs!$C$23*H135</f>
        <v>5115.4932909314939</v>
      </c>
      <c r="J135" s="24">
        <f t="shared" si="19"/>
        <v>-4591.0669061182116</v>
      </c>
      <c r="K135" s="24">
        <f>Subsurface_Inputs!$C$25+Subsurface_Inputs!$C$26*SIN(2*PI()*(A135+Subsurface_Inputs!$C$27)/Subsurface_Inputs!$C$28)+Subsurface_Inputs!$C$29*COS(2*PI()*(A135-Subsurface_Inputs!$C$30)/Subsurface_Inputs!$C$31)-Subsurface_Inputs!$C$32*(B135-AVERAGE($B$2:$B$242))</f>
        <v>16055.648842831961</v>
      </c>
      <c r="L135" s="24">
        <f t="shared" si="20"/>
        <v>-15531.222458018679</v>
      </c>
      <c r="M135" s="24">
        <f>2*Subsurface_Inputs!$C$34*F135/Subsurface_Inputs!$C$35*1000000</f>
        <v>14.795045609838956</v>
      </c>
      <c r="N135" s="24">
        <f>2*Subsurface_Inputs!$C$34*I135/Subsurface_Inputs!$C$35*1000000</f>
        <v>60.745878122511407</v>
      </c>
      <c r="O135" s="24">
        <f>2*Subsurface_Inputs!$C$34*K135/Subsurface_Inputs!$C$35*1000000</f>
        <v>190.65893205519458</v>
      </c>
      <c r="P135" s="24">
        <f>Subsurface_Inputs!$C$37-2*Subsurface_Inputs!$C$36*(F135/1000)</f>
        <v>-12.242639764402336</v>
      </c>
      <c r="Q135" s="24">
        <f>Subsurface_Inputs!$C$38+Subsurface_Inputs!$C$39*H135-2*Subsurface_Inputs!$C$36*(I135/1000)</f>
        <v>-33.041983026652012</v>
      </c>
      <c r="R135" s="24">
        <f>Subsurface_Inputs!$C$40-2*Subsurface_Inputs!$C$36*(K135/1000)-Subsurface_Inputs!$C$41*ABS(L135-AVERAGE($L$2:$L$242))</f>
        <v>-37.977227235200914</v>
      </c>
      <c r="S135" s="24">
        <f t="shared" si="21"/>
        <v>978.26414725784707</v>
      </c>
      <c r="T135" s="24">
        <f t="shared" si="22"/>
        <v>12.886674166682067</v>
      </c>
      <c r="U135" s="25" t="str">
        <f>IF(H135&gt;=Subsurface_Inputs!$C$42,"Lens visible","Weak/no lens")</f>
        <v>Weak/no lens</v>
      </c>
      <c r="V135" s="25" t="str">
        <f t="shared" si="23"/>
        <v>Likely visible</v>
      </c>
      <c r="W135" s="24">
        <f>Subsurface_Inputs!$C$43</f>
        <v>-45</v>
      </c>
      <c r="X135" s="24">
        <f t="shared" si="24"/>
        <v>11.958016973347988</v>
      </c>
      <c r="Y135" s="24">
        <f t="shared" si="25"/>
        <v>7.0227727647990861</v>
      </c>
      <c r="Z135" s="24">
        <f t="shared" si="26"/>
        <v>11.958016973347988</v>
      </c>
      <c r="AA135" s="24">
        <v>0</v>
      </c>
    </row>
    <row r="136" spans="1:27">
      <c r="A136" s="24">
        <f>Model_Data!A136</f>
        <v>7</v>
      </c>
      <c r="B136" s="24">
        <f>Model_Data!Y136</f>
        <v>534.40783187914269</v>
      </c>
      <c r="C136" s="24">
        <f>Model_Data!X136</f>
        <v>66.915509899073115</v>
      </c>
      <c r="D136" s="24">
        <f>Model_Data!B136</f>
        <v>400.05444444444447</v>
      </c>
      <c r="E136" s="24">
        <f>Inputs!$C$6</f>
        <v>25</v>
      </c>
      <c r="F136" s="24">
        <f>Subsurface_Inputs!$C$5+Subsurface_Inputs!$C$6*SIN(2*PI()*(A136+Subsurface_Inputs!$C$7)/Subsurface_Inputs!$C$8)+Subsurface_Inputs!$C$9*COS(2*PI()*A136/Subsurface_Inputs!$C$10)+Subsurface_Inputs!$C$11*(B136-AVERAGE($B$2:$B$242))</f>
        <v>1228.797663151835</v>
      </c>
      <c r="G136" s="24">
        <f t="shared" si="18"/>
        <v>-694.38983127269228</v>
      </c>
      <c r="H136" s="24">
        <f>MIN(1,MAX(0,Subsurface_Inputs!$C$13*EXP(-0.5*((A136-Subsurface_Inputs!$C$14)/Subsurface_Inputs!$C$15)^2)+Subsurface_Inputs!$C$16*EXP(-0.5*((A136-Subsurface_Inputs!$C$17)/Subsurface_Inputs!$C$18)^2)))</f>
        <v>1.9005662456400754E-2</v>
      </c>
      <c r="I136" s="24">
        <f>Subsurface_Inputs!$C$19+Subsurface_Inputs!$C$20*SIN(2*PI()*(A136-Subsurface_Inputs!$C$21)/Subsurface_Inputs!$C$22)-Subsurface_Inputs!$C$23*H136</f>
        <v>5135.2442524854414</v>
      </c>
      <c r="J136" s="24">
        <f t="shared" si="19"/>
        <v>-4600.8364206062988</v>
      </c>
      <c r="K136" s="24">
        <f>Subsurface_Inputs!$C$25+Subsurface_Inputs!$C$26*SIN(2*PI()*(A136+Subsurface_Inputs!$C$27)/Subsurface_Inputs!$C$28)+Subsurface_Inputs!$C$29*COS(2*PI()*(A136-Subsurface_Inputs!$C$30)/Subsurface_Inputs!$C$31)-Subsurface_Inputs!$C$32*(B136-AVERAGE($B$2:$B$242))</f>
        <v>16057.186598182137</v>
      </c>
      <c r="L136" s="24">
        <f t="shared" si="20"/>
        <v>-15522.778766302994</v>
      </c>
      <c r="M136" s="24">
        <f>2*Subsurface_Inputs!$C$34*F136/Subsurface_Inputs!$C$35*1000000</f>
        <v>14.5918269925941</v>
      </c>
      <c r="N136" s="24">
        <f>2*Subsurface_Inputs!$C$34*I136/Subsurface_Inputs!$C$35*1000000</f>
        <v>60.98041845618468</v>
      </c>
      <c r="O136" s="24">
        <f>2*Subsurface_Inputs!$C$34*K136/Subsurface_Inputs!$C$35*1000000</f>
        <v>190.67719271819843</v>
      </c>
      <c r="P136" s="24">
        <f>Subsurface_Inputs!$C$37-2*Subsurface_Inputs!$C$36*(F136/1000)</f>
        <v>-12.211835793673302</v>
      </c>
      <c r="Q136" s="24">
        <f>Subsurface_Inputs!$C$38+Subsurface_Inputs!$C$39*H136-2*Subsurface_Inputs!$C$36*(I136/1000)</f>
        <v>-33.072388692366189</v>
      </c>
      <c r="R136" s="24">
        <f>Subsurface_Inputs!$C$40-2*Subsurface_Inputs!$C$36*(K136/1000)-Subsurface_Inputs!$C$41*ABS(L136-AVERAGE($L$2:$L$242))</f>
        <v>-37.946220427968491</v>
      </c>
      <c r="S136" s="24">
        <f t="shared" si="21"/>
        <v>979.80190260802374</v>
      </c>
      <c r="T136" s="24">
        <f t="shared" si="22"/>
        <v>13.067396756758033</v>
      </c>
      <c r="U136" s="25" t="str">
        <f>IF(H136&gt;=Subsurface_Inputs!$C$42,"Lens visible","Weak/no lens")</f>
        <v>Weak/no lens</v>
      </c>
      <c r="V136" s="25" t="str">
        <f t="shared" si="23"/>
        <v>Likely visible</v>
      </c>
      <c r="W136" s="24">
        <f>Subsurface_Inputs!$C$43</f>
        <v>-45</v>
      </c>
      <c r="X136" s="24">
        <f t="shared" si="24"/>
        <v>11.927611307633811</v>
      </c>
      <c r="Y136" s="24">
        <f t="shared" si="25"/>
        <v>7.0537795720315088</v>
      </c>
      <c r="Z136" s="24">
        <f t="shared" si="26"/>
        <v>11.927611307633811</v>
      </c>
      <c r="AA136" s="24">
        <v>0</v>
      </c>
    </row>
    <row r="137" spans="1:27">
      <c r="A137" s="24">
        <f>Model_Data!A137</f>
        <v>7.5</v>
      </c>
      <c r="B137" s="24">
        <f>Model_Data!Y137</f>
        <v>503.48380224840304</v>
      </c>
      <c r="C137" s="24">
        <f>Model_Data!X137</f>
        <v>56.202037436945574</v>
      </c>
      <c r="D137" s="24">
        <f>Model_Data!B137</f>
        <v>400.0625</v>
      </c>
      <c r="E137" s="24">
        <f>Inputs!$C$6</f>
        <v>25</v>
      </c>
      <c r="F137" s="24">
        <f>Subsurface_Inputs!$C$5+Subsurface_Inputs!$C$6*SIN(2*PI()*(A137+Subsurface_Inputs!$C$7)/Subsurface_Inputs!$C$8)+Subsurface_Inputs!$C$9*COS(2*PI()*A137/Subsurface_Inputs!$C$10)+Subsurface_Inputs!$C$11*(B137-AVERAGE($B$2:$B$242))</f>
        <v>1209.9183671428161</v>
      </c>
      <c r="G137" s="24">
        <f t="shared" si="18"/>
        <v>-706.43456489441314</v>
      </c>
      <c r="H137" s="24">
        <f>MIN(1,MAX(0,Subsurface_Inputs!$C$13*EXP(-0.5*((A137-Subsurface_Inputs!$C$14)/Subsurface_Inputs!$C$15)^2)+Subsurface_Inputs!$C$16*EXP(-0.5*((A137-Subsurface_Inputs!$C$17)/Subsurface_Inputs!$C$18)^2)))</f>
        <v>2.0063979077884698E-2</v>
      </c>
      <c r="I137" s="24">
        <f>Subsurface_Inputs!$C$19+Subsurface_Inputs!$C$20*SIN(2*PI()*(A137-Subsurface_Inputs!$C$21)/Subsurface_Inputs!$C$22)-Subsurface_Inputs!$C$23*H137</f>
        <v>5154.8200262284763</v>
      </c>
      <c r="J137" s="24">
        <f t="shared" si="19"/>
        <v>-4651.3362239800736</v>
      </c>
      <c r="K137" s="24">
        <f>Subsurface_Inputs!$C$25+Subsurface_Inputs!$C$26*SIN(2*PI()*(A137+Subsurface_Inputs!$C$27)/Subsurface_Inputs!$C$28)+Subsurface_Inputs!$C$29*COS(2*PI()*(A137-Subsurface_Inputs!$C$30)/Subsurface_Inputs!$C$31)-Subsurface_Inputs!$C$32*(B137-AVERAGE($B$2:$B$242))</f>
        <v>16063.19705852591</v>
      </c>
      <c r="L137" s="24">
        <f t="shared" si="20"/>
        <v>-15559.713256277506</v>
      </c>
      <c r="M137" s="24">
        <f>2*Subsurface_Inputs!$C$34*F137/Subsurface_Inputs!$C$35*1000000</f>
        <v>14.367637584226438</v>
      </c>
      <c r="N137" s="24">
        <f>2*Subsurface_Inputs!$C$34*I137/Subsurface_Inputs!$C$35*1000000</f>
        <v>61.212878455312506</v>
      </c>
      <c r="O137" s="24">
        <f>2*Subsurface_Inputs!$C$34*K137/Subsurface_Inputs!$C$35*1000000</f>
        <v>190.74856622427853</v>
      </c>
      <c r="P137" s="24">
        <f>Subsurface_Inputs!$C$37-2*Subsurface_Inputs!$C$36*(F137/1000)</f>
        <v>-12.177853060857069</v>
      </c>
      <c r="Q137" s="24">
        <f>Subsurface_Inputs!$C$38+Subsurface_Inputs!$C$39*H137-2*Subsurface_Inputs!$C$36*(I137/1000)</f>
        <v>-33.098100235510294</v>
      </c>
      <c r="R137" s="24">
        <f>Subsurface_Inputs!$C$40-2*Subsurface_Inputs!$C$36*(K137/1000)-Subsurface_Inputs!$C$41*ABS(L137-AVERAGE($L$2:$L$242))</f>
        <v>-38.104777216485324</v>
      </c>
      <c r="S137" s="24">
        <f t="shared" si="21"/>
        <v>985.81236295179588</v>
      </c>
      <c r="T137" s="24">
        <f t="shared" si="22"/>
        <v>13.276265155358077</v>
      </c>
      <c r="U137" s="25" t="str">
        <f>IF(H137&gt;=Subsurface_Inputs!$C$42,"Lens visible","Weak/no lens")</f>
        <v>Weak/no lens</v>
      </c>
      <c r="V137" s="25" t="str">
        <f t="shared" si="23"/>
        <v>Likely visible</v>
      </c>
      <c r="W137" s="24">
        <f>Subsurface_Inputs!$C$43</f>
        <v>-45</v>
      </c>
      <c r="X137" s="24">
        <f t="shared" si="24"/>
        <v>11.901899764489706</v>
      </c>
      <c r="Y137" s="24">
        <f t="shared" si="25"/>
        <v>6.8952227835146758</v>
      </c>
      <c r="Z137" s="24">
        <f t="shared" si="26"/>
        <v>11.901899764489706</v>
      </c>
      <c r="AA137" s="24">
        <v>0</v>
      </c>
    </row>
    <row r="138" spans="1:27">
      <c r="A138" s="24">
        <f>Model_Data!A138</f>
        <v>8</v>
      </c>
      <c r="B138" s="24">
        <f>Model_Data!Y138</f>
        <v>497.22645344932982</v>
      </c>
      <c r="C138" s="24">
        <f>Model_Data!X138</f>
        <v>45.993205062010666</v>
      </c>
      <c r="D138" s="24">
        <f>Model_Data!B138</f>
        <v>400.07111111111112</v>
      </c>
      <c r="E138" s="24">
        <f>Inputs!$C$6</f>
        <v>25</v>
      </c>
      <c r="F138" s="24">
        <f>Subsurface_Inputs!$C$5+Subsurface_Inputs!$C$6*SIN(2*PI()*(A138+Subsurface_Inputs!$C$7)/Subsurface_Inputs!$C$8)+Subsurface_Inputs!$C$9*COS(2*PI()*A138/Subsurface_Inputs!$C$10)+Subsurface_Inputs!$C$11*(B138-AVERAGE($B$2:$B$242))</f>
        <v>1192.0925543866397</v>
      </c>
      <c r="G138" s="24">
        <f t="shared" si="18"/>
        <v>-694.86610093730985</v>
      </c>
      <c r="H138" s="24">
        <f>MIN(1,MAX(0,Subsurface_Inputs!$C$13*EXP(-0.5*((A138-Subsurface_Inputs!$C$14)/Subsurface_Inputs!$C$15)^2)+Subsurface_Inputs!$C$16*EXP(-0.5*((A138-Subsurface_Inputs!$C$17)/Subsurface_Inputs!$C$18)^2)))</f>
        <v>2.1633148368784279E-2</v>
      </c>
      <c r="I138" s="24">
        <f>Subsurface_Inputs!$C$19+Subsurface_Inputs!$C$20*SIN(2*PI()*(A138-Subsurface_Inputs!$C$21)/Subsurface_Inputs!$C$22)-Subsurface_Inputs!$C$23*H138</f>
        <v>5174.1856721853064</v>
      </c>
      <c r="J138" s="24">
        <f t="shared" si="19"/>
        <v>-4676.9592187359767</v>
      </c>
      <c r="K138" s="24">
        <f>Subsurface_Inputs!$C$25+Subsurface_Inputs!$C$26*SIN(2*PI()*(A138+Subsurface_Inputs!$C$27)/Subsurface_Inputs!$C$28)+Subsurface_Inputs!$C$29*COS(2*PI()*(A138-Subsurface_Inputs!$C$30)/Subsurface_Inputs!$C$31)-Subsurface_Inputs!$C$32*(B138-AVERAGE($B$2:$B$242))</f>
        <v>16064.496639991332</v>
      </c>
      <c r="L138" s="24">
        <f t="shared" si="20"/>
        <v>-15567.270186542002</v>
      </c>
      <c r="M138" s="24">
        <f>2*Subsurface_Inputs!$C$34*F138/Subsurface_Inputs!$C$35*1000000</f>
        <v>14.155958164953026</v>
      </c>
      <c r="N138" s="24">
        <f>2*Subsurface_Inputs!$C$34*I138/Subsurface_Inputs!$C$35*1000000</f>
        <v>61.442843211818534</v>
      </c>
      <c r="O138" s="24">
        <f>2*Subsurface_Inputs!$C$34*K138/Subsurface_Inputs!$C$35*1000000</f>
        <v>190.76399860055568</v>
      </c>
      <c r="P138" s="24">
        <f>Subsurface_Inputs!$C$37-2*Subsurface_Inputs!$C$36*(F138/1000)</f>
        <v>-12.145766597895951</v>
      </c>
      <c r="Q138" s="24">
        <f>Subsurface_Inputs!$C$38+Subsurface_Inputs!$C$39*H138-2*Subsurface_Inputs!$C$36*(I138/1000)</f>
        <v>-33.118835874614497</v>
      </c>
      <c r="R138" s="24">
        <f>Subsurface_Inputs!$C$40-2*Subsurface_Inputs!$C$36*(K138/1000)-Subsurface_Inputs!$C$41*ABS(L138-AVERAGE($L$2:$L$242))</f>
        <v>-38.137344184181075</v>
      </c>
      <c r="S138" s="24">
        <f t="shared" si="21"/>
        <v>987.11194441721818</v>
      </c>
      <c r="T138" s="24">
        <f t="shared" si="22"/>
        <v>13.475880359186458</v>
      </c>
      <c r="U138" s="25" t="str">
        <f>IF(H138&gt;=Subsurface_Inputs!$C$42,"Lens visible","Weak/no lens")</f>
        <v>Weak/no lens</v>
      </c>
      <c r="V138" s="25" t="str">
        <f t="shared" si="23"/>
        <v>Likely visible</v>
      </c>
      <c r="W138" s="24">
        <f>Subsurface_Inputs!$C$43</f>
        <v>-45</v>
      </c>
      <c r="X138" s="24">
        <f t="shared" si="24"/>
        <v>11.881164125385503</v>
      </c>
      <c r="Y138" s="24">
        <f t="shared" si="25"/>
        <v>6.8626558158189255</v>
      </c>
      <c r="Z138" s="24">
        <f t="shared" si="26"/>
        <v>11.881164125385503</v>
      </c>
      <c r="AA138" s="24">
        <v>0</v>
      </c>
    </row>
    <row r="139" spans="1:27">
      <c r="A139" s="24">
        <f>Model_Data!A139</f>
        <v>8.5</v>
      </c>
      <c r="B139" s="24">
        <f>Model_Data!Y139</f>
        <v>479.6019721372586</v>
      </c>
      <c r="C139" s="24">
        <f>Model_Data!X139</f>
        <v>35.421208100654937</v>
      </c>
      <c r="D139" s="24">
        <f>Model_Data!B139</f>
        <v>400.08027777777778</v>
      </c>
      <c r="E139" s="24">
        <f>Inputs!$C$6</f>
        <v>25</v>
      </c>
      <c r="F139" s="24">
        <f>Subsurface_Inputs!$C$5+Subsurface_Inputs!$C$6*SIN(2*PI()*(A139+Subsurface_Inputs!$C$7)/Subsurface_Inputs!$C$8)+Subsurface_Inputs!$C$9*COS(2*PI()*A139/Subsurface_Inputs!$C$10)+Subsurface_Inputs!$C$11*(B139-AVERAGE($B$2:$B$242))</f>
        <v>1174.0683715077432</v>
      </c>
      <c r="G139" s="24">
        <f t="shared" si="18"/>
        <v>-694.46639937048462</v>
      </c>
      <c r="H139" s="24">
        <f>MIN(1,MAX(0,Subsurface_Inputs!$C$13*EXP(-0.5*((A139-Subsurface_Inputs!$C$14)/Subsurface_Inputs!$C$15)^2)+Subsurface_Inputs!$C$16*EXP(-0.5*((A139-Subsurface_Inputs!$C$17)/Subsurface_Inputs!$C$18)^2)))</f>
        <v>2.3742925505647647E-2</v>
      </c>
      <c r="I139" s="24">
        <f>Subsurface_Inputs!$C$19+Subsurface_Inputs!$C$20*SIN(2*PI()*(A139-Subsurface_Inputs!$C$21)/Subsurface_Inputs!$C$22)-Subsurface_Inputs!$C$23*H139</f>
        <v>5193.3050746442723</v>
      </c>
      <c r="J139" s="24">
        <f t="shared" si="19"/>
        <v>-4713.7031025070137</v>
      </c>
      <c r="K139" s="24">
        <f>Subsurface_Inputs!$C$25+Subsurface_Inputs!$C$26*SIN(2*PI()*(A139+Subsurface_Inputs!$C$27)/Subsurface_Inputs!$C$28)+Subsurface_Inputs!$C$29*COS(2*PI()*(A139-Subsurface_Inputs!$C$30)/Subsurface_Inputs!$C$31)-Subsurface_Inputs!$C$32*(B139-AVERAGE($B$2:$B$242))</f>
        <v>16066.128989193123</v>
      </c>
      <c r="L139" s="24">
        <f t="shared" si="20"/>
        <v>-15586.527017055865</v>
      </c>
      <c r="M139" s="24">
        <f>2*Subsurface_Inputs!$C$34*F139/Subsurface_Inputs!$C$35*1000000</f>
        <v>13.941923123921837</v>
      </c>
      <c r="N139" s="24">
        <f>2*Subsurface_Inputs!$C$34*I139/Subsurface_Inputs!$C$35*1000000</f>
        <v>61.669883855896103</v>
      </c>
      <c r="O139" s="24">
        <f>2*Subsurface_Inputs!$C$34*K139/Subsurface_Inputs!$C$35*1000000</f>
        <v>190.7833825543654</v>
      </c>
      <c r="P139" s="24">
        <f>Subsurface_Inputs!$C$37-2*Subsurface_Inputs!$C$36*(F139/1000)</f>
        <v>-12.113323068713937</v>
      </c>
      <c r="Q139" s="24">
        <f>Subsurface_Inputs!$C$38+Subsurface_Inputs!$C$39*H139-2*Subsurface_Inputs!$C$36*(I139/1000)</f>
        <v>-33.134262804808863</v>
      </c>
      <c r="R139" s="24">
        <f>Subsurface_Inputs!$C$40-2*Subsurface_Inputs!$C$36*(K139/1000)-Subsurface_Inputs!$C$41*ABS(L139-AVERAGE($L$2:$L$242))</f>
        <v>-38.217309734799741</v>
      </c>
      <c r="S139" s="24">
        <f t="shared" si="21"/>
        <v>988.74429361900911</v>
      </c>
      <c r="T139" s="24">
        <f t="shared" si="22"/>
        <v>13.684151092973348</v>
      </c>
      <c r="U139" s="25" t="str">
        <f>IF(H139&gt;=Subsurface_Inputs!$C$42,"Lens visible","Weak/no lens")</f>
        <v>Weak/no lens</v>
      </c>
      <c r="V139" s="25" t="str">
        <f t="shared" si="23"/>
        <v>Likely visible</v>
      </c>
      <c r="W139" s="24">
        <f>Subsurface_Inputs!$C$43</f>
        <v>-45</v>
      </c>
      <c r="X139" s="24">
        <f t="shared" si="24"/>
        <v>11.865737195191137</v>
      </c>
      <c r="Y139" s="24">
        <f t="shared" si="25"/>
        <v>6.7826902652002588</v>
      </c>
      <c r="Z139" s="24">
        <f t="shared" si="26"/>
        <v>11.865737195191137</v>
      </c>
      <c r="AA139" s="24">
        <v>0</v>
      </c>
    </row>
    <row r="140" spans="1:27">
      <c r="A140" s="24">
        <f>Model_Data!A140</f>
        <v>9</v>
      </c>
      <c r="B140" s="24">
        <f>Model_Data!Y140</f>
        <v>481.22587957439987</v>
      </c>
      <c r="C140" s="24">
        <f>Model_Data!X140</f>
        <v>29.628149721243545</v>
      </c>
      <c r="D140" s="24">
        <f>Model_Data!B140</f>
        <v>400.09</v>
      </c>
      <c r="E140" s="24">
        <f>Inputs!$C$6</f>
        <v>25</v>
      </c>
      <c r="F140" s="24">
        <f>Subsurface_Inputs!$C$5+Subsurface_Inputs!$C$6*SIN(2*PI()*(A140+Subsurface_Inputs!$C$7)/Subsurface_Inputs!$C$8)+Subsurface_Inputs!$C$9*COS(2*PI()*A140/Subsurface_Inputs!$C$10)+Subsurface_Inputs!$C$11*(B140-AVERAGE($B$2:$B$242))</f>
        <v>1157.2501029632047</v>
      </c>
      <c r="G140" s="24">
        <f t="shared" si="18"/>
        <v>-676.02422338880478</v>
      </c>
      <c r="H140" s="24">
        <f>MIN(1,MAX(0,Subsurface_Inputs!$C$13*EXP(-0.5*((A140-Subsurface_Inputs!$C$14)/Subsurface_Inputs!$C$15)^2)+Subsurface_Inputs!$C$16*EXP(-0.5*((A140-Subsurface_Inputs!$C$17)/Subsurface_Inputs!$C$18)^2)))</f>
        <v>2.6428303360761397E-2</v>
      </c>
      <c r="I140" s="24">
        <f>Subsurface_Inputs!$C$19+Subsurface_Inputs!$C$20*SIN(2*PI()*(A140-Subsurface_Inputs!$C$21)/Subsurface_Inputs!$C$22)-Subsurface_Inputs!$C$23*H140</f>
        <v>5212.1410318230483</v>
      </c>
      <c r="J140" s="24">
        <f t="shared" si="19"/>
        <v>-4730.9151522486482</v>
      </c>
      <c r="K140" s="24">
        <f>Subsurface_Inputs!$C$25+Subsurface_Inputs!$C$26*SIN(2*PI()*(A140+Subsurface_Inputs!$C$27)/Subsurface_Inputs!$C$28)+Subsurface_Inputs!$C$29*COS(2*PI()*(A140-Subsurface_Inputs!$C$30)/Subsurface_Inputs!$C$31)-Subsurface_Inputs!$C$32*(B140-AVERAGE($B$2:$B$242))</f>
        <v>16063.809243256452</v>
      </c>
      <c r="L140" s="24">
        <f t="shared" si="20"/>
        <v>-15582.583363682052</v>
      </c>
      <c r="M140" s="24">
        <f>2*Subsurface_Inputs!$C$34*F140/Subsurface_Inputs!$C$35*1000000</f>
        <v>13.742208173058872</v>
      </c>
      <c r="N140" s="24">
        <f>2*Subsurface_Inputs!$C$34*I140/Subsurface_Inputs!$C$35*1000000</f>
        <v>61.893558620777753</v>
      </c>
      <c r="O140" s="24">
        <f>2*Subsurface_Inputs!$C$34*K140/Subsurface_Inputs!$C$35*1000000</f>
        <v>190.75583584558677</v>
      </c>
      <c r="P140" s="24">
        <f>Subsurface_Inputs!$C$37-2*Subsurface_Inputs!$C$36*(F140/1000)</f>
        <v>-12.083050185333768</v>
      </c>
      <c r="Q140" s="24">
        <f>Subsurface_Inputs!$C$38+Subsurface_Inputs!$C$39*H140-2*Subsurface_Inputs!$C$36*(I140/1000)</f>
        <v>-33.143999127034633</v>
      </c>
      <c r="R140" s="24">
        <f>Subsurface_Inputs!$C$40-2*Subsurface_Inputs!$C$36*(K140/1000)-Subsurface_Inputs!$C$41*ABS(L140-AVERAGE($L$2:$L$242))</f>
        <v>-38.197359578618482</v>
      </c>
      <c r="S140" s="24">
        <f t="shared" si="21"/>
        <v>986.42454768233802</v>
      </c>
      <c r="T140" s="24">
        <f t="shared" si="22"/>
        <v>13.881017769732019</v>
      </c>
      <c r="U140" s="25" t="str">
        <f>IF(H140&gt;=Subsurface_Inputs!$C$42,"Lens visible","Weak/no lens")</f>
        <v>Weak/no lens</v>
      </c>
      <c r="V140" s="25" t="str">
        <f t="shared" si="23"/>
        <v>Likely visible</v>
      </c>
      <c r="W140" s="24">
        <f>Subsurface_Inputs!$C$43</f>
        <v>-45</v>
      </c>
      <c r="X140" s="24">
        <f t="shared" si="24"/>
        <v>11.856000872965367</v>
      </c>
      <c r="Y140" s="24">
        <f t="shared" si="25"/>
        <v>6.8026404213815184</v>
      </c>
      <c r="Z140" s="24">
        <f t="shared" si="26"/>
        <v>11.856000872965367</v>
      </c>
      <c r="AA140" s="24">
        <v>0</v>
      </c>
    </row>
    <row r="141" spans="1:27">
      <c r="A141" s="24">
        <f>Model_Data!A141</f>
        <v>9.5</v>
      </c>
      <c r="B141" s="24">
        <f>Model_Data!Y141</f>
        <v>478.27937371872196</v>
      </c>
      <c r="C141" s="24">
        <f>Model_Data!X141</f>
        <v>5.6499270186383477</v>
      </c>
      <c r="D141" s="24">
        <f>Model_Data!B141</f>
        <v>400.10027777777776</v>
      </c>
      <c r="E141" s="24">
        <f>Inputs!$C$6</f>
        <v>25</v>
      </c>
      <c r="F141" s="24">
        <f>Subsurface_Inputs!$C$5+Subsurface_Inputs!$C$6*SIN(2*PI()*(A141+Subsurface_Inputs!$C$7)/Subsurface_Inputs!$C$8)+Subsurface_Inputs!$C$9*COS(2*PI()*A141/Subsurface_Inputs!$C$10)+Subsurface_Inputs!$C$11*(B141-AVERAGE($B$2:$B$242))</f>
        <v>1140.852277425719</v>
      </c>
      <c r="G141" s="24">
        <f t="shared" si="18"/>
        <v>-662.57290370699707</v>
      </c>
      <c r="H141" s="24">
        <f>MIN(1,MAX(0,Subsurface_Inputs!$C$13*EXP(-0.5*((A141-Subsurface_Inputs!$C$14)/Subsurface_Inputs!$C$15)^2)+Subsurface_Inputs!$C$16*EXP(-0.5*((A141-Subsurface_Inputs!$C$17)/Subsurface_Inputs!$C$18)^2)))</f>
        <v>2.9729216223055854E-2</v>
      </c>
      <c r="I141" s="24">
        <f>Subsurface_Inputs!$C$19+Subsurface_Inputs!$C$20*SIN(2*PI()*(A141-Subsurface_Inputs!$C$21)/Subsurface_Inputs!$C$22)-Subsurface_Inputs!$C$23*H141</f>
        <v>5230.6553692487305</v>
      </c>
      <c r="J141" s="24">
        <f t="shared" si="19"/>
        <v>-4752.3759955300084</v>
      </c>
      <c r="K141" s="24">
        <f>Subsurface_Inputs!$C$25+Subsurface_Inputs!$C$26*SIN(2*PI()*(A141+Subsurface_Inputs!$C$27)/Subsurface_Inputs!$C$28)+Subsurface_Inputs!$C$29*COS(2*PI()*(A141-Subsurface_Inputs!$C$30)/Subsurface_Inputs!$C$31)-Subsurface_Inputs!$C$32*(B141-AVERAGE($B$2:$B$242))</f>
        <v>16060.875739012859</v>
      </c>
      <c r="L141" s="24">
        <f t="shared" si="20"/>
        <v>-15582.596365294137</v>
      </c>
      <c r="M141" s="24">
        <f>2*Subsurface_Inputs!$C$34*F141/Subsurface_Inputs!$C$35*1000000</f>
        <v>13.547485933203696</v>
      </c>
      <c r="N141" s="24">
        <f>2*Subsurface_Inputs!$C$34*I141/Subsurface_Inputs!$C$35*1000000</f>
        <v>62.113414189110387</v>
      </c>
      <c r="O141" s="24">
        <f>2*Subsurface_Inputs!$C$34*K141/Subsurface_Inputs!$C$35*1000000</f>
        <v>190.72100082946645</v>
      </c>
      <c r="P141" s="24">
        <f>Subsurface_Inputs!$C$37-2*Subsurface_Inputs!$C$36*(F141/1000)</f>
        <v>-12.053534099366294</v>
      </c>
      <c r="Q141" s="24">
        <f>Subsurface_Inputs!$C$38+Subsurface_Inputs!$C$39*H141-2*Subsurface_Inputs!$C$36*(I141/1000)</f>
        <v>-33.147616718640215</v>
      </c>
      <c r="R141" s="24">
        <f>Subsurface_Inputs!$C$40-2*Subsurface_Inputs!$C$36*(K141/1000)-Subsurface_Inputs!$C$41*ABS(L141-AVERAGE($L$2:$L$242))</f>
        <v>-38.192131277428359</v>
      </c>
      <c r="S141" s="24">
        <f t="shared" si="21"/>
        <v>983.49104343874569</v>
      </c>
      <c r="T141" s="24">
        <f t="shared" si="22"/>
        <v>14.077962639697308</v>
      </c>
      <c r="U141" s="25" t="str">
        <f>IF(H141&gt;=Subsurface_Inputs!$C$42,"Lens visible","Weak/no lens")</f>
        <v>Weak/no lens</v>
      </c>
      <c r="V141" s="25" t="str">
        <f t="shared" si="23"/>
        <v>Likely visible</v>
      </c>
      <c r="W141" s="24">
        <f>Subsurface_Inputs!$C$43</f>
        <v>-45</v>
      </c>
      <c r="X141" s="24">
        <f t="shared" si="24"/>
        <v>11.852383281359785</v>
      </c>
      <c r="Y141" s="24">
        <f t="shared" si="25"/>
        <v>6.8078687225716408</v>
      </c>
      <c r="Z141" s="24">
        <f t="shared" si="26"/>
        <v>11.852383281359785</v>
      </c>
      <c r="AA141" s="24">
        <v>0</v>
      </c>
    </row>
    <row r="142" spans="1:27">
      <c r="A142" s="24">
        <f>Model_Data!A142</f>
        <v>10</v>
      </c>
      <c r="B142" s="24">
        <f>Model_Data!Y142</f>
        <v>454.20220076904832</v>
      </c>
      <c r="C142" s="24">
        <f>Model_Data!X142</f>
        <v>-8.569441618173812</v>
      </c>
      <c r="D142" s="24">
        <f>Model_Data!B142</f>
        <v>400.11111111111109</v>
      </c>
      <c r="E142" s="24">
        <f>Inputs!$C$6</f>
        <v>25</v>
      </c>
      <c r="F142" s="24">
        <f>Subsurface_Inputs!$C$5+Subsurface_Inputs!$C$6*SIN(2*PI()*(A142+Subsurface_Inputs!$C$7)/Subsurface_Inputs!$C$8)+Subsurface_Inputs!$C$9*COS(2*PI()*A142/Subsurface_Inputs!$C$10)+Subsurface_Inputs!$C$11*(B142-AVERAGE($B$2:$B$242))</f>
        <v>1124.3650898453716</v>
      </c>
      <c r="G142" s="24">
        <f t="shared" si="18"/>
        <v>-670.16288907632327</v>
      </c>
      <c r="H142" s="24">
        <f>MIN(1,MAX(0,Subsurface_Inputs!$C$13*EXP(-0.5*((A142-Subsurface_Inputs!$C$14)/Subsurface_Inputs!$C$15)^2)+Subsurface_Inputs!$C$16*EXP(-0.5*((A142-Subsurface_Inputs!$C$17)/Subsurface_Inputs!$C$18)^2)))</f>
        <v>3.369013317421013E-2</v>
      </c>
      <c r="I142" s="24">
        <f>Subsurface_Inputs!$C$19+Subsurface_Inputs!$C$20*SIN(2*PI()*(A142-Subsurface_Inputs!$C$21)/Subsurface_Inputs!$C$22)-Subsurface_Inputs!$C$23*H142</f>
        <v>5248.8090793076899</v>
      </c>
      <c r="J142" s="24">
        <f t="shared" si="19"/>
        <v>-4794.6068785386415</v>
      </c>
      <c r="K142" s="24">
        <f>Subsurface_Inputs!$C$25+Subsurface_Inputs!$C$26*SIN(2*PI()*(A142+Subsurface_Inputs!$C$27)/Subsurface_Inputs!$C$28)+Subsurface_Inputs!$C$29*COS(2*PI()*(A142-Subsurface_Inputs!$C$30)/Subsurface_Inputs!$C$31)-Subsurface_Inputs!$C$32*(B142-AVERAGE($B$2:$B$242))</f>
        <v>16059.653002376923</v>
      </c>
      <c r="L142" s="24">
        <f t="shared" si="20"/>
        <v>-15605.450801607874</v>
      </c>
      <c r="M142" s="24">
        <f>2*Subsurface_Inputs!$C$34*F142/Subsurface_Inputs!$C$35*1000000</f>
        <v>13.351702529653107</v>
      </c>
      <c r="N142" s="24">
        <f>2*Subsurface_Inputs!$C$34*I142/Subsurface_Inputs!$C$35*1000000</f>
        <v>62.3289873500933</v>
      </c>
      <c r="O142" s="24">
        <f>2*Subsurface_Inputs!$C$34*K142/Subsurface_Inputs!$C$35*1000000</f>
        <v>190.70648097645554</v>
      </c>
      <c r="P142" s="24">
        <f>Subsurface_Inputs!$C$37-2*Subsurface_Inputs!$C$36*(F142/1000)</f>
        <v>-12.023857161721669</v>
      </c>
      <c r="Q142" s="24">
        <f>Subsurface_Inputs!$C$38+Subsurface_Inputs!$C$39*H142-2*Subsurface_Inputs!$C$36*(I142/1000)</f>
        <v>-33.144645144185951</v>
      </c>
      <c r="R142" s="24">
        <f>Subsurface_Inputs!$C$40-2*Subsurface_Inputs!$C$36*(K142/1000)-Subsurface_Inputs!$C$41*ABS(L142-AVERAGE($L$2:$L$242))</f>
        <v>-38.281348096738625</v>
      </c>
      <c r="S142" s="24">
        <f t="shared" si="21"/>
        <v>982.26830680280909</v>
      </c>
      <c r="T142" s="24">
        <f t="shared" si="22"/>
        <v>14.283308106431452</v>
      </c>
      <c r="U142" s="25" t="str">
        <f>IF(H142&gt;=Subsurface_Inputs!$C$42,"Lens visible","Weak/no lens")</f>
        <v>Weak/no lens</v>
      </c>
      <c r="V142" s="25" t="str">
        <f t="shared" si="23"/>
        <v>Likely visible</v>
      </c>
      <c r="W142" s="24">
        <f>Subsurface_Inputs!$C$43</f>
        <v>-45</v>
      </c>
      <c r="X142" s="24">
        <f t="shared" si="24"/>
        <v>11.855354855814049</v>
      </c>
      <c r="Y142" s="24">
        <f t="shared" si="25"/>
        <v>6.7186519032613745</v>
      </c>
      <c r="Z142" s="24">
        <f t="shared" si="26"/>
        <v>11.855354855814049</v>
      </c>
      <c r="AA142" s="24">
        <v>0</v>
      </c>
    </row>
    <row r="143" spans="1:27">
      <c r="A143" s="24">
        <f>Model_Data!A143</f>
        <v>10.5</v>
      </c>
      <c r="B143" s="24">
        <f>Model_Data!Y143</f>
        <v>437.9381023255097</v>
      </c>
      <c r="C143" s="24">
        <f>Model_Data!X143</f>
        <v>4.9362904077748144</v>
      </c>
      <c r="D143" s="24">
        <f>Model_Data!B143</f>
        <v>400.1225</v>
      </c>
      <c r="E143" s="24">
        <f>Inputs!$C$6</f>
        <v>25</v>
      </c>
      <c r="F143" s="24">
        <f>Subsurface_Inputs!$C$5+Subsurface_Inputs!$C$6*SIN(2*PI()*(A143+Subsurface_Inputs!$C$7)/Subsurface_Inputs!$C$8)+Subsurface_Inputs!$C$9*COS(2*PI()*A143/Subsurface_Inputs!$C$10)+Subsurface_Inputs!$C$11*(B143-AVERAGE($B$2:$B$242))</f>
        <v>1109.0822191427294</v>
      </c>
      <c r="G143" s="24">
        <f t="shared" si="18"/>
        <v>-671.1441168172197</v>
      </c>
      <c r="H143" s="24">
        <f>MIN(1,MAX(0,Subsurface_Inputs!$C$13*EXP(-0.5*((A143-Subsurface_Inputs!$C$14)/Subsurface_Inputs!$C$15)^2)+Subsurface_Inputs!$C$16*EXP(-0.5*((A143-Subsurface_Inputs!$C$17)/Subsurface_Inputs!$C$18)^2)))</f>
        <v>3.835953124954955E-2</v>
      </c>
      <c r="I143" s="24">
        <f>Subsurface_Inputs!$C$19+Subsurface_Inputs!$C$20*SIN(2*PI()*(A143-Subsurface_Inputs!$C$21)/Subsurface_Inputs!$C$22)-Subsurface_Inputs!$C$23*H143</f>
        <v>5266.5624892725291</v>
      </c>
      <c r="J143" s="24">
        <f t="shared" si="19"/>
        <v>-4828.624386947019</v>
      </c>
      <c r="K143" s="24">
        <f>Subsurface_Inputs!$C$25+Subsurface_Inputs!$C$26*SIN(2*PI()*(A143+Subsurface_Inputs!$C$27)/Subsurface_Inputs!$C$28)+Subsurface_Inputs!$C$29*COS(2*PI()*(A143-Subsurface_Inputs!$C$30)/Subsurface_Inputs!$C$31)-Subsurface_Inputs!$C$32*(B143-AVERAGE($B$2:$B$242))</f>
        <v>16056.097371463013</v>
      </c>
      <c r="L143" s="24">
        <f t="shared" si="20"/>
        <v>-15618.159269137503</v>
      </c>
      <c r="M143" s="24">
        <f>2*Subsurface_Inputs!$C$34*F143/Subsurface_Inputs!$C$35*1000000</f>
        <v>13.170220246661831</v>
      </c>
      <c r="N143" s="24">
        <f>2*Subsurface_Inputs!$C$34*I143/Subsurface_Inputs!$C$35*1000000</f>
        <v>62.539806994778381</v>
      </c>
      <c r="O143" s="24">
        <f>2*Subsurface_Inputs!$C$34*K143/Subsurface_Inputs!$C$35*1000000</f>
        <v>190.66425827966734</v>
      </c>
      <c r="P143" s="24">
        <f>Subsurface_Inputs!$C$37-2*Subsurface_Inputs!$C$36*(F143/1000)</f>
        <v>-11.996347994456913</v>
      </c>
      <c r="Q143" s="24">
        <f>Subsurface_Inputs!$C$38+Subsurface_Inputs!$C$39*H143-2*Subsurface_Inputs!$C$36*(I143/1000)</f>
        <v>-33.134576699444608</v>
      </c>
      <c r="R143" s="24">
        <f>Subsurface_Inputs!$C$40-2*Subsurface_Inputs!$C$36*(K143/1000)-Subsurface_Inputs!$C$41*ABS(L143-AVERAGE($L$2:$L$242))</f>
        <v>-38.325781831212105</v>
      </c>
      <c r="S143" s="24">
        <f t="shared" si="21"/>
        <v>978.71267588889896</v>
      </c>
      <c r="T143" s="24">
        <f t="shared" si="22"/>
        <v>14.476922534989022</v>
      </c>
      <c r="U143" s="25" t="str">
        <f>IF(H143&gt;=Subsurface_Inputs!$C$42,"Lens visible","Weak/no lens")</f>
        <v>Weak/no lens</v>
      </c>
      <c r="V143" s="25" t="str">
        <f t="shared" si="23"/>
        <v>Likely visible</v>
      </c>
      <c r="W143" s="24">
        <f>Subsurface_Inputs!$C$43</f>
        <v>-45</v>
      </c>
      <c r="X143" s="24">
        <f t="shared" si="24"/>
        <v>11.865423300555392</v>
      </c>
      <c r="Y143" s="24">
        <f t="shared" si="25"/>
        <v>6.6742181687878954</v>
      </c>
      <c r="Z143" s="24">
        <f t="shared" si="26"/>
        <v>11.865423300555392</v>
      </c>
      <c r="AA143" s="24">
        <v>0</v>
      </c>
    </row>
    <row r="144" spans="1:27">
      <c r="A144" s="24">
        <f>Model_Data!A144</f>
        <v>11</v>
      </c>
      <c r="B144" s="24">
        <f>Model_Data!Y144</f>
        <v>444.93860770344918</v>
      </c>
      <c r="C144" s="24">
        <f>Model_Data!X144</f>
        <v>1.9403678384373038</v>
      </c>
      <c r="D144" s="24">
        <f>Model_Data!B144</f>
        <v>400.13444444444445</v>
      </c>
      <c r="E144" s="24">
        <f>Inputs!$C$6</f>
        <v>25</v>
      </c>
      <c r="F144" s="24">
        <f>Subsurface_Inputs!$C$5+Subsurface_Inputs!$C$6*SIN(2*PI()*(A144+Subsurface_Inputs!$C$7)/Subsurface_Inputs!$C$8)+Subsurface_Inputs!$C$9*COS(2*PI()*A144/Subsurface_Inputs!$C$10)+Subsurface_Inputs!$C$11*(B144-AVERAGE($B$2:$B$242))</f>
        <v>1095.7393048627071</v>
      </c>
      <c r="G144" s="24">
        <f t="shared" si="18"/>
        <v>-650.80069715925788</v>
      </c>
      <c r="H144" s="24">
        <f>MIN(1,MAX(0,Subsurface_Inputs!$C$13*EXP(-0.5*((A144-Subsurface_Inputs!$C$14)/Subsurface_Inputs!$C$15)^2)+Subsurface_Inputs!$C$16*EXP(-0.5*((A144-Subsurface_Inputs!$C$17)/Subsurface_Inputs!$C$18)^2)))</f>
        <v>4.3789239695663999E-2</v>
      </c>
      <c r="I144" s="24">
        <f>Subsurface_Inputs!$C$19+Subsurface_Inputs!$C$20*SIN(2*PI()*(A144-Subsurface_Inputs!$C$21)/Subsurface_Inputs!$C$22)-Subsurface_Inputs!$C$23*H144</f>
        <v>5283.8754598302403</v>
      </c>
      <c r="J144" s="24">
        <f t="shared" si="19"/>
        <v>-4838.9368521267916</v>
      </c>
      <c r="K144" s="24">
        <f>Subsurface_Inputs!$C$25+Subsurface_Inputs!$C$26*SIN(2*PI()*(A144+Subsurface_Inputs!$C$27)/Subsurface_Inputs!$C$28)+Subsurface_Inputs!$C$29*COS(2*PI()*(A144-Subsurface_Inputs!$C$30)/Subsurface_Inputs!$C$31)-Subsurface_Inputs!$C$32*(B144-AVERAGE($B$2:$B$242))</f>
        <v>16048.056445742717</v>
      </c>
      <c r="L144" s="24">
        <f t="shared" si="20"/>
        <v>-15603.117838039268</v>
      </c>
      <c r="M144" s="24">
        <f>2*Subsurface_Inputs!$C$34*F144/Subsurface_Inputs!$C$35*1000000</f>
        <v>13.011774716865084</v>
      </c>
      <c r="N144" s="24">
        <f>2*Subsurface_Inputs!$C$34*I144/Subsurface_Inputs!$C$35*1000000</f>
        <v>62.745396473568569</v>
      </c>
      <c r="O144" s="24">
        <f>2*Subsurface_Inputs!$C$34*K144/Subsurface_Inputs!$C$35*1000000</f>
        <v>190.56877323726425</v>
      </c>
      <c r="P144" s="24">
        <f>Subsurface_Inputs!$C$37-2*Subsurface_Inputs!$C$36*(F144/1000)</f>
        <v>-11.972330748752873</v>
      </c>
      <c r="Q144" s="24">
        <f>Subsurface_Inputs!$C$38+Subsurface_Inputs!$C$39*H144-2*Subsurface_Inputs!$C$36*(I144/1000)</f>
        <v>-33.116872670433459</v>
      </c>
      <c r="R144" s="24">
        <f>Subsurface_Inputs!$C$40-2*Subsurface_Inputs!$C$36*(K144/1000)-Subsurface_Inputs!$C$41*ABS(L144-AVERAGE($L$2:$L$242))</f>
        <v>-38.251142440522635</v>
      </c>
      <c r="S144" s="24">
        <f t="shared" si="21"/>
        <v>970.67175016860347</v>
      </c>
      <c r="T144" s="24">
        <f t="shared" si="22"/>
        <v>14.645870942590211</v>
      </c>
      <c r="U144" s="25" t="str">
        <f>IF(H144&gt;=Subsurface_Inputs!$C$42,"Lens visible","Weak/no lens")</f>
        <v>Weak/no lens</v>
      </c>
      <c r="V144" s="25" t="str">
        <f t="shared" si="23"/>
        <v>Likely visible</v>
      </c>
      <c r="W144" s="24">
        <f>Subsurface_Inputs!$C$43</f>
        <v>-45</v>
      </c>
      <c r="X144" s="24">
        <f t="shared" si="24"/>
        <v>11.883127329566541</v>
      </c>
      <c r="Y144" s="24">
        <f t="shared" si="25"/>
        <v>6.748857559477365</v>
      </c>
      <c r="Z144" s="24">
        <f t="shared" si="26"/>
        <v>11.883127329566541</v>
      </c>
      <c r="AA144" s="24">
        <v>0</v>
      </c>
    </row>
    <row r="145" spans="1:27">
      <c r="A145" s="24">
        <f>Model_Data!A145</f>
        <v>11.5</v>
      </c>
      <c r="B145" s="24">
        <f>Model_Data!Y145</f>
        <v>434.44467895572086</v>
      </c>
      <c r="C145" s="24">
        <f>Model_Data!X145</f>
        <v>4.0448246838212674</v>
      </c>
      <c r="D145" s="24">
        <f>Model_Data!B145</f>
        <v>400.14694444444444</v>
      </c>
      <c r="E145" s="24">
        <f>Inputs!$C$6</f>
        <v>25</v>
      </c>
      <c r="F145" s="24">
        <f>Subsurface_Inputs!$C$5+Subsurface_Inputs!$C$6*SIN(2*PI()*(A145+Subsurface_Inputs!$C$7)/Subsurface_Inputs!$C$8)+Subsurface_Inputs!$C$9*COS(2*PI()*A145/Subsurface_Inputs!$C$10)+Subsurface_Inputs!$C$11*(B145-AVERAGE($B$2:$B$242))</f>
        <v>1082.8038895011498</v>
      </c>
      <c r="G145" s="24">
        <f t="shared" si="18"/>
        <v>-648.35921054542894</v>
      </c>
      <c r="H145" s="24">
        <f>MIN(1,MAX(0,Subsurface_Inputs!$C$13*EXP(-0.5*((A145-Subsurface_Inputs!$C$14)/Subsurface_Inputs!$C$15)^2)+Subsurface_Inputs!$C$16*EXP(-0.5*((A145-Subsurface_Inputs!$C$17)/Subsurface_Inputs!$C$18)^2)))</f>
        <v>5.0033648430637082E-2</v>
      </c>
      <c r="I145" s="24">
        <f>Subsurface_Inputs!$C$19+Subsurface_Inputs!$C$20*SIN(2*PI()*(A145-Subsurface_Inputs!$C$21)/Subsurface_Inputs!$C$22)-Subsurface_Inputs!$C$23*H145</f>
        <v>5300.7076157057436</v>
      </c>
      <c r="J145" s="24">
        <f t="shared" si="19"/>
        <v>-4866.2629367500231</v>
      </c>
      <c r="K145" s="24">
        <f>Subsurface_Inputs!$C$25+Subsurface_Inputs!$C$26*SIN(2*PI()*(A145+Subsurface_Inputs!$C$27)/Subsurface_Inputs!$C$28)+Subsurface_Inputs!$C$29*COS(2*PI()*(A145-Subsurface_Inputs!$C$30)/Subsurface_Inputs!$C$31)-Subsurface_Inputs!$C$32*(B145-AVERAGE($B$2:$B$242))</f>
        <v>16041.249630235392</v>
      </c>
      <c r="L145" s="24">
        <f t="shared" si="20"/>
        <v>-15606.804951279672</v>
      </c>
      <c r="M145" s="24">
        <f>2*Subsurface_Inputs!$C$34*F145/Subsurface_Inputs!$C$35*1000000</f>
        <v>12.858168188554275</v>
      </c>
      <c r="N145" s="24">
        <f>2*Subsurface_Inputs!$C$34*I145/Subsurface_Inputs!$C$35*1000000</f>
        <v>62.945276334845104</v>
      </c>
      <c r="O145" s="24">
        <f>2*Subsurface_Inputs!$C$34*K145/Subsurface_Inputs!$C$35*1000000</f>
        <v>190.48794310775489</v>
      </c>
      <c r="P145" s="24">
        <f>Subsurface_Inputs!$C$37-2*Subsurface_Inputs!$C$36*(F145/1000)</f>
        <v>-11.94904700110207</v>
      </c>
      <c r="Q145" s="24">
        <f>Subsurface_Inputs!$C$38+Subsurface_Inputs!$C$39*H145-2*Subsurface_Inputs!$C$36*(I145/1000)</f>
        <v>-33.090970872394607</v>
      </c>
      <c r="R145" s="24">
        <f>Subsurface_Inputs!$C$40-2*Subsurface_Inputs!$C$36*(K145/1000)-Subsurface_Inputs!$C$41*ABS(L145-AVERAGE($L$2:$L$242))</f>
        <v>-38.253638625571064</v>
      </c>
      <c r="S145" s="24">
        <f t="shared" si="21"/>
        <v>963.86493466127831</v>
      </c>
      <c r="T145" s="24">
        <f t="shared" si="22"/>
        <v>14.814547477868437</v>
      </c>
      <c r="U145" s="25" t="str">
        <f>IF(H145&gt;=Subsurface_Inputs!$C$42,"Lens visible","Weak/no lens")</f>
        <v>Weak/no lens</v>
      </c>
      <c r="V145" s="25" t="str">
        <f t="shared" si="23"/>
        <v>Likely visible</v>
      </c>
      <c r="W145" s="24">
        <f>Subsurface_Inputs!$C$43</f>
        <v>-45</v>
      </c>
      <c r="X145" s="24">
        <f t="shared" si="24"/>
        <v>11.909029127605393</v>
      </c>
      <c r="Y145" s="24">
        <f t="shared" si="25"/>
        <v>6.7463613744289361</v>
      </c>
      <c r="Z145" s="24">
        <f t="shared" si="26"/>
        <v>11.909029127605393</v>
      </c>
      <c r="AA145" s="24">
        <v>0</v>
      </c>
    </row>
    <row r="146" spans="1:27">
      <c r="A146" s="24">
        <f>Model_Data!A146</f>
        <v>12</v>
      </c>
      <c r="B146" s="24">
        <f>Model_Data!Y146</f>
        <v>422.8387186345762</v>
      </c>
      <c r="C146" s="24">
        <f>Model_Data!X146</f>
        <v>7.073891806129688</v>
      </c>
      <c r="D146" s="24">
        <f>Model_Data!B146</f>
        <v>400.16</v>
      </c>
      <c r="E146" s="24">
        <f>Inputs!$C$6</f>
        <v>25</v>
      </c>
      <c r="F146" s="24">
        <f>Subsurface_Inputs!$C$5+Subsurface_Inputs!$C$6*SIN(2*PI()*(A146+Subsurface_Inputs!$C$7)/Subsurface_Inputs!$C$8)+Subsurface_Inputs!$C$9*COS(2*PI()*A146/Subsurface_Inputs!$C$10)+Subsurface_Inputs!$C$11*(B146-AVERAGE($B$2:$B$242))</f>
        <v>1071.0085467117642</v>
      </c>
      <c r="G146" s="24">
        <f t="shared" si="18"/>
        <v>-648.16982807718796</v>
      </c>
      <c r="H146" s="24">
        <f>MIN(1,MAX(0,Subsurface_Inputs!$C$13*EXP(-0.5*((A146-Subsurface_Inputs!$C$14)/Subsurface_Inputs!$C$15)^2)+Subsurface_Inputs!$C$16*EXP(-0.5*((A146-Subsurface_Inputs!$C$17)/Subsurface_Inputs!$C$18)^2)))</f>
        <v>5.7148776248117615E-2</v>
      </c>
      <c r="I146" s="24">
        <f>Subsurface_Inputs!$C$19+Subsurface_Inputs!$C$20*SIN(2*PI()*(A146-Subsurface_Inputs!$C$21)/Subsurface_Inputs!$C$22)-Subsurface_Inputs!$C$23*H146</f>
        <v>5317.0186093912707</v>
      </c>
      <c r="J146" s="24">
        <f t="shared" si="19"/>
        <v>-4894.1798907566945</v>
      </c>
      <c r="K146" s="24">
        <f>Subsurface_Inputs!$C$25+Subsurface_Inputs!$C$26*SIN(2*PI()*(A146+Subsurface_Inputs!$C$27)/Subsurface_Inputs!$C$28)+Subsurface_Inputs!$C$29*COS(2*PI()*(A146-Subsurface_Inputs!$C$30)/Subsurface_Inputs!$C$31)-Subsurface_Inputs!$C$32*(B146-AVERAGE($B$2:$B$242))</f>
        <v>16033.398823391759</v>
      </c>
      <c r="L146" s="24">
        <f t="shared" si="20"/>
        <v>-15610.560104757184</v>
      </c>
      <c r="M146" s="24">
        <f>2*Subsurface_Inputs!$C$34*F146/Subsurface_Inputs!$C$35*1000000</f>
        <v>12.718099887268947</v>
      </c>
      <c r="N146" s="24">
        <f>2*Subsurface_Inputs!$C$34*I146/Subsurface_Inputs!$C$35*1000000</f>
        <v>63.138967456722753</v>
      </c>
      <c r="O146" s="24">
        <f>2*Subsurface_Inputs!$C$34*K146/Subsurface_Inputs!$C$35*1000000</f>
        <v>190.39471570453804</v>
      </c>
      <c r="P146" s="24">
        <f>Subsurface_Inputs!$C$37-2*Subsurface_Inputs!$C$36*(F146/1000)</f>
        <v>-11.927815384081176</v>
      </c>
      <c r="Q146" s="24">
        <f>Subsurface_Inputs!$C$38+Subsurface_Inputs!$C$39*H146-2*Subsurface_Inputs!$C$36*(I146/1000)</f>
        <v>-33.056294510671229</v>
      </c>
      <c r="R146" s="24">
        <f>Subsurface_Inputs!$C$40-2*Subsurface_Inputs!$C$36*(K146/1000)-Subsurface_Inputs!$C$41*ABS(L146-AVERAGE($L$2:$L$242))</f>
        <v>-38.254527787162573</v>
      </c>
      <c r="S146" s="24">
        <f t="shared" si="21"/>
        <v>956.0141278176452</v>
      </c>
      <c r="T146" s="24">
        <f t="shared" si="22"/>
        <v>14.970374300576665</v>
      </c>
      <c r="U146" s="25" t="str">
        <f>IF(H146&gt;=Subsurface_Inputs!$C$42,"Lens visible","Weak/no lens")</f>
        <v>Weak/no lens</v>
      </c>
      <c r="V146" s="25" t="str">
        <f t="shared" si="23"/>
        <v>Likely visible</v>
      </c>
      <c r="W146" s="24">
        <f>Subsurface_Inputs!$C$43</f>
        <v>-45</v>
      </c>
      <c r="X146" s="24">
        <f t="shared" si="24"/>
        <v>11.943705489328771</v>
      </c>
      <c r="Y146" s="24">
        <f t="shared" si="25"/>
        <v>6.7454722128374272</v>
      </c>
      <c r="Z146" s="24">
        <f t="shared" si="26"/>
        <v>11.943705489328771</v>
      </c>
      <c r="AA146" s="24">
        <v>0</v>
      </c>
    </row>
    <row r="147" spans="1:27">
      <c r="A147" s="24">
        <f>Model_Data!A147</f>
        <v>12.5</v>
      </c>
      <c r="B147" s="24">
        <f>Model_Data!Y147</f>
        <v>434.12423495839124</v>
      </c>
      <c r="C147" s="24">
        <f>Model_Data!X147</f>
        <v>-5.6874541754451418</v>
      </c>
      <c r="D147" s="24">
        <f>Model_Data!B147</f>
        <v>400.17361111111109</v>
      </c>
      <c r="E147" s="24">
        <f>Inputs!$C$6</f>
        <v>25</v>
      </c>
      <c r="F147" s="24">
        <f>Subsurface_Inputs!$C$5+Subsurface_Inputs!$C$6*SIN(2*PI()*(A147+Subsurface_Inputs!$C$7)/Subsurface_Inputs!$C$8)+Subsurface_Inputs!$C$9*COS(2*PI()*A147/Subsurface_Inputs!$C$10)+Subsurface_Inputs!$C$11*(B147-AVERAGE($B$2:$B$242))</f>
        <v>1061.3695000412065</v>
      </c>
      <c r="G147" s="24">
        <f t="shared" si="18"/>
        <v>-627.24526508281519</v>
      </c>
      <c r="H147" s="24">
        <f>MIN(1,MAX(0,Subsurface_Inputs!$C$13*EXP(-0.5*((A147-Subsurface_Inputs!$C$14)/Subsurface_Inputs!$C$15)^2)+Subsurface_Inputs!$C$16*EXP(-0.5*((A147-Subsurface_Inputs!$C$17)/Subsurface_Inputs!$C$18)^2)))</f>
        <v>6.5191197390238001E-2</v>
      </c>
      <c r="I147" s="24">
        <f>Subsurface_Inputs!$C$19+Subsurface_Inputs!$C$20*SIN(2*PI()*(A147-Subsurface_Inputs!$C$21)/Subsurface_Inputs!$C$22)-Subsurface_Inputs!$C$23*H147</f>
        <v>5332.7684182527191</v>
      </c>
      <c r="J147" s="24">
        <f t="shared" si="19"/>
        <v>-4898.6441832943283</v>
      </c>
      <c r="K147" s="24">
        <f>Subsurface_Inputs!$C$25+Subsurface_Inputs!$C$26*SIN(2*PI()*(A147+Subsurface_Inputs!$C$27)/Subsurface_Inputs!$C$28)+Subsurface_Inputs!$C$29*COS(2*PI()*(A147-Subsurface_Inputs!$C$30)/Subsurface_Inputs!$C$31)-Subsurface_Inputs!$C$32*(B147-AVERAGE($B$2:$B$242))</f>
        <v>16021.161227495551</v>
      </c>
      <c r="L147" s="24">
        <f t="shared" si="20"/>
        <v>-15587.03699253716</v>
      </c>
      <c r="M147" s="24">
        <f>2*Subsurface_Inputs!$C$34*F147/Subsurface_Inputs!$C$35*1000000</f>
        <v>12.603637347496898</v>
      </c>
      <c r="N147" s="24">
        <f>2*Subsurface_Inputs!$C$34*I147/Subsurface_Inputs!$C$35*1000000</f>
        <v>63.325994575152656</v>
      </c>
      <c r="O147" s="24">
        <f>2*Subsurface_Inputs!$C$34*K147/Subsurface_Inputs!$C$35*1000000</f>
        <v>190.2493956998884</v>
      </c>
      <c r="P147" s="24">
        <f>Subsurface_Inputs!$C$37-2*Subsurface_Inputs!$C$36*(F147/1000)</f>
        <v>-11.910465100074171</v>
      </c>
      <c r="Q147" s="24">
        <f>Subsurface_Inputs!$C$38+Subsurface_Inputs!$C$39*H147-2*Subsurface_Inputs!$C$36*(I147/1000)</f>
        <v>-33.012262376342754</v>
      </c>
      <c r="R147" s="24">
        <f>Subsurface_Inputs!$C$40-2*Subsurface_Inputs!$C$36*(K147/1000)-Subsurface_Inputs!$C$41*ABS(L147-AVERAGE($L$2:$L$242))</f>
        <v>-38.138407665669298</v>
      </c>
      <c r="S147" s="24">
        <f t="shared" si="21"/>
        <v>943.77653192143771</v>
      </c>
      <c r="T147" s="24">
        <f t="shared" si="22"/>
        <v>15.094800846334428</v>
      </c>
      <c r="U147" s="25" t="str">
        <f>IF(H147&gt;=Subsurface_Inputs!$C$42,"Lens visible","Weak/no lens")</f>
        <v>Weak/no lens</v>
      </c>
      <c r="V147" s="25" t="str">
        <f t="shared" si="23"/>
        <v>Likely visible</v>
      </c>
      <c r="W147" s="24">
        <f>Subsurface_Inputs!$C$43</f>
        <v>-45</v>
      </c>
      <c r="X147" s="24">
        <f t="shared" si="24"/>
        <v>11.987737623657246</v>
      </c>
      <c r="Y147" s="24">
        <f t="shared" si="25"/>
        <v>6.8615923343307017</v>
      </c>
      <c r="Z147" s="24">
        <f t="shared" si="26"/>
        <v>11.987737623657246</v>
      </c>
      <c r="AA147" s="24">
        <v>0</v>
      </c>
    </row>
    <row r="148" spans="1:27">
      <c r="A148" s="24">
        <f>Model_Data!A148</f>
        <v>13</v>
      </c>
      <c r="B148" s="24">
        <f>Model_Data!Y148</f>
        <v>428.83519917040849</v>
      </c>
      <c r="C148" s="24">
        <f>Model_Data!X148</f>
        <v>-3.6184909665757639</v>
      </c>
      <c r="D148" s="24">
        <f>Model_Data!B148</f>
        <v>400.1877777777778</v>
      </c>
      <c r="E148" s="24">
        <f>Inputs!$C$6</f>
        <v>25</v>
      </c>
      <c r="F148" s="24">
        <f>Subsurface_Inputs!$C$5+Subsurface_Inputs!$C$6*SIN(2*PI()*(A148+Subsurface_Inputs!$C$7)/Subsurface_Inputs!$C$8)+Subsurface_Inputs!$C$9*COS(2*PI()*A148/Subsurface_Inputs!$C$10)+Subsurface_Inputs!$C$11*(B148-AVERAGE($B$2:$B$242))</f>
        <v>1052.3428192874935</v>
      </c>
      <c r="G148" s="24">
        <f t="shared" si="18"/>
        <v>-623.50762011708503</v>
      </c>
      <c r="H148" s="24">
        <f>MIN(1,MAX(0,Subsurface_Inputs!$C$13*EXP(-0.5*((A148-Subsurface_Inputs!$C$14)/Subsurface_Inputs!$C$15)^2)+Subsurface_Inputs!$C$16*EXP(-0.5*((A148-Subsurface_Inputs!$C$17)/Subsurface_Inputs!$C$18)^2)))</f>
        <v>7.4216828827135539E-2</v>
      </c>
      <c r="I148" s="24">
        <f>Subsurface_Inputs!$C$19+Subsurface_Inputs!$C$20*SIN(2*PI()*(A148-Subsurface_Inputs!$C$21)/Subsurface_Inputs!$C$22)-Subsurface_Inputs!$C$23*H148</f>
        <v>5347.9176743939852</v>
      </c>
      <c r="J148" s="24">
        <f t="shared" si="19"/>
        <v>-4919.0824752235767</v>
      </c>
      <c r="K148" s="24">
        <f>Subsurface_Inputs!$C$25+Subsurface_Inputs!$C$26*SIN(2*PI()*(A148+Subsurface_Inputs!$C$27)/Subsurface_Inputs!$C$28)+Subsurface_Inputs!$C$29*COS(2*PI()*(A148-Subsurface_Inputs!$C$30)/Subsurface_Inputs!$C$31)-Subsurface_Inputs!$C$32*(B148-AVERAGE($B$2:$B$242))</f>
        <v>16010.081996804991</v>
      </c>
      <c r="L148" s="24">
        <f t="shared" si="20"/>
        <v>-15581.246797634583</v>
      </c>
      <c r="M148" s="24">
        <f>2*Subsurface_Inputs!$C$34*F148/Subsurface_Inputs!$C$35*1000000</f>
        <v>12.496446580599025</v>
      </c>
      <c r="N148" s="24">
        <f>2*Subsurface_Inputs!$C$34*I148/Subsurface_Inputs!$C$35*1000000</f>
        <v>63.505890201022297</v>
      </c>
      <c r="O148" s="24">
        <f>2*Subsurface_Inputs!$C$34*K148/Subsurface_Inputs!$C$35*1000000</f>
        <v>190.11783114512431</v>
      </c>
      <c r="P148" s="24">
        <f>Subsurface_Inputs!$C$37-2*Subsurface_Inputs!$C$36*(F148/1000)</f>
        <v>-11.894217074717488</v>
      </c>
      <c r="Q148" s="24">
        <f>Subsurface_Inputs!$C$38+Subsurface_Inputs!$C$39*H148-2*Subsurface_Inputs!$C$36*(I148/1000)</f>
        <v>-32.958300354464953</v>
      </c>
      <c r="R148" s="24">
        <f>Subsurface_Inputs!$C$40-2*Subsurface_Inputs!$C$36*(K148/1000)-Subsurface_Inputs!$C$41*ABS(L148-AVERAGE($L$2:$L$242))</f>
        <v>-38.095304270815987</v>
      </c>
      <c r="S148" s="24">
        <f t="shared" si="21"/>
        <v>932.6973012308772</v>
      </c>
      <c r="T148" s="24">
        <f t="shared" si="22"/>
        <v>15.213751358749127</v>
      </c>
      <c r="U148" s="25" t="str">
        <f>IF(H148&gt;=Subsurface_Inputs!$C$42,"Lens visible","Weak/no lens")</f>
        <v>Weak/no lens</v>
      </c>
      <c r="V148" s="25" t="str">
        <f t="shared" si="23"/>
        <v>Likely visible</v>
      </c>
      <c r="W148" s="24">
        <f>Subsurface_Inputs!$C$43</f>
        <v>-45</v>
      </c>
      <c r="X148" s="24">
        <f t="shared" si="24"/>
        <v>12.041699645535047</v>
      </c>
      <c r="Y148" s="24">
        <f t="shared" si="25"/>
        <v>6.904695729184013</v>
      </c>
      <c r="Z148" s="24">
        <f t="shared" si="26"/>
        <v>12.041699645535047</v>
      </c>
      <c r="AA148" s="24">
        <v>0</v>
      </c>
    </row>
    <row r="149" spans="1:27">
      <c r="A149" s="24">
        <f>Model_Data!A149</f>
        <v>13.5</v>
      </c>
      <c r="B149" s="24">
        <f>Model_Data!Y149</f>
        <v>408.84619240872695</v>
      </c>
      <c r="C149" s="24">
        <f>Model_Data!X149</f>
        <v>4.5761325244330742E-2</v>
      </c>
      <c r="D149" s="24">
        <f>Model_Data!B149</f>
        <v>400.20249999999999</v>
      </c>
      <c r="E149" s="24">
        <f>Inputs!$C$6</f>
        <v>25</v>
      </c>
      <c r="F149" s="24">
        <f>Subsurface_Inputs!$C$5+Subsurface_Inputs!$C$6*SIN(2*PI()*(A149+Subsurface_Inputs!$C$7)/Subsurface_Inputs!$C$8)+Subsurface_Inputs!$C$9*COS(2*PI()*A149/Subsurface_Inputs!$C$10)+Subsurface_Inputs!$C$11*(B149-AVERAGE($B$2:$B$242))</f>
        <v>1044.0170368416852</v>
      </c>
      <c r="G149" s="24">
        <f t="shared" si="18"/>
        <v>-635.17084443295835</v>
      </c>
      <c r="H149" s="24">
        <f>MIN(1,MAX(0,Subsurface_Inputs!$C$13*EXP(-0.5*((A149-Subsurface_Inputs!$C$14)/Subsurface_Inputs!$C$15)^2)+Subsurface_Inputs!$C$16*EXP(-0.5*((A149-Subsurface_Inputs!$C$17)/Subsurface_Inputs!$C$18)^2)))</f>
        <v>8.4279584873441421E-2</v>
      </c>
      <c r="I149" s="24">
        <f>Subsurface_Inputs!$C$19+Subsurface_Inputs!$C$20*SIN(2*PI()*(A149-Subsurface_Inputs!$C$21)/Subsurface_Inputs!$C$22)-Subsurface_Inputs!$C$23*H149</f>
        <v>5362.4280256310094</v>
      </c>
      <c r="J149" s="24">
        <f t="shared" si="19"/>
        <v>-4953.5818332222825</v>
      </c>
      <c r="K149" s="24">
        <f>Subsurface_Inputs!$C$25+Subsurface_Inputs!$C$26*SIN(2*PI()*(A149+Subsurface_Inputs!$C$27)/Subsurface_Inputs!$C$28)+Subsurface_Inputs!$C$29*COS(2*PI()*(A149-Subsurface_Inputs!$C$30)/Subsurface_Inputs!$C$31)-Subsurface_Inputs!$C$32*(B149-AVERAGE($B$2:$B$242))</f>
        <v>15999.920769914777</v>
      </c>
      <c r="L149" s="24">
        <f t="shared" si="20"/>
        <v>-15591.07457750605</v>
      </c>
      <c r="M149" s="24">
        <f>2*Subsurface_Inputs!$C$34*F149/Subsurface_Inputs!$C$35*1000000</f>
        <v>12.39757889825367</v>
      </c>
      <c r="N149" s="24">
        <f>2*Subsurface_Inputs!$C$34*I149/Subsurface_Inputs!$C$35*1000000</f>
        <v>63.678198906679619</v>
      </c>
      <c r="O149" s="24">
        <f>2*Subsurface_Inputs!$C$34*K149/Subsurface_Inputs!$C$35*1000000</f>
        <v>189.99716777697125</v>
      </c>
      <c r="P149" s="24">
        <f>Subsurface_Inputs!$C$37-2*Subsurface_Inputs!$C$36*(F149/1000)</f>
        <v>-11.879230666315033</v>
      </c>
      <c r="Q149" s="24">
        <f>Subsurface_Inputs!$C$38+Subsurface_Inputs!$C$39*H149-2*Subsurface_Inputs!$C$36*(I149/1000)</f>
        <v>-32.893854182274843</v>
      </c>
      <c r="R149" s="24">
        <f>Subsurface_Inputs!$C$40-2*Subsurface_Inputs!$C$36*(K149/1000)-Subsurface_Inputs!$C$41*ABS(L149-AVERAGE($L$2:$L$242))</f>
        <v>-38.116325181899462</v>
      </c>
      <c r="S149" s="24">
        <f t="shared" si="21"/>
        <v>922.53607434066362</v>
      </c>
      <c r="T149" s="24">
        <f t="shared" si="22"/>
        <v>15.325344515753343</v>
      </c>
      <c r="U149" s="25" t="str">
        <f>IF(H149&gt;=Subsurface_Inputs!$C$42,"Lens visible","Weak/no lens")</f>
        <v>Weak/no lens</v>
      </c>
      <c r="V149" s="25" t="str">
        <f t="shared" si="23"/>
        <v>Likely visible</v>
      </c>
      <c r="W149" s="24">
        <f>Subsurface_Inputs!$C$43</f>
        <v>-45</v>
      </c>
      <c r="X149" s="24">
        <f t="shared" si="24"/>
        <v>12.106145817725157</v>
      </c>
      <c r="Y149" s="24">
        <f t="shared" si="25"/>
        <v>6.8836748181005376</v>
      </c>
      <c r="Z149" s="24">
        <f t="shared" si="26"/>
        <v>12.106145817725157</v>
      </c>
      <c r="AA149" s="24">
        <v>0</v>
      </c>
    </row>
    <row r="150" spans="1:27">
      <c r="A150" s="24">
        <f>Model_Data!A150</f>
        <v>14</v>
      </c>
      <c r="B150" s="24">
        <f>Model_Data!Y150</f>
        <v>412.55100068044544</v>
      </c>
      <c r="C150" s="24">
        <f>Model_Data!X150</f>
        <v>17.148059194147212</v>
      </c>
      <c r="D150" s="24">
        <f>Model_Data!B150</f>
        <v>400.21777777777777</v>
      </c>
      <c r="E150" s="24">
        <f>Inputs!$C$6</f>
        <v>25</v>
      </c>
      <c r="F150" s="24">
        <f>Subsurface_Inputs!$C$5+Subsurface_Inputs!$C$6*SIN(2*PI()*(A150+Subsurface_Inputs!$C$7)/Subsurface_Inputs!$C$8)+Subsurface_Inputs!$C$9*COS(2*PI()*A150/Subsurface_Inputs!$C$10)+Subsurface_Inputs!$C$11*(B150-AVERAGE($B$2:$B$242))</f>
        <v>1037.9208816428925</v>
      </c>
      <c r="G150" s="24">
        <f t="shared" si="18"/>
        <v>-625.36988096244704</v>
      </c>
      <c r="H150" s="24">
        <f>MIN(1,MAX(0,Subsurface_Inputs!$C$13*EXP(-0.5*((A150-Subsurface_Inputs!$C$14)/Subsurface_Inputs!$C$15)^2)+Subsurface_Inputs!$C$16*EXP(-0.5*((A150-Subsurface_Inputs!$C$17)/Subsurface_Inputs!$C$18)^2)))</f>
        <v>9.542991056356534E-2</v>
      </c>
      <c r="I150" s="24">
        <f>Subsurface_Inputs!$C$19+Subsurface_Inputs!$C$20*SIN(2*PI()*(A150-Subsurface_Inputs!$C$21)/Subsurface_Inputs!$C$22)-Subsurface_Inputs!$C$23*H150</f>
        <v>5376.2625247784272</v>
      </c>
      <c r="J150" s="24">
        <f t="shared" si="19"/>
        <v>-4963.711524097982</v>
      </c>
      <c r="K150" s="24">
        <f>Subsurface_Inputs!$C$25+Subsurface_Inputs!$C$26*SIN(2*PI()*(A150+Subsurface_Inputs!$C$27)/Subsurface_Inputs!$C$28)+Subsurface_Inputs!$C$29*COS(2*PI()*(A150-Subsurface_Inputs!$C$30)/Subsurface_Inputs!$C$31)-Subsurface_Inputs!$C$32*(B150-AVERAGE($B$2:$B$242))</f>
        <v>15985.326614254289</v>
      </c>
      <c r="L150" s="24">
        <f t="shared" si="20"/>
        <v>-15572.775613573844</v>
      </c>
      <c r="M150" s="24">
        <f>2*Subsurface_Inputs!$C$34*F150/Subsurface_Inputs!$C$35*1000000</f>
        <v>12.325187775900277</v>
      </c>
      <c r="N150" s="24">
        <f>2*Subsurface_Inputs!$C$34*I150/Subsurface_Inputs!$C$35*1000000</f>
        <v>63.84248194866597</v>
      </c>
      <c r="O150" s="24">
        <f>2*Subsurface_Inputs!$C$34*K150/Subsurface_Inputs!$C$35*1000000</f>
        <v>189.82386390369189</v>
      </c>
      <c r="P150" s="24">
        <f>Subsurface_Inputs!$C$37-2*Subsurface_Inputs!$C$36*(F150/1000)</f>
        <v>-11.868257586957206</v>
      </c>
      <c r="Q150" s="24">
        <f>Subsurface_Inputs!$C$38+Subsurface_Inputs!$C$39*H150-2*Subsurface_Inputs!$C$36*(I150/1000)</f>
        <v>-32.818403349529078</v>
      </c>
      <c r="R150" s="24">
        <f>Subsurface_Inputs!$C$40-2*Subsurface_Inputs!$C$36*(K150/1000)-Subsurface_Inputs!$C$41*ABS(L150-AVERAGE($L$2:$L$242))</f>
        <v>-38.016859845981763</v>
      </c>
      <c r="S150" s="24">
        <f t="shared" si="21"/>
        <v>907.94191868017515</v>
      </c>
      <c r="T150" s="24">
        <f t="shared" si="22"/>
        <v>15.401295895455553</v>
      </c>
      <c r="U150" s="25" t="str">
        <f>IF(H150&gt;=Subsurface_Inputs!$C$42,"Lens visible","Weak/no lens")</f>
        <v>Weak/no lens</v>
      </c>
      <c r="V150" s="25" t="str">
        <f t="shared" si="23"/>
        <v>Likely visible</v>
      </c>
      <c r="W150" s="24">
        <f>Subsurface_Inputs!$C$43</f>
        <v>-45</v>
      </c>
      <c r="X150" s="24">
        <f t="shared" si="24"/>
        <v>12.181596650470922</v>
      </c>
      <c r="Y150" s="24">
        <f t="shared" si="25"/>
        <v>6.983140154018237</v>
      </c>
      <c r="Z150" s="24">
        <f t="shared" si="26"/>
        <v>12.181596650470922</v>
      </c>
      <c r="AA150" s="24">
        <v>0</v>
      </c>
    </row>
    <row r="151" spans="1:27">
      <c r="A151" s="24">
        <f>Model_Data!A151</f>
        <v>14.5</v>
      </c>
      <c r="B151" s="24">
        <f>Model_Data!Y151</f>
        <v>415.56752777059438</v>
      </c>
      <c r="C151" s="24">
        <f>Model_Data!X151</f>
        <v>27.325427950728567</v>
      </c>
      <c r="D151" s="24">
        <f>Model_Data!B151</f>
        <v>400.23361111111109</v>
      </c>
      <c r="E151" s="24">
        <f>Inputs!$C$6</f>
        <v>25</v>
      </c>
      <c r="F151" s="24">
        <f>Subsurface_Inputs!$C$5+Subsurface_Inputs!$C$6*SIN(2*PI()*(A151+Subsurface_Inputs!$C$7)/Subsurface_Inputs!$C$8)+Subsurface_Inputs!$C$9*COS(2*PI()*A151/Subsurface_Inputs!$C$10)+Subsurface_Inputs!$C$11*(B151-AVERAGE($B$2:$B$242))</f>
        <v>1033.0524298344535</v>
      </c>
      <c r="G151" s="24">
        <f t="shared" si="18"/>
        <v>-617.48490206385918</v>
      </c>
      <c r="H151" s="24">
        <f>MIN(1,MAX(0,Subsurface_Inputs!$C$13*EXP(-0.5*((A151-Subsurface_Inputs!$C$14)/Subsurface_Inputs!$C$15)^2)+Subsurface_Inputs!$C$16*EXP(-0.5*((A151-Subsurface_Inputs!$C$17)/Subsurface_Inputs!$C$18)^2)))</f>
        <v>0.10771321038402228</v>
      </c>
      <c r="I151" s="24">
        <f>Subsurface_Inputs!$C$19+Subsurface_Inputs!$C$20*SIN(2*PI()*(A151-Subsurface_Inputs!$C$21)/Subsurface_Inputs!$C$22)-Subsurface_Inputs!$C$23*H151</f>
        <v>5389.3860432104857</v>
      </c>
      <c r="J151" s="24">
        <f t="shared" si="19"/>
        <v>-4973.8185154398916</v>
      </c>
      <c r="K151" s="24">
        <f>Subsurface_Inputs!$C$25+Subsurface_Inputs!$C$26*SIN(2*PI()*(A151+Subsurface_Inputs!$C$27)/Subsurface_Inputs!$C$28)+Subsurface_Inputs!$C$29*COS(2*PI()*(A151-Subsurface_Inputs!$C$30)/Subsurface_Inputs!$C$31)-Subsurface_Inputs!$C$32*(B151-AVERAGE($B$2:$B$242))</f>
        <v>15969.739281077251</v>
      </c>
      <c r="L151" s="24">
        <f t="shared" si="20"/>
        <v>-15554.171753306657</v>
      </c>
      <c r="M151" s="24">
        <f>2*Subsurface_Inputs!$C$34*F151/Subsurface_Inputs!$C$35*1000000</f>
        <v>12.267375486179356</v>
      </c>
      <c r="N151" s="24">
        <f>2*Subsurface_Inputs!$C$34*I151/Subsurface_Inputs!$C$35*1000000</f>
        <v>63.998322178703141</v>
      </c>
      <c r="O151" s="24">
        <f>2*Subsurface_Inputs!$C$34*K151/Subsurface_Inputs!$C$35*1000000</f>
        <v>189.63876616480795</v>
      </c>
      <c r="P151" s="24">
        <f>Subsurface_Inputs!$C$37-2*Subsurface_Inputs!$C$36*(F151/1000)</f>
        <v>-11.859494373702017</v>
      </c>
      <c r="Q151" s="24">
        <f>Subsurface_Inputs!$C$38+Subsurface_Inputs!$C$39*H151-2*Subsurface_Inputs!$C$36*(I151/1000)</f>
        <v>-32.731475984322671</v>
      </c>
      <c r="R151" s="24">
        <f>Subsurface_Inputs!$C$40-2*Subsurface_Inputs!$C$36*(K151/1000)-Subsurface_Inputs!$C$41*ABS(L151-AVERAGE($L$2:$L$242))</f>
        <v>-37.914387205194345</v>
      </c>
      <c r="S151" s="24">
        <f t="shared" si="21"/>
        <v>892.35458550313706</v>
      </c>
      <c r="T151" s="24">
        <f t="shared" si="22"/>
        <v>15.458788750573287</v>
      </c>
      <c r="U151" s="25" t="str">
        <f>IF(H151&gt;=Subsurface_Inputs!$C$42,"Lens visible","Weak/no lens")</f>
        <v>Weak/no lens</v>
      </c>
      <c r="V151" s="25" t="str">
        <f t="shared" si="23"/>
        <v>Likely visible</v>
      </c>
      <c r="W151" s="24">
        <f>Subsurface_Inputs!$C$43</f>
        <v>-45</v>
      </c>
      <c r="X151" s="24">
        <f t="shared" si="24"/>
        <v>12.268524015677329</v>
      </c>
      <c r="Y151" s="24">
        <f t="shared" si="25"/>
        <v>7.0856127948056553</v>
      </c>
      <c r="Z151" s="24">
        <f t="shared" si="26"/>
        <v>12.268524015677329</v>
      </c>
      <c r="AA151" s="24">
        <v>0</v>
      </c>
    </row>
    <row r="152" spans="1:27">
      <c r="A152" s="24">
        <f>Model_Data!A152</f>
        <v>15</v>
      </c>
      <c r="B152" s="24">
        <f>Model_Data!Y152</f>
        <v>399.34593170493116</v>
      </c>
      <c r="C152" s="24">
        <f>Model_Data!X152</f>
        <v>45.362905639140564</v>
      </c>
      <c r="D152" s="24">
        <f>Model_Data!B152</f>
        <v>400.25</v>
      </c>
      <c r="E152" s="24">
        <f>Inputs!$C$6</f>
        <v>25</v>
      </c>
      <c r="F152" s="24">
        <f>Subsurface_Inputs!$C$5+Subsurface_Inputs!$C$6*SIN(2*PI()*(A152+Subsurface_Inputs!$C$7)/Subsurface_Inputs!$C$8)+Subsurface_Inputs!$C$9*COS(2*PI()*A152/Subsurface_Inputs!$C$10)+Subsurface_Inputs!$C$11*(B152-AVERAGE($B$2:$B$242))</f>
        <v>1028.6247259678748</v>
      </c>
      <c r="G152" s="24">
        <f t="shared" si="18"/>
        <v>-629.27879426294362</v>
      </c>
      <c r="H152" s="24">
        <f>MIN(1,MAX(0,Subsurface_Inputs!$C$13*EXP(-0.5*((A152-Subsurface_Inputs!$C$14)/Subsurface_Inputs!$C$15)^2)+Subsurface_Inputs!$C$16*EXP(-0.5*((A152-Subsurface_Inputs!$C$17)/Subsurface_Inputs!$C$18)^2)))</f>
        <v>0.12116819437605508</v>
      </c>
      <c r="I152" s="24">
        <f>Subsurface_Inputs!$C$19+Subsurface_Inputs!$C$20*SIN(2*PI()*(A152-Subsurface_Inputs!$C$21)/Subsurface_Inputs!$C$22)-Subsurface_Inputs!$C$23*H152</f>
        <v>5401.7657033595578</v>
      </c>
      <c r="J152" s="24">
        <f t="shared" si="19"/>
        <v>-5002.4197716546269</v>
      </c>
      <c r="K152" s="24">
        <f>Subsurface_Inputs!$C$25+Subsurface_Inputs!$C$26*SIN(2*PI()*(A152+Subsurface_Inputs!$C$27)/Subsurface_Inputs!$C$28)+Subsurface_Inputs!$C$29*COS(2*PI()*(A152-Subsurface_Inputs!$C$30)/Subsurface_Inputs!$C$31)-Subsurface_Inputs!$C$32*(B152-AVERAGE($B$2:$B$242))</f>
        <v>15955.784004300433</v>
      </c>
      <c r="L152" s="24">
        <f t="shared" si="20"/>
        <v>-15556.438072595502</v>
      </c>
      <c r="M152" s="24">
        <f>2*Subsurface_Inputs!$C$34*F152/Subsurface_Inputs!$C$35*1000000</f>
        <v>12.214797026166798</v>
      </c>
      <c r="N152" s="24">
        <f>2*Subsurface_Inputs!$C$34*I152/Subsurface_Inputs!$C$35*1000000</f>
        <v>64.145329179562026</v>
      </c>
      <c r="O152" s="24">
        <f>2*Subsurface_Inputs!$C$34*K152/Subsurface_Inputs!$C$35*1000000</f>
        <v>189.47304890274972</v>
      </c>
      <c r="P152" s="24">
        <f>Subsurface_Inputs!$C$37-2*Subsurface_Inputs!$C$36*(F152/1000)</f>
        <v>-11.851524506742175</v>
      </c>
      <c r="Q152" s="24">
        <f>Subsurface_Inputs!$C$38+Subsurface_Inputs!$C$39*H152-2*Subsurface_Inputs!$C$36*(I152/1000)</f>
        <v>-32.632664516662707</v>
      </c>
      <c r="R152" s="24">
        <f>Subsurface_Inputs!$C$40-2*Subsurface_Inputs!$C$36*(K152/1000)-Subsurface_Inputs!$C$41*ABS(L152-AVERAGE($L$2:$L$242))</f>
        <v>-37.898332984151452</v>
      </c>
      <c r="S152" s="24">
        <f t="shared" si="21"/>
        <v>878.39930872631885</v>
      </c>
      <c r="T152" s="24">
        <f t="shared" si="22"/>
        <v>15.511764010229276</v>
      </c>
      <c r="U152" s="25" t="str">
        <f>IF(H152&gt;=Subsurface_Inputs!$C$42,"Lens visible","Weak/no lens")</f>
        <v>Weak/no lens</v>
      </c>
      <c r="V152" s="25" t="str">
        <f t="shared" si="23"/>
        <v>Likely visible</v>
      </c>
      <c r="W152" s="24">
        <f>Subsurface_Inputs!$C$43</f>
        <v>-45</v>
      </c>
      <c r="X152" s="24">
        <f t="shared" si="24"/>
        <v>12.367335483337293</v>
      </c>
      <c r="Y152" s="24">
        <f t="shared" si="25"/>
        <v>7.1016670158485482</v>
      </c>
      <c r="Z152" s="24">
        <f t="shared" si="26"/>
        <v>12.367335483337293</v>
      </c>
      <c r="AA152" s="24">
        <v>0</v>
      </c>
    </row>
    <row r="153" spans="1:27">
      <c r="A153" s="24">
        <f>Model_Data!A153</f>
        <v>15.5</v>
      </c>
      <c r="B153" s="24">
        <f>Model_Data!Y153</f>
        <v>395.61636103749299</v>
      </c>
      <c r="C153" s="24">
        <f>Model_Data!X153</f>
        <v>49.090179641950456</v>
      </c>
      <c r="D153" s="24">
        <f>Model_Data!B153</f>
        <v>400.26694444444445</v>
      </c>
      <c r="E153" s="24">
        <f>Inputs!$C$6</f>
        <v>25</v>
      </c>
      <c r="F153" s="24">
        <f>Subsurface_Inputs!$C$5+Subsurface_Inputs!$C$6*SIN(2*PI()*(A153+Subsurface_Inputs!$C$7)/Subsurface_Inputs!$C$8)+Subsurface_Inputs!$C$9*COS(2*PI()*A153/Subsurface_Inputs!$C$10)+Subsurface_Inputs!$C$11*(B153-AVERAGE($B$2:$B$242))</f>
        <v>1025.8453011969823</v>
      </c>
      <c r="G153" s="24">
        <f t="shared" si="18"/>
        <v>-630.2289401594893</v>
      </c>
      <c r="H153" s="24">
        <f>MIN(1,MAX(0,Subsurface_Inputs!$C$13*EXP(-0.5*((A153-Subsurface_Inputs!$C$14)/Subsurface_Inputs!$C$15)^2)+Subsurface_Inputs!$C$16*EXP(-0.5*((A153-Subsurface_Inputs!$C$17)/Subsurface_Inputs!$C$18)^2)))</f>
        <v>0.13582516909864947</v>
      </c>
      <c r="I153" s="24">
        <f>Subsurface_Inputs!$C$19+Subsurface_Inputs!$C$20*SIN(2*PI()*(A153-Subsurface_Inputs!$C$21)/Subsurface_Inputs!$C$22)-Subsurface_Inputs!$C$23*H153</f>
        <v>5413.3713235024179</v>
      </c>
      <c r="J153" s="24">
        <f t="shared" si="19"/>
        <v>-5017.7549624649246</v>
      </c>
      <c r="K153" s="24">
        <f>Subsurface_Inputs!$C$25+Subsurface_Inputs!$C$26*SIN(2*PI()*(A153+Subsurface_Inputs!$C$27)/Subsurface_Inputs!$C$28)+Subsurface_Inputs!$C$29*COS(2*PI()*(A153-Subsurface_Inputs!$C$30)/Subsurface_Inputs!$C$31)-Subsurface_Inputs!$C$32*(B153-AVERAGE($B$2:$B$242))</f>
        <v>15939.048750669783</v>
      </c>
      <c r="L153" s="24">
        <f t="shared" si="20"/>
        <v>-15543.432389632289</v>
      </c>
      <c r="M153" s="24">
        <f>2*Subsurface_Inputs!$C$34*F153/Subsurface_Inputs!$C$35*1000000</f>
        <v>12.181791685570879</v>
      </c>
      <c r="N153" s="24">
        <f>2*Subsurface_Inputs!$C$34*I153/Subsurface_Inputs!$C$35*1000000</f>
        <v>64.283144546847168</v>
      </c>
      <c r="O153" s="24">
        <f>2*Subsurface_Inputs!$C$34*K153/Subsurface_Inputs!$C$35*1000000</f>
        <v>189.27431974417593</v>
      </c>
      <c r="P153" s="24">
        <f>Subsurface_Inputs!$C$37-2*Subsurface_Inputs!$C$36*(F153/1000)</f>
        <v>-11.846521542154568</v>
      </c>
      <c r="Q153" s="24">
        <f>Subsurface_Inputs!$C$38+Subsurface_Inputs!$C$39*H153-2*Subsurface_Inputs!$C$36*(I153/1000)</f>
        <v>-32.521641860416509</v>
      </c>
      <c r="R153" s="24">
        <f>Subsurface_Inputs!$C$40-2*Subsurface_Inputs!$C$36*(K153/1000)-Subsurface_Inputs!$C$41*ABS(L153-AVERAGE($L$2:$L$242))</f>
        <v>-37.816186795763436</v>
      </c>
      <c r="S153" s="24">
        <f t="shared" si="21"/>
        <v>861.66405509566903</v>
      </c>
      <c r="T153" s="24">
        <f t="shared" si="22"/>
        <v>15.537477953129674</v>
      </c>
      <c r="U153" s="25" t="str">
        <f>IF(H153&gt;=Subsurface_Inputs!$C$42,"Lens visible","Weak/no lens")</f>
        <v>Weak/no lens</v>
      </c>
      <c r="V153" s="25" t="str">
        <f t="shared" si="23"/>
        <v>Likely visible</v>
      </c>
      <c r="W153" s="24">
        <f>Subsurface_Inputs!$C$43</f>
        <v>-45</v>
      </c>
      <c r="X153" s="24">
        <f t="shared" si="24"/>
        <v>12.478358139583491</v>
      </c>
      <c r="Y153" s="24">
        <f t="shared" si="25"/>
        <v>7.1838132042365643</v>
      </c>
      <c r="Z153" s="24">
        <f t="shared" si="26"/>
        <v>12.478358139583491</v>
      </c>
      <c r="AA153" s="24">
        <v>0</v>
      </c>
    </row>
    <row r="154" spans="1:27">
      <c r="A154" s="24">
        <f>Model_Data!A154</f>
        <v>16</v>
      </c>
      <c r="B154" s="24">
        <f>Model_Data!Y154</f>
        <v>400.30891755789503</v>
      </c>
      <c r="C154" s="24">
        <f>Model_Data!X154</f>
        <v>69.720188044182294</v>
      </c>
      <c r="D154" s="24">
        <f>Model_Data!B154</f>
        <v>400.28444444444443</v>
      </c>
      <c r="E154" s="24">
        <f>Inputs!$C$6</f>
        <v>25</v>
      </c>
      <c r="F154" s="24">
        <f>Subsurface_Inputs!$C$5+Subsurface_Inputs!$C$6*SIN(2*PI()*(A154+Subsurface_Inputs!$C$7)/Subsurface_Inputs!$C$8)+Subsurface_Inputs!$C$9*COS(2*PI()*A154/Subsurface_Inputs!$C$10)+Subsurface_Inputs!$C$11*(B154-AVERAGE($B$2:$B$242))</f>
        <v>1024.4748592454584</v>
      </c>
      <c r="G154" s="24">
        <f t="shared" si="18"/>
        <v>-624.16594168756342</v>
      </c>
      <c r="H154" s="24">
        <f>MIN(1,MAX(0,Subsurface_Inputs!$C$13*EXP(-0.5*((A154-Subsurface_Inputs!$C$14)/Subsurface_Inputs!$C$15)^2)+Subsurface_Inputs!$C$16*EXP(-0.5*((A154-Subsurface_Inputs!$C$17)/Subsurface_Inputs!$C$18)^2)))</f>
        <v>0.15170430627742848</v>
      </c>
      <c r="I154" s="24">
        <f>Subsurface_Inputs!$C$19+Subsurface_Inputs!$C$20*SIN(2*PI()*(A154-Subsurface_Inputs!$C$21)/Subsurface_Inputs!$C$22)-Subsurface_Inputs!$C$23*H154</f>
        <v>5424.1758669053825</v>
      </c>
      <c r="J154" s="24">
        <f t="shared" si="19"/>
        <v>-5023.8669493474872</v>
      </c>
      <c r="K154" s="24">
        <f>Subsurface_Inputs!$C$25+Subsurface_Inputs!$C$26*SIN(2*PI()*(A154+Subsurface_Inputs!$C$27)/Subsurface_Inputs!$C$28)+Subsurface_Inputs!$C$29*COS(2*PI()*(A154-Subsurface_Inputs!$C$30)/Subsurface_Inputs!$C$31)-Subsurface_Inputs!$C$32*(B154-AVERAGE($B$2:$B$242))</f>
        <v>15920.135353699008</v>
      </c>
      <c r="L154" s="24">
        <f t="shared" si="20"/>
        <v>-15519.826436141113</v>
      </c>
      <c r="M154" s="24">
        <f>2*Subsurface_Inputs!$C$34*F154/Subsurface_Inputs!$C$35*1000000</f>
        <v>12.165517849397773</v>
      </c>
      <c r="N154" s="24">
        <f>2*Subsurface_Inputs!$C$34*I154/Subsurface_Inputs!$C$35*1000000</f>
        <v>64.411447222542066</v>
      </c>
      <c r="O154" s="24">
        <f>2*Subsurface_Inputs!$C$34*K154/Subsurface_Inputs!$C$35*1000000</f>
        <v>189.0497253909185</v>
      </c>
      <c r="P154" s="24">
        <f>Subsurface_Inputs!$C$37-2*Subsurface_Inputs!$C$36*(F154/1000)</f>
        <v>-11.844054746641826</v>
      </c>
      <c r="Q154" s="24">
        <f>Subsurface_Inputs!$C$38+Subsurface_Inputs!$C$39*H154-2*Subsurface_Inputs!$C$36*(I154/1000)</f>
        <v>-32.398177803932832</v>
      </c>
      <c r="R154" s="24">
        <f>Subsurface_Inputs!$C$40-2*Subsurface_Inputs!$C$36*(K154/1000)-Subsurface_Inputs!$C$41*ABS(L154-AVERAGE($L$2:$L$242))</f>
        <v>-37.687718867251334</v>
      </c>
      <c r="S154" s="24">
        <f t="shared" si="21"/>
        <v>842.75065812489447</v>
      </c>
      <c r="T154" s="24">
        <f t="shared" si="22"/>
        <v>15.539800913635336</v>
      </c>
      <c r="U154" s="25" t="str">
        <f>IF(H154&gt;=Subsurface_Inputs!$C$42,"Lens visible","Weak/no lens")</f>
        <v>Weak/no lens</v>
      </c>
      <c r="V154" s="25" t="str">
        <f t="shared" si="23"/>
        <v>Likely visible</v>
      </c>
      <c r="W154" s="24">
        <f>Subsurface_Inputs!$C$43</f>
        <v>-45</v>
      </c>
      <c r="X154" s="24">
        <f t="shared" si="24"/>
        <v>12.601822196067168</v>
      </c>
      <c r="Y154" s="24">
        <f t="shared" si="25"/>
        <v>7.3122811327486659</v>
      </c>
      <c r="Z154" s="24">
        <f t="shared" si="26"/>
        <v>12.601822196067168</v>
      </c>
      <c r="AA154" s="24">
        <v>0</v>
      </c>
    </row>
    <row r="155" spans="1:27">
      <c r="A155" s="24">
        <f>Model_Data!A155</f>
        <v>16.5</v>
      </c>
      <c r="B155" s="24">
        <f>Model_Data!Y155</f>
        <v>406.20178346502695</v>
      </c>
      <c r="C155" s="24">
        <f>Model_Data!X155</f>
        <v>71.50919840907298</v>
      </c>
      <c r="D155" s="24">
        <f>Model_Data!B155</f>
        <v>400.30250000000001</v>
      </c>
      <c r="E155" s="24">
        <f>Inputs!$C$6</f>
        <v>25</v>
      </c>
      <c r="F155" s="24">
        <f>Subsurface_Inputs!$C$5+Subsurface_Inputs!$C$6*SIN(2*PI()*(A155+Subsurface_Inputs!$C$7)/Subsurface_Inputs!$C$8)+Subsurface_Inputs!$C$9*COS(2*PI()*A155/Subsurface_Inputs!$C$10)+Subsurface_Inputs!$C$11*(B155-AVERAGE($B$2:$B$242))</f>
        <v>1024.1353283794197</v>
      </c>
      <c r="G155" s="24">
        <f t="shared" si="18"/>
        <v>-617.93354491439277</v>
      </c>
      <c r="H155" s="24">
        <f>MIN(1,MAX(0,Subsurface_Inputs!$C$13*EXP(-0.5*((A155-Subsurface_Inputs!$C$14)/Subsurface_Inputs!$C$15)^2)+Subsurface_Inputs!$C$16*EXP(-0.5*((A155-Subsurface_Inputs!$C$17)/Subsurface_Inputs!$C$18)^2)))</f>
        <v>0.16881392693469272</v>
      </c>
      <c r="I155" s="24">
        <f>Subsurface_Inputs!$C$19+Subsurface_Inputs!$C$20*SIN(2*PI()*(A155-Subsurface_Inputs!$C$21)/Subsurface_Inputs!$C$22)-Subsurface_Inputs!$C$23*H155</f>
        <v>5434.1558862080838</v>
      </c>
      <c r="J155" s="24">
        <f t="shared" si="19"/>
        <v>-5027.9541027430569</v>
      </c>
      <c r="K155" s="24">
        <f>Subsurface_Inputs!$C$25+Subsurface_Inputs!$C$26*SIN(2*PI()*(A155+Subsurface_Inputs!$C$27)/Subsurface_Inputs!$C$28)+Subsurface_Inputs!$C$29*COS(2*PI()*(A155-Subsurface_Inputs!$C$30)/Subsurface_Inputs!$C$31)-Subsurface_Inputs!$C$32*(B155-AVERAGE($B$2:$B$242))</f>
        <v>15900.088700233617</v>
      </c>
      <c r="L155" s="24">
        <f t="shared" si="20"/>
        <v>-15493.88691676859</v>
      </c>
      <c r="M155" s="24">
        <f>2*Subsurface_Inputs!$C$34*F155/Subsurface_Inputs!$C$35*1000000</f>
        <v>12.161485960499826</v>
      </c>
      <c r="N155" s="24">
        <f>2*Subsurface_Inputs!$C$34*I155/Subsurface_Inputs!$C$35*1000000</f>
        <v>64.52995877201414</v>
      </c>
      <c r="O155" s="24">
        <f>2*Subsurface_Inputs!$C$34*K155/Subsurface_Inputs!$C$35*1000000</f>
        <v>188.81167375075086</v>
      </c>
      <c r="P155" s="24">
        <f>Subsurface_Inputs!$C$37-2*Subsurface_Inputs!$C$36*(F155/1000)</f>
        <v>-11.843443591082956</v>
      </c>
      <c r="Q155" s="24">
        <f>Subsurface_Inputs!$C$38+Subsurface_Inputs!$C$39*H155-2*Subsurface_Inputs!$C$36*(I155/1000)</f>
        <v>-32.262155252762312</v>
      </c>
      <c r="R155" s="24">
        <f>Subsurface_Inputs!$C$40-2*Subsurface_Inputs!$C$36*(K155/1000)-Subsurface_Inputs!$C$41*ABS(L155-AVERAGE($L$2:$L$242))</f>
        <v>-37.547876813523537</v>
      </c>
      <c r="S155" s="24">
        <f t="shared" si="21"/>
        <v>822.70400465950297</v>
      </c>
      <c r="T155" s="24">
        <f t="shared" si="22"/>
        <v>15.525378589755066</v>
      </c>
      <c r="U155" s="25" t="str">
        <f>IF(H155&gt;=Subsurface_Inputs!$C$42,"Lens visible","Weak/no lens")</f>
        <v>Weak/no lens</v>
      </c>
      <c r="V155" s="25" t="str">
        <f t="shared" si="23"/>
        <v>Likely visible</v>
      </c>
      <c r="W155" s="24">
        <f>Subsurface_Inputs!$C$43</f>
        <v>-45</v>
      </c>
      <c r="X155" s="24">
        <f t="shared" si="24"/>
        <v>12.737844747237688</v>
      </c>
      <c r="Y155" s="24">
        <f t="shared" si="25"/>
        <v>7.452123186476463</v>
      </c>
      <c r="Z155" s="24">
        <f t="shared" si="26"/>
        <v>12.737844747237688</v>
      </c>
      <c r="AA155" s="24">
        <v>0</v>
      </c>
    </row>
    <row r="156" spans="1:27">
      <c r="A156" s="24">
        <f>Model_Data!A156</f>
        <v>17</v>
      </c>
      <c r="B156" s="24">
        <f>Model_Data!Y156</f>
        <v>402.89735855020393</v>
      </c>
      <c r="C156" s="24">
        <f>Model_Data!X156</f>
        <v>58.586187093984584</v>
      </c>
      <c r="D156" s="24">
        <f>Model_Data!B156</f>
        <v>400.32111111111112</v>
      </c>
      <c r="E156" s="24">
        <f>Inputs!$C$6</f>
        <v>25</v>
      </c>
      <c r="F156" s="24">
        <f>Subsurface_Inputs!$C$5+Subsurface_Inputs!$C$6*SIN(2*PI()*(A156+Subsurface_Inputs!$C$7)/Subsurface_Inputs!$C$8)+Subsurface_Inputs!$C$9*COS(2*PI()*A156/Subsurface_Inputs!$C$10)+Subsurface_Inputs!$C$11*(B156-AVERAGE($B$2:$B$242))</f>
        <v>1024.311229661992</v>
      </c>
      <c r="G156" s="24">
        <f t="shared" si="18"/>
        <v>-621.41387111178801</v>
      </c>
      <c r="H156" s="24">
        <f>MIN(1,MAX(0,Subsurface_Inputs!$C$13*EXP(-0.5*((A156-Subsurface_Inputs!$C$14)/Subsurface_Inputs!$C$15)^2)+Subsurface_Inputs!$C$16*EXP(-0.5*((A156-Subsurface_Inputs!$C$17)/Subsurface_Inputs!$C$18)^2)))</f>
        <v>0.18714884316247493</v>
      </c>
      <c r="I156" s="24">
        <f>Subsurface_Inputs!$C$19+Subsurface_Inputs!$C$20*SIN(2*PI()*(A156-Subsurface_Inputs!$C$21)/Subsurface_Inputs!$C$22)-Subsurface_Inputs!$C$23*H156</f>
        <v>5443.2919528792272</v>
      </c>
      <c r="J156" s="24">
        <f t="shared" si="19"/>
        <v>-5040.3945943290237</v>
      </c>
      <c r="K156" s="24">
        <f>Subsurface_Inputs!$C$25+Subsurface_Inputs!$C$26*SIN(2*PI()*(A156+Subsurface_Inputs!$C$27)/Subsurface_Inputs!$C$28)+Subsurface_Inputs!$C$29*COS(2*PI()*(A156-Subsurface_Inputs!$C$30)/Subsurface_Inputs!$C$31)-Subsurface_Inputs!$C$32*(B156-AVERAGE($B$2:$B$242))</f>
        <v>15880.399991454986</v>
      </c>
      <c r="L156" s="24">
        <f t="shared" si="20"/>
        <v>-15477.502632904781</v>
      </c>
      <c r="M156" s="24">
        <f>2*Subsurface_Inputs!$C$34*F156/Subsurface_Inputs!$C$35*1000000</f>
        <v>12.163574767436916</v>
      </c>
      <c r="N156" s="24">
        <f>2*Subsurface_Inputs!$C$34*I156/Subsurface_Inputs!$C$35*1000000</f>
        <v>64.638448483750878</v>
      </c>
      <c r="O156" s="24">
        <f>2*Subsurface_Inputs!$C$34*K156/Subsurface_Inputs!$C$35*1000000</f>
        <v>188.57787266142549</v>
      </c>
      <c r="P156" s="24">
        <f>Subsurface_Inputs!$C$37-2*Subsurface_Inputs!$C$36*(F156/1000)</f>
        <v>-11.843760213391587</v>
      </c>
      <c r="Q156" s="24">
        <f>Subsurface_Inputs!$C$38+Subsurface_Inputs!$C$39*H156-2*Subsurface_Inputs!$C$36*(I156/1000)</f>
        <v>-32.113585926720333</v>
      </c>
      <c r="R156" s="24">
        <f>Subsurface_Inputs!$C$40-2*Subsurface_Inputs!$C$36*(K156/1000)-Subsurface_Inputs!$C$41*ABS(L156-AVERAGE($L$2:$L$242))</f>
        <v>-37.446900002266766</v>
      </c>
      <c r="S156" s="24">
        <f t="shared" si="21"/>
        <v>803.01529588087215</v>
      </c>
      <c r="T156" s="24">
        <f t="shared" si="22"/>
        <v>15.50349105973903</v>
      </c>
      <c r="U156" s="25" t="str">
        <f>IF(H156&gt;=Subsurface_Inputs!$C$42,"Lens visible","Weak/no lens")</f>
        <v>Lens visible</v>
      </c>
      <c r="V156" s="25" t="str">
        <f t="shared" si="23"/>
        <v>Likely visible</v>
      </c>
      <c r="W156" s="24">
        <f>Subsurface_Inputs!$C$43</f>
        <v>-45</v>
      </c>
      <c r="X156" s="24">
        <f t="shared" si="24"/>
        <v>12.886414073279667</v>
      </c>
      <c r="Y156" s="24">
        <f t="shared" si="25"/>
        <v>7.5530999977332343</v>
      </c>
      <c r="Z156" s="24">
        <f t="shared" si="26"/>
        <v>12.886414073279667</v>
      </c>
      <c r="AA156" s="24">
        <v>0</v>
      </c>
    </row>
    <row r="157" spans="1:27">
      <c r="A157" s="24">
        <f>Model_Data!A157</f>
        <v>17.5</v>
      </c>
      <c r="B157" s="24">
        <f>Model_Data!Y157</f>
        <v>412.59673853511725</v>
      </c>
      <c r="C157" s="24">
        <f>Model_Data!X157</f>
        <v>65.712265116192313</v>
      </c>
      <c r="D157" s="24">
        <f>Model_Data!B157</f>
        <v>400.34027777777777</v>
      </c>
      <c r="E157" s="24">
        <f>Inputs!$C$6</f>
        <v>25</v>
      </c>
      <c r="F157" s="24">
        <f>Subsurface_Inputs!$C$5+Subsurface_Inputs!$C$6*SIN(2*PI()*(A157+Subsurface_Inputs!$C$7)/Subsurface_Inputs!$C$8)+Subsurface_Inputs!$C$9*COS(2*PI()*A157/Subsurface_Inputs!$C$10)+Subsurface_Inputs!$C$11*(B157-AVERAGE($B$2:$B$242))</f>
        <v>1025.7831277694747</v>
      </c>
      <c r="G157" s="24">
        <f t="shared" si="18"/>
        <v>-613.18638923435742</v>
      </c>
      <c r="H157" s="24">
        <f>MIN(1,MAX(0,Subsurface_Inputs!$C$13*EXP(-0.5*((A157-Subsurface_Inputs!$C$14)/Subsurface_Inputs!$C$15)^2)+Subsurface_Inputs!$C$16*EXP(-0.5*((A157-Subsurface_Inputs!$C$17)/Subsurface_Inputs!$C$18)^2)))</f>
        <v>0.20668880322195862</v>
      </c>
      <c r="I157" s="24">
        <f>Subsurface_Inputs!$C$19+Subsurface_Inputs!$C$20*SIN(2*PI()*(A157-Subsurface_Inputs!$C$21)/Subsurface_Inputs!$C$22)-Subsurface_Inputs!$C$23*H157</f>
        <v>5451.5690607341403</v>
      </c>
      <c r="J157" s="24">
        <f t="shared" si="19"/>
        <v>-5038.9723221990234</v>
      </c>
      <c r="K157" s="24">
        <f>Subsurface_Inputs!$C$25+Subsurface_Inputs!$C$26*SIN(2*PI()*(A157+Subsurface_Inputs!$C$27)/Subsurface_Inputs!$C$28)+Subsurface_Inputs!$C$29*COS(2*PI()*(A157-Subsurface_Inputs!$C$30)/Subsurface_Inputs!$C$31)-Subsurface_Inputs!$C$32*(B157-AVERAGE($B$2:$B$242))</f>
        <v>15857.99823216511</v>
      </c>
      <c r="L157" s="24">
        <f t="shared" si="20"/>
        <v>-15445.401493629992</v>
      </c>
      <c r="M157" s="24">
        <f>2*Subsurface_Inputs!$C$34*F157/Subsurface_Inputs!$C$35*1000000</f>
        <v>12.181053383468807</v>
      </c>
      <c r="N157" s="24">
        <f>2*Subsurface_Inputs!$C$34*I157/Subsurface_Inputs!$C$35*1000000</f>
        <v>64.736738161083224</v>
      </c>
      <c r="O157" s="24">
        <f>2*Subsurface_Inputs!$C$34*K157/Subsurface_Inputs!$C$35*1000000</f>
        <v>188.31185441799136</v>
      </c>
      <c r="P157" s="24">
        <f>Subsurface_Inputs!$C$37-2*Subsurface_Inputs!$C$36*(F157/1000)</f>
        <v>-11.846409629985054</v>
      </c>
      <c r="Q157" s="24">
        <f>Subsurface_Inputs!$C$38+Subsurface_Inputs!$C$39*H157-2*Subsurface_Inputs!$C$36*(I157/1000)</f>
        <v>-31.952625080323823</v>
      </c>
      <c r="R157" s="24">
        <f>Subsurface_Inputs!$C$40-2*Subsurface_Inputs!$C$36*(K157/1000)-Subsurface_Inputs!$C$41*ABS(L157-AVERAGE($L$2:$L$242))</f>
        <v>-37.27817227844583</v>
      </c>
      <c r="S157" s="24">
        <f t="shared" si="21"/>
        <v>780.61353659099586</v>
      </c>
      <c r="T157" s="24">
        <f t="shared" si="22"/>
        <v>15.459406382173302</v>
      </c>
      <c r="U157" s="25" t="str">
        <f>IF(H157&gt;=Subsurface_Inputs!$C$42,"Lens visible","Weak/no lens")</f>
        <v>Lens visible</v>
      </c>
      <c r="V157" s="25" t="str">
        <f t="shared" si="23"/>
        <v>Likely visible</v>
      </c>
      <c r="W157" s="24">
        <f>Subsurface_Inputs!$C$43</f>
        <v>-45</v>
      </c>
      <c r="X157" s="24">
        <f t="shared" si="24"/>
        <v>13.047374919676177</v>
      </c>
      <c r="Y157" s="24">
        <f t="shared" si="25"/>
        <v>7.7218277215541704</v>
      </c>
      <c r="Z157" s="24">
        <f t="shared" si="26"/>
        <v>13.047374919676177</v>
      </c>
      <c r="AA157" s="24">
        <v>0</v>
      </c>
    </row>
    <row r="158" spans="1:27">
      <c r="A158" s="24">
        <f>Model_Data!A158</f>
        <v>18</v>
      </c>
      <c r="B158" s="24">
        <f>Model_Data!Y158</f>
        <v>417.36712485558922</v>
      </c>
      <c r="C158" s="24">
        <f>Model_Data!X158</f>
        <v>70.502986137150288</v>
      </c>
      <c r="D158" s="24">
        <f>Model_Data!B158</f>
        <v>400.36</v>
      </c>
      <c r="E158" s="24">
        <f>Inputs!$C$6</f>
        <v>25</v>
      </c>
      <c r="F158" s="24">
        <f>Subsurface_Inputs!$C$5+Subsurface_Inputs!$C$6*SIN(2*PI()*(A158+Subsurface_Inputs!$C$7)/Subsurface_Inputs!$C$8)+Subsurface_Inputs!$C$9*COS(2*PI()*A158/Subsurface_Inputs!$C$10)+Subsurface_Inputs!$C$11*(B158-AVERAGE($B$2:$B$242))</f>
        <v>1027.7208984886204</v>
      </c>
      <c r="G158" s="24">
        <f t="shared" si="18"/>
        <v>-610.3537736330311</v>
      </c>
      <c r="H158" s="24">
        <f>MIN(1,MAX(0,Subsurface_Inputs!$C$13*EXP(-0.5*((A158-Subsurface_Inputs!$C$14)/Subsurface_Inputs!$C$15)^2)+Subsurface_Inputs!$C$16*EXP(-0.5*((A158-Subsurface_Inputs!$C$17)/Subsurface_Inputs!$C$18)^2)))</f>
        <v>0.22739708809306522</v>
      </c>
      <c r="I158" s="24">
        <f>Subsurface_Inputs!$C$19+Subsurface_Inputs!$C$20*SIN(2*PI()*(A158-Subsurface_Inputs!$C$21)/Subsurface_Inputs!$C$22)-Subsurface_Inputs!$C$23*H158</f>
        <v>5458.9769919198461</v>
      </c>
      <c r="J158" s="24">
        <f t="shared" si="19"/>
        <v>-5041.6098670642568</v>
      </c>
      <c r="K158" s="24">
        <f>Subsurface_Inputs!$C$25+Subsurface_Inputs!$C$26*SIN(2*PI()*(A158+Subsurface_Inputs!$C$27)/Subsurface_Inputs!$C$28)+Subsurface_Inputs!$C$29*COS(2*PI()*(A158-Subsurface_Inputs!$C$30)/Subsurface_Inputs!$C$31)-Subsurface_Inputs!$C$32*(B158-AVERAGE($B$2:$B$242))</f>
        <v>15835.432705922178</v>
      </c>
      <c r="L158" s="24">
        <f t="shared" si="20"/>
        <v>-15418.065581066588</v>
      </c>
      <c r="M158" s="24">
        <f>2*Subsurface_Inputs!$C$34*F158/Subsurface_Inputs!$C$35*1000000</f>
        <v>12.204064181692951</v>
      </c>
      <c r="N158" s="24">
        <f>2*Subsurface_Inputs!$C$34*I158/Subsurface_Inputs!$C$35*1000000</f>
        <v>64.824706468214927</v>
      </c>
      <c r="O158" s="24">
        <f>2*Subsurface_Inputs!$C$34*K158/Subsurface_Inputs!$C$35*1000000</f>
        <v>188.04389146134875</v>
      </c>
      <c r="P158" s="24">
        <f>Subsurface_Inputs!$C$37-2*Subsurface_Inputs!$C$36*(F158/1000)</f>
        <v>-11.849897617279517</v>
      </c>
      <c r="Q158" s="24">
        <f>Subsurface_Inputs!$C$38+Subsurface_Inputs!$C$39*H158-2*Subsurface_Inputs!$C$36*(I158/1000)</f>
        <v>-31.779584792618138</v>
      </c>
      <c r="R158" s="24">
        <f>Subsurface_Inputs!$C$40-2*Subsurface_Inputs!$C$36*(K158/1000)-Subsurface_Inputs!$C$41*ABS(L158-AVERAGE($L$2:$L$242))</f>
        <v>-37.128210680954943</v>
      </c>
      <c r="S158" s="24">
        <f t="shared" si="21"/>
        <v>758.04801034806405</v>
      </c>
      <c r="T158" s="24">
        <f t="shared" si="22"/>
        <v>15.408300764546064</v>
      </c>
      <c r="U158" s="25" t="str">
        <f>IF(H158&gt;=Subsurface_Inputs!$C$42,"Lens visible","Weak/no lens")</f>
        <v>Lens visible</v>
      </c>
      <c r="V158" s="25" t="str">
        <f t="shared" si="23"/>
        <v>Likely visible</v>
      </c>
      <c r="W158" s="24">
        <f>Subsurface_Inputs!$C$43</f>
        <v>-45</v>
      </c>
      <c r="X158" s="24">
        <f t="shared" si="24"/>
        <v>13.220415207381862</v>
      </c>
      <c r="Y158" s="24">
        <f t="shared" si="25"/>
        <v>7.8717893190450567</v>
      </c>
      <c r="Z158" s="24">
        <f t="shared" si="26"/>
        <v>13.220415207381862</v>
      </c>
      <c r="AA158" s="24">
        <v>0</v>
      </c>
    </row>
    <row r="159" spans="1:27">
      <c r="A159" s="24">
        <f>Model_Data!A159</f>
        <v>18.5</v>
      </c>
      <c r="B159" s="24">
        <f>Model_Data!Y159</f>
        <v>414.03078360213277</v>
      </c>
      <c r="C159" s="24">
        <f>Model_Data!X159</f>
        <v>84.15381309689964</v>
      </c>
      <c r="D159" s="24">
        <f>Model_Data!B159</f>
        <v>400.38027777777779</v>
      </c>
      <c r="E159" s="24">
        <f>Inputs!$C$6</f>
        <v>25</v>
      </c>
      <c r="F159" s="24">
        <f>Subsurface_Inputs!$C$5+Subsurface_Inputs!$C$6*SIN(2*PI()*(A159+Subsurface_Inputs!$C$7)/Subsurface_Inputs!$C$8)+Subsurface_Inputs!$C$9*COS(2*PI()*A159/Subsurface_Inputs!$C$10)+Subsurface_Inputs!$C$11*(B159-AVERAGE($B$2:$B$242))</f>
        <v>1029.8819065267064</v>
      </c>
      <c r="G159" s="24">
        <f t="shared" si="18"/>
        <v>-615.8511229245737</v>
      </c>
      <c r="H159" s="24">
        <f>MIN(1,MAX(0,Subsurface_Inputs!$C$13*EXP(-0.5*((A159-Subsurface_Inputs!$C$14)/Subsurface_Inputs!$C$15)^2)+Subsurface_Inputs!$C$16*EXP(-0.5*((A159-Subsurface_Inputs!$C$17)/Subsurface_Inputs!$C$18)^2)))</f>
        <v>0.24921930873889886</v>
      </c>
      <c r="I159" s="24">
        <f>Subsurface_Inputs!$C$19+Subsurface_Inputs!$C$20*SIN(2*PI()*(A159-Subsurface_Inputs!$C$21)/Subsurface_Inputs!$C$22)-Subsurface_Inputs!$C$23*H159</f>
        <v>5465.510633501357</v>
      </c>
      <c r="J159" s="24">
        <f t="shared" si="19"/>
        <v>-5051.4798498992241</v>
      </c>
      <c r="K159" s="24">
        <f>Subsurface_Inputs!$C$25+Subsurface_Inputs!$C$26*SIN(2*PI()*(A159+Subsurface_Inputs!$C$27)/Subsurface_Inputs!$C$28)+Subsurface_Inputs!$C$29*COS(2*PI()*(A159-Subsurface_Inputs!$C$30)/Subsurface_Inputs!$C$31)-Subsurface_Inputs!$C$32*(B159-AVERAGE($B$2:$B$242))</f>
        <v>15813.188429767819</v>
      </c>
      <c r="L159" s="24">
        <f t="shared" si="20"/>
        <v>-15399.157646165686</v>
      </c>
      <c r="M159" s="24">
        <f>2*Subsurface_Inputs!$C$34*F159/Subsurface_Inputs!$C$35*1000000</f>
        <v>12.22972589669042</v>
      </c>
      <c r="N159" s="24">
        <f>2*Subsurface_Inputs!$C$34*I159/Subsurface_Inputs!$C$35*1000000</f>
        <v>64.902292689647425</v>
      </c>
      <c r="O159" s="24">
        <f>2*Subsurface_Inputs!$C$34*K159/Subsurface_Inputs!$C$35*1000000</f>
        <v>187.77974331153266</v>
      </c>
      <c r="P159" s="24">
        <f>Subsurface_Inputs!$C$37-2*Subsurface_Inputs!$C$36*(F159/1000)</f>
        <v>-11.853787431748071</v>
      </c>
      <c r="Q159" s="24">
        <f>Subsurface_Inputs!$C$38+Subsurface_Inputs!$C$39*H159-2*Subsurface_Inputs!$C$36*(I159/1000)</f>
        <v>-31.594945361652353</v>
      </c>
      <c r="R159" s="24">
        <f>Subsurface_Inputs!$C$40-2*Subsurface_Inputs!$C$36*(K159/1000)-Subsurface_Inputs!$C$41*ABS(L159-AVERAGE($L$2:$L$242))</f>
        <v>-37.012539244273484</v>
      </c>
      <c r="S159" s="24">
        <f t="shared" si="21"/>
        <v>735.80373419370517</v>
      </c>
      <c r="T159" s="24">
        <f t="shared" si="22"/>
        <v>15.354370563803821</v>
      </c>
      <c r="U159" s="25" t="str">
        <f>IF(H159&gt;=Subsurface_Inputs!$C$42,"Lens visible","Weak/no lens")</f>
        <v>Lens visible</v>
      </c>
      <c r="V159" s="25" t="str">
        <f t="shared" si="23"/>
        <v>Likely visible</v>
      </c>
      <c r="W159" s="24">
        <f>Subsurface_Inputs!$C$43</f>
        <v>-45</v>
      </c>
      <c r="X159" s="24">
        <f t="shared" si="24"/>
        <v>13.405054638347647</v>
      </c>
      <c r="Y159" s="24">
        <f t="shared" si="25"/>
        <v>7.9874607557265165</v>
      </c>
      <c r="Z159" s="24">
        <f t="shared" si="26"/>
        <v>13.405054638347647</v>
      </c>
      <c r="AA159" s="24">
        <v>0</v>
      </c>
    </row>
    <row r="160" spans="1:27">
      <c r="A160" s="24">
        <f>Model_Data!A160</f>
        <v>19</v>
      </c>
      <c r="B160" s="24">
        <f>Model_Data!Y160</f>
        <v>429.33926339108206</v>
      </c>
      <c r="C160" s="24">
        <f>Model_Data!X160</f>
        <v>87.795161496026481</v>
      </c>
      <c r="D160" s="24">
        <f>Model_Data!B160</f>
        <v>400.40111111111111</v>
      </c>
      <c r="E160" s="24">
        <f>Inputs!$C$6</f>
        <v>25</v>
      </c>
      <c r="F160" s="24">
        <f>Subsurface_Inputs!$C$5+Subsurface_Inputs!$C$6*SIN(2*PI()*(A160+Subsurface_Inputs!$C$7)/Subsurface_Inputs!$C$8)+Subsurface_Inputs!$C$9*COS(2*PI()*A160/Subsurface_Inputs!$C$10)+Subsurface_Inputs!$C$11*(B160-AVERAGE($B$2:$B$242))</f>
        <v>1033.2205903331885</v>
      </c>
      <c r="G160" s="24">
        <f t="shared" si="18"/>
        <v>-603.8813269421064</v>
      </c>
      <c r="H160" s="24">
        <f>MIN(1,MAX(0,Subsurface_Inputs!$C$13*EXP(-0.5*((A160-Subsurface_Inputs!$C$14)/Subsurface_Inputs!$C$15)^2)+Subsurface_Inputs!$C$16*EXP(-0.5*((A160-Subsurface_Inputs!$C$17)/Subsurface_Inputs!$C$18)^2)))</f>
        <v>0.27208245300169098</v>
      </c>
      <c r="I160" s="24">
        <f>Subsurface_Inputs!$C$19+Subsurface_Inputs!$C$20*SIN(2*PI()*(A160-Subsurface_Inputs!$C$21)/Subsurface_Inputs!$C$22)-Subsurface_Inputs!$C$23*H160</f>
        <v>5471.1702328682086</v>
      </c>
      <c r="J160" s="24">
        <f t="shared" si="19"/>
        <v>-5041.8309694771269</v>
      </c>
      <c r="K160" s="24">
        <f>Subsurface_Inputs!$C$25+Subsurface_Inputs!$C$26*SIN(2*PI()*(A160+Subsurface_Inputs!$C$27)/Subsurface_Inputs!$C$28)+Subsurface_Inputs!$C$29*COS(2*PI()*(A160-Subsurface_Inputs!$C$30)/Subsurface_Inputs!$C$31)-Subsurface_Inputs!$C$32*(B160-AVERAGE($B$2:$B$242))</f>
        <v>15787.561669406819</v>
      </c>
      <c r="L160" s="24">
        <f t="shared" si="20"/>
        <v>-15358.222406015737</v>
      </c>
      <c r="M160" s="24">
        <f>2*Subsurface_Inputs!$C$34*F160/Subsurface_Inputs!$C$35*1000000</f>
        <v>12.269372372223422</v>
      </c>
      <c r="N160" s="24">
        <f>2*Subsurface_Inputs!$C$34*I160/Subsurface_Inputs!$C$35*1000000</f>
        <v>64.969499763102192</v>
      </c>
      <c r="O160" s="24">
        <f>2*Subsurface_Inputs!$C$34*K160/Subsurface_Inputs!$C$35*1000000</f>
        <v>187.47542856160936</v>
      </c>
      <c r="P160" s="24">
        <f>Subsurface_Inputs!$C$37-2*Subsurface_Inputs!$C$36*(F160/1000)</f>
        <v>-11.859797062599739</v>
      </c>
      <c r="Q160" s="24">
        <f>Subsurface_Inputs!$C$38+Subsurface_Inputs!$C$39*H160-2*Subsurface_Inputs!$C$36*(I160/1000)</f>
        <v>-31.399364342147557</v>
      </c>
      <c r="R160" s="24">
        <f>Subsurface_Inputs!$C$40-2*Subsurface_Inputs!$C$36*(K160/1000)-Subsurface_Inputs!$C$41*ABS(L160-AVERAGE($L$2:$L$242))</f>
        <v>-36.802670115023886</v>
      </c>
      <c r="S160" s="24">
        <f t="shared" si="21"/>
        <v>710.1769738327057</v>
      </c>
      <c r="T160" s="24">
        <f t="shared" si="22"/>
        <v>15.279952623007363</v>
      </c>
      <c r="U160" s="25" t="str">
        <f>IF(H160&gt;=Subsurface_Inputs!$C$42,"Lens visible","Weak/no lens")</f>
        <v>Lens visible</v>
      </c>
      <c r="V160" s="25" t="str">
        <f t="shared" si="23"/>
        <v>Likely visible</v>
      </c>
      <c r="W160" s="24">
        <f>Subsurface_Inputs!$C$43</f>
        <v>-45</v>
      </c>
      <c r="X160" s="24">
        <f t="shared" si="24"/>
        <v>13.600635657852443</v>
      </c>
      <c r="Y160" s="24">
        <f t="shared" si="25"/>
        <v>8.1973298849761136</v>
      </c>
      <c r="Z160" s="24">
        <f t="shared" si="26"/>
        <v>13.600635657852443</v>
      </c>
      <c r="AA160" s="24">
        <v>0</v>
      </c>
    </row>
    <row r="161" spans="1:27">
      <c r="A161" s="24">
        <f>Model_Data!A161</f>
        <v>19.5</v>
      </c>
      <c r="B161" s="24">
        <f>Model_Data!Y161</f>
        <v>436.66425250955575</v>
      </c>
      <c r="C161" s="24">
        <f>Model_Data!X161</f>
        <v>80.085787823255487</v>
      </c>
      <c r="D161" s="24">
        <f>Model_Data!B161</f>
        <v>400.42250000000001</v>
      </c>
      <c r="E161" s="24">
        <f>Inputs!$C$6</f>
        <v>25</v>
      </c>
      <c r="F161" s="24">
        <f>Subsurface_Inputs!$C$5+Subsurface_Inputs!$C$6*SIN(2*PI()*(A161+Subsurface_Inputs!$C$7)/Subsurface_Inputs!$C$8)+Subsurface_Inputs!$C$9*COS(2*PI()*A161/Subsurface_Inputs!$C$10)+Subsurface_Inputs!$C$11*(B161-AVERAGE($B$2:$B$242))</f>
        <v>1036.5586578182406</v>
      </c>
      <c r="G161" s="24">
        <f t="shared" si="18"/>
        <v>-599.89440530868478</v>
      </c>
      <c r="H161" s="24">
        <f>MIN(1,MAX(0,Subsurface_Inputs!$C$13*EXP(-0.5*((A161-Subsurface_Inputs!$C$14)/Subsurface_Inputs!$C$15)^2)+Subsurface_Inputs!$C$16*EXP(-0.5*((A161-Subsurface_Inputs!$C$17)/Subsurface_Inputs!$C$18)^2)))</f>
        <v>0.29589422906141688</v>
      </c>
      <c r="I161" s="24">
        <f>Subsurface_Inputs!$C$19+Subsurface_Inputs!$C$20*SIN(2*PI()*(A161-Subsurface_Inputs!$C$21)/Subsurface_Inputs!$C$22)-Subsurface_Inputs!$C$23*H161</f>
        <v>5475.9615806586044</v>
      </c>
      <c r="J161" s="24">
        <f t="shared" si="19"/>
        <v>-5039.2973281490486</v>
      </c>
      <c r="K161" s="24">
        <f>Subsurface_Inputs!$C$25+Subsurface_Inputs!$C$26*SIN(2*PI()*(A161+Subsurface_Inputs!$C$27)/Subsurface_Inputs!$C$28)+Subsurface_Inputs!$C$29*COS(2*PI()*(A161-Subsurface_Inputs!$C$30)/Subsurface_Inputs!$C$31)-Subsurface_Inputs!$C$32*(B161-AVERAGE($B$2:$B$242))</f>
        <v>15762.323121828636</v>
      </c>
      <c r="L161" s="24">
        <f t="shared" si="20"/>
        <v>-15325.658869319081</v>
      </c>
      <c r="M161" s="24">
        <f>2*Subsurface_Inputs!$C$34*F161/Subsurface_Inputs!$C$35*1000000</f>
        <v>12.309011529012302</v>
      </c>
      <c r="N161" s="24">
        <f>2*Subsurface_Inputs!$C$34*I161/Subsurface_Inputs!$C$35*1000000</f>
        <v>65.026396451723372</v>
      </c>
      <c r="O161" s="24">
        <f>2*Subsurface_Inputs!$C$34*K161/Subsurface_Inputs!$C$35*1000000</f>
        <v>187.17572379259104</v>
      </c>
      <c r="P161" s="24">
        <f>Subsurface_Inputs!$C$37-2*Subsurface_Inputs!$C$36*(F161/1000)</f>
        <v>-11.865805584072833</v>
      </c>
      <c r="Q161" s="24">
        <f>Subsurface_Inputs!$C$38+Subsurface_Inputs!$C$39*H161-2*Subsurface_Inputs!$C$36*(I161/1000)</f>
        <v>-31.193682783632738</v>
      </c>
      <c r="R161" s="24">
        <f>Subsurface_Inputs!$C$40-2*Subsurface_Inputs!$C$36*(K161/1000)-Subsurface_Inputs!$C$41*ABS(L161-AVERAGE($L$2:$L$242))</f>
        <v>-36.626986582596537</v>
      </c>
      <c r="S161" s="24">
        <f t="shared" si="21"/>
        <v>684.93842625452271</v>
      </c>
      <c r="T161" s="24">
        <f t="shared" si="22"/>
        <v>15.206397634076337</v>
      </c>
      <c r="U161" s="25" t="str">
        <f>IF(H161&gt;=Subsurface_Inputs!$C$42,"Lens visible","Weak/no lens")</f>
        <v>Lens visible</v>
      </c>
      <c r="V161" s="25" t="str">
        <f t="shared" si="23"/>
        <v>Likely visible</v>
      </c>
      <c r="W161" s="24">
        <f>Subsurface_Inputs!$C$43</f>
        <v>-45</v>
      </c>
      <c r="X161" s="24">
        <f t="shared" si="24"/>
        <v>13.806317216367262</v>
      </c>
      <c r="Y161" s="24">
        <f t="shared" si="25"/>
        <v>8.3730134174034632</v>
      </c>
      <c r="Z161" s="24">
        <f t="shared" si="26"/>
        <v>13.806317216367262</v>
      </c>
      <c r="AA161" s="24">
        <v>0</v>
      </c>
    </row>
    <row r="162" spans="1:27">
      <c r="A162" s="24">
        <f>Model_Data!A162</f>
        <v>20</v>
      </c>
      <c r="B162" s="24">
        <f>Model_Data!Y162</f>
        <v>439.01130208847866</v>
      </c>
      <c r="C162" s="24">
        <f>Model_Data!X162</f>
        <v>74.331668639094204</v>
      </c>
      <c r="D162" s="24">
        <f>Model_Data!B162</f>
        <v>400.44444444444446</v>
      </c>
      <c r="E162" s="24">
        <f>Inputs!$C$6</f>
        <v>25</v>
      </c>
      <c r="F162" s="24">
        <f>Subsurface_Inputs!$C$5+Subsurface_Inputs!$C$6*SIN(2*PI()*(A162+Subsurface_Inputs!$C$7)/Subsurface_Inputs!$C$8)+Subsurface_Inputs!$C$9*COS(2*PI()*A162/Subsurface_Inputs!$C$10)+Subsurface_Inputs!$C$11*(B162-AVERAGE($B$2:$B$242))</f>
        <v>1039.9080920443155</v>
      </c>
      <c r="G162" s="24">
        <f t="shared" si="18"/>
        <v>-600.89678995583677</v>
      </c>
      <c r="H162" s="24">
        <f>MIN(1,MAX(0,Subsurface_Inputs!$C$13*EXP(-0.5*((A162-Subsurface_Inputs!$C$14)/Subsurface_Inputs!$C$15)^2)+Subsurface_Inputs!$C$16*EXP(-0.5*((A162-Subsurface_Inputs!$C$17)/Subsurface_Inputs!$C$18)^2)))</f>
        <v>0.32054274866871602</v>
      </c>
      <c r="I162" s="24">
        <f>Subsurface_Inputs!$C$19+Subsurface_Inputs!$C$20*SIN(2*PI()*(A162-Subsurface_Inputs!$C$21)/Subsurface_Inputs!$C$22)-Subsurface_Inputs!$C$23*H162</f>
        <v>5479.8961107931982</v>
      </c>
      <c r="J162" s="24">
        <f t="shared" si="19"/>
        <v>-5040.8848087047199</v>
      </c>
      <c r="K162" s="24">
        <f>Subsurface_Inputs!$C$25+Subsurface_Inputs!$C$26*SIN(2*PI()*(A162+Subsurface_Inputs!$C$27)/Subsurface_Inputs!$C$28)+Subsurface_Inputs!$C$29*COS(2*PI()*(A162-Subsurface_Inputs!$C$30)/Subsurface_Inputs!$C$31)-Subsurface_Inputs!$C$32*(B162-AVERAGE($B$2:$B$242))</f>
        <v>15737.095893870179</v>
      </c>
      <c r="L162" s="24">
        <f t="shared" si="20"/>
        <v>-15298.084591781701</v>
      </c>
      <c r="M162" s="24">
        <f>2*Subsurface_Inputs!$C$34*F162/Subsurface_Inputs!$C$35*1000000</f>
        <v>12.348785664507155</v>
      </c>
      <c r="N162" s="24">
        <f>2*Subsurface_Inputs!$C$34*I162/Subsurface_Inputs!$C$35*1000000</f>
        <v>65.073118531967168</v>
      </c>
      <c r="O162" s="24">
        <f>2*Subsurface_Inputs!$C$34*K162/Subsurface_Inputs!$C$35*1000000</f>
        <v>186.87615344271885</v>
      </c>
      <c r="P162" s="24">
        <f>Subsurface_Inputs!$C$37-2*Subsurface_Inputs!$C$36*(F162/1000)</f>
        <v>-11.871834565679768</v>
      </c>
      <c r="Q162" s="24">
        <f>Subsurface_Inputs!$C$38+Subsurface_Inputs!$C$39*H162-2*Subsurface_Inputs!$C$36*(I162/1000)</f>
        <v>-30.978928261409315</v>
      </c>
      <c r="R162" s="24">
        <f>Subsurface_Inputs!$C$40-2*Subsurface_Inputs!$C$36*(K162/1000)-Subsurface_Inputs!$C$41*ABS(L162-AVERAGE($L$2:$L$242))</f>
        <v>-36.47128046212179</v>
      </c>
      <c r="S162" s="24">
        <f t="shared" si="21"/>
        <v>659.71119829606505</v>
      </c>
      <c r="T162" s="24">
        <f t="shared" si="22"/>
        <v>15.133160338172987</v>
      </c>
      <c r="U162" s="25" t="str">
        <f>IF(H162&gt;=Subsurface_Inputs!$C$42,"Lens visible","Weak/no lens")</f>
        <v>Lens visible</v>
      </c>
      <c r="V162" s="25" t="str">
        <f t="shared" si="23"/>
        <v>Likely visible</v>
      </c>
      <c r="W162" s="24">
        <f>Subsurface_Inputs!$C$43</f>
        <v>-45</v>
      </c>
      <c r="X162" s="24">
        <f t="shared" si="24"/>
        <v>14.021071738590685</v>
      </c>
      <c r="Y162" s="24">
        <f t="shared" si="25"/>
        <v>8.5287195378782101</v>
      </c>
      <c r="Z162" s="24">
        <f t="shared" si="26"/>
        <v>14.021071738590685</v>
      </c>
      <c r="AA162" s="24">
        <v>0</v>
      </c>
    </row>
    <row r="163" spans="1:27">
      <c r="A163" s="24">
        <f>Model_Data!A163</f>
        <v>20.5</v>
      </c>
      <c r="B163" s="24">
        <f>Model_Data!Y163</f>
        <v>441.76372328978528</v>
      </c>
      <c r="C163" s="24">
        <f>Model_Data!X163</f>
        <v>77.082988367878912</v>
      </c>
      <c r="D163" s="24">
        <f>Model_Data!B163</f>
        <v>400.46694444444444</v>
      </c>
      <c r="E163" s="24">
        <f>Inputs!$C$6</f>
        <v>25</v>
      </c>
      <c r="F163" s="24">
        <f>Subsurface_Inputs!$C$5+Subsurface_Inputs!$C$6*SIN(2*PI()*(A163+Subsurface_Inputs!$C$7)/Subsurface_Inputs!$C$8)+Subsurface_Inputs!$C$9*COS(2*PI()*A163/Subsurface_Inputs!$C$10)+Subsurface_Inputs!$C$11*(B163-AVERAGE($B$2:$B$242))</f>
        <v>1043.3832114945849</v>
      </c>
      <c r="G163" s="24">
        <f t="shared" si="18"/>
        <v>-601.61948820479961</v>
      </c>
      <c r="H163" s="24">
        <f>MIN(1,MAX(0,Subsurface_Inputs!$C$13*EXP(-0.5*((A163-Subsurface_Inputs!$C$14)/Subsurface_Inputs!$C$15)^2)+Subsurface_Inputs!$C$16*EXP(-0.5*((A163-Subsurface_Inputs!$C$17)/Subsurface_Inputs!$C$18)^2)))</f>
        <v>0.34589658787488875</v>
      </c>
      <c r="I163" s="24">
        <f>Subsurface_Inputs!$C$19+Subsurface_Inputs!$C$20*SIN(2*PI()*(A163-Subsurface_Inputs!$C$21)/Subsurface_Inputs!$C$22)-Subsurface_Inputs!$C$23*H163</f>
        <v>5482.9909085297759</v>
      </c>
      <c r="J163" s="24">
        <f t="shared" si="19"/>
        <v>-5041.2271852399908</v>
      </c>
      <c r="K163" s="24">
        <f>Subsurface_Inputs!$C$25+Subsurface_Inputs!$C$26*SIN(2*PI()*(A163+Subsurface_Inputs!$C$27)/Subsurface_Inputs!$C$28)+Subsurface_Inputs!$C$29*COS(2*PI()*(A163-Subsurface_Inputs!$C$30)/Subsurface_Inputs!$C$31)-Subsurface_Inputs!$C$32*(B163-AVERAGE($B$2:$B$242))</f>
        <v>15711.171253853849</v>
      </c>
      <c r="L163" s="24">
        <f t="shared" si="20"/>
        <v>-15269.407530564064</v>
      </c>
      <c r="M163" s="24">
        <f>2*Subsurface_Inputs!$C$34*F163/Subsurface_Inputs!$C$35*1000000</f>
        <v>12.390052297181947</v>
      </c>
      <c r="N163" s="24">
        <f>2*Subsurface_Inputs!$C$34*I163/Subsurface_Inputs!$C$35*1000000</f>
        <v>65.109868889250052</v>
      </c>
      <c r="O163" s="24">
        <f>2*Subsurface_Inputs!$C$34*K163/Subsurface_Inputs!$C$35*1000000</f>
        <v>186.56830140710113</v>
      </c>
      <c r="P163" s="24">
        <f>Subsurface_Inputs!$C$37-2*Subsurface_Inputs!$C$36*(F163/1000)</f>
        <v>-11.878089780690253</v>
      </c>
      <c r="Q163" s="24">
        <f>Subsurface_Inputs!$C$38+Subsurface_Inputs!$C$39*H163-2*Subsurface_Inputs!$C$36*(I163/1000)</f>
        <v>-30.756314344479598</v>
      </c>
      <c r="R163" s="24">
        <f>Subsurface_Inputs!$C$40-2*Subsurface_Inputs!$C$36*(K163/1000)-Subsurface_Inputs!$C$41*ABS(L163-AVERAGE($L$2:$L$242))</f>
        <v>-36.309907865221845</v>
      </c>
      <c r="S163" s="24">
        <f t="shared" si="21"/>
        <v>633.78655827973489</v>
      </c>
      <c r="T163" s="24">
        <f t="shared" si="22"/>
        <v>15.05791072807135</v>
      </c>
      <c r="U163" s="25" t="str">
        <f>IF(H163&gt;=Subsurface_Inputs!$C$42,"Lens visible","Weak/no lens")</f>
        <v>Lens visible</v>
      </c>
      <c r="V163" s="25" t="str">
        <f t="shared" si="23"/>
        <v>Likely visible</v>
      </c>
      <c r="W163" s="24">
        <f>Subsurface_Inputs!$C$43</f>
        <v>-45</v>
      </c>
      <c r="X163" s="24">
        <f t="shared" si="24"/>
        <v>14.243685655520402</v>
      </c>
      <c r="Y163" s="24">
        <f t="shared" si="25"/>
        <v>8.6900921347781548</v>
      </c>
      <c r="Z163" s="24">
        <f t="shared" si="26"/>
        <v>14.243685655520402</v>
      </c>
      <c r="AA163" s="24">
        <v>0</v>
      </c>
    </row>
    <row r="164" spans="1:27">
      <c r="A164" s="24">
        <f>Model_Data!A164</f>
        <v>21</v>
      </c>
      <c r="B164" s="24">
        <f>Model_Data!Y164</f>
        <v>441.25371433177679</v>
      </c>
      <c r="C164" s="24">
        <f>Model_Data!X164</f>
        <v>84.606080583689305</v>
      </c>
      <c r="D164" s="24">
        <f>Model_Data!B164</f>
        <v>400.49</v>
      </c>
      <c r="E164" s="24">
        <f>Inputs!$C$6</f>
        <v>25</v>
      </c>
      <c r="F164" s="24">
        <f>Subsurface_Inputs!$C$5+Subsurface_Inputs!$C$6*SIN(2*PI()*(A164+Subsurface_Inputs!$C$7)/Subsurface_Inputs!$C$8)+Subsurface_Inputs!$C$9*COS(2*PI()*A164/Subsurface_Inputs!$C$10)+Subsurface_Inputs!$C$11*(B164-AVERAGE($B$2:$B$242))</f>
        <v>1046.7456226138204</v>
      </c>
      <c r="G164" s="24">
        <f t="shared" si="18"/>
        <v>-605.4919082820436</v>
      </c>
      <c r="H164" s="24">
        <f>MIN(1,MAX(0,Subsurface_Inputs!$C$13*EXP(-0.5*((A164-Subsurface_Inputs!$C$14)/Subsurface_Inputs!$C$15)^2)+Subsurface_Inputs!$C$16*EXP(-0.5*((A164-Subsurface_Inputs!$C$17)/Subsurface_Inputs!$C$18)^2)))</f>
        <v>0.37180525575726497</v>
      </c>
      <c r="I164" s="24">
        <f>Subsurface_Inputs!$C$19+Subsurface_Inputs!$C$20*SIN(2*PI()*(A164-Subsurface_Inputs!$C$21)/Subsurface_Inputs!$C$22)-Subsurface_Inputs!$C$23*H164</f>
        <v>5485.268619186063</v>
      </c>
      <c r="J164" s="24">
        <f t="shared" si="19"/>
        <v>-5044.0149048542862</v>
      </c>
      <c r="K164" s="24">
        <f>Subsurface_Inputs!$C$25+Subsurface_Inputs!$C$26*SIN(2*PI()*(A164+Subsurface_Inputs!$C$27)/Subsurface_Inputs!$C$28)+Subsurface_Inputs!$C$29*COS(2*PI()*(A164-Subsurface_Inputs!$C$30)/Subsurface_Inputs!$C$31)-Subsurface_Inputs!$C$32*(B164-AVERAGE($B$2:$B$242))</f>
        <v>15685.108568743879</v>
      </c>
      <c r="L164" s="24">
        <f t="shared" si="20"/>
        <v>-15243.854854412102</v>
      </c>
      <c r="M164" s="24">
        <f>2*Subsurface_Inputs!$C$34*F164/Subsurface_Inputs!$C$35*1000000</f>
        <v>12.42998053174907</v>
      </c>
      <c r="N164" s="24">
        <f>2*Subsurface_Inputs!$C$34*I164/Subsurface_Inputs!$C$35*1000000</f>
        <v>65.136916434043115</v>
      </c>
      <c r="O164" s="24">
        <f>2*Subsurface_Inputs!$C$34*K164/Subsurface_Inputs!$C$35*1000000</f>
        <v>186.25881010231487</v>
      </c>
      <c r="P164" s="24">
        <f>Subsurface_Inputs!$C$37-2*Subsurface_Inputs!$C$36*(F164/1000)</f>
        <v>-11.884142120704876</v>
      </c>
      <c r="Q164" s="24">
        <f>Subsurface_Inputs!$C$38+Subsurface_Inputs!$C$39*H164-2*Subsurface_Inputs!$C$36*(I164/1000)</f>
        <v>-30.527236212719529</v>
      </c>
      <c r="R164" s="24">
        <f>Subsurface_Inputs!$C$40-2*Subsurface_Inputs!$C$36*(K164/1000)-Subsurface_Inputs!$C$41*ABS(L164-AVERAGE($L$2:$L$242))</f>
        <v>-36.160784327416053</v>
      </c>
      <c r="S164" s="24">
        <f t="shared" si="21"/>
        <v>607.72387316976528</v>
      </c>
      <c r="T164" s="24">
        <f t="shared" si="22"/>
        <v>14.984642142163171</v>
      </c>
      <c r="U164" s="25" t="str">
        <f>IF(H164&gt;=Subsurface_Inputs!$C$42,"Lens visible","Weak/no lens")</f>
        <v>Lens visible</v>
      </c>
      <c r="V164" s="25" t="str">
        <f t="shared" si="23"/>
        <v>Likely visible</v>
      </c>
      <c r="W164" s="24">
        <f>Subsurface_Inputs!$C$43</f>
        <v>-45</v>
      </c>
      <c r="X164" s="24">
        <f t="shared" si="24"/>
        <v>14.472763787280471</v>
      </c>
      <c r="Y164" s="24">
        <f t="shared" si="25"/>
        <v>8.839215672583947</v>
      </c>
      <c r="Z164" s="24">
        <f t="shared" si="26"/>
        <v>14.472763787280471</v>
      </c>
      <c r="AA164" s="24">
        <v>0</v>
      </c>
    </row>
    <row r="165" spans="1:27">
      <c r="A165" s="24">
        <f>Model_Data!A165</f>
        <v>21.5</v>
      </c>
      <c r="B165" s="24">
        <f>Model_Data!Y165</f>
        <v>444.13942667643141</v>
      </c>
      <c r="C165" s="24">
        <f>Model_Data!X165</f>
        <v>83.651674349785893</v>
      </c>
      <c r="D165" s="24">
        <f>Model_Data!B165</f>
        <v>400.51361111111112</v>
      </c>
      <c r="E165" s="24">
        <f>Inputs!$C$6</f>
        <v>25</v>
      </c>
      <c r="F165" s="24">
        <f>Subsurface_Inputs!$C$5+Subsurface_Inputs!$C$6*SIN(2*PI()*(A165+Subsurface_Inputs!$C$7)/Subsurface_Inputs!$C$8)+Subsurface_Inputs!$C$9*COS(2*PI()*A165/Subsurface_Inputs!$C$10)+Subsurface_Inputs!$C$11*(B165-AVERAGE($B$2:$B$242))</f>
        <v>1050.1811724741333</v>
      </c>
      <c r="G165" s="24">
        <f t="shared" si="18"/>
        <v>-606.04174579770188</v>
      </c>
      <c r="H165" s="24">
        <f>MIN(1,MAX(0,Subsurface_Inputs!$C$13*EXP(-0.5*((A165-Subsurface_Inputs!$C$14)/Subsurface_Inputs!$C$15)^2)+Subsurface_Inputs!$C$16*EXP(-0.5*((A165-Subsurface_Inputs!$C$17)/Subsurface_Inputs!$C$18)^2)))</f>
        <v>0.39810009278565606</v>
      </c>
      <c r="I165" s="24">
        <f>Subsurface_Inputs!$C$19+Subsurface_Inputs!$C$20*SIN(2*PI()*(A165-Subsurface_Inputs!$C$21)/Subsurface_Inputs!$C$22)-Subsurface_Inputs!$C$23*H165</f>
        <v>5486.7572523045319</v>
      </c>
      <c r="J165" s="24">
        <f t="shared" si="19"/>
        <v>-5042.6178256281</v>
      </c>
      <c r="K165" s="24">
        <f>Subsurface_Inputs!$C$25+Subsurface_Inputs!$C$26*SIN(2*PI()*(A165+Subsurface_Inputs!$C$27)/Subsurface_Inputs!$C$28)+Subsurface_Inputs!$C$29*COS(2*PI()*(A165-Subsurface_Inputs!$C$30)/Subsurface_Inputs!$C$31)-Subsurface_Inputs!$C$32*(B165-AVERAGE($B$2:$B$242))</f>
        <v>15658.02240777977</v>
      </c>
      <c r="L165" s="24">
        <f t="shared" si="20"/>
        <v>-15213.882981103339</v>
      </c>
      <c r="M165" s="24">
        <f>2*Subsurface_Inputs!$C$34*F165/Subsurface_Inputs!$C$35*1000000</f>
        <v>12.470777280220688</v>
      </c>
      <c r="N165" s="24">
        <f>2*Subsurface_Inputs!$C$34*I165/Subsurface_Inputs!$C$35*1000000</f>
        <v>65.154593776352215</v>
      </c>
      <c r="O165" s="24">
        <f>2*Subsurface_Inputs!$C$34*K165/Subsurface_Inputs!$C$35*1000000</f>
        <v>185.93716514274678</v>
      </c>
      <c r="P165" s="24">
        <f>Subsurface_Inputs!$C$37-2*Subsurface_Inputs!$C$36*(F165/1000)</f>
        <v>-11.89032611045344</v>
      </c>
      <c r="Q165" s="24">
        <f>Subsurface_Inputs!$C$38+Subsurface_Inputs!$C$39*H165-2*Subsurface_Inputs!$C$36*(I165/1000)</f>
        <v>-30.293262219077253</v>
      </c>
      <c r="R165" s="24">
        <f>Subsurface_Inputs!$C$40-2*Subsurface_Inputs!$C$36*(K165/1000)-Subsurface_Inputs!$C$41*ABS(L165-AVERAGE($L$2:$L$242))</f>
        <v>-35.992141744445604</v>
      </c>
      <c r="S165" s="24">
        <f t="shared" si="21"/>
        <v>580.6377122056565</v>
      </c>
      <c r="T165" s="24">
        <f t="shared" si="22"/>
        <v>14.90982967337994</v>
      </c>
      <c r="U165" s="25" t="str">
        <f>IF(H165&gt;=Subsurface_Inputs!$C$42,"Lens visible","Weak/no lens")</f>
        <v>Lens visible</v>
      </c>
      <c r="V165" s="25" t="str">
        <f t="shared" si="23"/>
        <v>Likely visible</v>
      </c>
      <c r="W165" s="24">
        <f>Subsurface_Inputs!$C$43</f>
        <v>-45</v>
      </c>
      <c r="X165" s="24">
        <f t="shared" si="24"/>
        <v>14.706737780922747</v>
      </c>
      <c r="Y165" s="24">
        <f t="shared" si="25"/>
        <v>9.007858255554396</v>
      </c>
      <c r="Z165" s="24">
        <f t="shared" si="26"/>
        <v>14.706737780922747</v>
      </c>
      <c r="AA165" s="24">
        <v>0</v>
      </c>
    </row>
    <row r="166" spans="1:27">
      <c r="A166" s="24">
        <f>Model_Data!A166</f>
        <v>22</v>
      </c>
      <c r="B166" s="24">
        <f>Model_Data!Y166</f>
        <v>447.7794532624074</v>
      </c>
      <c r="C166" s="24">
        <f>Model_Data!X166</f>
        <v>73.365898263722698</v>
      </c>
      <c r="D166" s="24">
        <f>Model_Data!B166</f>
        <v>400.53777777777776</v>
      </c>
      <c r="E166" s="24">
        <f>Inputs!$C$6</f>
        <v>25</v>
      </c>
      <c r="F166" s="24">
        <f>Subsurface_Inputs!$C$5+Subsurface_Inputs!$C$6*SIN(2*PI()*(A166+Subsurface_Inputs!$C$7)/Subsurface_Inputs!$C$8)+Subsurface_Inputs!$C$9*COS(2*PI()*A166/Subsurface_Inputs!$C$10)+Subsurface_Inputs!$C$11*(B166-AVERAGE($B$2:$B$242))</f>
        <v>1053.5165251391243</v>
      </c>
      <c r="G166" s="24">
        <f t="shared" si="18"/>
        <v>-605.73707187671687</v>
      </c>
      <c r="H166" s="24">
        <f>MIN(1,MAX(0,Subsurface_Inputs!$C$13*EXP(-0.5*((A166-Subsurface_Inputs!$C$14)/Subsurface_Inputs!$C$15)^2)+Subsurface_Inputs!$C$16*EXP(-0.5*((A166-Subsurface_Inputs!$C$17)/Subsurface_Inputs!$C$18)^2)))</f>
        <v>0.42459561017803377</v>
      </c>
      <c r="I166" s="24">
        <f>Subsurface_Inputs!$C$19+Subsurface_Inputs!$C$20*SIN(2*PI()*(A166-Subsurface_Inputs!$C$21)/Subsurface_Inputs!$C$22)-Subsurface_Inputs!$C$23*H166</f>
        <v>5487.4898785066434</v>
      </c>
      <c r="J166" s="24">
        <f t="shared" si="19"/>
        <v>-5039.7104252442359</v>
      </c>
      <c r="K166" s="24">
        <f>Subsurface_Inputs!$C$25+Subsurface_Inputs!$C$26*SIN(2*PI()*(A166+Subsurface_Inputs!$C$27)/Subsurface_Inputs!$C$28)+Subsurface_Inputs!$C$29*COS(2*PI()*(A166-Subsurface_Inputs!$C$30)/Subsurface_Inputs!$C$31)-Subsurface_Inputs!$C$32*(B166-AVERAGE($B$2:$B$242))</f>
        <v>15630.330005252259</v>
      </c>
      <c r="L166" s="24">
        <f t="shared" si="20"/>
        <v>-15182.550551989852</v>
      </c>
      <c r="M166" s="24">
        <f>2*Subsurface_Inputs!$C$34*F166/Subsurface_Inputs!$C$35*1000000</f>
        <v>12.51038419884226</v>
      </c>
      <c r="N166" s="24">
        <f>2*Subsurface_Inputs!$C$34*I166/Subsurface_Inputs!$C$35*1000000</f>
        <v>65.163293625897865</v>
      </c>
      <c r="O166" s="24">
        <f>2*Subsurface_Inputs!$C$34*K166/Subsurface_Inputs!$C$35*1000000</f>
        <v>185.60832113627771</v>
      </c>
      <c r="P166" s="24">
        <f>Subsurface_Inputs!$C$37-2*Subsurface_Inputs!$C$36*(F166/1000)</f>
        <v>-11.896329745250423</v>
      </c>
      <c r="Q166" s="24">
        <f>Subsurface_Inputs!$C$38+Subsurface_Inputs!$C$39*H166-2*Subsurface_Inputs!$C$36*(I166/1000)</f>
        <v>-30.056121289709651</v>
      </c>
      <c r="R166" s="24">
        <f>Subsurface_Inputs!$C$40-2*Subsurface_Inputs!$C$36*(K166/1000)-Subsurface_Inputs!$C$41*ABS(L166-AVERAGE($L$2:$L$242))</f>
        <v>-35.816965703442143</v>
      </c>
      <c r="S166" s="24">
        <f t="shared" si="21"/>
        <v>552.94530967814535</v>
      </c>
      <c r="T166" s="24">
        <f t="shared" si="22"/>
        <v>14.836340610023335</v>
      </c>
      <c r="U166" s="25" t="str">
        <f>IF(H166&gt;=Subsurface_Inputs!$C$42,"Lens visible","Weak/no lens")</f>
        <v>Lens visible</v>
      </c>
      <c r="V166" s="25" t="str">
        <f t="shared" si="23"/>
        <v>Likely visible</v>
      </c>
      <c r="W166" s="24">
        <f>Subsurface_Inputs!$C$43</f>
        <v>-45</v>
      </c>
      <c r="X166" s="24">
        <f t="shared" si="24"/>
        <v>14.943878710290349</v>
      </c>
      <c r="Y166" s="24">
        <f t="shared" si="25"/>
        <v>9.1830342965578566</v>
      </c>
      <c r="Z166" s="24">
        <f t="shared" si="26"/>
        <v>14.943878710290349</v>
      </c>
      <c r="AA166" s="24">
        <v>0</v>
      </c>
    </row>
    <row r="167" spans="1:27">
      <c r="A167" s="24">
        <f>Model_Data!A167</f>
        <v>22.5</v>
      </c>
      <c r="B167" s="24">
        <f>Model_Data!Y167</f>
        <v>442.50927153418206</v>
      </c>
      <c r="C167" s="24">
        <f>Model_Data!X167</f>
        <v>73.863220086762837</v>
      </c>
      <c r="D167" s="24">
        <f>Model_Data!B167</f>
        <v>400.5625</v>
      </c>
      <c r="E167" s="24">
        <f>Inputs!$C$6</f>
        <v>25</v>
      </c>
      <c r="F167" s="24">
        <f>Subsurface_Inputs!$C$5+Subsurface_Inputs!$C$6*SIN(2*PI()*(A167+Subsurface_Inputs!$C$7)/Subsurface_Inputs!$C$8)+Subsurface_Inputs!$C$9*COS(2*PI()*A167/Subsurface_Inputs!$C$10)+Subsurface_Inputs!$C$11*(B167-AVERAGE($B$2:$B$242))</f>
        <v>1056.3115127442754</v>
      </c>
      <c r="G167" s="24">
        <f t="shared" si="18"/>
        <v>-613.80224121009337</v>
      </c>
      <c r="H167" s="24">
        <f>MIN(1,MAX(0,Subsurface_Inputs!$C$13*EXP(-0.5*((A167-Subsurface_Inputs!$C$14)/Subsurface_Inputs!$C$15)^2)+Subsurface_Inputs!$C$16*EXP(-0.5*((A167-Subsurface_Inputs!$C$17)/Subsurface_Inputs!$C$18)^2)))</f>
        <v>0.45109127010795935</v>
      </c>
      <c r="I167" s="24">
        <f>Subsurface_Inputs!$C$19+Subsurface_Inputs!$C$20*SIN(2*PI()*(A167-Subsurface_Inputs!$C$21)/Subsurface_Inputs!$C$22)-Subsurface_Inputs!$C$23*H167</f>
        <v>5487.5042190426539</v>
      </c>
      <c r="J167" s="24">
        <f t="shared" si="19"/>
        <v>-5044.9949475084723</v>
      </c>
      <c r="K167" s="24">
        <f>Subsurface_Inputs!$C$25+Subsurface_Inputs!$C$26*SIN(2*PI()*(A167+Subsurface_Inputs!$C$27)/Subsurface_Inputs!$C$28)+Subsurface_Inputs!$C$29*COS(2*PI()*(A167-Subsurface_Inputs!$C$30)/Subsurface_Inputs!$C$31)-Subsurface_Inputs!$C$32*(B167-AVERAGE($B$2:$B$242))</f>
        <v>15603.432448110259</v>
      </c>
      <c r="L167" s="24">
        <f t="shared" si="20"/>
        <v>-15160.923176576078</v>
      </c>
      <c r="M167" s="24">
        <f>2*Subsurface_Inputs!$C$34*F167/Subsurface_Inputs!$C$35*1000000</f>
        <v>12.543574346255303</v>
      </c>
      <c r="N167" s="24">
        <f>2*Subsurface_Inputs!$C$34*I167/Subsurface_Inputs!$C$35*1000000</f>
        <v>65.163463918067777</v>
      </c>
      <c r="O167" s="24">
        <f>2*Subsurface_Inputs!$C$34*K167/Subsurface_Inputs!$C$35*1000000</f>
        <v>185.28891582480213</v>
      </c>
      <c r="P167" s="24">
        <f>Subsurface_Inputs!$C$37-2*Subsurface_Inputs!$C$36*(F167/1000)</f>
        <v>-11.901360722939696</v>
      </c>
      <c r="Q167" s="24">
        <f>Subsurface_Inputs!$C$38+Subsurface_Inputs!$C$39*H167-2*Subsurface_Inputs!$C$36*(I167/1000)</f>
        <v>-29.81768616330514</v>
      </c>
      <c r="R167" s="24">
        <f>Subsurface_Inputs!$C$40-2*Subsurface_Inputs!$C$36*(K167/1000)-Subsurface_Inputs!$C$41*ABS(L167-AVERAGE($L$2:$L$242))</f>
        <v>-35.682040598931444</v>
      </c>
      <c r="S167" s="24">
        <f t="shared" si="21"/>
        <v>526.04775253614571</v>
      </c>
      <c r="T167" s="24">
        <f t="shared" si="22"/>
        <v>14.77162017061886</v>
      </c>
      <c r="U167" s="25" t="str">
        <f>IF(H167&gt;=Subsurface_Inputs!$C$42,"Lens visible","Weak/no lens")</f>
        <v>Lens visible</v>
      </c>
      <c r="V167" s="25" t="str">
        <f t="shared" si="23"/>
        <v>Likely visible</v>
      </c>
      <c r="W167" s="24">
        <f>Subsurface_Inputs!$C$43</f>
        <v>-45</v>
      </c>
      <c r="X167" s="24">
        <f t="shared" si="24"/>
        <v>15.18231383669486</v>
      </c>
      <c r="Y167" s="24">
        <f t="shared" si="25"/>
        <v>9.3179594010685562</v>
      </c>
      <c r="Z167" s="24">
        <f t="shared" si="26"/>
        <v>15.18231383669486</v>
      </c>
      <c r="AA167" s="24">
        <v>0</v>
      </c>
    </row>
    <row r="168" spans="1:27">
      <c r="A168" s="24">
        <f>Model_Data!A168</f>
        <v>23</v>
      </c>
      <c r="B168" s="24">
        <f>Model_Data!Y168</f>
        <v>438.1289491107309</v>
      </c>
      <c r="C168" s="24">
        <f>Model_Data!X168</f>
        <v>61.781548358505674</v>
      </c>
      <c r="D168" s="24">
        <f>Model_Data!B168</f>
        <v>400.58777777777777</v>
      </c>
      <c r="E168" s="24">
        <f>Inputs!$C$6</f>
        <v>25</v>
      </c>
      <c r="F168" s="24">
        <f>Subsurface_Inputs!$C$5+Subsurface_Inputs!$C$6*SIN(2*PI()*(A168+Subsurface_Inputs!$C$7)/Subsurface_Inputs!$C$8)+Subsurface_Inputs!$C$9*COS(2*PI()*A168/Subsurface_Inputs!$C$10)+Subsurface_Inputs!$C$11*(B168-AVERAGE($B$2:$B$242))</f>
        <v>1058.9196093320863</v>
      </c>
      <c r="G168" s="24">
        <f t="shared" si="18"/>
        <v>-620.79066022135544</v>
      </c>
      <c r="H168" s="24">
        <f>MIN(1,MAX(0,Subsurface_Inputs!$C$13*EXP(-0.5*((A168-Subsurface_Inputs!$C$14)/Subsurface_Inputs!$C$15)^2)+Subsurface_Inputs!$C$16*EXP(-0.5*((A168-Subsurface_Inputs!$C$17)/Subsurface_Inputs!$C$18)^2)))</f>
        <v>0.47737369427794657</v>
      </c>
      <c r="I168" s="24">
        <f>Subsurface_Inputs!$C$19+Subsurface_Inputs!$C$20*SIN(2*PI()*(A168-Subsurface_Inputs!$C$21)/Subsurface_Inputs!$C$22)-Subsurface_Inputs!$C$23*H168</f>
        <v>5486.8421310089261</v>
      </c>
      <c r="J168" s="24">
        <f t="shared" si="19"/>
        <v>-5048.7131818981952</v>
      </c>
      <c r="K168" s="24">
        <f>Subsurface_Inputs!$C$25+Subsurface_Inputs!$C$26*SIN(2*PI()*(A168+Subsurface_Inputs!$C$27)/Subsurface_Inputs!$C$28)+Subsurface_Inputs!$C$29*COS(2*PI()*(A168-Subsurface_Inputs!$C$30)/Subsurface_Inputs!$C$31)-Subsurface_Inputs!$C$32*(B168-AVERAGE($B$2:$B$242))</f>
        <v>15576.006285577792</v>
      </c>
      <c r="L168" s="24">
        <f t="shared" si="20"/>
        <v>-15137.877336467061</v>
      </c>
      <c r="M168" s="24">
        <f>2*Subsurface_Inputs!$C$34*F168/Subsurface_Inputs!$C$35*1000000</f>
        <v>12.574545184929994</v>
      </c>
      <c r="N168" s="24">
        <f>2*Subsurface_Inputs!$C$34*I168/Subsurface_Inputs!$C$35*1000000</f>
        <v>65.155601700933303</v>
      </c>
      <c r="O168" s="24">
        <f>2*Subsurface_Inputs!$C$34*K168/Subsurface_Inputs!$C$35*1000000</f>
        <v>184.9632333868017</v>
      </c>
      <c r="P168" s="24">
        <f>Subsurface_Inputs!$C$37-2*Subsurface_Inputs!$C$36*(F168/1000)</f>
        <v>-11.906055296797755</v>
      </c>
      <c r="Q168" s="24">
        <f>Subsurface_Inputs!$C$38+Subsurface_Inputs!$C$39*H168-2*Subsurface_Inputs!$C$36*(I168/1000)</f>
        <v>-29.579952587314544</v>
      </c>
      <c r="R168" s="24">
        <f>Subsurface_Inputs!$C$40-2*Subsurface_Inputs!$C$36*(K168/1000)-Subsurface_Inputs!$C$41*ABS(L168-AVERAGE($L$2:$L$242))</f>
        <v>-35.540490145936936</v>
      </c>
      <c r="S168" s="24">
        <f t="shared" si="21"/>
        <v>498.62159000367865</v>
      </c>
      <c r="T168" s="24">
        <f t="shared" si="22"/>
        <v>14.709337846149019</v>
      </c>
      <c r="U168" s="25" t="str">
        <f>IF(H168&gt;=Subsurface_Inputs!$C$42,"Lens visible","Weak/no lens")</f>
        <v>Lens visible</v>
      </c>
      <c r="V168" s="25" t="str">
        <f t="shared" si="23"/>
        <v>Likely visible</v>
      </c>
      <c r="W168" s="24">
        <f>Subsurface_Inputs!$C$43</f>
        <v>-45</v>
      </c>
      <c r="X168" s="24">
        <f t="shared" si="24"/>
        <v>15.420047412685456</v>
      </c>
      <c r="Y168" s="24">
        <f t="shared" si="25"/>
        <v>9.4595098540630644</v>
      </c>
      <c r="Z168" s="24">
        <f t="shared" si="26"/>
        <v>15.420047412685456</v>
      </c>
      <c r="AA168" s="24">
        <v>0</v>
      </c>
    </row>
    <row r="169" spans="1:27">
      <c r="A169" s="24">
        <f>Model_Data!A169</f>
        <v>23.5</v>
      </c>
      <c r="B169" s="24">
        <f>Model_Data!Y169</f>
        <v>431.2131008039683</v>
      </c>
      <c r="C169" s="24">
        <f>Model_Data!X169</f>
        <v>70.988668852426656</v>
      </c>
      <c r="D169" s="24">
        <f>Model_Data!B169</f>
        <v>400.61361111111108</v>
      </c>
      <c r="E169" s="24">
        <f>Inputs!$C$6</f>
        <v>25</v>
      </c>
      <c r="F169" s="24">
        <f>Subsurface_Inputs!$C$5+Subsurface_Inputs!$C$6*SIN(2*PI()*(A169+Subsurface_Inputs!$C$7)/Subsurface_Inputs!$C$8)+Subsurface_Inputs!$C$9*COS(2*PI()*A169/Subsurface_Inputs!$C$10)+Subsurface_Inputs!$C$11*(B169-AVERAGE($B$2:$B$242))</f>
        <v>1061.1809491853051</v>
      </c>
      <c r="G169" s="24">
        <f t="shared" si="18"/>
        <v>-629.96784838133681</v>
      </c>
      <c r="H169" s="24">
        <f>MIN(1,MAX(0,Subsurface_Inputs!$C$13*EXP(-0.5*((A169-Subsurface_Inputs!$C$14)/Subsurface_Inputs!$C$15)^2)+Subsurface_Inputs!$C$16*EXP(-0.5*((A169-Subsurface_Inputs!$C$17)/Subsurface_Inputs!$C$18)^2)))</f>
        <v>0.50321927554634116</v>
      </c>
      <c r="I169" s="24">
        <f>Subsurface_Inputs!$C$19+Subsurface_Inputs!$C$20*SIN(2*PI()*(A169-Subsurface_Inputs!$C$21)/Subsurface_Inputs!$C$22)-Subsurface_Inputs!$C$23*H169</f>
        <v>5485.5489942853237</v>
      </c>
      <c r="J169" s="24">
        <f t="shared" si="19"/>
        <v>-5054.335893481355</v>
      </c>
      <c r="K169" s="24">
        <f>Subsurface_Inputs!$C$25+Subsurface_Inputs!$C$26*SIN(2*PI()*(A169+Subsurface_Inputs!$C$27)/Subsurface_Inputs!$C$28)+Subsurface_Inputs!$C$29*COS(2*PI()*(A169-Subsurface_Inputs!$C$30)/Subsurface_Inputs!$C$31)-Subsurface_Inputs!$C$32*(B169-AVERAGE($B$2:$B$242))</f>
        <v>15548.580022641643</v>
      </c>
      <c r="L169" s="24">
        <f t="shared" si="20"/>
        <v>-15117.366921837674</v>
      </c>
      <c r="M169" s="24">
        <f>2*Subsurface_Inputs!$C$34*F169/Subsurface_Inputs!$C$35*1000000</f>
        <v>12.601398328371843</v>
      </c>
      <c r="N169" s="24">
        <f>2*Subsurface_Inputs!$C$34*I169/Subsurface_Inputs!$C$35*1000000</f>
        <v>65.140245855203446</v>
      </c>
      <c r="O169" s="24">
        <f>2*Subsurface_Inputs!$C$34*K169/Subsurface_Inputs!$C$35*1000000</f>
        <v>184.63754975651938</v>
      </c>
      <c r="P169" s="24">
        <f>Subsurface_Inputs!$C$37-2*Subsurface_Inputs!$C$36*(F169/1000)</f>
        <v>-11.910125708533549</v>
      </c>
      <c r="Q169" s="24">
        <f>Subsurface_Inputs!$C$38+Subsurface_Inputs!$C$39*H169-2*Subsurface_Inputs!$C$36*(I169/1000)</f>
        <v>-29.345014709796516</v>
      </c>
      <c r="R169" s="24">
        <f>Subsurface_Inputs!$C$40-2*Subsurface_Inputs!$C$36*(K169/1000)-Subsurface_Inputs!$C$41*ABS(L169-AVERAGE($L$2:$L$242))</f>
        <v>-35.409081214134325</v>
      </c>
      <c r="S169" s="24">
        <f t="shared" si="21"/>
        <v>471.19532706752943</v>
      </c>
      <c r="T169" s="24">
        <f t="shared" si="22"/>
        <v>14.652147717671218</v>
      </c>
      <c r="U169" s="25" t="str">
        <f>IF(H169&gt;=Subsurface_Inputs!$C$42,"Lens visible","Weak/no lens")</f>
        <v>Lens visible</v>
      </c>
      <c r="V169" s="25" t="str">
        <f t="shared" si="23"/>
        <v>Likely visible</v>
      </c>
      <c r="W169" s="24">
        <f>Subsurface_Inputs!$C$43</f>
        <v>-45</v>
      </c>
      <c r="X169" s="24">
        <f t="shared" si="24"/>
        <v>15.654985290203484</v>
      </c>
      <c r="Y169" s="24">
        <f t="shared" si="25"/>
        <v>9.590918785865675</v>
      </c>
      <c r="Z169" s="24">
        <f t="shared" si="26"/>
        <v>15.654985290203484</v>
      </c>
      <c r="AA169" s="24">
        <v>0</v>
      </c>
    </row>
    <row r="170" spans="1:27">
      <c r="A170" s="24">
        <f>Model_Data!A170</f>
        <v>24</v>
      </c>
      <c r="B170" s="24">
        <f>Model_Data!Y170</f>
        <v>441.26250725072242</v>
      </c>
      <c r="C170" s="24">
        <f>Model_Data!X170</f>
        <v>75.468150170569217</v>
      </c>
      <c r="D170" s="24">
        <f>Model_Data!B170</f>
        <v>400.64</v>
      </c>
      <c r="E170" s="24">
        <f>Inputs!$C$6</f>
        <v>25</v>
      </c>
      <c r="F170" s="24">
        <f>Subsurface_Inputs!$C$5+Subsurface_Inputs!$C$6*SIN(2*PI()*(A170+Subsurface_Inputs!$C$7)/Subsurface_Inputs!$C$8)+Subsurface_Inputs!$C$9*COS(2*PI()*A170/Subsurface_Inputs!$C$10)+Subsurface_Inputs!$C$11*(B170-AVERAGE($B$2:$B$242))</f>
        <v>1063.8686550645732</v>
      </c>
      <c r="G170" s="24">
        <f t="shared" si="18"/>
        <v>-622.60614781385084</v>
      </c>
      <c r="H170" s="24">
        <f>MIN(1,MAX(0,Subsurface_Inputs!$C$13*EXP(-0.5*((A170-Subsurface_Inputs!$C$14)/Subsurface_Inputs!$C$15)^2)+Subsurface_Inputs!$C$16*EXP(-0.5*((A170-Subsurface_Inputs!$C$17)/Subsurface_Inputs!$C$18)^2)))</f>
        <v>0.52839715442139557</v>
      </c>
      <c r="I170" s="24">
        <f>Subsurface_Inputs!$C$19+Subsurface_Inputs!$C$20*SIN(2*PI()*(A170-Subsurface_Inputs!$C$21)/Subsurface_Inputs!$C$22)-Subsurface_Inputs!$C$23*H170</f>
        <v>5483.6730093372298</v>
      </c>
      <c r="J170" s="24">
        <f t="shared" si="19"/>
        <v>-5042.4105020865072</v>
      </c>
      <c r="K170" s="24">
        <f>Subsurface_Inputs!$C$25+Subsurface_Inputs!$C$26*SIN(2*PI()*(A170+Subsurface_Inputs!$C$27)/Subsurface_Inputs!$C$28)+Subsurface_Inputs!$C$29*COS(2*PI()*(A170-Subsurface_Inputs!$C$30)/Subsurface_Inputs!$C$31)-Subsurface_Inputs!$C$32*(B170-AVERAGE($B$2:$B$242))</f>
        <v>15518.472780255021</v>
      </c>
      <c r="L170" s="24">
        <f t="shared" si="20"/>
        <v>-15077.210273004299</v>
      </c>
      <c r="M170" s="24">
        <f>2*Subsurface_Inputs!$C$34*F170/Subsurface_Inputs!$C$35*1000000</f>
        <v>12.633314517971899</v>
      </c>
      <c r="N170" s="24">
        <f>2*Subsurface_Inputs!$C$34*I170/Subsurface_Inputs!$C$35*1000000</f>
        <v>65.117968755706798</v>
      </c>
      <c r="O170" s="24">
        <f>2*Subsurface_Inputs!$C$34*K170/Subsurface_Inputs!$C$35*1000000</f>
        <v>184.28002981218384</v>
      </c>
      <c r="P170" s="24">
        <f>Subsurface_Inputs!$C$37-2*Subsurface_Inputs!$C$36*(F170/1000)</f>
        <v>-11.914963579116232</v>
      </c>
      <c r="Q170" s="24">
        <f>Subsurface_Inputs!$C$38+Subsurface_Inputs!$C$39*H170-2*Subsurface_Inputs!$C$36*(I170/1000)</f>
        <v>-29.115037027014452</v>
      </c>
      <c r="R170" s="24">
        <f>Subsurface_Inputs!$C$40-2*Subsurface_Inputs!$C$36*(K170/1000)-Subsurface_Inputs!$C$41*ABS(L170-AVERAGE($L$2:$L$242))</f>
        <v>-35.1942615825049</v>
      </c>
      <c r="S170" s="24">
        <f t="shared" si="21"/>
        <v>441.08808468090683</v>
      </c>
      <c r="T170" s="24">
        <f t="shared" si="22"/>
        <v>14.586831472455687</v>
      </c>
      <c r="U170" s="25" t="str">
        <f>IF(H170&gt;=Subsurface_Inputs!$C$42,"Lens visible","Weak/no lens")</f>
        <v>Lens visible</v>
      </c>
      <c r="V170" s="25" t="str">
        <f t="shared" si="23"/>
        <v>Likely visible</v>
      </c>
      <c r="W170" s="24">
        <f>Subsurface_Inputs!$C$43</f>
        <v>-45</v>
      </c>
      <c r="X170" s="24">
        <f t="shared" si="24"/>
        <v>15.884962972985548</v>
      </c>
      <c r="Y170" s="24">
        <f t="shared" si="25"/>
        <v>9.8057384174950997</v>
      </c>
      <c r="Z170" s="24">
        <f t="shared" si="26"/>
        <v>15.884962972985548</v>
      </c>
      <c r="AA170" s="24">
        <v>0</v>
      </c>
    </row>
    <row r="171" spans="1:27">
      <c r="A171" s="24">
        <f>Model_Data!A171</f>
        <v>24.5</v>
      </c>
      <c r="B171" s="24">
        <f>Model_Data!Y171</f>
        <v>415.43697734419459</v>
      </c>
      <c r="C171" s="24">
        <f>Model_Data!X171</f>
        <v>80.288162734236394</v>
      </c>
      <c r="D171" s="24">
        <f>Model_Data!B171</f>
        <v>400.66694444444443</v>
      </c>
      <c r="E171" s="24">
        <f>Inputs!$C$6</f>
        <v>25</v>
      </c>
      <c r="F171" s="24">
        <f>Subsurface_Inputs!$C$5+Subsurface_Inputs!$C$6*SIN(2*PI()*(A171+Subsurface_Inputs!$C$7)/Subsurface_Inputs!$C$8)+Subsurface_Inputs!$C$9*COS(2*PI()*A171/Subsurface_Inputs!$C$10)+Subsurface_Inputs!$C$11*(B171-AVERAGE($B$2:$B$242))</f>
        <v>1064.8780556364568</v>
      </c>
      <c r="G171" s="24">
        <f t="shared" si="18"/>
        <v>-649.4410782922622</v>
      </c>
      <c r="H171" s="24">
        <f>MIN(1,MAX(0,Subsurface_Inputs!$C$13*EXP(-0.5*((A171-Subsurface_Inputs!$C$14)/Subsurface_Inputs!$C$15)^2)+Subsurface_Inputs!$C$16*EXP(-0.5*((A171-Subsurface_Inputs!$C$17)/Subsurface_Inputs!$C$18)^2)))</f>
        <v>0.55267250977648874</v>
      </c>
      <c r="I171" s="24">
        <f>Subsurface_Inputs!$C$19+Subsurface_Inputs!$C$20*SIN(2*PI()*(A171-Subsurface_Inputs!$C$21)/Subsurface_Inputs!$C$22)-Subsurface_Inputs!$C$23*H171</f>
        <v>5481.2644180194238</v>
      </c>
      <c r="J171" s="24">
        <f t="shared" si="19"/>
        <v>-5065.8274406752289</v>
      </c>
      <c r="K171" s="24">
        <f>Subsurface_Inputs!$C$25+Subsurface_Inputs!$C$26*SIN(2*PI()*(A171+Subsurface_Inputs!$C$27)/Subsurface_Inputs!$C$28)+Subsurface_Inputs!$C$29*COS(2*PI()*(A171-Subsurface_Inputs!$C$30)/Subsurface_Inputs!$C$31)-Subsurface_Inputs!$C$32*(B171-AVERAGE($B$2:$B$242))</f>
        <v>15493.131581035042</v>
      </c>
      <c r="L171" s="24">
        <f t="shared" si="20"/>
        <v>-15077.694603690848</v>
      </c>
      <c r="M171" s="24">
        <f>2*Subsurface_Inputs!$C$34*F171/Subsurface_Inputs!$C$35*1000000</f>
        <v>12.645301030440821</v>
      </c>
      <c r="N171" s="24">
        <f>2*Subsurface_Inputs!$C$34*I171/Subsurface_Inputs!$C$35*1000000</f>
        <v>65.089367018529686</v>
      </c>
      <c r="O171" s="24">
        <f>2*Subsurface_Inputs!$C$34*K171/Subsurface_Inputs!$C$35*1000000</f>
        <v>183.97910606705375</v>
      </c>
      <c r="P171" s="24">
        <f>Subsurface_Inputs!$C$37-2*Subsurface_Inputs!$C$36*(F171/1000)</f>
        <v>-11.916780500145622</v>
      </c>
      <c r="Q171" s="24">
        <f>Subsurface_Inputs!$C$38+Subsurface_Inputs!$C$39*H171-2*Subsurface_Inputs!$C$36*(I171/1000)</f>
        <v>-28.892223364446565</v>
      </c>
      <c r="R171" s="24">
        <f>Subsurface_Inputs!$C$40-2*Subsurface_Inputs!$C$36*(K171/1000)-Subsurface_Inputs!$C$41*ABS(L171-AVERAGE($L$2:$L$242))</f>
        <v>-35.150584746655134</v>
      </c>
      <c r="S171" s="24">
        <f t="shared" si="21"/>
        <v>415.74688546092875</v>
      </c>
      <c r="T171" s="24">
        <f t="shared" si="22"/>
        <v>14.549207300337409</v>
      </c>
      <c r="U171" s="25" t="str">
        <f>IF(H171&gt;=Subsurface_Inputs!$C$42,"Lens visible","Weak/no lens")</f>
        <v>Lens visible</v>
      </c>
      <c r="V171" s="25" t="str">
        <f t="shared" si="23"/>
        <v>Likely visible</v>
      </c>
      <c r="W171" s="24">
        <f>Subsurface_Inputs!$C$43</f>
        <v>-45</v>
      </c>
      <c r="X171" s="24">
        <f t="shared" si="24"/>
        <v>16.107776635553435</v>
      </c>
      <c r="Y171" s="24">
        <f t="shared" si="25"/>
        <v>9.8494152533448656</v>
      </c>
      <c r="Z171" s="24">
        <f t="shared" si="26"/>
        <v>16.107776635553435</v>
      </c>
      <c r="AA171" s="24">
        <v>0</v>
      </c>
    </row>
    <row r="172" spans="1:27">
      <c r="A172" s="24">
        <f>Model_Data!A172</f>
        <v>25</v>
      </c>
      <c r="B172" s="24">
        <f>Model_Data!Y172</f>
        <v>418.83207484781849</v>
      </c>
      <c r="C172" s="24">
        <f>Model_Data!X172</f>
        <v>61.498548518191555</v>
      </c>
      <c r="D172" s="24">
        <f>Model_Data!B172</f>
        <v>400.69444444444446</v>
      </c>
      <c r="E172" s="24">
        <f>Inputs!$C$6</f>
        <v>25</v>
      </c>
      <c r="F172" s="24">
        <f>Subsurface_Inputs!$C$5+Subsurface_Inputs!$C$6*SIN(2*PI()*(A172+Subsurface_Inputs!$C$7)/Subsurface_Inputs!$C$8)+Subsurface_Inputs!$C$9*COS(2*PI()*A172/Subsurface_Inputs!$C$10)+Subsurface_Inputs!$C$11*(B172-AVERAGE($B$2:$B$242))</f>
        <v>1066.8372999779408</v>
      </c>
      <c r="G172" s="24">
        <f t="shared" si="18"/>
        <v>-648.00522513012231</v>
      </c>
      <c r="H172" s="24">
        <f>MIN(1,MAX(0,Subsurface_Inputs!$C$13*EXP(-0.5*((A172-Subsurface_Inputs!$C$14)/Subsurface_Inputs!$C$15)^2)+Subsurface_Inputs!$C$16*EXP(-0.5*((A172-Subsurface_Inputs!$C$17)/Subsurface_Inputs!$C$18)^2)))</f>
        <v>0.57581010156863321</v>
      </c>
      <c r="I172" s="24">
        <f>Subsurface_Inputs!$C$19+Subsurface_Inputs!$C$20*SIN(2*PI()*(A172-Subsurface_Inputs!$C$21)/Subsurface_Inputs!$C$22)-Subsurface_Inputs!$C$23*H172</f>
        <v>5478.3746622985591</v>
      </c>
      <c r="J172" s="24">
        <f t="shared" si="19"/>
        <v>-5059.5425874507409</v>
      </c>
      <c r="K172" s="24">
        <f>Subsurface_Inputs!$C$25+Subsurface_Inputs!$C$26*SIN(2*PI()*(A172+Subsurface_Inputs!$C$27)/Subsurface_Inputs!$C$28)+Subsurface_Inputs!$C$29*COS(2*PI()*(A172-Subsurface_Inputs!$C$30)/Subsurface_Inputs!$C$31)-Subsurface_Inputs!$C$32*(B172-AVERAGE($B$2:$B$242))</f>
        <v>15463.492493885011</v>
      </c>
      <c r="L172" s="24">
        <f t="shared" si="20"/>
        <v>-15044.660419037193</v>
      </c>
      <c r="M172" s="24">
        <f>2*Subsurface_Inputs!$C$34*F172/Subsurface_Inputs!$C$35*1000000</f>
        <v>12.668566825391816</v>
      </c>
      <c r="N172" s="24">
        <f>2*Subsurface_Inputs!$C$34*I172/Subsurface_Inputs!$C$35*1000000</f>
        <v>65.055051510945191</v>
      </c>
      <c r="O172" s="24">
        <f>2*Subsurface_Inputs!$C$34*K172/Subsurface_Inputs!$C$35*1000000</f>
        <v>183.62714541081164</v>
      </c>
      <c r="P172" s="24">
        <f>Subsurface_Inputs!$C$37-2*Subsurface_Inputs!$C$36*(F172/1000)</f>
        <v>-11.920307139960293</v>
      </c>
      <c r="Q172" s="24">
        <f>Subsurface_Inputs!$C$38+Subsurface_Inputs!$C$39*H172-2*Subsurface_Inputs!$C$36*(I172/1000)</f>
        <v>-28.678783478019703</v>
      </c>
      <c r="R172" s="24">
        <f>Subsurface_Inputs!$C$40-2*Subsurface_Inputs!$C$36*(K172/1000)-Subsurface_Inputs!$C$41*ABS(L172-AVERAGE($L$2:$L$242))</f>
        <v>-34.96509765117046</v>
      </c>
      <c r="S172" s="24">
        <f t="shared" si="21"/>
        <v>386.10779831089712</v>
      </c>
      <c r="T172" s="24">
        <f t="shared" si="22"/>
        <v>14.49470551339436</v>
      </c>
      <c r="U172" s="25" t="str">
        <f>IF(H172&gt;=Subsurface_Inputs!$C$42,"Lens visible","Weak/no lens")</f>
        <v>Lens visible</v>
      </c>
      <c r="V172" s="25" t="str">
        <f t="shared" si="23"/>
        <v>Likely visible</v>
      </c>
      <c r="W172" s="24">
        <f>Subsurface_Inputs!$C$43</f>
        <v>-45</v>
      </c>
      <c r="X172" s="24">
        <f t="shared" si="24"/>
        <v>16.321216521980297</v>
      </c>
      <c r="Y172" s="24">
        <f t="shared" si="25"/>
        <v>10.03490234882954</v>
      </c>
      <c r="Z172" s="24">
        <f t="shared" si="26"/>
        <v>16.321216521980297</v>
      </c>
      <c r="AA172" s="24">
        <v>0</v>
      </c>
    </row>
    <row r="173" spans="1:27">
      <c r="A173" s="24">
        <f>Model_Data!A173</f>
        <v>25.5</v>
      </c>
      <c r="B173" s="24">
        <f>Model_Data!Y173</f>
        <v>390.15691093624679</v>
      </c>
      <c r="C173" s="24">
        <f>Model_Data!X173</f>
        <v>67.901880448960824</v>
      </c>
      <c r="D173" s="24">
        <f>Model_Data!B173</f>
        <v>400.72250000000003</v>
      </c>
      <c r="E173" s="24">
        <f>Inputs!$C$6</f>
        <v>25</v>
      </c>
      <c r="F173" s="24">
        <f>Subsurface_Inputs!$C$5+Subsurface_Inputs!$C$6*SIN(2*PI()*(A173+Subsurface_Inputs!$C$7)/Subsurface_Inputs!$C$8)+Subsurface_Inputs!$C$9*COS(2*PI()*A173/Subsurface_Inputs!$C$10)+Subsurface_Inputs!$C$11*(B173-AVERAGE($B$2:$B$242))</f>
        <v>1067.3336673059048</v>
      </c>
      <c r="G173" s="24">
        <f t="shared" si="18"/>
        <v>-677.17675636965805</v>
      </c>
      <c r="H173" s="24">
        <f>MIN(1,MAX(0,Subsurface_Inputs!$C$13*EXP(-0.5*((A173-Subsurface_Inputs!$C$14)/Subsurface_Inputs!$C$15)^2)+Subsurface_Inputs!$C$16*EXP(-0.5*((A173-Subsurface_Inputs!$C$17)/Subsurface_Inputs!$C$18)^2)))</f>
        <v>0.59757799312434901</v>
      </c>
      <c r="I173" s="24">
        <f>Subsurface_Inputs!$C$19+Subsurface_Inputs!$C$20*SIN(2*PI()*(A173-Subsurface_Inputs!$C$21)/Subsurface_Inputs!$C$22)-Subsurface_Inputs!$C$23*H173</f>
        <v>5475.0554982657013</v>
      </c>
      <c r="J173" s="24">
        <f t="shared" si="19"/>
        <v>-5084.8985873294541</v>
      </c>
      <c r="K173" s="24">
        <f>Subsurface_Inputs!$C$25+Subsurface_Inputs!$C$26*SIN(2*PI()*(A173+Subsurface_Inputs!$C$27)/Subsurface_Inputs!$C$28)+Subsurface_Inputs!$C$29*COS(2*PI()*(A173-Subsurface_Inputs!$C$30)/Subsurface_Inputs!$C$31)-Subsurface_Inputs!$C$32*(B173-AVERAGE($B$2:$B$242))</f>
        <v>15438.185629581803</v>
      </c>
      <c r="L173" s="24">
        <f t="shared" si="20"/>
        <v>-15048.028718645557</v>
      </c>
      <c r="M173" s="24">
        <f>2*Subsurface_Inputs!$C$34*F173/Subsurface_Inputs!$C$35*1000000</f>
        <v>12.674461128735338</v>
      </c>
      <c r="N173" s="24">
        <f>2*Subsurface_Inputs!$C$34*I173/Subsurface_Inputs!$C$35*1000000</f>
        <v>65.015636830416511</v>
      </c>
      <c r="O173" s="24">
        <f>2*Subsurface_Inputs!$C$34*K173/Subsurface_Inputs!$C$35*1000000</f>
        <v>183.32662938875941</v>
      </c>
      <c r="P173" s="24">
        <f>Subsurface_Inputs!$C$37-2*Subsurface_Inputs!$C$36*(F173/1000)</f>
        <v>-11.921200601150629</v>
      </c>
      <c r="Q173" s="24">
        <f>Subsurface_Inputs!$C$38+Subsurface_Inputs!$C$39*H173-2*Subsurface_Inputs!$C$36*(I173/1000)</f>
        <v>-28.476897958759121</v>
      </c>
      <c r="R173" s="24">
        <f>Subsurface_Inputs!$C$40-2*Subsurface_Inputs!$C$36*(K173/1000)-Subsurface_Inputs!$C$41*ABS(L173-AVERAGE($L$2:$L$242))</f>
        <v>-34.933018493858143</v>
      </c>
      <c r="S173" s="24">
        <f t="shared" si="21"/>
        <v>360.80093400768965</v>
      </c>
      <c r="T173" s="24">
        <f t="shared" si="22"/>
        <v>14.464254340022723</v>
      </c>
      <c r="U173" s="25" t="str">
        <f>IF(H173&gt;=Subsurface_Inputs!$C$42,"Lens visible","Weak/no lens")</f>
        <v>Lens visible</v>
      </c>
      <c r="V173" s="25" t="str">
        <f t="shared" si="23"/>
        <v>Likely visible</v>
      </c>
      <c r="W173" s="24">
        <f>Subsurface_Inputs!$C$43</f>
        <v>-45</v>
      </c>
      <c r="X173" s="24">
        <f t="shared" si="24"/>
        <v>16.523102041240879</v>
      </c>
      <c r="Y173" s="24">
        <f t="shared" si="25"/>
        <v>10.066981506141857</v>
      </c>
      <c r="Z173" s="24">
        <f t="shared" si="26"/>
        <v>16.523102041240879</v>
      </c>
      <c r="AA173" s="24">
        <v>0</v>
      </c>
    </row>
    <row r="174" spans="1:27">
      <c r="A174" s="24">
        <f>Model_Data!A174</f>
        <v>26</v>
      </c>
      <c r="B174" s="24">
        <f>Model_Data!Y174</f>
        <v>387.37494101799217</v>
      </c>
      <c r="C174" s="24">
        <f>Model_Data!X174</f>
        <v>65.032671862171824</v>
      </c>
      <c r="D174" s="24">
        <f>Model_Data!B174</f>
        <v>400.75111111111113</v>
      </c>
      <c r="E174" s="24">
        <f>Inputs!$C$6</f>
        <v>25</v>
      </c>
      <c r="F174" s="24">
        <f>Subsurface_Inputs!$C$5+Subsurface_Inputs!$C$6*SIN(2*PI()*(A174+Subsurface_Inputs!$C$7)/Subsurface_Inputs!$C$8)+Subsurface_Inputs!$C$9*COS(2*PI()*A174/Subsurface_Inputs!$C$10)+Subsurface_Inputs!$C$11*(B174-AVERAGE($B$2:$B$242))</f>
        <v>1068.738066355703</v>
      </c>
      <c r="G174" s="24">
        <f t="shared" si="18"/>
        <v>-681.36312533771093</v>
      </c>
      <c r="H174" s="24">
        <f>MIN(1,MAX(0,Subsurface_Inputs!$C$13*EXP(-0.5*((A174-Subsurface_Inputs!$C$14)/Subsurface_Inputs!$C$15)^2)+Subsurface_Inputs!$C$16*EXP(-0.5*((A174-Subsurface_Inputs!$C$17)/Subsurface_Inputs!$C$18)^2)))</f>
        <v>0.6177513721297303</v>
      </c>
      <c r="I174" s="24">
        <f>Subsurface_Inputs!$C$19+Subsurface_Inputs!$C$20*SIN(2*PI()*(A174-Subsurface_Inputs!$C$21)/Subsurface_Inputs!$C$22)-Subsurface_Inputs!$C$23*H174</f>
        <v>5471.3580848352858</v>
      </c>
      <c r="J174" s="24">
        <f t="shared" si="19"/>
        <v>-5083.9831438172932</v>
      </c>
      <c r="K174" s="24">
        <f>Subsurface_Inputs!$C$25+Subsurface_Inputs!$C$26*SIN(2*PI()*(A174+Subsurface_Inputs!$C$27)/Subsurface_Inputs!$C$28)+Subsurface_Inputs!$C$29*COS(2*PI()*(A174-Subsurface_Inputs!$C$30)/Subsurface_Inputs!$C$31)-Subsurface_Inputs!$C$32*(B174-AVERAGE($B$2:$B$242))</f>
        <v>15409.145316242726</v>
      </c>
      <c r="L174" s="24">
        <f t="shared" si="20"/>
        <v>-15021.770375224734</v>
      </c>
      <c r="M174" s="24">
        <f>2*Subsurface_Inputs!$C$34*F174/Subsurface_Inputs!$C$35*1000000</f>
        <v>12.691138201436351</v>
      </c>
      <c r="N174" s="24">
        <f>2*Subsurface_Inputs!$C$34*I174/Subsurface_Inputs!$C$35*1000000</f>
        <v>64.971730483005089</v>
      </c>
      <c r="O174" s="24">
        <f>2*Subsurface_Inputs!$C$34*K174/Subsurface_Inputs!$C$35*1000000</f>
        <v>182.98177910074077</v>
      </c>
      <c r="P174" s="24">
        <f>Subsurface_Inputs!$C$37-2*Subsurface_Inputs!$C$36*(F174/1000)</f>
        <v>-11.923728519440266</v>
      </c>
      <c r="Q174" s="24">
        <f>Subsurface_Inputs!$C$38+Subsurface_Inputs!$C$39*H174-2*Subsurface_Inputs!$C$36*(I174/1000)</f>
        <v>-28.288682203535945</v>
      </c>
      <c r="R174" s="24">
        <f>Subsurface_Inputs!$C$40-2*Subsurface_Inputs!$C$36*(K174/1000)-Subsurface_Inputs!$C$41*ABS(L174-AVERAGE($L$2:$L$242))</f>
        <v>-34.775712556164514</v>
      </c>
      <c r="S174" s="24">
        <f t="shared" si="21"/>
        <v>331.76062066861232</v>
      </c>
      <c r="T174" s="24">
        <f t="shared" si="22"/>
        <v>14.418074738168981</v>
      </c>
      <c r="U174" s="25" t="str">
        <f>IF(H174&gt;=Subsurface_Inputs!$C$42,"Lens visible","Weak/no lens")</f>
        <v>Lens visible</v>
      </c>
      <c r="V174" s="25" t="str">
        <f t="shared" si="23"/>
        <v>Likely visible</v>
      </c>
      <c r="W174" s="24">
        <f>Subsurface_Inputs!$C$43</f>
        <v>-45</v>
      </c>
      <c r="X174" s="24">
        <f t="shared" si="24"/>
        <v>16.711317796464055</v>
      </c>
      <c r="Y174" s="24">
        <f t="shared" si="25"/>
        <v>10.224287443835486</v>
      </c>
      <c r="Z174" s="24">
        <f t="shared" si="26"/>
        <v>16.711317796464055</v>
      </c>
      <c r="AA174" s="24">
        <v>0</v>
      </c>
    </row>
    <row r="175" spans="1:27">
      <c r="A175" s="24">
        <f>Model_Data!A175</f>
        <v>26.5</v>
      </c>
      <c r="B175" s="24">
        <f>Model_Data!Y175</f>
        <v>383.48713922986474</v>
      </c>
      <c r="C175" s="24">
        <f>Model_Data!X175</f>
        <v>69.516598212008631</v>
      </c>
      <c r="D175" s="24">
        <f>Model_Data!B175</f>
        <v>400.78027777777777</v>
      </c>
      <c r="E175" s="24">
        <f>Inputs!$C$6</f>
        <v>25</v>
      </c>
      <c r="F175" s="24">
        <f>Subsurface_Inputs!$C$5+Subsurface_Inputs!$C$6*SIN(2*PI()*(A175+Subsurface_Inputs!$C$7)/Subsurface_Inputs!$C$8)+Subsurface_Inputs!$C$9*COS(2*PI()*A175/Subsurface_Inputs!$C$10)+Subsurface_Inputs!$C$11*(B175-AVERAGE($B$2:$B$242))</f>
        <v>1070.0349227200632</v>
      </c>
      <c r="G175" s="24">
        <f t="shared" si="18"/>
        <v>-686.54778349019841</v>
      </c>
      <c r="H175" s="24">
        <f>MIN(1,MAX(0,Subsurface_Inputs!$C$13*EXP(-0.5*((A175-Subsurface_Inputs!$C$14)/Subsurface_Inputs!$C$15)^2)+Subsurface_Inputs!$C$16*EXP(-0.5*((A175-Subsurface_Inputs!$C$17)/Subsurface_Inputs!$C$18)^2)))</f>
        <v>0.63611638321278496</v>
      </c>
      <c r="I175" s="24">
        <f>Subsurface_Inputs!$C$19+Subsurface_Inputs!$C$20*SIN(2*PI()*(A175-Subsurface_Inputs!$C$21)/Subsurface_Inputs!$C$22)-Subsurface_Inputs!$C$23*H175</f>
        <v>5467.3320680289316</v>
      </c>
      <c r="J175" s="24">
        <f t="shared" si="19"/>
        <v>-5083.844928799067</v>
      </c>
      <c r="K175" s="24">
        <f>Subsurface_Inputs!$C$25+Subsurface_Inputs!$C$26*SIN(2*PI()*(A175+Subsurface_Inputs!$C$27)/Subsurface_Inputs!$C$28)+Subsurface_Inputs!$C$29*COS(2*PI()*(A175-Subsurface_Inputs!$C$30)/Subsurface_Inputs!$C$31)-Subsurface_Inputs!$C$32*(B175-AVERAGE($B$2:$B$242))</f>
        <v>15380.200342679758</v>
      </c>
      <c r="L175" s="24">
        <f t="shared" si="20"/>
        <v>-14996.713203449894</v>
      </c>
      <c r="M175" s="24">
        <f>2*Subsurface_Inputs!$C$34*F175/Subsurface_Inputs!$C$35*1000000</f>
        <v>12.70653821746051</v>
      </c>
      <c r="N175" s="24">
        <f>2*Subsurface_Inputs!$C$34*I175/Subsurface_Inputs!$C$35*1000000</f>
        <v>64.923922009348857</v>
      </c>
      <c r="O175" s="24">
        <f>2*Subsurface_Inputs!$C$34*K175/Subsurface_Inputs!$C$35*1000000</f>
        <v>182.63806096129321</v>
      </c>
      <c r="P175" s="24">
        <f>Subsurface_Inputs!$C$37-2*Subsurface_Inputs!$C$36*(F175/1000)</f>
        <v>-11.926062860896113</v>
      </c>
      <c r="Q175" s="24">
        <f>Subsurface_Inputs!$C$38+Subsurface_Inputs!$C$39*H175-2*Subsurface_Inputs!$C$36*(I175/1000)</f>
        <v>-28.116150273537016</v>
      </c>
      <c r="R175" s="24">
        <f>Subsurface_Inputs!$C$40-2*Subsurface_Inputs!$C$36*(K175/1000)-Subsurface_Inputs!$C$41*ABS(L175-AVERAGE($L$2:$L$242))</f>
        <v>-34.623382916651806</v>
      </c>
      <c r="S175" s="24">
        <f t="shared" si="21"/>
        <v>302.81564710564453</v>
      </c>
      <c r="T175" s="24">
        <f t="shared" si="22"/>
        <v>14.373549887122184</v>
      </c>
      <c r="U175" s="25" t="str">
        <f>IF(H175&gt;=Subsurface_Inputs!$C$42,"Lens visible","Weak/no lens")</f>
        <v>Lens visible</v>
      </c>
      <c r="V175" s="25" t="str">
        <f t="shared" si="23"/>
        <v>Likely visible</v>
      </c>
      <c r="W175" s="24">
        <f>Subsurface_Inputs!$C$43</f>
        <v>-45</v>
      </c>
      <c r="X175" s="24">
        <f t="shared" si="24"/>
        <v>16.883849726462984</v>
      </c>
      <c r="Y175" s="24">
        <f t="shared" si="25"/>
        <v>10.376617083348194</v>
      </c>
      <c r="Z175" s="24">
        <f t="shared" si="26"/>
        <v>16.883849726462984</v>
      </c>
      <c r="AA175" s="24">
        <v>0</v>
      </c>
    </row>
    <row r="176" spans="1:27">
      <c r="A176" s="24">
        <f>Model_Data!A176</f>
        <v>27</v>
      </c>
      <c r="B176" s="24">
        <f>Model_Data!Y176</f>
        <v>346.22873286462408</v>
      </c>
      <c r="C176" s="24">
        <f>Model_Data!X176</f>
        <v>64.454469680614793</v>
      </c>
      <c r="D176" s="24">
        <f>Model_Data!B176</f>
        <v>400.81</v>
      </c>
      <c r="E176" s="24">
        <f>Inputs!$C$6</f>
        <v>25</v>
      </c>
      <c r="F176" s="24">
        <f>Subsurface_Inputs!$C$5+Subsurface_Inputs!$C$6*SIN(2*PI()*(A176+Subsurface_Inputs!$C$7)/Subsurface_Inputs!$C$8)+Subsurface_Inputs!$C$9*COS(2*PI()*A176/Subsurface_Inputs!$C$10)+Subsurface_Inputs!$C$11*(B176-AVERAGE($B$2:$B$242))</f>
        <v>1070.008330851856</v>
      </c>
      <c r="G176" s="24">
        <f t="shared" si="18"/>
        <v>-723.77959798723191</v>
      </c>
      <c r="H176" s="24">
        <f>MIN(1,MAX(0,Subsurface_Inputs!$C$13*EXP(-0.5*((A176-Subsurface_Inputs!$C$14)/Subsurface_Inputs!$C$15)^2)+Subsurface_Inputs!$C$16*EXP(-0.5*((A176-Subsurface_Inputs!$C$17)/Subsurface_Inputs!$C$18)^2)))</f>
        <v>0.65247388125483796</v>
      </c>
      <c r="I176" s="24">
        <f>Subsurface_Inputs!$C$19+Subsurface_Inputs!$C$20*SIN(2*PI()*(A176-Subsurface_Inputs!$C$21)/Subsurface_Inputs!$C$22)-Subsurface_Inputs!$C$23*H176</f>
        <v>5463.0246826452594</v>
      </c>
      <c r="J176" s="24">
        <f t="shared" si="19"/>
        <v>-5116.7959497806351</v>
      </c>
      <c r="K176" s="24">
        <f>Subsurface_Inputs!$C$25+Subsurface_Inputs!$C$26*SIN(2*PI()*(A176+Subsurface_Inputs!$C$27)/Subsurface_Inputs!$C$28)+Subsurface_Inputs!$C$29*COS(2*PI()*(A176-Subsurface_Inputs!$C$30)/Subsurface_Inputs!$C$31)-Subsurface_Inputs!$C$32*(B176-AVERAGE($B$2:$B$242))</f>
        <v>15355.916304404951</v>
      </c>
      <c r="L176" s="24">
        <f t="shared" si="20"/>
        <v>-15009.687571540328</v>
      </c>
      <c r="M176" s="24">
        <f>2*Subsurface_Inputs!$C$34*F176/Subsurface_Inputs!$C$35*1000000</f>
        <v>12.706222442169</v>
      </c>
      <c r="N176" s="24">
        <f>2*Subsurface_Inputs!$C$34*I176/Subsurface_Inputs!$C$35*1000000</f>
        <v>64.872772317097855</v>
      </c>
      <c r="O176" s="24">
        <f>2*Subsurface_Inputs!$C$34*K176/Subsurface_Inputs!$C$35*1000000</f>
        <v>182.34969087741902</v>
      </c>
      <c r="P176" s="24">
        <f>Subsurface_Inputs!$C$37-2*Subsurface_Inputs!$C$36*(F176/1000)</f>
        <v>-11.926014995533341</v>
      </c>
      <c r="Q176" s="24">
        <f>Subsurface_Inputs!$C$38+Subsurface_Inputs!$C$39*H176-2*Subsurface_Inputs!$C$36*(I176/1000)</f>
        <v>-27.961179497467924</v>
      </c>
      <c r="R176" s="24">
        <f>Subsurface_Inputs!$C$40-2*Subsurface_Inputs!$C$36*(K176/1000)-Subsurface_Inputs!$C$41*ABS(L176-AVERAGE($L$2:$L$242))</f>
        <v>-34.63156912011889</v>
      </c>
      <c r="S176" s="24">
        <f t="shared" si="21"/>
        <v>278.53160883083729</v>
      </c>
      <c r="T176" s="24">
        <f t="shared" si="22"/>
        <v>14.351211912695844</v>
      </c>
      <c r="U176" s="25" t="str">
        <f>IF(H176&gt;=Subsurface_Inputs!$C$42,"Lens visible","Weak/no lens")</f>
        <v>Lens visible</v>
      </c>
      <c r="V176" s="25" t="str">
        <f t="shared" si="23"/>
        <v>Likely visible</v>
      </c>
      <c r="W176" s="24">
        <f>Subsurface_Inputs!$C$43</f>
        <v>-45</v>
      </c>
      <c r="X176" s="24">
        <f t="shared" si="24"/>
        <v>17.038820502532076</v>
      </c>
      <c r="Y176" s="24">
        <f t="shared" si="25"/>
        <v>10.36843087988111</v>
      </c>
      <c r="Z176" s="24">
        <f t="shared" si="26"/>
        <v>17.038820502532076</v>
      </c>
      <c r="AA176" s="24">
        <v>0</v>
      </c>
    </row>
    <row r="177" spans="1:27">
      <c r="A177" s="24">
        <f>Model_Data!A177</f>
        <v>27.5</v>
      </c>
      <c r="B177" s="24">
        <f>Model_Data!Y177</f>
        <v>337.03514018583576</v>
      </c>
      <c r="C177" s="24">
        <f>Model_Data!X177</f>
        <v>45.785881303759091</v>
      </c>
      <c r="D177" s="24">
        <f>Model_Data!B177</f>
        <v>400.84027777777777</v>
      </c>
      <c r="E177" s="24">
        <f>Inputs!$C$6</f>
        <v>25</v>
      </c>
      <c r="F177" s="24">
        <f>Subsurface_Inputs!$C$5+Subsurface_Inputs!$C$6*SIN(2*PI()*(A177+Subsurface_Inputs!$C$7)/Subsurface_Inputs!$C$8)+Subsurface_Inputs!$C$9*COS(2*PI()*A177/Subsurface_Inputs!$C$10)+Subsurface_Inputs!$C$11*(B177-AVERAGE($B$2:$B$242))</f>
        <v>1071.1987313570442</v>
      </c>
      <c r="G177" s="24">
        <f t="shared" si="18"/>
        <v>-734.1635911712084</v>
      </c>
      <c r="H177" s="24">
        <f>MIN(1,MAX(0,Subsurface_Inputs!$C$13*EXP(-0.5*((A177-Subsurface_Inputs!$C$14)/Subsurface_Inputs!$C$15)^2)+Subsurface_Inputs!$C$16*EXP(-0.5*((A177-Subsurface_Inputs!$C$17)/Subsurface_Inputs!$C$18)^2)))</f>
        <v>0.66664301354735012</v>
      </c>
      <c r="I177" s="24">
        <f>Subsurface_Inputs!$C$19+Subsurface_Inputs!$C$20*SIN(2*PI()*(A177-Subsurface_Inputs!$C$21)/Subsurface_Inputs!$C$22)-Subsurface_Inputs!$C$23*H177</f>
        <v>5458.4798933641805</v>
      </c>
      <c r="J177" s="24">
        <f t="shared" si="19"/>
        <v>-5121.4447531783444</v>
      </c>
      <c r="K177" s="24">
        <f>Subsurface_Inputs!$C$25+Subsurface_Inputs!$C$26*SIN(2*PI()*(A177+Subsurface_Inputs!$C$27)/Subsurface_Inputs!$C$28)+Subsurface_Inputs!$C$29*COS(2*PI()*(A177-Subsurface_Inputs!$C$30)/Subsurface_Inputs!$C$31)-Subsurface_Inputs!$C$32*(B177-AVERAGE($B$2:$B$242))</f>
        <v>15327.740262481064</v>
      </c>
      <c r="L177" s="24">
        <f t="shared" si="20"/>
        <v>-14990.705122295229</v>
      </c>
      <c r="M177" s="24">
        <f>2*Subsurface_Inputs!$C$34*F177/Subsurface_Inputs!$C$35*1000000</f>
        <v>12.720358307449741</v>
      </c>
      <c r="N177" s="24">
        <f>2*Subsurface_Inputs!$C$34*I177/Subsurface_Inputs!$C$35*1000000</f>
        <v>64.81880348162889</v>
      </c>
      <c r="O177" s="24">
        <f>2*Subsurface_Inputs!$C$34*K177/Subsurface_Inputs!$C$35*1000000</f>
        <v>182.01510371028942</v>
      </c>
      <c r="P177" s="24">
        <f>Subsurface_Inputs!$C$37-2*Subsurface_Inputs!$C$36*(F177/1000)</f>
        <v>-11.92815771644268</v>
      </c>
      <c r="Q177" s="24">
        <f>Subsurface_Inputs!$C$38+Subsurface_Inputs!$C$39*H177-2*Subsurface_Inputs!$C$36*(I177/1000)</f>
        <v>-27.825476686129374</v>
      </c>
      <c r="R177" s="24">
        <f>Subsurface_Inputs!$C$40-2*Subsurface_Inputs!$C$36*(K177/1000)-Subsurface_Inputs!$C$41*ABS(L177-AVERAGE($L$2:$L$242))</f>
        <v>-34.504922447675497</v>
      </c>
      <c r="S177" s="24">
        <f t="shared" si="21"/>
        <v>250.35556690695012</v>
      </c>
      <c r="T177" s="24">
        <f t="shared" si="22"/>
        <v>14.308960432639024</v>
      </c>
      <c r="U177" s="25" t="str">
        <f>IF(H177&gt;=Subsurface_Inputs!$C$42,"Lens visible","Weak/no lens")</f>
        <v>Lens visible</v>
      </c>
      <c r="V177" s="25" t="str">
        <f t="shared" si="23"/>
        <v>Likely visible</v>
      </c>
      <c r="W177" s="24">
        <f>Subsurface_Inputs!$C$43</f>
        <v>-45</v>
      </c>
      <c r="X177" s="24">
        <f t="shared" si="24"/>
        <v>17.174523313870626</v>
      </c>
      <c r="Y177" s="24">
        <f t="shared" si="25"/>
        <v>10.495077552324503</v>
      </c>
      <c r="Z177" s="24">
        <f t="shared" si="26"/>
        <v>17.174523313870626</v>
      </c>
      <c r="AA177" s="24">
        <v>0</v>
      </c>
    </row>
    <row r="178" spans="1:27">
      <c r="A178" s="24">
        <f>Model_Data!A178</f>
        <v>28</v>
      </c>
      <c r="B178" s="24">
        <f>Model_Data!Y178</f>
        <v>312.18369818898617</v>
      </c>
      <c r="C178" s="24">
        <f>Model_Data!X178</f>
        <v>58.944391773626705</v>
      </c>
      <c r="D178" s="24">
        <f>Model_Data!B178</f>
        <v>400.87111111111113</v>
      </c>
      <c r="E178" s="24">
        <f>Inputs!$C$6</f>
        <v>25</v>
      </c>
      <c r="F178" s="24">
        <f>Subsurface_Inputs!$C$5+Subsurface_Inputs!$C$6*SIN(2*PI()*(A178+Subsurface_Inputs!$C$7)/Subsurface_Inputs!$C$8)+Subsurface_Inputs!$C$9*COS(2*PI()*A178/Subsurface_Inputs!$C$10)+Subsurface_Inputs!$C$11*(B178-AVERAGE($B$2:$B$242))</f>
        <v>1071.9464167372869</v>
      </c>
      <c r="G178" s="24">
        <f t="shared" si="18"/>
        <v>-759.76271854830065</v>
      </c>
      <c r="H178" s="24">
        <f>MIN(1,MAX(0,Subsurface_Inputs!$C$13*EXP(-0.5*((A178-Subsurface_Inputs!$C$14)/Subsurface_Inputs!$C$15)^2)+Subsurface_Inputs!$C$16*EXP(-0.5*((A178-Subsurface_Inputs!$C$17)/Subsurface_Inputs!$C$18)^2)))</f>
        <v>0.67846454075510454</v>
      </c>
      <c r="I178" s="24">
        <f>Subsurface_Inputs!$C$19+Subsurface_Inputs!$C$20*SIN(2*PI()*(A178-Subsurface_Inputs!$C$21)/Subsurface_Inputs!$C$22)-Subsurface_Inputs!$C$23*H178</f>
        <v>5453.7375968938059</v>
      </c>
      <c r="J178" s="24">
        <f t="shared" si="19"/>
        <v>-5141.5538987048194</v>
      </c>
      <c r="K178" s="24">
        <f>Subsurface_Inputs!$C$25+Subsurface_Inputs!$C$26*SIN(2*PI()*(A178+Subsurface_Inputs!$C$27)/Subsurface_Inputs!$C$28)+Subsurface_Inputs!$C$29*COS(2*PI()*(A178-Subsurface_Inputs!$C$30)/Subsurface_Inputs!$C$31)-Subsurface_Inputs!$C$32*(B178-AVERAGE($B$2:$B$242))</f>
        <v>15301.840793373181</v>
      </c>
      <c r="L178" s="24">
        <f t="shared" si="20"/>
        <v>-14989.657095184195</v>
      </c>
      <c r="M178" s="24">
        <f>2*Subsurface_Inputs!$C$34*F178/Subsurface_Inputs!$C$35*1000000</f>
        <v>12.729236982955527</v>
      </c>
      <c r="N178" s="24">
        <f>2*Subsurface_Inputs!$C$34*I178/Subsurface_Inputs!$C$35*1000000</f>
        <v>64.762489271634536</v>
      </c>
      <c r="O178" s="24">
        <f>2*Subsurface_Inputs!$C$34*K178/Subsurface_Inputs!$C$35*1000000</f>
        <v>181.70755057623407</v>
      </c>
      <c r="P178" s="24">
        <f>Subsurface_Inputs!$C$37-2*Subsurface_Inputs!$C$36*(F178/1000)</f>
        <v>-11.929503550127116</v>
      </c>
      <c r="Q178" s="24">
        <f>Subsurface_Inputs!$C$38+Subsurface_Inputs!$C$39*H178-2*Subsurface_Inputs!$C$36*(I178/1000)</f>
        <v>-27.710546807612907</v>
      </c>
      <c r="R178" s="24">
        <f>Subsurface_Inputs!$C$40-2*Subsurface_Inputs!$C$36*(K178/1000)-Subsurface_Inputs!$C$41*ABS(L178-AVERAGE($L$2:$L$242))</f>
        <v>-34.454111294837176</v>
      </c>
      <c r="S178" s="24">
        <f t="shared" si="21"/>
        <v>224.45609779906772</v>
      </c>
      <c r="T178" s="24">
        <f t="shared" si="22"/>
        <v>14.274818735760897</v>
      </c>
      <c r="U178" s="25" t="str">
        <f>IF(H178&gt;=Subsurface_Inputs!$C$42,"Lens visible","Weak/no lens")</f>
        <v>Lens visible</v>
      </c>
      <c r="V178" s="25" t="str">
        <f t="shared" si="23"/>
        <v>Likely visible</v>
      </c>
      <c r="W178" s="24">
        <f>Subsurface_Inputs!$C$43</f>
        <v>-45</v>
      </c>
      <c r="X178" s="24">
        <f t="shared" si="24"/>
        <v>17.289453192387093</v>
      </c>
      <c r="Y178" s="24">
        <f t="shared" si="25"/>
        <v>10.545888705162824</v>
      </c>
      <c r="Z178" s="24">
        <f t="shared" si="26"/>
        <v>17.289453192387093</v>
      </c>
      <c r="AA178" s="24">
        <v>0</v>
      </c>
    </row>
    <row r="179" spans="1:27">
      <c r="A179" s="24">
        <f>Model_Data!A179</f>
        <v>28.5</v>
      </c>
      <c r="B179" s="24">
        <f>Model_Data!Y179</f>
        <v>310.46598665119308</v>
      </c>
      <c r="C179" s="24">
        <f>Model_Data!X179</f>
        <v>53.727058514925652</v>
      </c>
      <c r="D179" s="24">
        <f>Model_Data!B179</f>
        <v>400.90249999999997</v>
      </c>
      <c r="E179" s="24">
        <f>Inputs!$C$6</f>
        <v>25</v>
      </c>
      <c r="F179" s="24">
        <f>Subsurface_Inputs!$C$5+Subsurface_Inputs!$C$6*SIN(2*PI()*(A179+Subsurface_Inputs!$C$7)/Subsurface_Inputs!$C$8)+Subsurface_Inputs!$C$9*COS(2*PI()*A179/Subsurface_Inputs!$C$10)+Subsurface_Inputs!$C$11*(B179-AVERAGE($B$2:$B$242))</f>
        <v>1073.8961015846771</v>
      </c>
      <c r="G179" s="24">
        <f t="shared" si="18"/>
        <v>-763.43011493348399</v>
      </c>
      <c r="H179" s="24">
        <f>MIN(1,MAX(0,Subsurface_Inputs!$C$13*EXP(-0.5*((A179-Subsurface_Inputs!$C$14)/Subsurface_Inputs!$C$15)^2)+Subsurface_Inputs!$C$16*EXP(-0.5*((A179-Subsurface_Inputs!$C$17)/Subsurface_Inputs!$C$18)^2)))</f>
        <v>0.68780381138203073</v>
      </c>
      <c r="I179" s="24">
        <f>Subsurface_Inputs!$C$19+Subsurface_Inputs!$C$20*SIN(2*PI()*(A179-Subsurface_Inputs!$C$21)/Subsurface_Inputs!$C$22)-Subsurface_Inputs!$C$23*H179</f>
        <v>5448.8329056340945</v>
      </c>
      <c r="J179" s="24">
        <f t="shared" si="19"/>
        <v>-5138.3669189829016</v>
      </c>
      <c r="K179" s="24">
        <f>Subsurface_Inputs!$C$25+Subsurface_Inputs!$C$26*SIN(2*PI()*(A179+Subsurface_Inputs!$C$27)/Subsurface_Inputs!$C$28)+Subsurface_Inputs!$C$29*COS(2*PI()*(A179-Subsurface_Inputs!$C$30)/Subsurface_Inputs!$C$31)-Subsurface_Inputs!$C$32*(B179-AVERAGE($B$2:$B$242))</f>
        <v>15272.833757183123</v>
      </c>
      <c r="L179" s="24">
        <f t="shared" si="20"/>
        <v>-14962.36777053193</v>
      </c>
      <c r="M179" s="24">
        <f>2*Subsurface_Inputs!$C$34*F179/Subsurface_Inputs!$C$35*1000000</f>
        <v>12.752389260044195</v>
      </c>
      <c r="N179" s="24">
        <f>2*Subsurface_Inputs!$C$34*I179/Subsurface_Inputs!$C$35*1000000</f>
        <v>64.70424664271367</v>
      </c>
      <c r="O179" s="24">
        <f>2*Subsurface_Inputs!$C$34*K179/Subsurface_Inputs!$C$35*1000000</f>
        <v>181.36309545042633</v>
      </c>
      <c r="P179" s="24">
        <f>Subsurface_Inputs!$C$37-2*Subsurface_Inputs!$C$36*(F179/1000)</f>
        <v>-11.933012982852418</v>
      </c>
      <c r="Q179" s="24">
        <f>Subsurface_Inputs!$C$38+Subsurface_Inputs!$C$39*H179-2*Subsurface_Inputs!$C$36*(I179/1000)</f>
        <v>-27.617664927703093</v>
      </c>
      <c r="R179" s="24">
        <f>Subsurface_Inputs!$C$40-2*Subsurface_Inputs!$C$36*(K179/1000)-Subsurface_Inputs!$C$41*ABS(L179-AVERAGE($L$2:$L$242))</f>
        <v>-34.292741331086006</v>
      </c>
      <c r="S179" s="24">
        <f t="shared" si="21"/>
        <v>195.44906160900973</v>
      </c>
      <c r="T179" s="24">
        <f t="shared" si="22"/>
        <v>14.221891423803493</v>
      </c>
      <c r="U179" s="25" t="str">
        <f>IF(H179&gt;=Subsurface_Inputs!$C$42,"Lens visible","Weak/no lens")</f>
        <v>Lens visible</v>
      </c>
      <c r="V179" s="25" t="str">
        <f t="shared" si="23"/>
        <v>Likely visible</v>
      </c>
      <c r="W179" s="24">
        <f>Subsurface_Inputs!$C$43</f>
        <v>-45</v>
      </c>
      <c r="X179" s="24">
        <f t="shared" si="24"/>
        <v>17.382335072296907</v>
      </c>
      <c r="Y179" s="24">
        <f t="shared" si="25"/>
        <v>10.707258668913994</v>
      </c>
      <c r="Z179" s="24">
        <f t="shared" si="26"/>
        <v>17.382335072296907</v>
      </c>
      <c r="AA179" s="24">
        <v>0</v>
      </c>
    </row>
    <row r="180" spans="1:27">
      <c r="A180" s="24">
        <f>Model_Data!A180</f>
        <v>29</v>
      </c>
      <c r="B180" s="24">
        <f>Model_Data!Y180</f>
        <v>283.98171018669603</v>
      </c>
      <c r="C180" s="24">
        <f>Model_Data!X180</f>
        <v>29.3621575955436</v>
      </c>
      <c r="D180" s="24">
        <f>Model_Data!B180</f>
        <v>400.93444444444447</v>
      </c>
      <c r="E180" s="24">
        <f>Inputs!$C$6</f>
        <v>25</v>
      </c>
      <c r="F180" s="24">
        <f>Subsurface_Inputs!$C$5+Subsurface_Inputs!$C$6*SIN(2*PI()*(A180+Subsurface_Inputs!$C$7)/Subsurface_Inputs!$C$8)+Subsurface_Inputs!$C$9*COS(2*PI()*A180/Subsurface_Inputs!$C$10)+Subsurface_Inputs!$C$11*(B180-AVERAGE($B$2:$B$242))</f>
        <v>1075.2262426635273</v>
      </c>
      <c r="G180" s="24">
        <f t="shared" si="18"/>
        <v>-791.24453247683118</v>
      </c>
      <c r="H180" s="24">
        <f>MIN(1,MAX(0,Subsurface_Inputs!$C$13*EXP(-0.5*((A180-Subsurface_Inputs!$C$14)/Subsurface_Inputs!$C$15)^2)+Subsurface_Inputs!$C$16*EXP(-0.5*((A180-Subsurface_Inputs!$C$17)/Subsurface_Inputs!$C$18)^2)))</f>
        <v>0.69455331197456394</v>
      </c>
      <c r="I180" s="24">
        <f>Subsurface_Inputs!$C$19+Subsurface_Inputs!$C$20*SIN(2*PI()*(A180-Subsurface_Inputs!$C$21)/Subsurface_Inputs!$C$22)-Subsurface_Inputs!$C$23*H180</f>
        <v>5443.795531524469</v>
      </c>
      <c r="J180" s="24">
        <f t="shared" si="19"/>
        <v>-5159.8138213377733</v>
      </c>
      <c r="K180" s="24">
        <f>Subsurface_Inputs!$C$25+Subsurface_Inputs!$C$26*SIN(2*PI()*(A180+Subsurface_Inputs!$C$27)/Subsurface_Inputs!$C$28)+Subsurface_Inputs!$C$29*COS(2*PI()*(A180-Subsurface_Inputs!$C$30)/Subsurface_Inputs!$C$31)-Subsurface_Inputs!$C$32*(B180-AVERAGE($B$2:$B$242))</f>
        <v>15247.471049891155</v>
      </c>
      <c r="L180" s="24">
        <f t="shared" si="20"/>
        <v>-14963.48933970446</v>
      </c>
      <c r="M180" s="24">
        <f>2*Subsurface_Inputs!$C$34*F180/Subsurface_Inputs!$C$35*1000000</f>
        <v>12.768184528118308</v>
      </c>
      <c r="N180" s="24">
        <f>2*Subsurface_Inputs!$C$34*I180/Subsurface_Inputs!$C$35*1000000</f>
        <v>64.644428420634625</v>
      </c>
      <c r="O180" s="24">
        <f>2*Subsurface_Inputs!$C$34*K180/Subsurface_Inputs!$C$35*1000000</f>
        <v>181.06191629948381</v>
      </c>
      <c r="P180" s="24">
        <f>Subsurface_Inputs!$C$37-2*Subsurface_Inputs!$C$36*(F180/1000)</f>
        <v>-11.935407236794349</v>
      </c>
      <c r="Q180" s="24">
        <f>Subsurface_Inputs!$C$38+Subsurface_Inputs!$C$39*H180-2*Subsurface_Inputs!$C$36*(I180/1000)</f>
        <v>-27.547852148972972</v>
      </c>
      <c r="R180" s="24">
        <f>Subsurface_Inputs!$C$40-2*Subsurface_Inputs!$C$36*(K180/1000)-Subsurface_Inputs!$C$41*ABS(L180-AVERAGE($L$2:$L$242))</f>
        <v>-34.251574734650582</v>
      </c>
      <c r="S180" s="24">
        <f t="shared" si="21"/>
        <v>170.0863543170417</v>
      </c>
      <c r="T180" s="24">
        <f t="shared" si="22"/>
        <v>14.180709551992006</v>
      </c>
      <c r="U180" s="25" t="str">
        <f>IF(H180&gt;=Subsurface_Inputs!$C$42,"Lens visible","Weak/no lens")</f>
        <v>Lens visible</v>
      </c>
      <c r="V180" s="25" t="str">
        <f t="shared" si="23"/>
        <v>Likely visible</v>
      </c>
      <c r="W180" s="24">
        <f>Subsurface_Inputs!$C$43</f>
        <v>-45</v>
      </c>
      <c r="X180" s="24">
        <f t="shared" si="24"/>
        <v>17.452147851027028</v>
      </c>
      <c r="Y180" s="24">
        <f t="shared" si="25"/>
        <v>10.748425265349418</v>
      </c>
      <c r="Z180" s="24">
        <f t="shared" si="26"/>
        <v>17.452147851027028</v>
      </c>
      <c r="AA180" s="24">
        <v>0</v>
      </c>
    </row>
    <row r="181" spans="1:27">
      <c r="A181" s="24">
        <f>Model_Data!A181</f>
        <v>29.5</v>
      </c>
      <c r="B181" s="24">
        <f>Model_Data!Y181</f>
        <v>263.5246591496981</v>
      </c>
      <c r="C181" s="24">
        <f>Model_Data!X181</f>
        <v>20.445829988997222</v>
      </c>
      <c r="D181" s="24">
        <f>Model_Data!B181</f>
        <v>400.96694444444444</v>
      </c>
      <c r="E181" s="24">
        <f>Inputs!$C$6</f>
        <v>25</v>
      </c>
      <c r="F181" s="24">
        <f>Subsurface_Inputs!$C$5+Subsurface_Inputs!$C$6*SIN(2*PI()*(A181+Subsurface_Inputs!$C$7)/Subsurface_Inputs!$C$8)+Subsurface_Inputs!$C$9*COS(2*PI()*A181/Subsurface_Inputs!$C$10)+Subsurface_Inputs!$C$11*(B181-AVERAGE($B$2:$B$242))</f>
        <v>1077.2619790009555</v>
      </c>
      <c r="G181" s="24">
        <f t="shared" si="18"/>
        <v>-813.73731985125744</v>
      </c>
      <c r="H181" s="24">
        <f>MIN(1,MAX(0,Subsurface_Inputs!$C$13*EXP(-0.5*((A181-Subsurface_Inputs!$C$14)/Subsurface_Inputs!$C$15)^2)+Subsurface_Inputs!$C$16*EXP(-0.5*((A181-Subsurface_Inputs!$C$17)/Subsurface_Inputs!$C$18)^2)))</f>
        <v>0.69863472543954785</v>
      </c>
      <c r="I181" s="24">
        <f>Subsurface_Inputs!$C$19+Subsurface_Inputs!$C$20*SIN(2*PI()*(A181-Subsurface_Inputs!$C$21)/Subsurface_Inputs!$C$22)-Subsurface_Inputs!$C$23*H181</f>
        <v>5438.6492863109543</v>
      </c>
      <c r="J181" s="24">
        <f t="shared" si="19"/>
        <v>-5175.1246271612563</v>
      </c>
      <c r="K181" s="24">
        <f>Subsurface_Inputs!$C$25+Subsurface_Inputs!$C$26*SIN(2*PI()*(A181+Subsurface_Inputs!$C$27)/Subsurface_Inputs!$C$28)+Subsurface_Inputs!$C$29*COS(2*PI()*(A181-Subsurface_Inputs!$C$30)/Subsurface_Inputs!$C$31)-Subsurface_Inputs!$C$32*(B181-AVERAGE($B$2:$B$242))</f>
        <v>15221.486466946375</v>
      </c>
      <c r="L181" s="24">
        <f t="shared" si="20"/>
        <v>-14957.961807796677</v>
      </c>
      <c r="M181" s="24">
        <f>2*Subsurface_Inputs!$C$34*F181/Subsurface_Inputs!$C$35*1000000</f>
        <v>12.79235865647895</v>
      </c>
      <c r="N181" s="24">
        <f>2*Subsurface_Inputs!$C$34*I181/Subsurface_Inputs!$C$35*1000000</f>
        <v>64.583317367066641</v>
      </c>
      <c r="O181" s="24">
        <f>2*Subsurface_Inputs!$C$34*K181/Subsurface_Inputs!$C$35*1000000</f>
        <v>180.75335244867665</v>
      </c>
      <c r="P181" s="24">
        <f>Subsurface_Inputs!$C$37-2*Subsurface_Inputs!$C$36*(F181/1000)</f>
        <v>-11.93907156220172</v>
      </c>
      <c r="Q181" s="24">
        <f>Subsurface_Inputs!$C$38+Subsurface_Inputs!$C$39*H181-2*Subsurface_Inputs!$C$36*(I181/1000)</f>
        <v>-27.501856186403788</v>
      </c>
      <c r="R181" s="24">
        <f>Subsurface_Inputs!$C$40-2*Subsurface_Inputs!$C$36*(K181/1000)-Subsurface_Inputs!$C$41*ABS(L181-AVERAGE($L$2:$L$242))</f>
        <v>-34.18269235771885</v>
      </c>
      <c r="S181" s="24">
        <f t="shared" si="21"/>
        <v>144.10177137226128</v>
      </c>
      <c r="T181" s="24">
        <f t="shared" si="22"/>
        <v>14.129790862072998</v>
      </c>
      <c r="U181" s="25" t="str">
        <f>IF(H181&gt;=Subsurface_Inputs!$C$42,"Lens visible","Weak/no lens")</f>
        <v>Lens visible</v>
      </c>
      <c r="V181" s="25" t="str">
        <f t="shared" si="23"/>
        <v>Likely visible</v>
      </c>
      <c r="W181" s="24">
        <f>Subsurface_Inputs!$C$43</f>
        <v>-45</v>
      </c>
      <c r="X181" s="24">
        <f t="shared" si="24"/>
        <v>17.498143813596212</v>
      </c>
      <c r="Y181" s="24">
        <f t="shared" si="25"/>
        <v>10.81730764228115</v>
      </c>
      <c r="Z181" s="24">
        <f t="shared" si="26"/>
        <v>17.498143813596212</v>
      </c>
      <c r="AA181" s="24">
        <v>0</v>
      </c>
    </row>
    <row r="182" spans="1:27">
      <c r="A182" s="24">
        <f>Model_Data!A182</f>
        <v>30</v>
      </c>
      <c r="B182" s="24">
        <f>Model_Data!Y182</f>
        <v>258.38103540276461</v>
      </c>
      <c r="C182" s="24">
        <f>Model_Data!X182</f>
        <v>11.879118514207924</v>
      </c>
      <c r="D182" s="24">
        <f>Model_Data!B182</f>
        <v>401</v>
      </c>
      <c r="E182" s="24">
        <f>Inputs!$C$6</f>
        <v>25</v>
      </c>
      <c r="F182" s="24">
        <f>Subsurface_Inputs!$C$5+Subsurface_Inputs!$C$6*SIN(2*PI()*(A182+Subsurface_Inputs!$C$7)/Subsurface_Inputs!$C$8)+Subsurface_Inputs!$C$9*COS(2*PI()*A182/Subsurface_Inputs!$C$10)+Subsurface_Inputs!$C$11*(B182-AVERAGE($B$2:$B$242))</f>
        <v>1080.4645540968556</v>
      </c>
      <c r="G182" s="24">
        <f t="shared" si="18"/>
        <v>-822.08351869409103</v>
      </c>
      <c r="H182" s="24">
        <f>MIN(1,MAX(0,Subsurface_Inputs!$C$13*EXP(-0.5*((A182-Subsurface_Inputs!$C$14)/Subsurface_Inputs!$C$15)^2)+Subsurface_Inputs!$C$16*EXP(-0.5*((A182-Subsurface_Inputs!$C$17)/Subsurface_Inputs!$C$18)^2)))</f>
        <v>0.70000044229299296</v>
      </c>
      <c r="I182" s="24">
        <f>Subsurface_Inputs!$C$19+Subsurface_Inputs!$C$20*SIN(2*PI()*(A182-Subsurface_Inputs!$C$21)/Subsurface_Inputs!$C$22)-Subsurface_Inputs!$C$23*H182</f>
        <v>5433.4117114853152</v>
      </c>
      <c r="J182" s="24">
        <f t="shared" si="19"/>
        <v>-5175.0306760825506</v>
      </c>
      <c r="K182" s="24">
        <f>Subsurface_Inputs!$C$25+Subsurface_Inputs!$C$26*SIN(2*PI()*(A182+Subsurface_Inputs!$C$27)/Subsurface_Inputs!$C$28)+Subsurface_Inputs!$C$29*COS(2*PI()*(A182-Subsurface_Inputs!$C$30)/Subsurface_Inputs!$C$31)-Subsurface_Inputs!$C$32*(B182-AVERAGE($B$2:$B$242))</f>
        <v>15193.623838416177</v>
      </c>
      <c r="L182" s="24">
        <f t="shared" si="20"/>
        <v>-14935.242803013412</v>
      </c>
      <c r="M182" s="24">
        <f>2*Subsurface_Inputs!$C$34*F182/Subsurface_Inputs!$C$35*1000000</f>
        <v>12.830388857163332</v>
      </c>
      <c r="N182" s="24">
        <f>2*Subsurface_Inputs!$C$34*I182/Subsurface_Inputs!$C$35*1000000</f>
        <v>64.521121785150854</v>
      </c>
      <c r="O182" s="24">
        <f>2*Subsurface_Inputs!$C$34*K182/Subsurface_Inputs!$C$35*1000000</f>
        <v>180.42248702854823</v>
      </c>
      <c r="P182" s="24">
        <f>Subsurface_Inputs!$C$37-2*Subsurface_Inputs!$C$36*(F182/1000)</f>
        <v>-11.94483619737434</v>
      </c>
      <c r="Q182" s="24">
        <f>Subsurface_Inputs!$C$38+Subsurface_Inputs!$C$39*H182-2*Subsurface_Inputs!$C$36*(I182/1000)</f>
        <v>-27.480137100036629</v>
      </c>
      <c r="R182" s="24">
        <f>Subsurface_Inputs!$C$40-2*Subsurface_Inputs!$C$36*(K182/1000)-Subsurface_Inputs!$C$41*ABS(L182-AVERAGE($L$2:$L$242))</f>
        <v>-34.041663607231435</v>
      </c>
      <c r="S182" s="24">
        <f t="shared" si="21"/>
        <v>116.2391428420633</v>
      </c>
      <c r="T182" s="24">
        <f t="shared" si="22"/>
        <v>14.06212150209435</v>
      </c>
      <c r="U182" s="25" t="str">
        <f>IF(H182&gt;=Subsurface_Inputs!$C$42,"Lens visible","Weak/no lens")</f>
        <v>Lens visible</v>
      </c>
      <c r="V182" s="25" t="str">
        <f t="shared" si="23"/>
        <v>Likely visible</v>
      </c>
      <c r="W182" s="24">
        <f>Subsurface_Inputs!$C$43</f>
        <v>-45</v>
      </c>
      <c r="X182" s="24">
        <f t="shared" si="24"/>
        <v>17.519862899963371</v>
      </c>
      <c r="Y182" s="24">
        <f t="shared" si="25"/>
        <v>10.958336392768565</v>
      </c>
      <c r="Z182" s="24">
        <f t="shared" si="26"/>
        <v>17.519862899963371</v>
      </c>
      <c r="AA182" s="24">
        <v>0</v>
      </c>
    </row>
    <row r="183" spans="1:27">
      <c r="A183" s="24">
        <f>Model_Data!A183</f>
        <v>30.5</v>
      </c>
      <c r="B183" s="24">
        <f>Model_Data!Y183</f>
        <v>239.98613946244137</v>
      </c>
      <c r="C183" s="24">
        <f>Model_Data!X183</f>
        <v>4.284803604386866</v>
      </c>
      <c r="D183" s="24">
        <f>Model_Data!B183</f>
        <v>401.0336111111111</v>
      </c>
      <c r="E183" s="24">
        <f>Inputs!$C$6</f>
        <v>25</v>
      </c>
      <c r="F183" s="24">
        <f>Subsurface_Inputs!$C$5+Subsurface_Inputs!$C$6*SIN(2*PI()*(A183+Subsurface_Inputs!$C$7)/Subsurface_Inputs!$C$8)+Subsurface_Inputs!$C$9*COS(2*PI()*A183/Subsurface_Inputs!$C$10)+Subsurface_Inputs!$C$11*(B183-AVERAGE($B$2:$B$242))</f>
        <v>1083.7751111983671</v>
      </c>
      <c r="G183" s="24">
        <f t="shared" si="18"/>
        <v>-843.78897173592577</v>
      </c>
      <c r="H183" s="24">
        <f>MIN(1,MAX(0,Subsurface_Inputs!$C$13*EXP(-0.5*((A183-Subsurface_Inputs!$C$14)/Subsurface_Inputs!$C$15)^2)+Subsurface_Inputs!$C$16*EXP(-0.5*((A183-Subsurface_Inputs!$C$17)/Subsurface_Inputs!$C$18)^2)))</f>
        <v>0.69863448399085104</v>
      </c>
      <c r="I183" s="24">
        <f>Subsurface_Inputs!$C$19+Subsurface_Inputs!$C$20*SIN(2*PI()*(A183-Subsurface_Inputs!$C$21)/Subsurface_Inputs!$C$22)-Subsurface_Inputs!$C$23*H183</f>
        <v>5428.0938477107602</v>
      </c>
      <c r="J183" s="24">
        <f t="shared" si="19"/>
        <v>-5188.1077082483189</v>
      </c>
      <c r="K183" s="24">
        <f>Subsurface_Inputs!$C$25+Subsurface_Inputs!$C$26*SIN(2*PI()*(A183+Subsurface_Inputs!$C$27)/Subsurface_Inputs!$C$28)+Subsurface_Inputs!$C$29*COS(2*PI()*(A183-Subsurface_Inputs!$C$30)/Subsurface_Inputs!$C$31)-Subsurface_Inputs!$C$32*(B183-AVERAGE($B$2:$B$242))</f>
        <v>15167.924996429248</v>
      </c>
      <c r="L183" s="24">
        <f t="shared" si="20"/>
        <v>-14927.938856966806</v>
      </c>
      <c r="M183" s="24">
        <f>2*Subsurface_Inputs!$C$34*F183/Subsurface_Inputs!$C$35*1000000</f>
        <v>12.869701331399694</v>
      </c>
      <c r="N183" s="24">
        <f>2*Subsurface_Inputs!$C$34*I183/Subsurface_Inputs!$C$35*1000000</f>
        <v>64.457972781457713</v>
      </c>
      <c r="O183" s="24">
        <f>2*Subsurface_Inputs!$C$34*K183/Subsurface_Inputs!$C$35*1000000</f>
        <v>180.11731631783786</v>
      </c>
      <c r="P183" s="24">
        <f>Subsurface_Inputs!$C$37-2*Subsurface_Inputs!$C$36*(F183/1000)</f>
        <v>-11.95079520015706</v>
      </c>
      <c r="Q183" s="24">
        <f>Subsurface_Inputs!$C$38+Subsurface_Inputs!$C$39*H183-2*Subsurface_Inputs!$C$36*(I183/1000)</f>
        <v>-27.482858569961707</v>
      </c>
      <c r="R183" s="24">
        <f>Subsurface_Inputs!$C$40-2*Subsurface_Inputs!$C$36*(K183/1000)-Subsurface_Inputs!$C$41*ABS(L183-AVERAGE($L$2:$L$242))</f>
        <v>-33.966189907468539</v>
      </c>
      <c r="S183" s="24">
        <f t="shared" si="21"/>
        <v>90.540300855134774</v>
      </c>
      <c r="T183" s="24">
        <f t="shared" si="22"/>
        <v>13.995454259562722</v>
      </c>
      <c r="U183" s="25" t="str">
        <f>IF(H183&gt;=Subsurface_Inputs!$C$42,"Lens visible","Weak/no lens")</f>
        <v>Lens visible</v>
      </c>
      <c r="V183" s="25" t="str">
        <f t="shared" si="23"/>
        <v>Likely visible</v>
      </c>
      <c r="W183" s="24">
        <f>Subsurface_Inputs!$C$43</f>
        <v>-45</v>
      </c>
      <c r="X183" s="24">
        <f t="shared" si="24"/>
        <v>17.517141430038293</v>
      </c>
      <c r="Y183" s="24">
        <f t="shared" si="25"/>
        <v>11.033810092531461</v>
      </c>
      <c r="Z183" s="24">
        <f t="shared" si="26"/>
        <v>17.517141430038293</v>
      </c>
      <c r="AA183" s="24">
        <v>0</v>
      </c>
    </row>
    <row r="184" spans="1:27">
      <c r="A184" s="24">
        <f>Model_Data!A184</f>
        <v>31</v>
      </c>
      <c r="B184" s="24">
        <f>Model_Data!Y184</f>
        <v>239.58052306016251</v>
      </c>
      <c r="C184" s="24">
        <f>Model_Data!X184</f>
        <v>18.692329061381155</v>
      </c>
      <c r="D184" s="24">
        <f>Model_Data!B184</f>
        <v>401.06777777777779</v>
      </c>
      <c r="E184" s="24">
        <f>Inputs!$C$6</f>
        <v>25</v>
      </c>
      <c r="F184" s="24">
        <f>Subsurface_Inputs!$C$5+Subsurface_Inputs!$C$6*SIN(2*PI()*(A184+Subsurface_Inputs!$C$7)/Subsurface_Inputs!$C$8)+Subsurface_Inputs!$C$9*COS(2*PI()*A184/Subsurface_Inputs!$C$10)+Subsurface_Inputs!$C$11*(B184-AVERAGE($B$2:$B$242))</f>
        <v>1088.5185563240755</v>
      </c>
      <c r="G184" s="24">
        <f t="shared" si="18"/>
        <v>-848.93803326391298</v>
      </c>
      <c r="H184" s="24">
        <f>MIN(1,MAX(0,Subsurface_Inputs!$C$13*EXP(-0.5*((A184-Subsurface_Inputs!$C$14)/Subsurface_Inputs!$C$15)^2)+Subsurface_Inputs!$C$16*EXP(-0.5*((A184-Subsurface_Inputs!$C$17)/Subsurface_Inputs!$C$18)^2)))</f>
        <v>0.69455281324212825</v>
      </c>
      <c r="I184" s="24">
        <f>Subsurface_Inputs!$C$19+Subsurface_Inputs!$C$20*SIN(2*PI()*(A184-Subsurface_Inputs!$C$21)/Subsurface_Inputs!$C$22)-Subsurface_Inputs!$C$23*H184</f>
        <v>5422.7001497712608</v>
      </c>
      <c r="J184" s="24">
        <f t="shared" si="19"/>
        <v>-5183.1196267110981</v>
      </c>
      <c r="K184" s="24">
        <f>Subsurface_Inputs!$C$25+Subsurface_Inputs!$C$26*SIN(2*PI()*(A184+Subsurface_Inputs!$C$27)/Subsurface_Inputs!$C$28)+Subsurface_Inputs!$C$29*COS(2*PI()*(A184-Subsurface_Inputs!$C$30)/Subsurface_Inputs!$C$31)-Subsurface_Inputs!$C$32*(B184-AVERAGE($B$2:$B$242))</f>
        <v>15140.057820585258</v>
      </c>
      <c r="L184" s="24">
        <f t="shared" si="20"/>
        <v>-14900.477297525096</v>
      </c>
      <c r="M184" s="24">
        <f>2*Subsurface_Inputs!$C$34*F184/Subsurface_Inputs!$C$35*1000000</f>
        <v>12.926029181540345</v>
      </c>
      <c r="N184" s="24">
        <f>2*Subsurface_Inputs!$C$34*I184/Subsurface_Inputs!$C$35*1000000</f>
        <v>64.393923256020301</v>
      </c>
      <c r="O184" s="24">
        <f>2*Subsurface_Inputs!$C$34*K184/Subsurface_Inputs!$C$35*1000000</f>
        <v>179.7863968988957</v>
      </c>
      <c r="P184" s="24">
        <f>Subsurface_Inputs!$C$37-2*Subsurface_Inputs!$C$36*(F184/1000)</f>
        <v>-11.959333401383336</v>
      </c>
      <c r="Q184" s="24">
        <f>Subsurface_Inputs!$C$38+Subsurface_Inputs!$C$39*H184-2*Subsurface_Inputs!$C$36*(I184/1000)</f>
        <v>-27.509884950409116</v>
      </c>
      <c r="R184" s="24">
        <f>Subsurface_Inputs!$C$40-2*Subsurface_Inputs!$C$36*(K184/1000)-Subsurface_Inputs!$C$41*ABS(L184-AVERAGE($L$2:$L$242))</f>
        <v>-33.806182753182512</v>
      </c>
      <c r="S184" s="24">
        <f t="shared" si="21"/>
        <v>62.673125011144293</v>
      </c>
      <c r="T184" s="24">
        <f t="shared" si="22"/>
        <v>13.908865156799161</v>
      </c>
      <c r="U184" s="25" t="str">
        <f>IF(H184&gt;=Subsurface_Inputs!$C$42,"Lens visible","Weak/no lens")</f>
        <v>Lens visible</v>
      </c>
      <c r="V184" s="25" t="str">
        <f t="shared" si="23"/>
        <v>Likely visible</v>
      </c>
      <c r="W184" s="24">
        <f>Subsurface_Inputs!$C$43</f>
        <v>-45</v>
      </c>
      <c r="X184" s="24">
        <f t="shared" si="24"/>
        <v>17.490115049590884</v>
      </c>
      <c r="Y184" s="24">
        <f t="shared" si="25"/>
        <v>11.193817246817488</v>
      </c>
      <c r="Z184" s="24">
        <f t="shared" si="26"/>
        <v>17.490115049590884</v>
      </c>
      <c r="AA184" s="24">
        <v>0</v>
      </c>
    </row>
    <row r="185" spans="1:27">
      <c r="A185" s="24">
        <f>Model_Data!A185</f>
        <v>31.5</v>
      </c>
      <c r="B185" s="24">
        <f>Model_Data!Y185</f>
        <v>216.56157473379682</v>
      </c>
      <c r="C185" s="24">
        <f>Model_Data!X185</f>
        <v>18.579807279110426</v>
      </c>
      <c r="D185" s="24">
        <f>Model_Data!B185</f>
        <v>401.10250000000002</v>
      </c>
      <c r="E185" s="24">
        <f>Inputs!$C$6</f>
        <v>25</v>
      </c>
      <c r="F185" s="24">
        <f>Subsurface_Inputs!$C$5+Subsurface_Inputs!$C$6*SIN(2*PI()*(A185+Subsurface_Inputs!$C$7)/Subsurface_Inputs!$C$8)+Subsurface_Inputs!$C$9*COS(2*PI()*A185/Subsurface_Inputs!$C$10)+Subsurface_Inputs!$C$11*(B185-AVERAGE($B$2:$B$242))</f>
        <v>1093.1353767391536</v>
      </c>
      <c r="G185" s="24">
        <f t="shared" si="18"/>
        <v>-876.57380200535681</v>
      </c>
      <c r="H185" s="24">
        <f>MIN(1,MAX(0,Subsurface_Inputs!$C$13*EXP(-0.5*((A185-Subsurface_Inputs!$C$14)/Subsurface_Inputs!$C$15)^2)+Subsurface_Inputs!$C$16*EXP(-0.5*((A185-Subsurface_Inputs!$C$17)/Subsurface_Inputs!$C$18)^2)))</f>
        <v>0.68780302282701722</v>
      </c>
      <c r="I185" s="24">
        <f>Subsurface_Inputs!$C$19+Subsurface_Inputs!$C$20*SIN(2*PI()*(A185-Subsurface_Inputs!$C$21)/Subsurface_Inputs!$C$22)-Subsurface_Inputs!$C$23*H185</f>
        <v>5417.2285490946051</v>
      </c>
      <c r="J185" s="24">
        <f t="shared" si="19"/>
        <v>-5200.6669743608081</v>
      </c>
      <c r="K185" s="24">
        <f>Subsurface_Inputs!$C$25+Subsurface_Inputs!$C$26*SIN(2*PI()*(A185+Subsurface_Inputs!$C$27)/Subsurface_Inputs!$C$28)+Subsurface_Inputs!$C$29*COS(2*PI()*(A185-Subsurface_Inputs!$C$30)/Subsurface_Inputs!$C$31)-Subsurface_Inputs!$C$32*(B185-AVERAGE($B$2:$B$242))</f>
        <v>15115.746926095389</v>
      </c>
      <c r="L185" s="24">
        <f t="shared" si="20"/>
        <v>-14899.185351361593</v>
      </c>
      <c r="M185" s="24">
        <f>2*Subsurface_Inputs!$C$34*F185/Subsurface_Inputs!$C$35*1000000</f>
        <v>12.980853378210691</v>
      </c>
      <c r="N185" s="24">
        <f>2*Subsurface_Inputs!$C$34*I185/Subsurface_Inputs!$C$35*1000000</f>
        <v>64.328948644788099</v>
      </c>
      <c r="O185" s="24">
        <f>2*Subsurface_Inputs!$C$34*K185/Subsurface_Inputs!$C$35*1000000</f>
        <v>179.49770790064235</v>
      </c>
      <c r="P185" s="24">
        <f>Subsurface_Inputs!$C$37-2*Subsurface_Inputs!$C$36*(F185/1000)</f>
        <v>-11.967643678130477</v>
      </c>
      <c r="Q185" s="24">
        <f>Subsurface_Inputs!$C$38+Subsurface_Inputs!$C$39*H185-2*Subsurface_Inputs!$C$36*(I185/1000)</f>
        <v>-27.560784182927136</v>
      </c>
      <c r="R185" s="24">
        <f>Subsurface_Inputs!$C$40-2*Subsurface_Inputs!$C$36*(K185/1000)-Subsurface_Inputs!$C$41*ABS(L185-AVERAGE($L$2:$L$242))</f>
        <v>-33.757255358446741</v>
      </c>
      <c r="S185" s="24">
        <f t="shared" si="21"/>
        <v>38.362230521275706</v>
      </c>
      <c r="T185" s="24">
        <f t="shared" si="22"/>
        <v>13.827881932781271</v>
      </c>
      <c r="U185" s="25" t="str">
        <f>IF(H185&gt;=Subsurface_Inputs!$C$42,"Lens visible","Weak/no lens")</f>
        <v>Lens visible</v>
      </c>
      <c r="V185" s="25" t="str">
        <f t="shared" si="23"/>
        <v>Likely visible</v>
      </c>
      <c r="W185" s="24">
        <f>Subsurface_Inputs!$C$43</f>
        <v>-45</v>
      </c>
      <c r="X185" s="24">
        <f t="shared" si="24"/>
        <v>17.439215817072864</v>
      </c>
      <c r="Y185" s="24">
        <f t="shared" si="25"/>
        <v>11.242744641553259</v>
      </c>
      <c r="Z185" s="24">
        <f t="shared" si="26"/>
        <v>17.439215817072864</v>
      </c>
      <c r="AA185" s="24">
        <v>0</v>
      </c>
    </row>
    <row r="186" spans="1:27">
      <c r="A186" s="24">
        <f>Model_Data!A186</f>
        <v>32</v>
      </c>
      <c r="B186" s="24">
        <f>Model_Data!Y186</f>
        <v>222.43770342187699</v>
      </c>
      <c r="C186" s="24">
        <f>Model_Data!X186</f>
        <v>-1.3588316603362678</v>
      </c>
      <c r="D186" s="24">
        <f>Model_Data!B186</f>
        <v>401.13777777777779</v>
      </c>
      <c r="E186" s="24">
        <f>Inputs!$C$6</f>
        <v>25</v>
      </c>
      <c r="F186" s="24">
        <f>Subsurface_Inputs!$C$5+Subsurface_Inputs!$C$6*SIN(2*PI()*(A186+Subsurface_Inputs!$C$7)/Subsurface_Inputs!$C$8)+Subsurface_Inputs!$C$9*COS(2*PI()*A186/Subsurface_Inputs!$C$10)+Subsurface_Inputs!$C$11*(B186-AVERAGE($B$2:$B$242))</f>
        <v>1099.7377480113589</v>
      </c>
      <c r="G186" s="24">
        <f t="shared" si="18"/>
        <v>-877.3000445894819</v>
      </c>
      <c r="H186" s="24">
        <f>MIN(1,MAX(0,Subsurface_Inputs!$C$13*EXP(-0.5*((A186-Subsurface_Inputs!$C$14)/Subsurface_Inputs!$C$15)^2)+Subsurface_Inputs!$C$16*EXP(-0.5*((A186-Subsurface_Inputs!$C$17)/Subsurface_Inputs!$C$18)^2)))</f>
        <v>0.67846341135998867</v>
      </c>
      <c r="I186" s="24">
        <f>Subsurface_Inputs!$C$19+Subsurface_Inputs!$C$20*SIN(2*PI()*(A186-Subsurface_Inputs!$C$21)/Subsurface_Inputs!$C$22)-Subsurface_Inputs!$C$23*H186</f>
        <v>5411.6706618414091</v>
      </c>
      <c r="J186" s="24">
        <f t="shared" si="19"/>
        <v>-5189.2329584195322</v>
      </c>
      <c r="K186" s="24">
        <f>Subsurface_Inputs!$C$25+Subsurface_Inputs!$C$26*SIN(2*PI()*(A186+Subsurface_Inputs!$C$27)/Subsurface_Inputs!$C$28)+Subsurface_Inputs!$C$29*COS(2*PI()*(A186-Subsurface_Inputs!$C$30)/Subsurface_Inputs!$C$31)-Subsurface_Inputs!$C$32*(B186-AVERAGE($B$2:$B$242))</f>
        <v>15087.819991779352</v>
      </c>
      <c r="L186" s="24">
        <f t="shared" si="20"/>
        <v>-14865.382288357474</v>
      </c>
      <c r="M186" s="24">
        <f>2*Subsurface_Inputs!$C$34*F186/Subsurface_Inputs!$C$35*1000000</f>
        <v>13.059255756595578</v>
      </c>
      <c r="N186" s="24">
        <f>2*Subsurface_Inputs!$C$34*I186/Subsurface_Inputs!$C$35*1000000</f>
        <v>64.2629493906595</v>
      </c>
      <c r="O186" s="24">
        <f>2*Subsurface_Inputs!$C$34*K186/Subsurface_Inputs!$C$35*1000000</f>
        <v>179.16607885690871</v>
      </c>
      <c r="P186" s="24">
        <f>Subsurface_Inputs!$C$37-2*Subsurface_Inputs!$C$36*(F186/1000)</f>
        <v>-11.979527946420445</v>
      </c>
      <c r="Q186" s="24">
        <f>Subsurface_Inputs!$C$38+Subsurface_Inputs!$C$39*H186-2*Subsurface_Inputs!$C$36*(I186/1000)</f>
        <v>-27.63483648907464</v>
      </c>
      <c r="R186" s="24">
        <f>Subsurface_Inputs!$C$40-2*Subsurface_Inputs!$C$36*(K186/1000)-Subsurface_Inputs!$C$41*ABS(L186-AVERAGE($L$2:$L$242))</f>
        <v>-33.571774624661394</v>
      </c>
      <c r="S186" s="24">
        <f t="shared" si="21"/>
        <v>10.435296205238046</v>
      </c>
      <c r="T186" s="24">
        <f t="shared" si="22"/>
        <v>13.719470863905922</v>
      </c>
      <c r="U186" s="25" t="str">
        <f>IF(H186&gt;=Subsurface_Inputs!$C$42,"Lens visible","Weak/no lens")</f>
        <v>Lens visible</v>
      </c>
      <c r="V186" s="25" t="str">
        <f t="shared" si="23"/>
        <v>Likely visible</v>
      </c>
      <c r="W186" s="24">
        <f>Subsurface_Inputs!$C$43</f>
        <v>-45</v>
      </c>
      <c r="X186" s="24">
        <f t="shared" si="24"/>
        <v>17.36516351092536</v>
      </c>
      <c r="Y186" s="24">
        <f t="shared" si="25"/>
        <v>11.428225375338606</v>
      </c>
      <c r="Z186" s="24">
        <f t="shared" si="26"/>
        <v>17.36516351092536</v>
      </c>
      <c r="AA186" s="24">
        <v>0</v>
      </c>
    </row>
    <row r="187" spans="1:27">
      <c r="A187" s="24">
        <f>Model_Data!A187</f>
        <v>32.5</v>
      </c>
      <c r="B187" s="24">
        <f>Model_Data!Y187</f>
        <v>227.97180197682223</v>
      </c>
      <c r="C187" s="24">
        <f>Model_Data!X187</f>
        <v>5.8468430183224456</v>
      </c>
      <c r="D187" s="24">
        <f>Model_Data!B187</f>
        <v>401.17361111111109</v>
      </c>
      <c r="E187" s="24">
        <f>Inputs!$C$6</f>
        <v>25</v>
      </c>
      <c r="F187" s="24">
        <f>Subsurface_Inputs!$C$5+Subsurface_Inputs!$C$6*SIN(2*PI()*(A187+Subsurface_Inputs!$C$7)/Subsurface_Inputs!$C$8)+Subsurface_Inputs!$C$9*COS(2*PI()*A187/Subsurface_Inputs!$C$10)+Subsurface_Inputs!$C$11*(B187-AVERAGE($B$2:$B$242))</f>
        <v>1107.1934400968605</v>
      </c>
      <c r="G187" s="24">
        <f t="shared" si="18"/>
        <v>-879.22163812003828</v>
      </c>
      <c r="H187" s="24">
        <f>MIN(1,MAX(0,Subsurface_Inputs!$C$13*EXP(-0.5*((A187-Subsurface_Inputs!$C$14)/Subsurface_Inputs!$C$15)^2)+Subsurface_Inputs!$C$16*EXP(-0.5*((A187-Subsurface_Inputs!$C$17)/Subsurface_Inputs!$C$18)^2)))</f>
        <v>0.66664147105905225</v>
      </c>
      <c r="I187" s="24">
        <f>Subsurface_Inputs!$C$19+Subsurface_Inputs!$C$20*SIN(2*PI()*(A187-Subsurface_Inputs!$C$21)/Subsurface_Inputs!$C$22)-Subsurface_Inputs!$C$23*H187</f>
        <v>5406.0121365655768</v>
      </c>
      <c r="J187" s="24">
        <f t="shared" si="19"/>
        <v>-5178.0403345887544</v>
      </c>
      <c r="K187" s="24">
        <f>Subsurface_Inputs!$C$25+Subsurface_Inputs!$C$26*SIN(2*PI()*(A187+Subsurface_Inputs!$C$27)/Subsurface_Inputs!$C$28)+Subsurface_Inputs!$C$29*COS(2*PI()*(A187-Subsurface_Inputs!$C$30)/Subsurface_Inputs!$C$31)-Subsurface_Inputs!$C$32*(B187-AVERAGE($B$2:$B$242))</f>
        <v>15060.407592662792</v>
      </c>
      <c r="L187" s="24">
        <f t="shared" si="20"/>
        <v>-14832.43579068597</v>
      </c>
      <c r="M187" s="24">
        <f>2*Subsurface_Inputs!$C$34*F187/Subsurface_Inputs!$C$35*1000000</f>
        <v>13.147791218766496</v>
      </c>
      <c r="N187" s="24">
        <f>2*Subsurface_Inputs!$C$34*I187/Subsurface_Inputs!$C$35*1000000</f>
        <v>64.195755071908621</v>
      </c>
      <c r="O187" s="24">
        <f>2*Subsurface_Inputs!$C$34*K187/Subsurface_Inputs!$C$35*1000000</f>
        <v>178.84055985784519</v>
      </c>
      <c r="P187" s="24">
        <f>Subsurface_Inputs!$C$37-2*Subsurface_Inputs!$C$36*(F187/1000)</f>
        <v>-11.992948192174349</v>
      </c>
      <c r="Q187" s="24">
        <f>Subsurface_Inputs!$C$38+Subsurface_Inputs!$C$39*H187-2*Subsurface_Inputs!$C$36*(I187/1000)</f>
        <v>-27.731048606286567</v>
      </c>
      <c r="R187" s="24">
        <f>Subsurface_Inputs!$C$40-2*Subsurface_Inputs!$C$36*(K187/1000)-Subsurface_Inputs!$C$41*ABS(L187-AVERAGE($L$2:$L$242))</f>
        <v>-33.390646315565576</v>
      </c>
      <c r="S187" s="24">
        <f t="shared" si="21"/>
        <v>-16.977102911321708</v>
      </c>
      <c r="T187" s="24">
        <f t="shared" si="22"/>
        <v>13.602327332561927</v>
      </c>
      <c r="U187" s="25" t="str">
        <f>IF(H187&gt;=Subsurface_Inputs!$C$42,"Lens visible","Weak/no lens")</f>
        <v>Lens visible</v>
      </c>
      <c r="V187" s="25" t="str">
        <f t="shared" si="23"/>
        <v>Likely visible</v>
      </c>
      <c r="W187" s="24">
        <f>Subsurface_Inputs!$C$43</f>
        <v>-45</v>
      </c>
      <c r="X187" s="24">
        <f t="shared" si="24"/>
        <v>17.268951393713433</v>
      </c>
      <c r="Y187" s="24">
        <f t="shared" si="25"/>
        <v>11.609353684434424</v>
      </c>
      <c r="Z187" s="24">
        <f t="shared" si="26"/>
        <v>17.268951393713433</v>
      </c>
      <c r="AA187" s="24">
        <v>0</v>
      </c>
    </row>
    <row r="188" spans="1:27">
      <c r="A188" s="24">
        <f>Model_Data!A188</f>
        <v>33</v>
      </c>
      <c r="B188" s="24">
        <f>Model_Data!Y188</f>
        <v>226.08418221808537</v>
      </c>
      <c r="C188" s="24">
        <f>Model_Data!X188</f>
        <v>-3.6102909912474139</v>
      </c>
      <c r="D188" s="24">
        <f>Model_Data!B188</f>
        <v>401.21</v>
      </c>
      <c r="E188" s="24">
        <f>Inputs!$C$6</f>
        <v>25</v>
      </c>
      <c r="F188" s="24">
        <f>Subsurface_Inputs!$C$5+Subsurface_Inputs!$C$6*SIN(2*PI()*(A188+Subsurface_Inputs!$C$7)/Subsurface_Inputs!$C$8)+Subsurface_Inputs!$C$9*COS(2*PI()*A188/Subsurface_Inputs!$C$10)+Subsurface_Inputs!$C$11*(B188-AVERAGE($B$2:$B$242))</f>
        <v>1115.240369103333</v>
      </c>
      <c r="G188" s="24">
        <f t="shared" si="18"/>
        <v>-889.15618688524762</v>
      </c>
      <c r="H188" s="24">
        <f>MIN(1,MAX(0,Subsurface_Inputs!$C$13*EXP(-0.5*((A188-Subsurface_Inputs!$C$14)/Subsurface_Inputs!$C$15)^2)+Subsurface_Inputs!$C$16*EXP(-0.5*((A188-Subsurface_Inputs!$C$17)/Subsurface_Inputs!$C$18)^2)))</f>
        <v>0.65247182832937156</v>
      </c>
      <c r="I188" s="24">
        <f>Subsurface_Inputs!$C$19+Subsurface_Inputs!$C$20*SIN(2*PI()*(A188-Subsurface_Inputs!$C$21)/Subsurface_Inputs!$C$22)-Subsurface_Inputs!$C$23*H188</f>
        <v>5400.2331316746413</v>
      </c>
      <c r="J188" s="24">
        <f t="shared" si="19"/>
        <v>-5174.1489494565558</v>
      </c>
      <c r="K188" s="24">
        <f>Subsurface_Inputs!$C$25+Subsurface_Inputs!$C$26*SIN(2*PI()*(A188+Subsurface_Inputs!$C$27)/Subsurface_Inputs!$C$28)+Subsurface_Inputs!$C$29*COS(2*PI()*(A188-Subsurface_Inputs!$C$30)/Subsurface_Inputs!$C$31)-Subsurface_Inputs!$C$32*(B188-AVERAGE($B$2:$B$242))</f>
        <v>15034.536710550707</v>
      </c>
      <c r="L188" s="24">
        <f t="shared" si="20"/>
        <v>-14808.452528332622</v>
      </c>
      <c r="M188" s="24">
        <f>2*Subsurface_Inputs!$C$34*F188/Subsurface_Inputs!$C$35*1000000</f>
        <v>13.24334754948327</v>
      </c>
      <c r="N188" s="24">
        <f>2*Subsurface_Inputs!$C$34*I188/Subsurface_Inputs!$C$35*1000000</f>
        <v>64.127130071970399</v>
      </c>
      <c r="O188" s="24">
        <f>2*Subsurface_Inputs!$C$34*K188/Subsurface_Inputs!$C$35*1000000</f>
        <v>178.53334619098561</v>
      </c>
      <c r="P188" s="24">
        <f>Subsurface_Inputs!$C$37-2*Subsurface_Inputs!$C$36*(F188/1000)</f>
        <v>-12.007432664386</v>
      </c>
      <c r="Q188" s="24">
        <f>Subsurface_Inputs!$C$38+Subsurface_Inputs!$C$39*H188-2*Subsurface_Inputs!$C$36*(I188/1000)</f>
        <v>-27.848173182050012</v>
      </c>
      <c r="R188" s="24">
        <f>Subsurface_Inputs!$C$40-2*Subsurface_Inputs!$C$36*(K188/1000)-Subsurface_Inputs!$C$41*ABS(L188-AVERAGE($L$2:$L$242))</f>
        <v>-33.248145678350433</v>
      </c>
      <c r="S188" s="24">
        <f t="shared" si="21"/>
        <v>-42.847985023407091</v>
      </c>
      <c r="T188" s="24">
        <f t="shared" si="22"/>
        <v>13.480983227533862</v>
      </c>
      <c r="U188" s="25" t="str">
        <f>IF(H188&gt;=Subsurface_Inputs!$C$42,"Lens visible","Weak/no lens")</f>
        <v>Lens visible</v>
      </c>
      <c r="V188" s="25" t="str">
        <f t="shared" si="23"/>
        <v>Likely visible</v>
      </c>
      <c r="W188" s="24">
        <f>Subsurface_Inputs!$C$43</f>
        <v>-45</v>
      </c>
      <c r="X188" s="24">
        <f t="shared" si="24"/>
        <v>17.151826817949988</v>
      </c>
      <c r="Y188" s="24">
        <f t="shared" si="25"/>
        <v>11.751854321649567</v>
      </c>
      <c r="Z188" s="24">
        <f t="shared" si="26"/>
        <v>17.151826817949988</v>
      </c>
      <c r="AA188" s="24">
        <v>0</v>
      </c>
    </row>
    <row r="189" spans="1:27">
      <c r="A189" s="24">
        <f>Model_Data!A189</f>
        <v>33.5</v>
      </c>
      <c r="B189" s="24">
        <f>Model_Data!Y189</f>
        <v>226.23942491258683</v>
      </c>
      <c r="C189" s="24">
        <f>Model_Data!X189</f>
        <v>2.8193818928466783</v>
      </c>
      <c r="D189" s="24">
        <f>Model_Data!B189</f>
        <v>401.24694444444447</v>
      </c>
      <c r="E189" s="24">
        <f>Inputs!$C$6</f>
        <v>25</v>
      </c>
      <c r="F189" s="24">
        <f>Subsurface_Inputs!$C$5+Subsurface_Inputs!$C$6*SIN(2*PI()*(A189+Subsurface_Inputs!$C$7)/Subsurface_Inputs!$C$8)+Subsurface_Inputs!$C$9*COS(2*PI()*A189/Subsurface_Inputs!$C$10)+Subsurface_Inputs!$C$11*(B189-AVERAGE($B$2:$B$242))</f>
        <v>1124.2608065053946</v>
      </c>
      <c r="G189" s="24">
        <f t="shared" si="18"/>
        <v>-898.02138159280776</v>
      </c>
      <c r="H189" s="24">
        <f>MIN(1,MAX(0,Subsurface_Inputs!$C$13*EXP(-0.5*((A189-Subsurface_Inputs!$C$14)/Subsurface_Inputs!$C$15)^2)+Subsurface_Inputs!$C$16*EXP(-0.5*((A189-Subsurface_Inputs!$C$17)/Subsurface_Inputs!$C$18)^2)))</f>
        <v>0.63611369230096459</v>
      </c>
      <c r="I189" s="24">
        <f>Subsurface_Inputs!$C$19+Subsurface_Inputs!$C$20*SIN(2*PI()*(A189-Subsurface_Inputs!$C$21)/Subsurface_Inputs!$C$22)-Subsurface_Inputs!$C$23*H189</f>
        <v>5394.308909481113</v>
      </c>
      <c r="J189" s="24">
        <f t="shared" si="19"/>
        <v>-5168.0694845685266</v>
      </c>
      <c r="K189" s="24">
        <f>Subsurface_Inputs!$C$25+Subsurface_Inputs!$C$26*SIN(2*PI()*(A189+Subsurface_Inputs!$C$27)/Subsurface_Inputs!$C$28)+Subsurface_Inputs!$C$29*COS(2*PI()*(A189-Subsurface_Inputs!$C$30)/Subsurface_Inputs!$C$31)-Subsurface_Inputs!$C$32*(B189-AVERAGE($B$2:$B$242))</f>
        <v>15008.916500694744</v>
      </c>
      <c r="L189" s="24">
        <f t="shared" si="20"/>
        <v>-14782.677075782158</v>
      </c>
      <c r="M189" s="24">
        <f>2*Subsurface_Inputs!$C$34*F189/Subsurface_Inputs!$C$35*1000000</f>
        <v>13.350464177318313</v>
      </c>
      <c r="N189" s="24">
        <f>2*Subsurface_Inputs!$C$34*I189/Subsurface_Inputs!$C$35*1000000</f>
        <v>64.05678063373017</v>
      </c>
      <c r="O189" s="24">
        <f>2*Subsurface_Inputs!$C$34*K189/Subsurface_Inputs!$C$35*1000000</f>
        <v>178.2291092275353</v>
      </c>
      <c r="P189" s="24">
        <f>Subsurface_Inputs!$C$37-2*Subsurface_Inputs!$C$36*(F189/1000)</f>
        <v>-12.02366945170971</v>
      </c>
      <c r="Q189" s="24">
        <f>Subsurface_Inputs!$C$38+Subsurface_Inputs!$C$39*H189-2*Subsurface_Inputs!$C$36*(I189/1000)</f>
        <v>-27.984732806357322</v>
      </c>
      <c r="R189" s="24">
        <f>Subsurface_Inputs!$C$40-2*Subsurface_Inputs!$C$36*(K189/1000)-Subsurface_Inputs!$C$41*ABS(L189-AVERAGE($L$2:$L$242))</f>
        <v>-33.098927490407831</v>
      </c>
      <c r="S189" s="24">
        <f t="shared" si="21"/>
        <v>-68.468194879369548</v>
      </c>
      <c r="T189" s="24">
        <f t="shared" si="22"/>
        <v>13.350030894831097</v>
      </c>
      <c r="U189" s="25" t="str">
        <f>IF(H189&gt;=Subsurface_Inputs!$C$42,"Lens visible","Weak/no lens")</f>
        <v>Lens visible</v>
      </c>
      <c r="V189" s="25" t="str">
        <f t="shared" si="23"/>
        <v>Likely visible</v>
      </c>
      <c r="W189" s="24">
        <f>Subsurface_Inputs!$C$43</f>
        <v>-45</v>
      </c>
      <c r="X189" s="24">
        <f t="shared" si="24"/>
        <v>17.015267193642678</v>
      </c>
      <c r="Y189" s="24">
        <f t="shared" si="25"/>
        <v>11.901072509592169</v>
      </c>
      <c r="Z189" s="24">
        <f t="shared" si="26"/>
        <v>17.015267193642678</v>
      </c>
      <c r="AA189" s="24">
        <v>0</v>
      </c>
    </row>
    <row r="190" spans="1:27">
      <c r="A190" s="24">
        <f>Model_Data!A190</f>
        <v>34</v>
      </c>
      <c r="B190" s="24">
        <f>Model_Data!Y190</f>
        <v>243.27042748832011</v>
      </c>
      <c r="C190" s="24">
        <f>Model_Data!X190</f>
        <v>9.9015781941524494</v>
      </c>
      <c r="D190" s="24">
        <f>Model_Data!B190</f>
        <v>401.28444444444443</v>
      </c>
      <c r="E190" s="24">
        <f>Inputs!$C$6</f>
        <v>25</v>
      </c>
      <c r="F190" s="24">
        <f>Subsurface_Inputs!$C$5+Subsurface_Inputs!$C$6*SIN(2*PI()*(A190+Subsurface_Inputs!$C$7)/Subsurface_Inputs!$C$8)+Subsurface_Inputs!$C$9*COS(2*PI()*A190/Subsurface_Inputs!$C$10)+Subsurface_Inputs!$C$11*(B190-AVERAGE($B$2:$B$242))</f>
        <v>1134.8334055598464</v>
      </c>
      <c r="G190" s="24">
        <f t="shared" si="18"/>
        <v>-891.56297807152623</v>
      </c>
      <c r="H190" s="24">
        <f>MIN(1,MAX(0,Subsurface_Inputs!$C$13*EXP(-0.5*((A190-Subsurface_Inputs!$C$14)/Subsurface_Inputs!$C$15)^2)+Subsurface_Inputs!$C$16*EXP(-0.5*((A190-Subsurface_Inputs!$C$17)/Subsurface_Inputs!$C$18)^2)))</f>
        <v>0.61774787889506733</v>
      </c>
      <c r="I190" s="24">
        <f>Subsurface_Inputs!$C$19+Subsurface_Inputs!$C$20*SIN(2*PI()*(A190-Subsurface_Inputs!$C$21)/Subsurface_Inputs!$C$22)-Subsurface_Inputs!$C$23*H190</f>
        <v>5388.2105306537978</v>
      </c>
      <c r="J190" s="24">
        <f t="shared" si="19"/>
        <v>-5144.9401031654779</v>
      </c>
      <c r="K190" s="24">
        <f>Subsurface_Inputs!$C$25+Subsurface_Inputs!$C$26*SIN(2*PI()*(A190+Subsurface_Inputs!$C$27)/Subsurface_Inputs!$C$28)+Subsurface_Inputs!$C$29*COS(2*PI()*(A190-Subsurface_Inputs!$C$30)/Subsurface_Inputs!$C$31)-Subsurface_Inputs!$C$32*(B190-AVERAGE($B$2:$B$242))</f>
        <v>14981.502855142809</v>
      </c>
      <c r="L190" s="24">
        <f t="shared" si="20"/>
        <v>-14738.23242765449</v>
      </c>
      <c r="M190" s="24">
        <f>2*Subsurface_Inputs!$C$34*F190/Subsurface_Inputs!$C$35*1000000</f>
        <v>13.476012541292993</v>
      </c>
      <c r="N190" s="24">
        <f>2*Subsurface_Inputs!$C$34*I190/Subsurface_Inputs!$C$35*1000000</f>
        <v>63.984363106050914</v>
      </c>
      <c r="O190" s="24">
        <f>2*Subsurface_Inputs!$C$34*K190/Subsurface_Inputs!$C$35*1000000</f>
        <v>177.90357542719906</v>
      </c>
      <c r="P190" s="24">
        <f>Subsurface_Inputs!$C$37-2*Subsurface_Inputs!$C$36*(F190/1000)</f>
        <v>-12.042700130007724</v>
      </c>
      <c r="Q190" s="24">
        <f>Subsurface_Inputs!$C$38+Subsurface_Inputs!$C$39*H190-2*Subsurface_Inputs!$C$36*(I190/1000)</f>
        <v>-28.139048045121228</v>
      </c>
      <c r="R190" s="24">
        <f>Subsurface_Inputs!$C$40-2*Subsurface_Inputs!$C$36*(K190/1000)-Subsurface_Inputs!$C$41*ABS(L190-AVERAGE($L$2:$L$242))</f>
        <v>-33.061605942610434</v>
      </c>
      <c r="S190" s="24">
        <f t="shared" si="21"/>
        <v>-95.881840431304227</v>
      </c>
      <c r="T190" s="24">
        <f t="shared" si="22"/>
        <v>13.201499693033796</v>
      </c>
      <c r="U190" s="25" t="str">
        <f>IF(H190&gt;=Subsurface_Inputs!$C$42,"Lens visible","Weak/no lens")</f>
        <v>Lens visible</v>
      </c>
      <c r="V190" s="25" t="str">
        <f t="shared" si="23"/>
        <v>Likely visible</v>
      </c>
      <c r="W190" s="24">
        <f>Subsurface_Inputs!$C$43</f>
        <v>-45</v>
      </c>
      <c r="X190" s="24">
        <f t="shared" si="24"/>
        <v>16.860951954878772</v>
      </c>
      <c r="Y190" s="24">
        <f t="shared" si="25"/>
        <v>11.938394057389566</v>
      </c>
      <c r="Z190" s="24">
        <f t="shared" si="26"/>
        <v>16.860951954878772</v>
      </c>
      <c r="AA190" s="24">
        <v>0</v>
      </c>
    </row>
    <row r="191" spans="1:27">
      <c r="A191" s="24">
        <f>Model_Data!A191</f>
        <v>34.5</v>
      </c>
      <c r="B191" s="24">
        <f>Model_Data!Y191</f>
        <v>248.84143597822731</v>
      </c>
      <c r="C191" s="24">
        <f>Model_Data!X191</f>
        <v>22.306190725387925</v>
      </c>
      <c r="D191" s="24">
        <f>Model_Data!B191</f>
        <v>401.32249999999999</v>
      </c>
      <c r="E191" s="24">
        <f>Inputs!$C$6</f>
        <v>25</v>
      </c>
      <c r="F191" s="24">
        <f>Subsurface_Inputs!$C$5+Subsurface_Inputs!$C$6*SIN(2*PI()*(A191+Subsurface_Inputs!$C$7)/Subsurface_Inputs!$C$8)+Subsurface_Inputs!$C$9*COS(2*PI()*A191/Subsurface_Inputs!$C$10)+Subsurface_Inputs!$C$11*(B191-AVERAGE($B$2:$B$242))</f>
        <v>1145.7911386545013</v>
      </c>
      <c r="G191" s="24">
        <f t="shared" si="18"/>
        <v>-896.949702676274</v>
      </c>
      <c r="H191" s="24">
        <f>MIN(1,MAX(0,Subsurface_Inputs!$C$13*EXP(-0.5*((A191-Subsurface_Inputs!$C$14)/Subsurface_Inputs!$C$15)^2)+Subsurface_Inputs!$C$16*EXP(-0.5*((A191-Subsurface_Inputs!$C$17)/Subsurface_Inputs!$C$18)^2)))</f>
        <v>0.5975734881302166</v>
      </c>
      <c r="I191" s="24">
        <f>Subsurface_Inputs!$C$19+Subsurface_Inputs!$C$20*SIN(2*PI()*(A191-Subsurface_Inputs!$C$21)/Subsurface_Inputs!$C$22)-Subsurface_Inputs!$C$23*H191</f>
        <v>5381.9056304474407</v>
      </c>
      <c r="J191" s="24">
        <f t="shared" si="19"/>
        <v>-5133.0641944692134</v>
      </c>
      <c r="K191" s="24">
        <f>Subsurface_Inputs!$C$25+Subsurface_Inputs!$C$26*SIN(2*PI()*(A191+Subsurface_Inputs!$C$27)/Subsurface_Inputs!$C$28)+Subsurface_Inputs!$C$29*COS(2*PI()*(A191-Subsurface_Inputs!$C$30)/Subsurface_Inputs!$C$31)-Subsurface_Inputs!$C$32*(B191-AVERAGE($B$2:$B$242))</f>
        <v>14956.29351283138</v>
      </c>
      <c r="L191" s="24">
        <f t="shared" si="20"/>
        <v>-14707.452076853153</v>
      </c>
      <c r="M191" s="24">
        <f>2*Subsurface_Inputs!$C$34*F191/Subsurface_Inputs!$C$35*1000000</f>
        <v>13.606134326468027</v>
      </c>
      <c r="N191" s="24">
        <f>2*Subsurface_Inputs!$C$34*I191/Subsurface_Inputs!$C$35*1000000</f>
        <v>63.909493161408655</v>
      </c>
      <c r="O191" s="24">
        <f>2*Subsurface_Inputs!$C$34*K191/Subsurface_Inputs!$C$35*1000000</f>
        <v>177.60421746727101</v>
      </c>
      <c r="P191" s="24">
        <f>Subsurface_Inputs!$C$37-2*Subsurface_Inputs!$C$36*(F191/1000)</f>
        <v>-12.062424049578102</v>
      </c>
      <c r="Q191" s="24">
        <f>Subsurface_Inputs!$C$38+Subsurface_Inputs!$C$39*H191-2*Subsurface_Inputs!$C$36*(I191/1000)</f>
        <v>-28.309268741633442</v>
      </c>
      <c r="R191" s="24">
        <f>Subsurface_Inputs!$C$40-2*Subsurface_Inputs!$C$36*(K191/1000)-Subsurface_Inputs!$C$41*ABS(L191-AVERAGE($L$2:$L$242))</f>
        <v>-33.139350529655211</v>
      </c>
      <c r="S191" s="24">
        <f t="shared" si="21"/>
        <v>-121.09118274273351</v>
      </c>
      <c r="T191" s="24">
        <f t="shared" si="22"/>
        <v>13.053245926124465</v>
      </c>
      <c r="U191" s="25" t="str">
        <f>IF(H191&gt;=Subsurface_Inputs!$C$42,"Lens visible","Weak/no lens")</f>
        <v>Lens visible</v>
      </c>
      <c r="V191" s="25" t="str">
        <f t="shared" si="23"/>
        <v>Likely visible</v>
      </c>
      <c r="W191" s="24">
        <f>Subsurface_Inputs!$C$43</f>
        <v>-45</v>
      </c>
      <c r="X191" s="24">
        <f t="shared" si="24"/>
        <v>16.690731258366558</v>
      </c>
      <c r="Y191" s="24">
        <f t="shared" si="25"/>
        <v>11.860649470344789</v>
      </c>
      <c r="Z191" s="24">
        <f t="shared" si="26"/>
        <v>16.690731258366558</v>
      </c>
      <c r="AA191" s="24">
        <v>0</v>
      </c>
    </row>
    <row r="192" spans="1:27">
      <c r="A192" s="24">
        <f>Model_Data!A192</f>
        <v>35</v>
      </c>
      <c r="B192" s="24">
        <f>Model_Data!Y192</f>
        <v>242.00890812042311</v>
      </c>
      <c r="C192" s="24">
        <f>Model_Data!X192</f>
        <v>28.92396994213728</v>
      </c>
      <c r="D192" s="24">
        <f>Model_Data!B192</f>
        <v>401.36111111111109</v>
      </c>
      <c r="E192" s="24">
        <f>Inputs!$C$6</f>
        <v>25</v>
      </c>
      <c r="F192" s="24">
        <f>Subsurface_Inputs!$C$5+Subsurface_Inputs!$C$6*SIN(2*PI()*(A192+Subsurface_Inputs!$C$7)/Subsurface_Inputs!$C$8)+Subsurface_Inputs!$C$9*COS(2*PI()*A192/Subsurface_Inputs!$C$10)+Subsurface_Inputs!$C$11*(B192-AVERAGE($B$2:$B$242))</f>
        <v>1157.0435151381953</v>
      </c>
      <c r="G192" s="24">
        <f t="shared" si="18"/>
        <v>-915.03460701777215</v>
      </c>
      <c r="H192" s="24">
        <f>MIN(1,MAX(0,Subsurface_Inputs!$C$13*EXP(-0.5*((A192-Subsurface_Inputs!$C$14)/Subsurface_Inputs!$C$15)^2)+Subsurface_Inputs!$C$16*EXP(-0.5*((A192-Subsurface_Inputs!$C$17)/Subsurface_Inputs!$C$18)^2)))</f>
        <v>0.57580431991086845</v>
      </c>
      <c r="I192" s="24">
        <f>Subsurface_Inputs!$C$19+Subsurface_Inputs!$C$20*SIN(2*PI()*(A192-Subsurface_Inputs!$C$21)/Subsurface_Inputs!$C$22)-Subsurface_Inputs!$C$23*H192</f>
        <v>5375.3592562835738</v>
      </c>
      <c r="J192" s="24">
        <f t="shared" si="19"/>
        <v>-5133.3503481631506</v>
      </c>
      <c r="K192" s="24">
        <f>Subsurface_Inputs!$C$25+Subsurface_Inputs!$C$26*SIN(2*PI()*(A192+Subsurface_Inputs!$C$27)/Subsurface_Inputs!$C$28)+Subsurface_Inputs!$C$29*COS(2*PI()*(A192-Subsurface_Inputs!$C$30)/Subsurface_Inputs!$C$31)-Subsurface_Inputs!$C$32*(B192-AVERAGE($B$2:$B$242))</f>
        <v>14933.44947800909</v>
      </c>
      <c r="L192" s="24">
        <f t="shared" si="20"/>
        <v>-14691.440569888668</v>
      </c>
      <c r="M192" s="24">
        <f>2*Subsurface_Inputs!$C$34*F192/Subsurface_Inputs!$C$35*1000000</f>
        <v>13.739754967057829</v>
      </c>
      <c r="N192" s="24">
        <f>2*Subsurface_Inputs!$C$34*I192/Subsurface_Inputs!$C$35*1000000</f>
        <v>63.831755742065816</v>
      </c>
      <c r="O192" s="24">
        <f>2*Subsurface_Inputs!$C$34*K192/Subsurface_Inputs!$C$35*1000000</f>
        <v>177.33294725417127</v>
      </c>
      <c r="P192" s="24">
        <f>Subsurface_Inputs!$C$37-2*Subsurface_Inputs!$C$36*(F192/1000)</f>
        <v>-12.082678327248752</v>
      </c>
      <c r="Q192" s="24">
        <f>Subsurface_Inputs!$C$38+Subsurface_Inputs!$C$39*H192-2*Subsurface_Inputs!$C$36*(I192/1000)</f>
        <v>-28.493407782112619</v>
      </c>
      <c r="R192" s="24">
        <f>Subsurface_Inputs!$C$40-2*Subsurface_Inputs!$C$36*(K192/1000)-Subsurface_Inputs!$C$41*ABS(L192-AVERAGE($L$2:$L$242))</f>
        <v>-33.162277294833025</v>
      </c>
      <c r="S192" s="24">
        <f t="shared" si="21"/>
        <v>-143.93521756502378</v>
      </c>
      <c r="T192" s="24">
        <f t="shared" si="22"/>
        <v>12.90655820859552</v>
      </c>
      <c r="U192" s="25" t="str">
        <f>IF(H192&gt;=Subsurface_Inputs!$C$42,"Lens visible","Weak/no lens")</f>
        <v>Lens visible</v>
      </c>
      <c r="V192" s="25" t="str">
        <f t="shared" si="23"/>
        <v>Likely visible</v>
      </c>
      <c r="W192" s="24">
        <f>Subsurface_Inputs!$C$43</f>
        <v>-45</v>
      </c>
      <c r="X192" s="24">
        <f t="shared" si="24"/>
        <v>16.506592217887381</v>
      </c>
      <c r="Y192" s="24">
        <f t="shared" si="25"/>
        <v>11.837722705166975</v>
      </c>
      <c r="Z192" s="24">
        <f t="shared" si="26"/>
        <v>16.506592217887381</v>
      </c>
      <c r="AA192" s="24">
        <v>0</v>
      </c>
    </row>
    <row r="193" spans="1:27">
      <c r="A193" s="24">
        <f>Model_Data!A193</f>
        <v>35.5</v>
      </c>
      <c r="B193" s="24">
        <f>Model_Data!Y193</f>
        <v>242.63788270086079</v>
      </c>
      <c r="C193" s="24">
        <f>Model_Data!X193</f>
        <v>32.227616256478356</v>
      </c>
      <c r="D193" s="24">
        <f>Model_Data!B193</f>
        <v>401.40027777777777</v>
      </c>
      <c r="E193" s="24">
        <f>Inputs!$C$6</f>
        <v>25</v>
      </c>
      <c r="F193" s="24">
        <f>Subsurface_Inputs!$C$5+Subsurface_Inputs!$C$6*SIN(2*PI()*(A193+Subsurface_Inputs!$C$7)/Subsurface_Inputs!$C$8)+Subsurface_Inputs!$C$9*COS(2*PI()*A193/Subsurface_Inputs!$C$10)+Subsurface_Inputs!$C$11*(B193-AVERAGE($B$2:$B$242))</f>
        <v>1169.3133953839153</v>
      </c>
      <c r="G193" s="24">
        <f t="shared" si="18"/>
        <v>-926.67551268305454</v>
      </c>
      <c r="H193" s="24">
        <f>MIN(1,MAX(0,Subsurface_Inputs!$C$13*EXP(-0.5*((A193-Subsurface_Inputs!$C$14)/Subsurface_Inputs!$C$15)^2)+Subsurface_Inputs!$C$16*EXP(-0.5*((A193-Subsurface_Inputs!$C$17)/Subsurface_Inputs!$C$18)^2)))</f>
        <v>0.55266511826856002</v>
      </c>
      <c r="I193" s="24">
        <f>Subsurface_Inputs!$C$19+Subsurface_Inputs!$C$20*SIN(2*PI()*(A193-Subsurface_Inputs!$C$21)/Subsurface_Inputs!$C$22)-Subsurface_Inputs!$C$23*H193</f>
        <v>5368.5347451229563</v>
      </c>
      <c r="J193" s="24">
        <f t="shared" si="19"/>
        <v>-5125.8968624220952</v>
      </c>
      <c r="K193" s="24">
        <f>Subsurface_Inputs!$C$25+Subsurface_Inputs!$C$26*SIN(2*PI()*(A193+Subsurface_Inputs!$C$27)/Subsurface_Inputs!$C$28)+Subsurface_Inputs!$C$29*COS(2*PI()*(A193-Subsurface_Inputs!$C$30)/Subsurface_Inputs!$C$31)-Subsurface_Inputs!$C$32*(B193-AVERAGE($B$2:$B$242))</f>
        <v>14910.216672625642</v>
      </c>
      <c r="L193" s="24">
        <f t="shared" si="20"/>
        <v>-14667.578789924781</v>
      </c>
      <c r="M193" s="24">
        <f>2*Subsurface_Inputs!$C$34*F193/Subsurface_Inputs!$C$35*1000000</f>
        <v>13.885458344541604</v>
      </c>
      <c r="N193" s="24">
        <f>2*Subsurface_Inputs!$C$34*I193/Subsurface_Inputs!$C$35*1000000</f>
        <v>63.750715478765393</v>
      </c>
      <c r="O193" s="24">
        <f>2*Subsurface_Inputs!$C$34*K193/Subsurface_Inputs!$C$35*1000000</f>
        <v>177.05706043661473</v>
      </c>
      <c r="P193" s="24">
        <f>Subsurface_Inputs!$C$37-2*Subsurface_Inputs!$C$36*(F193/1000)</f>
        <v>-12.104764111691047</v>
      </c>
      <c r="Q193" s="24">
        <f>Subsurface_Inputs!$C$38+Subsurface_Inputs!$C$39*H193-2*Subsurface_Inputs!$C$36*(I193/1000)</f>
        <v>-28.689376476804281</v>
      </c>
      <c r="R193" s="24">
        <f>Subsurface_Inputs!$C$40-2*Subsurface_Inputs!$C$36*(K193/1000)-Subsurface_Inputs!$C$41*ABS(L193-AVERAGE($L$2:$L$242))</f>
        <v>-33.21590536499837</v>
      </c>
      <c r="S193" s="24">
        <f t="shared" si="21"/>
        <v>-167.16802294847184</v>
      </c>
      <c r="T193" s="24">
        <f t="shared" si="22"/>
        <v>12.75125790184781</v>
      </c>
      <c r="U193" s="25" t="str">
        <f>IF(H193&gt;=Subsurface_Inputs!$C$42,"Lens visible","Weak/no lens")</f>
        <v>Lens visible</v>
      </c>
      <c r="V193" s="25" t="str">
        <f t="shared" si="23"/>
        <v>Likely visible</v>
      </c>
      <c r="W193" s="24">
        <f>Subsurface_Inputs!$C$43</f>
        <v>-45</v>
      </c>
      <c r="X193" s="24">
        <f t="shared" si="24"/>
        <v>16.310623523195719</v>
      </c>
      <c r="Y193" s="24">
        <f t="shared" si="25"/>
        <v>11.78409463500163</v>
      </c>
      <c r="Z193" s="24">
        <f t="shared" si="26"/>
        <v>16.310623523195719</v>
      </c>
      <c r="AA193" s="24">
        <v>0</v>
      </c>
    </row>
    <row r="194" spans="1:27">
      <c r="A194" s="24">
        <f>Model_Data!A194</f>
        <v>36</v>
      </c>
      <c r="B194" s="24">
        <f>Model_Data!Y194</f>
        <v>251.84803304144381</v>
      </c>
      <c r="C194" s="24">
        <f>Model_Data!X194</f>
        <v>45.422536466318</v>
      </c>
      <c r="D194" s="24">
        <f>Model_Data!B194</f>
        <v>401.44</v>
      </c>
      <c r="E194" s="24">
        <f>Inputs!$C$6</f>
        <v>25</v>
      </c>
      <c r="F194" s="24">
        <f>Subsurface_Inputs!$C$5+Subsurface_Inputs!$C$6*SIN(2*PI()*(A194+Subsurface_Inputs!$C$7)/Subsurface_Inputs!$C$8)+Subsurface_Inputs!$C$9*COS(2*PI()*A194/Subsurface_Inputs!$C$10)+Subsurface_Inputs!$C$11*(B194-AVERAGE($B$2:$B$242))</f>
        <v>1182.5553698382589</v>
      </c>
      <c r="G194" s="24">
        <f t="shared" ref="G194:G242" si="27">B194-F194</f>
        <v>-930.70733679681507</v>
      </c>
      <c r="H194" s="24">
        <f>MIN(1,MAX(0,Subsurface_Inputs!$C$13*EXP(-0.5*((A194-Subsurface_Inputs!$C$14)/Subsurface_Inputs!$C$15)^2)+Subsurface_Inputs!$C$16*EXP(-0.5*((A194-Subsurface_Inputs!$C$17)/Subsurface_Inputs!$C$18)^2)))</f>
        <v>0.5283877358607858</v>
      </c>
      <c r="I194" s="24">
        <f>Subsurface_Inputs!$C$19+Subsurface_Inputs!$C$20*SIN(2*PI()*(A194-Subsurface_Inputs!$C$21)/Subsurface_Inputs!$C$22)-Subsurface_Inputs!$C$23*H194</f>
        <v>5361.3946186316325</v>
      </c>
      <c r="J194" s="24">
        <f t="shared" ref="J194:J242" si="28">B194-I194</f>
        <v>-5109.5465855901884</v>
      </c>
      <c r="K194" s="24">
        <f>Subsurface_Inputs!$C$25+Subsurface_Inputs!$C$26*SIN(2*PI()*(A194+Subsurface_Inputs!$C$27)/Subsurface_Inputs!$C$28)+Subsurface_Inputs!$C$29*COS(2*PI()*(A194-Subsurface_Inputs!$C$30)/Subsurface_Inputs!$C$31)-Subsurface_Inputs!$C$32*(B194-AVERAGE($B$2:$B$242))</f>
        <v>14886.463437913209</v>
      </c>
      <c r="L194" s="24">
        <f t="shared" ref="L194:L242" si="29">B194-K194</f>
        <v>-14634.615404871765</v>
      </c>
      <c r="M194" s="24">
        <f>2*Subsurface_Inputs!$C$34*F194/Subsurface_Inputs!$C$35*1000000</f>
        <v>14.04270522584061</v>
      </c>
      <c r="N194" s="24">
        <f>2*Subsurface_Inputs!$C$34*I194/Subsurface_Inputs!$C$35*1000000</f>
        <v>63.66592732072202</v>
      </c>
      <c r="O194" s="24">
        <f>2*Subsurface_Inputs!$C$34*K194/Subsurface_Inputs!$C$35*1000000</f>
        <v>176.77499358229696</v>
      </c>
      <c r="P194" s="24">
        <f>Subsurface_Inputs!$C$37-2*Subsurface_Inputs!$C$36*(F194/1000)</f>
        <v>-12.128599665708865</v>
      </c>
      <c r="Q194" s="24">
        <f>Subsurface_Inputs!$C$38+Subsurface_Inputs!$C$39*H194-2*Subsurface_Inputs!$C$36*(I194/1000)</f>
        <v>-28.89502069078987</v>
      </c>
      <c r="R194" s="24">
        <f>Subsurface_Inputs!$C$40-2*Subsurface_Inputs!$C$36*(K194/1000)-Subsurface_Inputs!$C$41*ABS(L194-AVERAGE($L$2:$L$242))</f>
        <v>-33.305003082728057</v>
      </c>
      <c r="S194" s="24">
        <f t="shared" ref="S194:S242" si="30">K194-AVERAGE($K$2:$K$242)</f>
        <v>-190.9212576609043</v>
      </c>
      <c r="T194" s="24">
        <f t="shared" ref="T194:T242" si="31">K194/F194</f>
        <v>12.588385979718877</v>
      </c>
      <c r="U194" s="25" t="str">
        <f>IF(H194&gt;=Subsurface_Inputs!$C$42,"Lens visible","Weak/no lens")</f>
        <v>Lens visible</v>
      </c>
      <c r="V194" s="25" t="str">
        <f t="shared" ref="V194:V242" si="32">IF(R194&gt;=W194,"Likely visible","Weak")</f>
        <v>Likely visible</v>
      </c>
      <c r="W194" s="24">
        <f>Subsurface_Inputs!$C$43</f>
        <v>-45</v>
      </c>
      <c r="X194" s="24">
        <f t="shared" ref="X194:X242" si="33">Q194-W194</f>
        <v>16.10497930921013</v>
      </c>
      <c r="Y194" s="24">
        <f t="shared" ref="Y194:Y242" si="34">R194-W194</f>
        <v>11.694996917271943</v>
      </c>
      <c r="Z194" s="24">
        <f t="shared" ref="Z194:Z242" si="35">MAX(Q194,R194)-W194</f>
        <v>16.10497930921013</v>
      </c>
      <c r="AA194" s="24">
        <v>0</v>
      </c>
    </row>
    <row r="195" spans="1:27">
      <c r="A195" s="24">
        <f>Model_Data!A195</f>
        <v>36.5</v>
      </c>
      <c r="B195" s="24">
        <f>Model_Data!Y195</f>
        <v>274.31313500223371</v>
      </c>
      <c r="C195" s="24">
        <f>Model_Data!X195</f>
        <v>44.982194799694888</v>
      </c>
      <c r="D195" s="24">
        <f>Model_Data!B195</f>
        <v>401.48027777777776</v>
      </c>
      <c r="E195" s="24">
        <f>Inputs!$C$6</f>
        <v>25</v>
      </c>
      <c r="F195" s="24">
        <f>Subsurface_Inputs!$C$5+Subsurface_Inputs!$C$6*SIN(2*PI()*(A195+Subsurface_Inputs!$C$7)/Subsurface_Inputs!$C$8)+Subsurface_Inputs!$C$9*COS(2*PI()*A195/Subsurface_Inputs!$C$10)+Subsurface_Inputs!$C$11*(B195-AVERAGE($B$2:$B$242))</f>
        <v>1196.8486467414461</v>
      </c>
      <c r="G195" s="24">
        <f t="shared" si="27"/>
        <v>-922.53551173921244</v>
      </c>
      <c r="H195" s="24">
        <f>MIN(1,MAX(0,Subsurface_Inputs!$C$13*EXP(-0.5*((A195-Subsurface_Inputs!$C$14)/Subsurface_Inputs!$C$15)^2)+Subsurface_Inputs!$C$16*EXP(-0.5*((A195-Subsurface_Inputs!$C$17)/Subsurface_Inputs!$C$18)^2)))</f>
        <v>0.50320730950154746</v>
      </c>
      <c r="I195" s="24">
        <f>Subsurface_Inputs!$C$19+Subsurface_Inputs!$C$20*SIN(2*PI()*(A195-Subsurface_Inputs!$C$21)/Subsurface_Inputs!$C$22)-Subsurface_Inputs!$C$23*H195</f>
        <v>5353.9014743920379</v>
      </c>
      <c r="J195" s="24">
        <f t="shared" si="28"/>
        <v>-5079.5883393898039</v>
      </c>
      <c r="K195" s="24">
        <f>Subsurface_Inputs!$C$25+Subsurface_Inputs!$C$26*SIN(2*PI()*(A195+Subsurface_Inputs!$C$27)/Subsurface_Inputs!$C$28)+Subsurface_Inputs!$C$29*COS(2*PI()*(A195-Subsurface_Inputs!$C$30)/Subsurface_Inputs!$C$31)-Subsurface_Inputs!$C$32*(B195-AVERAGE($B$2:$B$242))</f>
        <v>14861.558563029474</v>
      </c>
      <c r="L195" s="24">
        <f t="shared" si="29"/>
        <v>-14587.24542802724</v>
      </c>
      <c r="M195" s="24">
        <f>2*Subsurface_Inputs!$C$34*F195/Subsurface_Inputs!$C$35*1000000</f>
        <v>14.212436199444177</v>
      </c>
      <c r="N195" s="24">
        <f>2*Subsurface_Inputs!$C$34*I195/Subsurface_Inputs!$C$35*1000000</f>
        <v>63.576947118648512</v>
      </c>
      <c r="O195" s="24">
        <f>2*Subsurface_Inputs!$C$34*K195/Subsurface_Inputs!$C$35*1000000</f>
        <v>176.47925113708141</v>
      </c>
      <c r="P195" s="24">
        <f>Subsurface_Inputs!$C$37-2*Subsurface_Inputs!$C$36*(F195/1000)</f>
        <v>-12.154327564134602</v>
      </c>
      <c r="Q195" s="24">
        <f>Subsurface_Inputs!$C$38+Subsurface_Inputs!$C$39*H195-2*Subsurface_Inputs!$C$36*(I195/1000)</f>
        <v>-29.108156868391738</v>
      </c>
      <c r="R195" s="24">
        <f>Subsurface_Inputs!$C$40-2*Subsurface_Inputs!$C$36*(K195/1000)-Subsurface_Inputs!$C$41*ABS(L195-AVERAGE($L$2:$L$242))</f>
        <v>-33.449654215315427</v>
      </c>
      <c r="S195" s="24">
        <f t="shared" si="30"/>
        <v>-215.82613254464013</v>
      </c>
      <c r="T195" s="24">
        <f t="shared" si="31"/>
        <v>12.417241397641819</v>
      </c>
      <c r="U195" s="25" t="str">
        <f>IF(H195&gt;=Subsurface_Inputs!$C$42,"Lens visible","Weak/no lens")</f>
        <v>Lens visible</v>
      </c>
      <c r="V195" s="25" t="str">
        <f t="shared" si="32"/>
        <v>Likely visible</v>
      </c>
      <c r="W195" s="24">
        <f>Subsurface_Inputs!$C$43</f>
        <v>-45</v>
      </c>
      <c r="X195" s="24">
        <f t="shared" si="33"/>
        <v>15.891843131608262</v>
      </c>
      <c r="Y195" s="24">
        <f t="shared" si="34"/>
        <v>11.550345784684573</v>
      </c>
      <c r="Z195" s="24">
        <f t="shared" si="35"/>
        <v>15.891843131608262</v>
      </c>
      <c r="AA195" s="24">
        <v>0</v>
      </c>
    </row>
    <row r="196" spans="1:27">
      <c r="A196" s="24">
        <f>Model_Data!A196</f>
        <v>37</v>
      </c>
      <c r="B196" s="24">
        <f>Model_Data!Y196</f>
        <v>277.26991348245565</v>
      </c>
      <c r="C196" s="24">
        <f>Model_Data!X196</f>
        <v>58.360988043050376</v>
      </c>
      <c r="D196" s="24">
        <f>Model_Data!B196</f>
        <v>401.52111111111111</v>
      </c>
      <c r="E196" s="24">
        <f>Inputs!$C$6</f>
        <v>25</v>
      </c>
      <c r="F196" s="24">
        <f>Subsurface_Inputs!$C$5+Subsurface_Inputs!$C$6*SIN(2*PI()*(A196+Subsurface_Inputs!$C$7)/Subsurface_Inputs!$C$8)+Subsurface_Inputs!$C$9*COS(2*PI()*A196/Subsurface_Inputs!$C$10)+Subsurface_Inputs!$C$11*(B196-AVERAGE($B$2:$B$242))</f>
        <v>1210.7586744571292</v>
      </c>
      <c r="G196" s="24">
        <f t="shared" si="27"/>
        <v>-933.4887609746736</v>
      </c>
      <c r="H196" s="24">
        <f>MIN(1,MAX(0,Subsurface_Inputs!$C$13*EXP(-0.5*((A196-Subsurface_Inputs!$C$14)/Subsurface_Inputs!$C$15)^2)+Subsurface_Inputs!$C$16*EXP(-0.5*((A196-Subsurface_Inputs!$C$17)/Subsurface_Inputs!$C$18)^2)))</f>
        <v>0.47735853373411102</v>
      </c>
      <c r="I196" s="24">
        <f>Subsurface_Inputs!$C$19+Subsurface_Inputs!$C$20*SIN(2*PI()*(A196-Subsurface_Inputs!$C$21)/Subsurface_Inputs!$C$22)-Subsurface_Inputs!$C$23*H196</f>
        <v>5346.0188523157785</v>
      </c>
      <c r="J196" s="24">
        <f t="shared" si="28"/>
        <v>-5068.7489388333233</v>
      </c>
      <c r="K196" s="24">
        <f>Subsurface_Inputs!$C$25+Subsurface_Inputs!$C$26*SIN(2*PI()*(A196+Subsurface_Inputs!$C$27)/Subsurface_Inputs!$C$28)+Subsurface_Inputs!$C$29*COS(2*PI()*(A196-Subsurface_Inputs!$C$30)/Subsurface_Inputs!$C$31)-Subsurface_Inputs!$C$32*(B196-AVERAGE($B$2:$B$242))</f>
        <v>14840.110005912009</v>
      </c>
      <c r="L196" s="24">
        <f t="shared" si="29"/>
        <v>-14562.840092429553</v>
      </c>
      <c r="M196" s="24">
        <f>2*Subsurface_Inputs!$C$34*F196/Subsurface_Inputs!$C$35*1000000</f>
        <v>14.377616134250381</v>
      </c>
      <c r="N196" s="24">
        <f>2*Subsurface_Inputs!$C$34*I196/Subsurface_Inputs!$C$35*1000000</f>
        <v>63.483341913305154</v>
      </c>
      <c r="O196" s="24">
        <f>2*Subsurface_Inputs!$C$34*K196/Subsurface_Inputs!$C$35*1000000</f>
        <v>176.22455205676573</v>
      </c>
      <c r="P196" s="24">
        <f>Subsurface_Inputs!$C$37-2*Subsurface_Inputs!$C$36*(F196/1000)</f>
        <v>-12.179365614022833</v>
      </c>
      <c r="Q196" s="24">
        <f>Subsurface_Inputs!$C$38+Subsurface_Inputs!$C$39*H196-2*Subsurface_Inputs!$C$36*(I196/1000)</f>
        <v>-29.326607130561403</v>
      </c>
      <c r="R196" s="24">
        <f>Subsurface_Inputs!$C$40-2*Subsurface_Inputs!$C$36*(K196/1000)-Subsurface_Inputs!$C$41*ABS(L196-AVERAGE($L$2:$L$242))</f>
        <v>-33.508668154894735</v>
      </c>
      <c r="S196" s="24">
        <f t="shared" si="30"/>
        <v>-237.27468966210472</v>
      </c>
      <c r="T196" s="24">
        <f t="shared" si="31"/>
        <v>12.256868622119024</v>
      </c>
      <c r="U196" s="25" t="str">
        <f>IF(H196&gt;=Subsurface_Inputs!$C$42,"Lens visible","Weak/no lens")</f>
        <v>Lens visible</v>
      </c>
      <c r="V196" s="25" t="str">
        <f t="shared" si="32"/>
        <v>Likely visible</v>
      </c>
      <c r="W196" s="24">
        <f>Subsurface_Inputs!$C$43</f>
        <v>-45</v>
      </c>
      <c r="X196" s="24">
        <f t="shared" si="33"/>
        <v>15.673392869438597</v>
      </c>
      <c r="Y196" s="24">
        <f t="shared" si="34"/>
        <v>11.491331845105265</v>
      </c>
      <c r="Z196" s="24">
        <f t="shared" si="35"/>
        <v>15.673392869438597</v>
      </c>
      <c r="AA196" s="24">
        <v>0</v>
      </c>
    </row>
    <row r="197" spans="1:27">
      <c r="A197" s="24">
        <f>Model_Data!A197</f>
        <v>37.5</v>
      </c>
      <c r="B197" s="24">
        <f>Model_Data!Y197</f>
        <v>280.68428636923539</v>
      </c>
      <c r="C197" s="24">
        <f>Model_Data!X197</f>
        <v>56.081084744036659</v>
      </c>
      <c r="D197" s="24">
        <f>Model_Data!B197</f>
        <v>401.5625</v>
      </c>
      <c r="E197" s="24">
        <f>Inputs!$C$6</f>
        <v>25</v>
      </c>
      <c r="F197" s="24">
        <f>Subsurface_Inputs!$C$5+Subsurface_Inputs!$C$6*SIN(2*PI()*(A197+Subsurface_Inputs!$C$7)/Subsurface_Inputs!$C$8)+Subsurface_Inputs!$C$9*COS(2*PI()*A197/Subsurface_Inputs!$C$10)+Subsurface_Inputs!$C$11*(B197-AVERAGE($B$2:$B$242))</f>
        <v>1224.9453996711713</v>
      </c>
      <c r="G197" s="24">
        <f t="shared" si="27"/>
        <v>-944.26111330193589</v>
      </c>
      <c r="H197" s="24">
        <f>MIN(1,MAX(0,Subsurface_Inputs!$C$13*EXP(-0.5*((A197-Subsurface_Inputs!$C$14)/Subsurface_Inputs!$C$15)^2)+Subsurface_Inputs!$C$16*EXP(-0.5*((A197-Subsurface_Inputs!$C$17)/Subsurface_Inputs!$C$18)^2)))</f>
        <v>0.45107211319427531</v>
      </c>
      <c r="I197" s="24">
        <f>Subsurface_Inputs!$C$19+Subsurface_Inputs!$C$20*SIN(2*PI()*(A197-Subsurface_Inputs!$C$21)/Subsurface_Inputs!$C$22)-Subsurface_Inputs!$C$23*H197</f>
        <v>5337.7120569194685</v>
      </c>
      <c r="J197" s="24">
        <f t="shared" si="28"/>
        <v>-5057.0277705502331</v>
      </c>
      <c r="K197" s="24">
        <f>Subsurface_Inputs!$C$25+Subsurface_Inputs!$C$26*SIN(2*PI()*(A197+Subsurface_Inputs!$C$27)/Subsurface_Inputs!$C$28)+Subsurface_Inputs!$C$29*COS(2*PI()*(A197-Subsurface_Inputs!$C$30)/Subsurface_Inputs!$C$31)-Subsurface_Inputs!$C$32*(B197-AVERAGE($B$2:$B$242))</f>
        <v>14819.341583785392</v>
      </c>
      <c r="L197" s="24">
        <f t="shared" si="29"/>
        <v>-14538.657297416157</v>
      </c>
      <c r="M197" s="24">
        <f>2*Subsurface_Inputs!$C$34*F197/Subsurface_Inputs!$C$35*1000000</f>
        <v>14.546081819140927</v>
      </c>
      <c r="N197" s="24">
        <f>2*Subsurface_Inputs!$C$34*I197/Subsurface_Inputs!$C$35*1000000</f>
        <v>63.384699699928099</v>
      </c>
      <c r="O197" s="24">
        <f>2*Subsurface_Inputs!$C$34*K197/Subsurface_Inputs!$C$35*1000000</f>
        <v>175.97792949906699</v>
      </c>
      <c r="P197" s="24">
        <f>Subsurface_Inputs!$C$37-2*Subsurface_Inputs!$C$36*(F197/1000)</f>
        <v>-12.20490171940811</v>
      </c>
      <c r="Q197" s="24">
        <f>Subsurface_Inputs!$C$38+Subsurface_Inputs!$C$39*H197-2*Subsurface_Inputs!$C$36*(I197/1000)</f>
        <v>-29.548232683706566</v>
      </c>
      <c r="R197" s="24">
        <f>Subsurface_Inputs!$C$40-2*Subsurface_Inputs!$C$36*(K197/1000)-Subsurface_Inputs!$C$41*ABS(L197-AVERAGE($L$2:$L$242))</f>
        <v>-33.568016175120405</v>
      </c>
      <c r="S197" s="24">
        <f t="shared" si="30"/>
        <v>-258.04311178872194</v>
      </c>
      <c r="T197" s="24">
        <f t="shared" si="31"/>
        <v>12.097960927698123</v>
      </c>
      <c r="U197" s="25" t="str">
        <f>IF(H197&gt;=Subsurface_Inputs!$C$42,"Lens visible","Weak/no lens")</f>
        <v>Lens visible</v>
      </c>
      <c r="V197" s="25" t="str">
        <f t="shared" si="32"/>
        <v>Likely visible</v>
      </c>
      <c r="W197" s="24">
        <f>Subsurface_Inputs!$C$43</f>
        <v>-45</v>
      </c>
      <c r="X197" s="24">
        <f t="shared" si="33"/>
        <v>15.451767316293434</v>
      </c>
      <c r="Y197" s="24">
        <f t="shared" si="34"/>
        <v>11.431983824879595</v>
      </c>
      <c r="Z197" s="24">
        <f t="shared" si="35"/>
        <v>15.451767316293434</v>
      </c>
      <c r="AA197" s="24">
        <v>0</v>
      </c>
    </row>
    <row r="198" spans="1:27">
      <c r="A198" s="24">
        <f>Model_Data!A198</f>
        <v>38</v>
      </c>
      <c r="B198" s="24">
        <f>Model_Data!Y198</f>
        <v>282.3717678695042</v>
      </c>
      <c r="C198" s="24">
        <f>Model_Data!X198</f>
        <v>74.89136844725374</v>
      </c>
      <c r="D198" s="24">
        <f>Model_Data!B198</f>
        <v>401.60444444444443</v>
      </c>
      <c r="E198" s="24">
        <f>Inputs!$C$6</f>
        <v>25</v>
      </c>
      <c r="F198" s="24">
        <f>Subsurface_Inputs!$C$5+Subsurface_Inputs!$C$6*SIN(2*PI()*(A198+Subsurface_Inputs!$C$7)/Subsurface_Inputs!$C$8)+Subsurface_Inputs!$C$9*COS(2*PI()*A198/Subsurface_Inputs!$C$10)+Subsurface_Inputs!$C$11*(B198-AVERAGE($B$2:$B$242))</f>
        <v>1239.1700058995218</v>
      </c>
      <c r="G198" s="24">
        <f t="shared" si="27"/>
        <v>-956.79823803001761</v>
      </c>
      <c r="H198" s="24">
        <f>MIN(1,MAX(0,Subsurface_Inputs!$C$13*EXP(-0.5*((A198-Subsurface_Inputs!$C$14)/Subsurface_Inputs!$C$15)^2)+Subsurface_Inputs!$C$16*EXP(-0.5*((A198-Subsurface_Inputs!$C$17)/Subsurface_Inputs!$C$18)^2)))</f>
        <v>0.42457146607037533</v>
      </c>
      <c r="I198" s="24">
        <f>Subsurface_Inputs!$C$19+Subsurface_Inputs!$C$20*SIN(2*PI()*(A198-Subsurface_Inputs!$C$21)/Subsurface_Inputs!$C$22)-Subsurface_Inputs!$C$23*H198</f>
        <v>5328.9489181529216</v>
      </c>
      <c r="J198" s="24">
        <f t="shared" si="28"/>
        <v>-5046.5771502834177</v>
      </c>
      <c r="K198" s="24">
        <f>Subsurface_Inputs!$C$25+Subsurface_Inputs!$C$26*SIN(2*PI()*(A198+Subsurface_Inputs!$C$27)/Subsurface_Inputs!$C$28)+Subsurface_Inputs!$C$29*COS(2*PI()*(A198-Subsurface_Inputs!$C$30)/Subsurface_Inputs!$C$31)-Subsurface_Inputs!$C$32*(B198-AVERAGE($B$2:$B$242))</f>
        <v>14799.576086730554</v>
      </c>
      <c r="L198" s="24">
        <f t="shared" si="29"/>
        <v>-14517.20431886105</v>
      </c>
      <c r="M198" s="24">
        <f>2*Subsurface_Inputs!$C$34*F198/Subsurface_Inputs!$C$35*1000000</f>
        <v>14.714997336598433</v>
      </c>
      <c r="N198" s="24">
        <f>2*Subsurface_Inputs!$C$34*I198/Subsurface_Inputs!$C$35*1000000</f>
        <v>63.280638462974281</v>
      </c>
      <c r="O198" s="24">
        <f>2*Subsurface_Inputs!$C$34*K198/Subsurface_Inputs!$C$35*1000000</f>
        <v>175.74321655803888</v>
      </c>
      <c r="P198" s="24">
        <f>Subsurface_Inputs!$C$37-2*Subsurface_Inputs!$C$36*(F198/1000)</f>
        <v>-12.230506010619139</v>
      </c>
      <c r="Q198" s="24">
        <f>Subsurface_Inputs!$C$38+Subsurface_Inputs!$C$39*H198-2*Subsurface_Inputs!$C$36*(I198/1000)</f>
        <v>-29.770964858041879</v>
      </c>
      <c r="R198" s="24">
        <f>Subsurface_Inputs!$C$40-2*Subsurface_Inputs!$C$36*(K198/1000)-Subsurface_Inputs!$C$41*ABS(L198-AVERAGE($L$2:$L$242))</f>
        <v>-33.618250194642137</v>
      </c>
      <c r="S198" s="24">
        <f t="shared" si="30"/>
        <v>-277.80860884355934</v>
      </c>
      <c r="T198" s="24">
        <f t="shared" si="31"/>
        <v>11.943136144573998</v>
      </c>
      <c r="U198" s="25" t="str">
        <f>IF(H198&gt;=Subsurface_Inputs!$C$42,"Lens visible","Weak/no lens")</f>
        <v>Lens visible</v>
      </c>
      <c r="V198" s="25" t="str">
        <f t="shared" si="32"/>
        <v>Likely visible</v>
      </c>
      <c r="W198" s="24">
        <f>Subsurface_Inputs!$C$43</f>
        <v>-45</v>
      </c>
      <c r="X198" s="24">
        <f t="shared" si="33"/>
        <v>15.229035141958121</v>
      </c>
      <c r="Y198" s="24">
        <f t="shared" si="34"/>
        <v>11.381749805357863</v>
      </c>
      <c r="Z198" s="24">
        <f t="shared" si="35"/>
        <v>15.229035141958121</v>
      </c>
      <c r="AA198" s="24">
        <v>0</v>
      </c>
    </row>
    <row r="199" spans="1:27">
      <c r="A199" s="24">
        <f>Model_Data!A199</f>
        <v>38.5</v>
      </c>
      <c r="B199" s="24">
        <f>Model_Data!Y199</f>
        <v>311.18191933727104</v>
      </c>
      <c r="C199" s="24">
        <f>Model_Data!X199</f>
        <v>81.229436651819583</v>
      </c>
      <c r="D199" s="24">
        <f>Model_Data!B199</f>
        <v>401.64694444444444</v>
      </c>
      <c r="E199" s="24">
        <f>Inputs!$C$6</f>
        <v>25</v>
      </c>
      <c r="F199" s="24">
        <f>Subsurface_Inputs!$C$5+Subsurface_Inputs!$C$6*SIN(2*PI()*(A199+Subsurface_Inputs!$C$7)/Subsurface_Inputs!$C$8)+Subsurface_Inputs!$C$9*COS(2*PI()*A199/Subsurface_Inputs!$C$10)+Subsurface_Inputs!$C$11*(B199-AVERAGE($B$2:$B$242))</f>
        <v>1254.4244957169296</v>
      </c>
      <c r="G199" s="24">
        <f t="shared" si="27"/>
        <v>-943.24257637965866</v>
      </c>
      <c r="H199" s="24">
        <f>MIN(1,MAX(0,Subsurface_Inputs!$C$13*EXP(-0.5*((A199-Subsurface_Inputs!$C$14)/Subsurface_Inputs!$C$15)^2)+Subsurface_Inputs!$C$16*EXP(-0.5*((A199-Subsurface_Inputs!$C$17)/Subsurface_Inputs!$C$18)^2)))</f>
        <v>0.39806974073209878</v>
      </c>
      <c r="I199" s="24">
        <f>Subsurface_Inputs!$C$19+Subsurface_Inputs!$C$20*SIN(2*PI()*(A199-Subsurface_Inputs!$C$21)/Subsurface_Inputs!$C$22)-Subsurface_Inputs!$C$23*H199</f>
        <v>5319.7004759269485</v>
      </c>
      <c r="J199" s="24">
        <f t="shared" si="28"/>
        <v>-5008.5185565896772</v>
      </c>
      <c r="K199" s="24">
        <f>Subsurface_Inputs!$C$25+Subsurface_Inputs!$C$26*SIN(2*PI()*(A199+Subsurface_Inputs!$C$27)/Subsurface_Inputs!$C$28)+Subsurface_Inputs!$C$29*COS(2*PI()*(A199-Subsurface_Inputs!$C$30)/Subsurface_Inputs!$C$31)-Subsurface_Inputs!$C$32*(B199-AVERAGE($B$2:$B$242))</f>
        <v>14776.789430047362</v>
      </c>
      <c r="L199" s="24">
        <f t="shared" si="29"/>
        <v>-14465.607510710091</v>
      </c>
      <c r="M199" s="24">
        <f>2*Subsurface_Inputs!$C$34*F199/Subsurface_Inputs!$C$35*1000000</f>
        <v>14.896142599932482</v>
      </c>
      <c r="N199" s="24">
        <f>2*Subsurface_Inputs!$C$34*I199/Subsurface_Inputs!$C$35*1000000</f>
        <v>63.170814304807955</v>
      </c>
      <c r="O199" s="24">
        <f>2*Subsurface_Inputs!$C$34*K199/Subsurface_Inputs!$C$35*1000000</f>
        <v>175.4726277035582</v>
      </c>
      <c r="P199" s="24">
        <f>Subsurface_Inputs!$C$37-2*Subsurface_Inputs!$C$36*(F199/1000)</f>
        <v>-12.257964092290473</v>
      </c>
      <c r="Q199" s="24">
        <f>Subsurface_Inputs!$C$38+Subsurface_Inputs!$C$39*H199-2*Subsurface_Inputs!$C$36*(I199/1000)</f>
        <v>-29.992833190079622</v>
      </c>
      <c r="R199" s="24">
        <f>Subsurface_Inputs!$C$40-2*Subsurface_Inputs!$C$36*(K199/1000)-Subsurface_Inputs!$C$41*ABS(L199-AVERAGE($L$2:$L$242))</f>
        <v>-33.78362144521622</v>
      </c>
      <c r="S199" s="24">
        <f t="shared" si="30"/>
        <v>-300.59526552675197</v>
      </c>
      <c r="T199" s="24">
        <f t="shared" si="31"/>
        <v>11.779736030746211</v>
      </c>
      <c r="U199" s="25" t="str">
        <f>IF(H199&gt;=Subsurface_Inputs!$C$42,"Lens visible","Weak/no lens")</f>
        <v>Lens visible</v>
      </c>
      <c r="V199" s="25" t="str">
        <f t="shared" si="32"/>
        <v>Likely visible</v>
      </c>
      <c r="W199" s="24">
        <f>Subsurface_Inputs!$C$43</f>
        <v>-45</v>
      </c>
      <c r="X199" s="24">
        <f t="shared" si="33"/>
        <v>15.007166809920378</v>
      </c>
      <c r="Y199" s="24">
        <f t="shared" si="34"/>
        <v>11.21637855478378</v>
      </c>
      <c r="Z199" s="24">
        <f t="shared" si="35"/>
        <v>15.007166809920378</v>
      </c>
      <c r="AA199" s="24">
        <v>0</v>
      </c>
    </row>
    <row r="200" spans="1:27">
      <c r="A200" s="24">
        <f>Model_Data!A200</f>
        <v>39</v>
      </c>
      <c r="B200" s="24">
        <f>Model_Data!Y200</f>
        <v>302.84354967777892</v>
      </c>
      <c r="C200" s="24">
        <f>Model_Data!X200</f>
        <v>82.757717027313632</v>
      </c>
      <c r="D200" s="24">
        <f>Model_Data!B200</f>
        <v>401.69</v>
      </c>
      <c r="E200" s="24">
        <f>Inputs!$C$6</f>
        <v>25</v>
      </c>
      <c r="F200" s="24">
        <f>Subsurface_Inputs!$C$5+Subsurface_Inputs!$C$6*SIN(2*PI()*(A200+Subsurface_Inputs!$C$7)/Subsurface_Inputs!$C$8)+Subsurface_Inputs!$C$9*COS(2*PI()*A200/Subsurface_Inputs!$C$10)+Subsurface_Inputs!$C$11*(B200-AVERAGE($B$2:$B$242))</f>
        <v>1267.967947179111</v>
      </c>
      <c r="G200" s="24">
        <f t="shared" si="27"/>
        <v>-965.12439750133206</v>
      </c>
      <c r="H200" s="24">
        <f>MIN(1,MAX(0,Subsurface_Inputs!$C$13*EXP(-0.5*((A200-Subsurface_Inputs!$C$14)/Subsurface_Inputs!$C$15)^2)+Subsurface_Inputs!$C$16*EXP(-0.5*((A200-Subsurface_Inputs!$C$17)/Subsurface_Inputs!$C$18)^2)))</f>
        <v>0.37176719601112795</v>
      </c>
      <c r="I200" s="24">
        <f>Subsurface_Inputs!$C$19+Subsurface_Inputs!$C$20*SIN(2*PI()*(A200-Subsurface_Inputs!$C$21)/Subsurface_Inputs!$C$22)-Subsurface_Inputs!$C$23*H200</f>
        <v>5309.9415762710123</v>
      </c>
      <c r="J200" s="24">
        <f t="shared" si="28"/>
        <v>-5007.098026593233</v>
      </c>
      <c r="K200" s="24">
        <f>Subsurface_Inputs!$C$25+Subsurface_Inputs!$C$26*SIN(2*PI()*(A200+Subsurface_Inputs!$C$27)/Subsurface_Inputs!$C$28)+Subsurface_Inputs!$C$29*COS(2*PI()*(A200-Subsurface_Inputs!$C$30)/Subsurface_Inputs!$C$31)-Subsurface_Inputs!$C$32*(B200-AVERAGE($B$2:$B$242))</f>
        <v>14759.992307171666</v>
      </c>
      <c r="L200" s="24">
        <f t="shared" si="29"/>
        <v>-14457.148757493887</v>
      </c>
      <c r="M200" s="24">
        <f>2*Subsurface_Inputs!$C$34*F200/Subsurface_Inputs!$C$35*1000000</f>
        <v>15.05696948506168</v>
      </c>
      <c r="N200" s="24">
        <f>2*Subsurface_Inputs!$C$34*I200/Subsurface_Inputs!$C$35*1000000</f>
        <v>63.05492852500246</v>
      </c>
      <c r="O200" s="24">
        <f>2*Subsurface_Inputs!$C$34*K200/Subsurface_Inputs!$C$35*1000000</f>
        <v>175.27316385501308</v>
      </c>
      <c r="P200" s="24">
        <f>Subsurface_Inputs!$C$37-2*Subsurface_Inputs!$C$36*(F200/1000)</f>
        <v>-12.2823423049224</v>
      </c>
      <c r="Q200" s="24">
        <f>Subsurface_Inputs!$C$38+Subsurface_Inputs!$C$39*H200-2*Subsurface_Inputs!$C$36*(I200/1000)</f>
        <v>-30.211990073187671</v>
      </c>
      <c r="R200" s="24">
        <f>Subsurface_Inputs!$C$40-2*Subsurface_Inputs!$C$36*(K200/1000)-Subsurface_Inputs!$C$41*ABS(L200-AVERAGE($L$2:$L$242))</f>
        <v>-33.787221636904782</v>
      </c>
      <c r="S200" s="24">
        <f t="shared" si="30"/>
        <v>-317.39238840244798</v>
      </c>
      <c r="T200" s="24">
        <f t="shared" si="31"/>
        <v>11.640666737679524</v>
      </c>
      <c r="U200" s="25" t="str">
        <f>IF(H200&gt;=Subsurface_Inputs!$C$42,"Lens visible","Weak/no lens")</f>
        <v>Lens visible</v>
      </c>
      <c r="V200" s="25" t="str">
        <f t="shared" si="32"/>
        <v>Likely visible</v>
      </c>
      <c r="W200" s="24">
        <f>Subsurface_Inputs!$C$43</f>
        <v>-45</v>
      </c>
      <c r="X200" s="24">
        <f t="shared" si="33"/>
        <v>14.788009926812329</v>
      </c>
      <c r="Y200" s="24">
        <f t="shared" si="34"/>
        <v>11.212778363095218</v>
      </c>
      <c r="Z200" s="24">
        <f t="shared" si="35"/>
        <v>14.788009926812329</v>
      </c>
      <c r="AA200" s="24">
        <v>0</v>
      </c>
    </row>
    <row r="201" spans="1:27">
      <c r="A201" s="24">
        <f>Model_Data!A201</f>
        <v>39.5</v>
      </c>
      <c r="B201" s="24">
        <f>Model_Data!Y201</f>
        <v>298.92940490778824</v>
      </c>
      <c r="C201" s="24">
        <f>Model_Data!X201</f>
        <v>76.312714900519723</v>
      </c>
      <c r="D201" s="24">
        <f>Model_Data!B201</f>
        <v>401.73361111111109</v>
      </c>
      <c r="E201" s="24">
        <f>Inputs!$C$6</f>
        <v>25</v>
      </c>
      <c r="F201" s="24">
        <f>Subsurface_Inputs!$C$5+Subsurface_Inputs!$C$6*SIN(2*PI()*(A201+Subsurface_Inputs!$C$7)/Subsurface_Inputs!$C$8)+Subsurface_Inputs!$C$9*COS(2*PI()*A201/Subsurface_Inputs!$C$10)+Subsurface_Inputs!$C$11*(B201-AVERAGE($B$2:$B$242))</f>
        <v>1281.2877515942896</v>
      </c>
      <c r="G201" s="24">
        <f t="shared" si="27"/>
        <v>-982.35834668650136</v>
      </c>
      <c r="H201" s="24">
        <f>MIN(1,MAX(0,Subsurface_Inputs!$C$13*EXP(-0.5*((A201-Subsurface_Inputs!$C$14)/Subsurface_Inputs!$C$15)^2)+Subsurface_Inputs!$C$16*EXP(-0.5*((A201-Subsurface_Inputs!$C$17)/Subsurface_Inputs!$C$18)^2)))</f>
        <v>0.34584898313864171</v>
      </c>
      <c r="I201" s="24">
        <f>Subsurface_Inputs!$C$19+Subsurface_Inputs!$C$20*SIN(2*PI()*(A201-Subsurface_Inputs!$C$21)/Subsurface_Inputs!$C$22)-Subsurface_Inputs!$C$23*H201</f>
        <v>5299.6513700473615</v>
      </c>
      <c r="J201" s="24">
        <f t="shared" si="28"/>
        <v>-5000.7219651395735</v>
      </c>
      <c r="K201" s="24">
        <f>Subsurface_Inputs!$C$25+Subsurface_Inputs!$C$26*SIN(2*PI()*(A201+Subsurface_Inputs!$C$27)/Subsurface_Inputs!$C$28)+Subsurface_Inputs!$C$29*COS(2*PI()*(A201-Subsurface_Inputs!$C$30)/Subsurface_Inputs!$C$31)-Subsurface_Inputs!$C$32*(B201-AVERAGE($B$2:$B$242))</f>
        <v>14743.375119644179</v>
      </c>
      <c r="L201" s="24">
        <f t="shared" si="29"/>
        <v>-14444.44571473639</v>
      </c>
      <c r="M201" s="24">
        <f>2*Subsurface_Inputs!$C$34*F201/Subsurface_Inputs!$C$35*1000000</f>
        <v>15.215140587945248</v>
      </c>
      <c r="N201" s="24">
        <f>2*Subsurface_Inputs!$C$34*I201/Subsurface_Inputs!$C$35*1000000</f>
        <v>62.932733542511635</v>
      </c>
      <c r="O201" s="24">
        <f>2*Subsurface_Inputs!$C$34*K201/Subsurface_Inputs!$C$35*1000000</f>
        <v>175.07583671745766</v>
      </c>
      <c r="P201" s="24">
        <f>Subsurface_Inputs!$C$37-2*Subsurface_Inputs!$C$36*(F201/1000)</f>
        <v>-12.306317952869721</v>
      </c>
      <c r="Q201" s="24">
        <f>Subsurface_Inputs!$C$38+Subsurface_Inputs!$C$39*H201-2*Subsurface_Inputs!$C$36*(I201/1000)</f>
        <v>-30.426731617837476</v>
      </c>
      <c r="R201" s="24">
        <f>Subsurface_Inputs!$C$40-2*Subsurface_Inputs!$C$36*(K201/1000)-Subsurface_Inputs!$C$41*ABS(L201-AVERAGE($L$2:$L$242))</f>
        <v>-33.808122870385297</v>
      </c>
      <c r="S201" s="24">
        <f t="shared" si="30"/>
        <v>-334.00957592993473</v>
      </c>
      <c r="T201" s="24">
        <f t="shared" si="31"/>
        <v>11.506685443062411</v>
      </c>
      <c r="U201" s="25" t="str">
        <f>IF(H201&gt;=Subsurface_Inputs!$C$42,"Lens visible","Weak/no lens")</f>
        <v>Lens visible</v>
      </c>
      <c r="V201" s="25" t="str">
        <f t="shared" si="32"/>
        <v>Likely visible</v>
      </c>
      <c r="W201" s="24">
        <f>Subsurface_Inputs!$C$43</f>
        <v>-45</v>
      </c>
      <c r="X201" s="24">
        <f t="shared" si="33"/>
        <v>14.573268382162524</v>
      </c>
      <c r="Y201" s="24">
        <f t="shared" si="34"/>
        <v>11.191877129614703</v>
      </c>
      <c r="Z201" s="24">
        <f t="shared" si="35"/>
        <v>14.573268382162524</v>
      </c>
      <c r="AA201" s="24">
        <v>0</v>
      </c>
    </row>
    <row r="202" spans="1:27">
      <c r="A202" s="24">
        <f>Model_Data!A202</f>
        <v>40</v>
      </c>
      <c r="B202" s="24">
        <f>Model_Data!Y202</f>
        <v>304.82117281226778</v>
      </c>
      <c r="C202" s="24">
        <f>Model_Data!X202</f>
        <v>66.26609020115302</v>
      </c>
      <c r="D202" s="24">
        <f>Model_Data!B202</f>
        <v>401.77777777777777</v>
      </c>
      <c r="E202" s="24">
        <f>Inputs!$C$6</f>
        <v>25</v>
      </c>
      <c r="F202" s="24">
        <f>Subsurface_Inputs!$C$5+Subsurface_Inputs!$C$6*SIN(2*PI()*(A202+Subsurface_Inputs!$C$7)/Subsurface_Inputs!$C$8)+Subsurface_Inputs!$C$9*COS(2*PI()*A202/Subsurface_Inputs!$C$10)+Subsurface_Inputs!$C$11*(B202-AVERAGE($B$2:$B$242))</f>
        <v>1294.4210192104322</v>
      </c>
      <c r="G202" s="24">
        <f t="shared" si="27"/>
        <v>-989.59984639816435</v>
      </c>
      <c r="H202" s="24">
        <f>MIN(1,MAX(0,Subsurface_Inputs!$C$13*EXP(-0.5*((A202-Subsurface_Inputs!$C$14)/Subsurface_Inputs!$C$15)^2)+Subsurface_Inputs!$C$16*EXP(-0.5*((A202-Subsurface_Inputs!$C$17)/Subsurface_Inputs!$C$18)^2)))</f>
        <v>0.32048335445176718</v>
      </c>
      <c r="I202" s="24">
        <f>Subsurface_Inputs!$C$19+Subsurface_Inputs!$C$20*SIN(2*PI()*(A202-Subsurface_Inputs!$C$21)/Subsurface_Inputs!$C$22)-Subsurface_Inputs!$C$23*H202</f>
        <v>5288.8137082440735</v>
      </c>
      <c r="J202" s="24">
        <f t="shared" si="28"/>
        <v>-4983.9925354318057</v>
      </c>
      <c r="K202" s="24">
        <f>Subsurface_Inputs!$C$25+Subsurface_Inputs!$C$26*SIN(2*PI()*(A202+Subsurface_Inputs!$C$27)/Subsurface_Inputs!$C$28)+Subsurface_Inputs!$C$29*COS(2*PI()*(A202-Subsurface_Inputs!$C$30)/Subsurface_Inputs!$C$31)-Subsurface_Inputs!$C$32*(B202-AVERAGE($B$2:$B$242))</f>
        <v>14726.192868523873</v>
      </c>
      <c r="L202" s="24">
        <f t="shared" si="29"/>
        <v>-14421.371695711605</v>
      </c>
      <c r="M202" s="24">
        <f>2*Subsurface_Inputs!$C$34*F202/Subsurface_Inputs!$C$35*1000000</f>
        <v>15.371096588390953</v>
      </c>
      <c r="N202" s="24">
        <f>2*Subsurface_Inputs!$C$34*I202/Subsurface_Inputs!$C$35*1000000</f>
        <v>62.804037589727827</v>
      </c>
      <c r="O202" s="24">
        <f>2*Subsurface_Inputs!$C$34*K202/Subsurface_Inputs!$C$35*1000000</f>
        <v>174.87179951653417</v>
      </c>
      <c r="P202" s="24">
        <f>Subsurface_Inputs!$C$37-2*Subsurface_Inputs!$C$36*(F202/1000)</f>
        <v>-12.329957834578778</v>
      </c>
      <c r="Q202" s="24">
        <f>Subsurface_Inputs!$C$38+Subsurface_Inputs!$C$39*H202-2*Subsurface_Inputs!$C$36*(I202/1000)</f>
        <v>-30.635514484773427</v>
      </c>
      <c r="R202" s="24">
        <f>Subsurface_Inputs!$C$40-2*Subsurface_Inputs!$C$36*(K202/1000)-Subsurface_Inputs!$C$41*ABS(L202-AVERAGE($L$2:$L$242))</f>
        <v>-33.869490894467887</v>
      </c>
      <c r="S202" s="24">
        <f t="shared" si="30"/>
        <v>-351.19182705024105</v>
      </c>
      <c r="T202" s="24">
        <f t="shared" si="31"/>
        <v>11.376663890630052</v>
      </c>
      <c r="U202" s="25" t="str">
        <f>IF(H202&gt;=Subsurface_Inputs!$C$42,"Lens visible","Weak/no lens")</f>
        <v>Lens visible</v>
      </c>
      <c r="V202" s="25" t="str">
        <f t="shared" si="32"/>
        <v>Likely visible</v>
      </c>
      <c r="W202" s="24">
        <f>Subsurface_Inputs!$C$43</f>
        <v>-45</v>
      </c>
      <c r="X202" s="24">
        <f t="shared" si="33"/>
        <v>14.364485515226573</v>
      </c>
      <c r="Y202" s="24">
        <f t="shared" si="34"/>
        <v>11.130509105532113</v>
      </c>
      <c r="Z202" s="24">
        <f t="shared" si="35"/>
        <v>14.364485515226573</v>
      </c>
      <c r="AA202" s="24">
        <v>0</v>
      </c>
    </row>
    <row r="203" spans="1:27">
      <c r="A203" s="24">
        <f>Model_Data!A203</f>
        <v>40.5</v>
      </c>
      <c r="B203" s="24">
        <f>Model_Data!Y203</f>
        <v>300.69750601512629</v>
      </c>
      <c r="C203" s="24">
        <f>Model_Data!X203</f>
        <v>60.152205166209214</v>
      </c>
      <c r="D203" s="24">
        <f>Model_Data!B203</f>
        <v>401.82249999999999</v>
      </c>
      <c r="E203" s="24">
        <f>Inputs!$C$6</f>
        <v>25</v>
      </c>
      <c r="F203" s="24">
        <f>Subsurface_Inputs!$C$5+Subsurface_Inputs!$C$6*SIN(2*PI()*(A203+Subsurface_Inputs!$C$7)/Subsurface_Inputs!$C$8)+Subsurface_Inputs!$C$9*COS(2*PI()*A203/Subsurface_Inputs!$C$10)+Subsurface_Inputs!$C$11*(B203-AVERAGE($B$2:$B$242))</f>
        <v>1306.3970112850166</v>
      </c>
      <c r="G203" s="24">
        <f t="shared" si="27"/>
        <v>-1005.6995052698903</v>
      </c>
      <c r="H203" s="24">
        <f>MIN(1,MAX(0,Subsurface_Inputs!$C$13*EXP(-0.5*((A203-Subsurface_Inputs!$C$14)/Subsurface_Inputs!$C$15)^2)+Subsurface_Inputs!$C$16*EXP(-0.5*((A203-Subsurface_Inputs!$C$17)/Subsurface_Inputs!$C$18)^2)))</f>
        <v>0.29582031113496227</v>
      </c>
      <c r="I203" s="24">
        <f>Subsurface_Inputs!$C$19+Subsurface_Inputs!$C$20*SIN(2*PI()*(A203-Subsurface_Inputs!$C$21)/Subsurface_Inputs!$C$22)-Subsurface_Inputs!$C$23*H203</f>
        <v>5277.4174309539858</v>
      </c>
      <c r="J203" s="24">
        <f t="shared" si="28"/>
        <v>-4976.7199249388595</v>
      </c>
      <c r="K203" s="24">
        <f>Subsurface_Inputs!$C$25+Subsurface_Inputs!$C$26*SIN(2*PI()*(A203+Subsurface_Inputs!$C$27)/Subsurface_Inputs!$C$28)+Subsurface_Inputs!$C$29*COS(2*PI()*(A203-Subsurface_Inputs!$C$30)/Subsurface_Inputs!$C$31)-Subsurface_Inputs!$C$32*(B203-AVERAGE($B$2:$B$242))</f>
        <v>14711.226828791272</v>
      </c>
      <c r="L203" s="24">
        <f t="shared" si="29"/>
        <v>-14410.529322776145</v>
      </c>
      <c r="M203" s="24">
        <f>2*Subsurface_Inputs!$C$34*F203/Subsurface_Inputs!$C$35*1000000</f>
        <v>15.513310078583292</v>
      </c>
      <c r="N203" s="24">
        <f>2*Subsurface_Inputs!$C$34*I203/Subsurface_Inputs!$C$35*1000000</f>
        <v>62.668708144072752</v>
      </c>
      <c r="O203" s="24">
        <f>2*Subsurface_Inputs!$C$34*K203/Subsurface_Inputs!$C$35*1000000</f>
        <v>174.69407956385925</v>
      </c>
      <c r="P203" s="24">
        <f>Subsurface_Inputs!$C$37-2*Subsurface_Inputs!$C$36*(F203/1000)</f>
        <v>-12.351514620313029</v>
      </c>
      <c r="Q203" s="24">
        <f>Subsurface_Inputs!$C$38+Subsurface_Inputs!$C$39*H203-2*Subsurface_Inputs!$C$36*(I203/1000)</f>
        <v>-30.836968575502514</v>
      </c>
      <c r="R203" s="24">
        <f>Subsurface_Inputs!$C$40-2*Subsurface_Inputs!$C$36*(K203/1000)-Subsurface_Inputs!$C$41*ABS(L203-AVERAGE($L$2:$L$242))</f>
        <v>-33.885921514691042</v>
      </c>
      <c r="S203" s="24">
        <f t="shared" si="30"/>
        <v>-366.15786678284167</v>
      </c>
      <c r="T203" s="24">
        <f t="shared" si="31"/>
        <v>11.26091586379305</v>
      </c>
      <c r="U203" s="25" t="str">
        <f>IF(H203&gt;=Subsurface_Inputs!$C$42,"Lens visible","Weak/no lens")</f>
        <v>Lens visible</v>
      </c>
      <c r="V203" s="25" t="str">
        <f t="shared" si="32"/>
        <v>Likely visible</v>
      </c>
      <c r="W203" s="24">
        <f>Subsurface_Inputs!$C$43</f>
        <v>-45</v>
      </c>
      <c r="X203" s="24">
        <f t="shared" si="33"/>
        <v>14.163031424497486</v>
      </c>
      <c r="Y203" s="24">
        <f t="shared" si="34"/>
        <v>11.114078485308958</v>
      </c>
      <c r="Z203" s="24">
        <f t="shared" si="35"/>
        <v>14.163031424497486</v>
      </c>
      <c r="AA203" s="24">
        <v>0</v>
      </c>
    </row>
    <row r="204" spans="1:27">
      <c r="A204" s="24">
        <f>Model_Data!A204</f>
        <v>41</v>
      </c>
      <c r="B204" s="24">
        <f>Model_Data!Y204</f>
        <v>276.55710773826542</v>
      </c>
      <c r="C204" s="24">
        <f>Model_Data!X204</f>
        <v>52.609338989159092</v>
      </c>
      <c r="D204" s="24">
        <f>Model_Data!B204</f>
        <v>401.8677777777778</v>
      </c>
      <c r="E204" s="24">
        <f>Inputs!$C$6</f>
        <v>25</v>
      </c>
      <c r="F204" s="24">
        <f>Subsurface_Inputs!$C$5+Subsurface_Inputs!$C$6*SIN(2*PI()*(A204+Subsurface_Inputs!$C$7)/Subsurface_Inputs!$C$8)+Subsurface_Inputs!$C$9*COS(2*PI()*A204/Subsurface_Inputs!$C$10)+Subsurface_Inputs!$C$11*(B204-AVERAGE($B$2:$B$242))</f>
        <v>1316.6410283585294</v>
      </c>
      <c r="G204" s="24">
        <f t="shared" si="27"/>
        <v>-1040.0839206202641</v>
      </c>
      <c r="H204" s="24">
        <f>MIN(1,MAX(0,Subsurface_Inputs!$C$13*EXP(-0.5*((A204-Subsurface_Inputs!$C$14)/Subsurface_Inputs!$C$15)^2)+Subsurface_Inputs!$C$16*EXP(-0.5*((A204-Subsurface_Inputs!$C$17)/Subsurface_Inputs!$C$18)^2)))</f>
        <v>0.27199068989435554</v>
      </c>
      <c r="I204" s="24">
        <f>Subsurface_Inputs!$C$19+Subsurface_Inputs!$C$20*SIN(2*PI()*(A204-Subsurface_Inputs!$C$21)/Subsurface_Inputs!$C$22)-Subsurface_Inputs!$C$23*H204</f>
        <v>5265.4565501161742</v>
      </c>
      <c r="J204" s="24">
        <f t="shared" si="28"/>
        <v>-4988.8994423779086</v>
      </c>
      <c r="K204" s="24">
        <f>Subsurface_Inputs!$C$25+Subsurface_Inputs!$C$26*SIN(2*PI()*(A204+Subsurface_Inputs!$C$27)/Subsurface_Inputs!$C$28)+Subsurface_Inputs!$C$29*COS(2*PI()*(A204-Subsurface_Inputs!$C$30)/Subsurface_Inputs!$C$31)-Subsurface_Inputs!$C$32*(B204-AVERAGE($B$2:$B$242))</f>
        <v>14699.88132053898</v>
      </c>
      <c r="L204" s="24">
        <f t="shared" si="29"/>
        <v>-14423.324212800715</v>
      </c>
      <c r="M204" s="24">
        <f>2*Subsurface_Inputs!$C$34*F204/Subsurface_Inputs!$C$35*1000000</f>
        <v>15.634956570376314</v>
      </c>
      <c r="N204" s="24">
        <f>2*Subsurface_Inputs!$C$34*I204/Subsurface_Inputs!$C$35*1000000</f>
        <v>62.526674098030774</v>
      </c>
      <c r="O204" s="24">
        <f>2*Subsurface_Inputs!$C$34*K204/Subsurface_Inputs!$C$35*1000000</f>
        <v>174.55935299452651</v>
      </c>
      <c r="P204" s="24">
        <f>Subsurface_Inputs!$C$37-2*Subsurface_Inputs!$C$36*(F204/1000)</f>
        <v>-12.369953851045352</v>
      </c>
      <c r="Q204" s="24">
        <f>Subsurface_Inputs!$C$38+Subsurface_Inputs!$C$39*H204-2*Subsurface_Inputs!$C$36*(I204/1000)</f>
        <v>-31.029905581159916</v>
      </c>
      <c r="R204" s="24">
        <f>Subsurface_Inputs!$C$40-2*Subsurface_Inputs!$C$36*(K204/1000)-Subsurface_Inputs!$C$41*ABS(L204-AVERAGE($L$2:$L$242))</f>
        <v>-33.814320039738639</v>
      </c>
      <c r="S204" s="24">
        <f t="shared" si="30"/>
        <v>-377.50337503513401</v>
      </c>
      <c r="T204" s="24">
        <f t="shared" si="31"/>
        <v>11.164684225939306</v>
      </c>
      <c r="U204" s="25" t="str">
        <f>IF(H204&gt;=Subsurface_Inputs!$C$42,"Lens visible","Weak/no lens")</f>
        <v>Lens visible</v>
      </c>
      <c r="V204" s="25" t="str">
        <f t="shared" si="32"/>
        <v>Likely visible</v>
      </c>
      <c r="W204" s="24">
        <f>Subsurface_Inputs!$C$43</f>
        <v>-45</v>
      </c>
      <c r="X204" s="24">
        <f t="shared" si="33"/>
        <v>13.970094418840084</v>
      </c>
      <c r="Y204" s="24">
        <f t="shared" si="34"/>
        <v>11.185679960261361</v>
      </c>
      <c r="Z204" s="24">
        <f t="shared" si="35"/>
        <v>13.970094418840084</v>
      </c>
      <c r="AA204" s="24">
        <v>0</v>
      </c>
    </row>
    <row r="205" spans="1:27">
      <c r="A205" s="24">
        <f>Model_Data!A205</f>
        <v>41.5</v>
      </c>
      <c r="B205" s="24">
        <f>Model_Data!Y205</f>
        <v>269.21554101681534</v>
      </c>
      <c r="C205" s="24">
        <f>Model_Data!X205</f>
        <v>58.380951897935333</v>
      </c>
      <c r="D205" s="24">
        <f>Model_Data!B205</f>
        <v>401.91361111111109</v>
      </c>
      <c r="E205" s="24">
        <f>Inputs!$C$6</f>
        <v>25</v>
      </c>
      <c r="F205" s="24">
        <f>Subsurface_Inputs!$C$5+Subsurface_Inputs!$C$6*SIN(2*PI()*(A205+Subsurface_Inputs!$C$7)/Subsurface_Inputs!$C$8)+Subsurface_Inputs!$C$9*COS(2*PI()*A205/Subsurface_Inputs!$C$10)+Subsurface_Inputs!$C$11*(B205-AVERAGE($B$2:$B$242))</f>
        <v>1326.4572478837013</v>
      </c>
      <c r="G205" s="24">
        <f t="shared" si="27"/>
        <v>-1057.241706866886</v>
      </c>
      <c r="H205" s="24">
        <f>MIN(1,MAX(0,Subsurface_Inputs!$C$13*EXP(-0.5*((A205-Subsurface_Inputs!$C$14)/Subsurface_Inputs!$C$15)^2)+Subsurface_Inputs!$C$16*EXP(-0.5*((A205-Subsurface_Inputs!$C$17)/Subsurface_Inputs!$C$18)^2)))</f>
        <v>0.24910567695823424</v>
      </c>
      <c r="I205" s="24">
        <f>Subsurface_Inputs!$C$19+Subsurface_Inputs!$C$20*SIN(2*PI()*(A205-Subsurface_Inputs!$C$21)/Subsurface_Inputs!$C$22)-Subsurface_Inputs!$C$23*H205</f>
        <v>5252.93032885912</v>
      </c>
      <c r="J205" s="24">
        <f t="shared" si="28"/>
        <v>-4983.7147878423048</v>
      </c>
      <c r="K205" s="24">
        <f>Subsurface_Inputs!$C$25+Subsurface_Inputs!$C$26*SIN(2*PI()*(A205+Subsurface_Inputs!$C$27)/Subsurface_Inputs!$C$28)+Subsurface_Inputs!$C$29*COS(2*PI()*(A205-Subsurface_Inputs!$C$30)/Subsurface_Inputs!$C$31)-Subsurface_Inputs!$C$32*(B205-AVERAGE($B$2:$B$242))</f>
        <v>14687.004164423177</v>
      </c>
      <c r="L205" s="24">
        <f t="shared" si="29"/>
        <v>-14417.788623406361</v>
      </c>
      <c r="M205" s="24">
        <f>2*Subsurface_Inputs!$C$34*F205/Subsurface_Inputs!$C$35*1000000</f>
        <v>15.751523016853133</v>
      </c>
      <c r="N205" s="24">
        <f>2*Subsurface_Inputs!$C$34*I205/Subsurface_Inputs!$C$35*1000000</f>
        <v>62.377926701339717</v>
      </c>
      <c r="O205" s="24">
        <f>2*Subsurface_Inputs!$C$34*K205/Subsurface_Inputs!$C$35*1000000</f>
        <v>174.40643828787216</v>
      </c>
      <c r="P205" s="24">
        <f>Subsurface_Inputs!$C$37-2*Subsurface_Inputs!$C$36*(F205/1000)</f>
        <v>-12.387623046190662</v>
      </c>
      <c r="Q205" s="24">
        <f>Subsurface_Inputs!$C$38+Subsurface_Inputs!$C$39*H205-2*Subsurface_Inputs!$C$36*(I205/1000)</f>
        <v>-31.213323499322307</v>
      </c>
      <c r="R205" s="24">
        <f>Subsurface_Inputs!$C$40-2*Subsurface_Inputs!$C$36*(K205/1000)-Subsurface_Inputs!$C$41*ABS(L205-AVERAGE($L$2:$L$242))</f>
        <v>-33.813283516307614</v>
      </c>
      <c r="S205" s="24">
        <f t="shared" si="30"/>
        <v>-390.3805311509368</v>
      </c>
      <c r="T205" s="24">
        <f t="shared" si="31"/>
        <v>11.072353962297379</v>
      </c>
      <c r="U205" s="25" t="str">
        <f>IF(H205&gt;=Subsurface_Inputs!$C$42,"Lens visible","Weak/no lens")</f>
        <v>Lens visible</v>
      </c>
      <c r="V205" s="25" t="str">
        <f t="shared" si="32"/>
        <v>Likely visible</v>
      </c>
      <c r="W205" s="24">
        <f>Subsurface_Inputs!$C$43</f>
        <v>-45</v>
      </c>
      <c r="X205" s="24">
        <f t="shared" si="33"/>
        <v>13.786676500677693</v>
      </c>
      <c r="Y205" s="24">
        <f t="shared" si="34"/>
        <v>11.186716483692386</v>
      </c>
      <c r="Z205" s="24">
        <f t="shared" si="35"/>
        <v>13.786676500677693</v>
      </c>
      <c r="AA205" s="24">
        <v>0</v>
      </c>
    </row>
    <row r="206" spans="1:27">
      <c r="A206" s="24">
        <f>Model_Data!A206</f>
        <v>42</v>
      </c>
      <c r="B206" s="24">
        <f>Model_Data!Y206</f>
        <v>271.12620211290232</v>
      </c>
      <c r="C206" s="24">
        <f>Model_Data!X206</f>
        <v>34.521242112789622</v>
      </c>
      <c r="D206" s="24">
        <f>Model_Data!B206</f>
        <v>401.96</v>
      </c>
      <c r="E206" s="24">
        <f>Inputs!$C$6</f>
        <v>25</v>
      </c>
      <c r="F206" s="24">
        <f>Subsurface_Inputs!$C$5+Subsurface_Inputs!$C$6*SIN(2*PI()*(A206+Subsurface_Inputs!$C$7)/Subsurface_Inputs!$C$8)+Subsurface_Inputs!$C$9*COS(2*PI()*A206/Subsurface_Inputs!$C$10)+Subsurface_Inputs!$C$11*(B206-AVERAGE($B$2:$B$242))</f>
        <v>1335.3844752141229</v>
      </c>
      <c r="G206" s="24">
        <f t="shared" si="27"/>
        <v>-1064.2582731012205</v>
      </c>
      <c r="H206" s="24">
        <f>MIN(1,MAX(0,Subsurface_Inputs!$C$13*EXP(-0.5*((A206-Subsurface_Inputs!$C$14)/Subsurface_Inputs!$C$15)^2)+Subsurface_Inputs!$C$16*EXP(-0.5*((A206-Subsurface_Inputs!$C$17)/Subsurface_Inputs!$C$18)^2)))</f>
        <v>0.22725672748105447</v>
      </c>
      <c r="I206" s="24">
        <f>Subsurface_Inputs!$C$19+Subsurface_Inputs!$C$20*SIN(2*PI()*(A206-Subsurface_Inputs!$C$21)/Subsurface_Inputs!$C$22)-Subsurface_Inputs!$C$23*H206</f>
        <v>5239.8432627617467</v>
      </c>
      <c r="J206" s="24">
        <f t="shared" si="28"/>
        <v>-4968.7170606488444</v>
      </c>
      <c r="K206" s="24">
        <f>Subsurface_Inputs!$C$25+Subsurface_Inputs!$C$26*SIN(2*PI()*(A206+Subsurface_Inputs!$C$27)/Subsurface_Inputs!$C$28)+Subsurface_Inputs!$C$29*COS(2*PI()*(A206-Subsurface_Inputs!$C$30)/Subsurface_Inputs!$C$31)-Subsurface_Inputs!$C$32*(B206-AVERAGE($B$2:$B$242))</f>
        <v>14673.651759639273</v>
      </c>
      <c r="L206" s="24">
        <f t="shared" si="29"/>
        <v>-14402.525557526371</v>
      </c>
      <c r="M206" s="24">
        <f>2*Subsurface_Inputs!$C$34*F206/Subsurface_Inputs!$C$35*1000000</f>
        <v>15.857532786105905</v>
      </c>
      <c r="N206" s="24">
        <f>2*Subsurface_Inputs!$C$34*I206/Subsurface_Inputs!$C$35*1000000</f>
        <v>62.222519338467876</v>
      </c>
      <c r="O206" s="24">
        <f>2*Subsurface_Inputs!$C$34*K206/Subsurface_Inputs!$C$35*1000000</f>
        <v>174.24788005946371</v>
      </c>
      <c r="P206" s="24">
        <f>Subsurface_Inputs!$C$37-2*Subsurface_Inputs!$C$36*(F206/1000)</f>
        <v>-12.40369205538542</v>
      </c>
      <c r="Q206" s="24">
        <f>Subsurface_Inputs!$C$38+Subsurface_Inputs!$C$39*H206-2*Subsurface_Inputs!$C$36*(I206/1000)</f>
        <v>-31.386407325641656</v>
      </c>
      <c r="R206" s="24">
        <f>Subsurface_Inputs!$C$40-2*Subsurface_Inputs!$C$36*(K206/1000)-Subsurface_Inputs!$C$41*ABS(L206-AVERAGE($L$2:$L$242))</f>
        <v>-33.850301451216545</v>
      </c>
      <c r="S206" s="24">
        <f t="shared" si="30"/>
        <v>-403.7329359348405</v>
      </c>
      <c r="T206" s="24">
        <f t="shared" si="31"/>
        <v>10.988334844379871</v>
      </c>
      <c r="U206" s="25" t="str">
        <f>IF(H206&gt;=Subsurface_Inputs!$C$42,"Lens visible","Weak/no lens")</f>
        <v>Lens visible</v>
      </c>
      <c r="V206" s="25" t="str">
        <f t="shared" si="32"/>
        <v>Likely visible</v>
      </c>
      <c r="W206" s="24">
        <f>Subsurface_Inputs!$C$43</f>
        <v>-45</v>
      </c>
      <c r="X206" s="24">
        <f t="shared" si="33"/>
        <v>13.613592674358344</v>
      </c>
      <c r="Y206" s="24">
        <f t="shared" si="34"/>
        <v>11.149698548783455</v>
      </c>
      <c r="Z206" s="24">
        <f t="shared" si="35"/>
        <v>13.613592674358344</v>
      </c>
      <c r="AA206" s="24">
        <v>0</v>
      </c>
    </row>
    <row r="207" spans="1:27">
      <c r="A207" s="24">
        <f>Model_Data!A207</f>
        <v>42.5</v>
      </c>
      <c r="B207" s="24">
        <f>Model_Data!Y207</f>
        <v>259.77685513673219</v>
      </c>
      <c r="C207" s="24">
        <f>Model_Data!X207</f>
        <v>40.251276360901549</v>
      </c>
      <c r="D207" s="24">
        <f>Model_Data!B207</f>
        <v>402.00694444444446</v>
      </c>
      <c r="E207" s="24">
        <f>Inputs!$C$6</f>
        <v>25</v>
      </c>
      <c r="F207" s="24">
        <f>Subsurface_Inputs!$C$5+Subsurface_Inputs!$C$6*SIN(2*PI()*(A207+Subsurface_Inputs!$C$7)/Subsurface_Inputs!$C$8)+Subsurface_Inputs!$C$9*COS(2*PI()*A207/Subsurface_Inputs!$C$10)+Subsurface_Inputs!$C$11*(B207-AVERAGE($B$2:$B$242))</f>
        <v>1342.3748108491102</v>
      </c>
      <c r="G207" s="24">
        <f t="shared" si="27"/>
        <v>-1082.5979557123781</v>
      </c>
      <c r="H207" s="24">
        <f>MIN(1,MAX(0,Subsurface_Inputs!$C$13*EXP(-0.5*((A207-Subsurface_Inputs!$C$14)/Subsurface_Inputs!$C$15)^2)+Subsurface_Inputs!$C$16*EXP(-0.5*((A207-Subsurface_Inputs!$C$17)/Subsurface_Inputs!$C$18)^2)))</f>
        <v>0.20651585955920898</v>
      </c>
      <c r="I207" s="24">
        <f>Subsurface_Inputs!$C$19+Subsurface_Inputs!$C$20*SIN(2*PI()*(A207-Subsurface_Inputs!$C$21)/Subsurface_Inputs!$C$22)-Subsurface_Inputs!$C$23*H207</f>
        <v>5226.2049704782121</v>
      </c>
      <c r="J207" s="24">
        <f t="shared" si="28"/>
        <v>-4966.4281153414795</v>
      </c>
      <c r="K207" s="24">
        <f>Subsurface_Inputs!$C$25+Subsurface_Inputs!$C$26*SIN(2*PI()*(A207+Subsurface_Inputs!$C$27)/Subsurface_Inputs!$C$28)+Subsurface_Inputs!$C$29*COS(2*PI()*(A207-Subsurface_Inputs!$C$30)/Subsurface_Inputs!$C$31)-Subsurface_Inputs!$C$32*(B207-AVERAGE($B$2:$B$242))</f>
        <v>14662.973588793413</v>
      </c>
      <c r="L207" s="24">
        <f t="shared" si="29"/>
        <v>-14403.196733656681</v>
      </c>
      <c r="M207" s="24">
        <f>2*Subsurface_Inputs!$C$34*F207/Subsurface_Inputs!$C$35*1000000</f>
        <v>15.940542195437192</v>
      </c>
      <c r="N207" s="24">
        <f>2*Subsurface_Inputs!$C$34*I207/Subsurface_Inputs!$C$35*1000000</f>
        <v>62.060566229796336</v>
      </c>
      <c r="O207" s="24">
        <f>2*Subsurface_Inputs!$C$34*K207/Subsurface_Inputs!$C$35*1000000</f>
        <v>174.12107804294578</v>
      </c>
      <c r="P207" s="24">
        <f>Subsurface_Inputs!$C$37-2*Subsurface_Inputs!$C$36*(F207/1000)</f>
        <v>-12.416274659528398</v>
      </c>
      <c r="Q207" s="24">
        <f>Subsurface_Inputs!$C$38+Subsurface_Inputs!$C$39*H207-2*Subsurface_Inputs!$C$36*(I207/1000)</f>
        <v>-31.548526210827902</v>
      </c>
      <c r="R207" s="24">
        <f>Subsurface_Inputs!$C$40-2*Subsurface_Inputs!$C$36*(K207/1000)-Subsurface_Inputs!$C$41*ABS(L207-AVERAGE($L$2:$L$242))</f>
        <v>-33.828396039172752</v>
      </c>
      <c r="S207" s="24">
        <f t="shared" si="30"/>
        <v>-414.41110678070072</v>
      </c>
      <c r="T207" s="24">
        <f t="shared" si="31"/>
        <v>10.923159068754014</v>
      </c>
      <c r="U207" s="25" t="str">
        <f>IF(H207&gt;=Subsurface_Inputs!$C$42,"Lens visible","Weak/no lens")</f>
        <v>Lens visible</v>
      </c>
      <c r="V207" s="25" t="str">
        <f t="shared" si="32"/>
        <v>Likely visible</v>
      </c>
      <c r="W207" s="24">
        <f>Subsurface_Inputs!$C$43</f>
        <v>-45</v>
      </c>
      <c r="X207" s="24">
        <f t="shared" si="33"/>
        <v>13.451473789172098</v>
      </c>
      <c r="Y207" s="24">
        <f t="shared" si="34"/>
        <v>11.171603960827248</v>
      </c>
      <c r="Z207" s="24">
        <f t="shared" si="35"/>
        <v>13.451473789172098</v>
      </c>
      <c r="AA207" s="24">
        <v>0</v>
      </c>
    </row>
    <row r="208" spans="1:27">
      <c r="A208" s="24">
        <f>Model_Data!A208</f>
        <v>43</v>
      </c>
      <c r="B208" s="24">
        <f>Model_Data!Y208</f>
        <v>247.2629698422237</v>
      </c>
      <c r="C208" s="24">
        <f>Model_Data!X208</f>
        <v>33.32797910139238</v>
      </c>
      <c r="D208" s="24">
        <f>Model_Data!B208</f>
        <v>402.05444444444447</v>
      </c>
      <c r="E208" s="24">
        <f>Inputs!$C$6</f>
        <v>25</v>
      </c>
      <c r="F208" s="24">
        <f>Subsurface_Inputs!$C$5+Subsurface_Inputs!$C$6*SIN(2*PI()*(A208+Subsurface_Inputs!$C$7)/Subsurface_Inputs!$C$8)+Subsurface_Inputs!$C$9*COS(2*PI()*A208/Subsurface_Inputs!$C$10)+Subsurface_Inputs!$C$11*(B208-AVERAGE($B$2:$B$242))</f>
        <v>1347.7792322525459</v>
      </c>
      <c r="G208" s="24">
        <f t="shared" si="27"/>
        <v>-1100.5162624103223</v>
      </c>
      <c r="H208" s="24">
        <f>MIN(1,MAX(0,Subsurface_Inputs!$C$13*EXP(-0.5*((A208-Subsurface_Inputs!$C$14)/Subsurface_Inputs!$C$15)^2)+Subsurface_Inputs!$C$16*EXP(-0.5*((A208-Subsurface_Inputs!$C$17)/Subsurface_Inputs!$C$18)^2)))</f>
        <v>0.18693628482825844</v>
      </c>
      <c r="I208" s="24">
        <f>Subsurface_Inputs!$C$19+Subsurface_Inputs!$C$20*SIN(2*PI()*(A208-Subsurface_Inputs!$C$21)/Subsurface_Inputs!$C$22)-Subsurface_Inputs!$C$23*H208</f>
        <v>5212.0300029107175</v>
      </c>
      <c r="J208" s="24">
        <f t="shared" si="28"/>
        <v>-4964.7670330684941</v>
      </c>
      <c r="K208" s="24">
        <f>Subsurface_Inputs!$C$25+Subsurface_Inputs!$C$26*SIN(2*PI()*(A208+Subsurface_Inputs!$C$27)/Subsurface_Inputs!$C$28)+Subsurface_Inputs!$C$29*COS(2*PI()*(A208-Subsurface_Inputs!$C$30)/Subsurface_Inputs!$C$31)-Subsurface_Inputs!$C$32*(B208-AVERAGE($B$2:$B$242))</f>
        <v>14653.271975733256</v>
      </c>
      <c r="L208" s="24">
        <f t="shared" si="29"/>
        <v>-14406.009005891032</v>
      </c>
      <c r="M208" s="24">
        <f>2*Subsurface_Inputs!$C$34*F208/Subsurface_Inputs!$C$35*1000000</f>
        <v>16.004719060741227</v>
      </c>
      <c r="N208" s="24">
        <f>2*Subsurface_Inputs!$C$34*I208/Subsurface_Inputs!$C$35*1000000</f>
        <v>61.892240165568666</v>
      </c>
      <c r="O208" s="24">
        <f>2*Subsurface_Inputs!$C$34*K208/Subsurface_Inputs!$C$35*1000000</f>
        <v>174.00587253469331</v>
      </c>
      <c r="P208" s="24">
        <f>Subsurface_Inputs!$C$37-2*Subsurface_Inputs!$C$36*(F208/1000)</f>
        <v>-12.426002618054582</v>
      </c>
      <c r="Q208" s="24">
        <f>Subsurface_Inputs!$C$38+Subsurface_Inputs!$C$39*H208-2*Subsurface_Inputs!$C$36*(I208/1000)</f>
        <v>-31.699227441784966</v>
      </c>
      <c r="R208" s="24">
        <f>Subsurface_Inputs!$C$40-2*Subsurface_Inputs!$C$36*(K208/1000)-Subsurface_Inputs!$C$41*ABS(L208-AVERAGE($L$2:$L$242))</f>
        <v>-33.799684046727066</v>
      </c>
      <c r="S208" s="24">
        <f t="shared" si="30"/>
        <v>-424.11271984085761</v>
      </c>
      <c r="T208" s="24">
        <f t="shared" si="31"/>
        <v>10.872160384340702</v>
      </c>
      <c r="U208" s="25" t="str">
        <f>IF(H208&gt;=Subsurface_Inputs!$C$42,"Lens visible","Weak/no lens")</f>
        <v>Lens visible</v>
      </c>
      <c r="V208" s="25" t="str">
        <f t="shared" si="32"/>
        <v>Likely visible</v>
      </c>
      <c r="W208" s="24">
        <f>Subsurface_Inputs!$C$43</f>
        <v>-45</v>
      </c>
      <c r="X208" s="24">
        <f t="shared" si="33"/>
        <v>13.300772558215034</v>
      </c>
      <c r="Y208" s="24">
        <f t="shared" si="34"/>
        <v>11.200315953272934</v>
      </c>
      <c r="Z208" s="24">
        <f t="shared" si="35"/>
        <v>13.300772558215034</v>
      </c>
      <c r="AA208" s="24">
        <v>0</v>
      </c>
    </row>
    <row r="209" spans="1:27">
      <c r="A209" s="24">
        <f>Model_Data!A209</f>
        <v>43.5</v>
      </c>
      <c r="B209" s="24">
        <f>Model_Data!Y209</f>
        <v>225.35528260314678</v>
      </c>
      <c r="C209" s="24">
        <f>Model_Data!X209</f>
        <v>20.522948331557505</v>
      </c>
      <c r="D209" s="24">
        <f>Model_Data!B209</f>
        <v>402.10250000000002</v>
      </c>
      <c r="E209" s="24">
        <f>Inputs!$C$6</f>
        <v>25</v>
      </c>
      <c r="F209" s="24">
        <f>Subsurface_Inputs!$C$5+Subsurface_Inputs!$C$6*SIN(2*PI()*(A209+Subsurface_Inputs!$C$7)/Subsurface_Inputs!$C$8)+Subsurface_Inputs!$C$9*COS(2*PI()*A209/Subsurface_Inputs!$C$10)+Subsurface_Inputs!$C$11*(B209-AVERAGE($B$2:$B$242))</f>
        <v>1351.1527382591605</v>
      </c>
      <c r="G209" s="24">
        <f t="shared" si="27"/>
        <v>-1125.7974556560137</v>
      </c>
      <c r="H209" s="24">
        <f>MIN(1,MAX(0,Subsurface_Inputs!$C$13*EXP(-0.5*((A209-Subsurface_Inputs!$C$14)/Subsurface_Inputs!$C$15)^2)+Subsurface_Inputs!$C$16*EXP(-0.5*((A209-Subsurface_Inputs!$C$17)/Subsurface_Inputs!$C$18)^2)))</f>
        <v>0.16855333211189957</v>
      </c>
      <c r="I209" s="24">
        <f>Subsurface_Inputs!$C$19+Subsurface_Inputs!$C$20*SIN(2*PI()*(A209-Subsurface_Inputs!$C$21)/Subsurface_Inputs!$C$22)-Subsurface_Inputs!$C$23*H209</f>
        <v>5197.3375814354076</v>
      </c>
      <c r="J209" s="24">
        <f t="shared" si="28"/>
        <v>-4971.9822988322612</v>
      </c>
      <c r="K209" s="24">
        <f>Subsurface_Inputs!$C$25+Subsurface_Inputs!$C$26*SIN(2*PI()*(A209+Subsurface_Inputs!$C$27)/Subsurface_Inputs!$C$28)+Subsurface_Inputs!$C$29*COS(2*PI()*(A209-Subsurface_Inputs!$C$30)/Subsurface_Inputs!$C$31)-Subsurface_Inputs!$C$32*(B209-AVERAGE($B$2:$B$242))</f>
        <v>14645.692657462256</v>
      </c>
      <c r="L209" s="24">
        <f t="shared" si="29"/>
        <v>-14420.337374859109</v>
      </c>
      <c r="M209" s="24">
        <f>2*Subsurface_Inputs!$C$34*F209/Subsurface_Inputs!$C$35*1000000</f>
        <v>16.044779045784441</v>
      </c>
      <c r="N209" s="24">
        <f>2*Subsurface_Inputs!$C$34*I209/Subsurface_Inputs!$C$35*1000000</f>
        <v>61.717769397354388</v>
      </c>
      <c r="O209" s="24">
        <f>2*Subsurface_Inputs!$C$34*K209/Subsurface_Inputs!$C$35*1000000</f>
        <v>173.91586902618354</v>
      </c>
      <c r="P209" s="24">
        <f>Subsurface_Inputs!$C$37-2*Subsurface_Inputs!$C$36*(F209/1000)</f>
        <v>-12.43207492886649</v>
      </c>
      <c r="Q209" s="24">
        <f>Subsurface_Inputs!$C$38+Subsurface_Inputs!$C$39*H209-2*Subsurface_Inputs!$C$36*(I209/1000)</f>
        <v>-31.838227657576638</v>
      </c>
      <c r="R209" s="24">
        <f>Subsurface_Inputs!$C$40-2*Subsurface_Inputs!$C$36*(K209/1000)-Subsurface_Inputs!$C$41*ABS(L209-AVERAGE($L$2:$L$242))</f>
        <v>-33.728727797966954</v>
      </c>
      <c r="S209" s="24">
        <f t="shared" si="30"/>
        <v>-431.69203811185798</v>
      </c>
      <c r="T209" s="24">
        <f t="shared" si="31"/>
        <v>10.839405673952095</v>
      </c>
      <c r="U209" s="25" t="str">
        <f>IF(H209&gt;=Subsurface_Inputs!$C$42,"Lens visible","Weak/no lens")</f>
        <v>Weak/no lens</v>
      </c>
      <c r="V209" s="25" t="str">
        <f t="shared" si="32"/>
        <v>Likely visible</v>
      </c>
      <c r="W209" s="24">
        <f>Subsurface_Inputs!$C$43</f>
        <v>-45</v>
      </c>
      <c r="X209" s="24">
        <f t="shared" si="33"/>
        <v>13.161772342423362</v>
      </c>
      <c r="Y209" s="24">
        <f t="shared" si="34"/>
        <v>11.271272202033046</v>
      </c>
      <c r="Z209" s="24">
        <f t="shared" si="35"/>
        <v>13.161772342423362</v>
      </c>
      <c r="AA209" s="24">
        <v>0</v>
      </c>
    </row>
    <row r="210" spans="1:27">
      <c r="A210" s="24">
        <f>Model_Data!A210</f>
        <v>44</v>
      </c>
      <c r="B210" s="24">
        <f>Model_Data!Y210</f>
        <v>208.84015984832814</v>
      </c>
      <c r="C210" s="24">
        <f>Model_Data!X210</f>
        <v>7.0518996381457164</v>
      </c>
      <c r="D210" s="24">
        <f>Model_Data!B210</f>
        <v>402.15111111111111</v>
      </c>
      <c r="E210" s="24">
        <f>Inputs!$C$6</f>
        <v>25</v>
      </c>
      <c r="F210" s="24">
        <f>Subsurface_Inputs!$C$5+Subsurface_Inputs!$C$6*SIN(2*PI()*(A210+Subsurface_Inputs!$C$7)/Subsurface_Inputs!$C$8)+Subsurface_Inputs!$C$9*COS(2*PI()*A210/Subsurface_Inputs!$C$10)+Subsurface_Inputs!$C$11*(B210-AVERAGE($B$2:$B$242))</f>
        <v>1352.9901539325631</v>
      </c>
      <c r="G210" s="24">
        <f t="shared" si="27"/>
        <v>-1144.149994084235</v>
      </c>
      <c r="H210" s="24">
        <f>MIN(1,MAX(0,Subsurface_Inputs!$C$13*EXP(-0.5*((A210-Subsurface_Inputs!$C$14)/Subsurface_Inputs!$C$15)^2)+Subsurface_Inputs!$C$16*EXP(-0.5*((A210-Subsurface_Inputs!$C$17)/Subsurface_Inputs!$C$18)^2)))</f>
        <v>0.15138561686738508</v>
      </c>
      <c r="I210" s="24">
        <f>Subsurface_Inputs!$C$19+Subsurface_Inputs!$C$20*SIN(2*PI()*(A210-Subsurface_Inputs!$C$21)/Subsurface_Inputs!$C$22)-Subsurface_Inputs!$C$23*H210</f>
        <v>5182.1512765814587</v>
      </c>
      <c r="J210" s="24">
        <f t="shared" si="28"/>
        <v>-4973.3111167331308</v>
      </c>
      <c r="K210" s="24">
        <f>Subsurface_Inputs!$C$25+Subsurface_Inputs!$C$26*SIN(2*PI()*(A210+Subsurface_Inputs!$C$27)/Subsurface_Inputs!$C$28)+Subsurface_Inputs!$C$29*COS(2*PI()*(A210-Subsurface_Inputs!$C$30)/Subsurface_Inputs!$C$31)-Subsurface_Inputs!$C$32*(B210-AVERAGE($B$2:$B$242))</f>
        <v>14638.157168949725</v>
      </c>
      <c r="L210" s="24">
        <f t="shared" si="29"/>
        <v>-14429.317009101396</v>
      </c>
      <c r="M210" s="24">
        <f>2*Subsurface_Inputs!$C$34*F210/Subsurface_Inputs!$C$35*1000000</f>
        <v>16.066598139703448</v>
      </c>
      <c r="N210" s="24">
        <f>2*Subsurface_Inputs!$C$34*I210/Subsurface_Inputs!$C$35*1000000</f>
        <v>61.537433822401212</v>
      </c>
      <c r="O210" s="24">
        <f>2*Subsurface_Inputs!$C$34*K210/Subsurface_Inputs!$C$35*1000000</f>
        <v>173.82638599087446</v>
      </c>
      <c r="P210" s="24">
        <f>Subsurface_Inputs!$C$37-2*Subsurface_Inputs!$C$36*(F210/1000)</f>
        <v>-12.435382277078613</v>
      </c>
      <c r="Q210" s="24">
        <f>Subsurface_Inputs!$C$38+Subsurface_Inputs!$C$39*H210-2*Subsurface_Inputs!$C$36*(I210/1000)</f>
        <v>-31.965401746040158</v>
      </c>
      <c r="R210" s="24">
        <f>Subsurface_Inputs!$C$40-2*Subsurface_Inputs!$C$36*(K210/1000)-Subsurface_Inputs!$C$41*ABS(L210-AVERAGE($L$2:$L$242))</f>
        <v>-33.679245381675258</v>
      </c>
      <c r="S210" s="24">
        <f t="shared" si="30"/>
        <v>-439.2275266243887</v>
      </c>
      <c r="T210" s="24">
        <f t="shared" si="31"/>
        <v>10.819115812781689</v>
      </c>
      <c r="U210" s="25" t="str">
        <f>IF(H210&gt;=Subsurface_Inputs!$C$42,"Lens visible","Weak/no lens")</f>
        <v>Weak/no lens</v>
      </c>
      <c r="V210" s="25" t="str">
        <f t="shared" si="32"/>
        <v>Likely visible</v>
      </c>
      <c r="W210" s="24">
        <f>Subsurface_Inputs!$C$43</f>
        <v>-45</v>
      </c>
      <c r="X210" s="24">
        <f t="shared" si="33"/>
        <v>13.034598253959842</v>
      </c>
      <c r="Y210" s="24">
        <f t="shared" si="34"/>
        <v>11.320754618324742</v>
      </c>
      <c r="Z210" s="24">
        <f t="shared" si="35"/>
        <v>13.034598253959842</v>
      </c>
      <c r="AA210" s="24">
        <v>0</v>
      </c>
    </row>
    <row r="211" spans="1:27">
      <c r="A211" s="24">
        <f>Model_Data!A211</f>
        <v>44.5</v>
      </c>
      <c r="B211" s="24">
        <f>Model_Data!Y211</f>
        <v>178.96296340227542</v>
      </c>
      <c r="C211" s="24">
        <f>Model_Data!X211</f>
        <v>-3.2837161089439029</v>
      </c>
      <c r="D211" s="24">
        <f>Model_Data!B211</f>
        <v>402.20027777777779</v>
      </c>
      <c r="E211" s="24">
        <f>Inputs!$C$6</f>
        <v>25</v>
      </c>
      <c r="F211" s="24">
        <f>Subsurface_Inputs!$C$5+Subsurface_Inputs!$C$6*SIN(2*PI()*(A211+Subsurface_Inputs!$C$7)/Subsurface_Inputs!$C$8)+Subsurface_Inputs!$C$9*COS(2*PI()*A211/Subsurface_Inputs!$C$10)+Subsurface_Inputs!$C$11*(B211-AVERAGE($B$2:$B$242))</f>
        <v>1352.4657628689497</v>
      </c>
      <c r="G211" s="24">
        <f t="shared" si="27"/>
        <v>-1173.5027994666743</v>
      </c>
      <c r="H211" s="24">
        <f>MIN(1,MAX(0,Subsurface_Inputs!$C$13*EXP(-0.5*((A211-Subsurface_Inputs!$C$14)/Subsurface_Inputs!$C$15)^2)+Subsurface_Inputs!$C$16*EXP(-0.5*((A211-Subsurface_Inputs!$C$17)/Subsurface_Inputs!$C$18)^2)))</f>
        <v>0.13543640718639832</v>
      </c>
      <c r="I211" s="24">
        <f>Subsurface_Inputs!$C$19+Subsurface_Inputs!$C$20*SIN(2*PI()*(A211-Subsurface_Inputs!$C$21)/Subsurface_Inputs!$C$22)-Subsurface_Inputs!$C$23*H211</f>
        <v>5166.4986390408922</v>
      </c>
      <c r="J211" s="24">
        <f t="shared" si="28"/>
        <v>-4987.5356756386163</v>
      </c>
      <c r="K211" s="24">
        <f>Subsurface_Inputs!$C$25+Subsurface_Inputs!$C$26*SIN(2*PI()*(A211+Subsurface_Inputs!$C$27)/Subsurface_Inputs!$C$28)+Subsurface_Inputs!$C$29*COS(2*PI()*(A211-Subsurface_Inputs!$C$30)/Subsurface_Inputs!$C$31)-Subsurface_Inputs!$C$32*(B211-AVERAGE($B$2:$B$242))</f>
        <v>14633.280812812143</v>
      </c>
      <c r="L211" s="24">
        <f t="shared" si="29"/>
        <v>-14454.317849409868</v>
      </c>
      <c r="M211" s="24">
        <f>2*Subsurface_Inputs!$C$34*F211/Subsurface_Inputs!$C$35*1000000</f>
        <v>16.060371057811803</v>
      </c>
      <c r="N211" s="24">
        <f>2*Subsurface_Inputs!$C$34*I211/Subsurface_Inputs!$C$35*1000000</f>
        <v>61.35156060192007</v>
      </c>
      <c r="O211" s="24">
        <f>2*Subsurface_Inputs!$C$34*K211/Subsurface_Inputs!$C$35*1000000</f>
        <v>173.76847983817936</v>
      </c>
      <c r="P211" s="24">
        <f>Subsurface_Inputs!$C$37-2*Subsurface_Inputs!$C$36*(F211/1000)</f>
        <v>-12.434438373164109</v>
      </c>
      <c r="Q211" s="24">
        <f>Subsurface_Inputs!$C$38+Subsurface_Inputs!$C$39*H211-2*Subsurface_Inputs!$C$36*(I211/1000)</f>
        <v>-32.08076988559602</v>
      </c>
      <c r="R211" s="24">
        <f>Subsurface_Inputs!$C$40-2*Subsurface_Inputs!$C$36*(K211/1000)-Subsurface_Inputs!$C$41*ABS(L211-AVERAGE($L$2:$L$242))</f>
        <v>-33.570464579393722</v>
      </c>
      <c r="S211" s="24">
        <f t="shared" si="30"/>
        <v>-444.10388276197045</v>
      </c>
      <c r="T211" s="24">
        <f t="shared" si="31"/>
        <v>10.819705174474031</v>
      </c>
      <c r="U211" s="25" t="str">
        <f>IF(H211&gt;=Subsurface_Inputs!$C$42,"Lens visible","Weak/no lens")</f>
        <v>Weak/no lens</v>
      </c>
      <c r="V211" s="25" t="str">
        <f t="shared" si="32"/>
        <v>Likely visible</v>
      </c>
      <c r="W211" s="24">
        <f>Subsurface_Inputs!$C$43</f>
        <v>-45</v>
      </c>
      <c r="X211" s="24">
        <f t="shared" si="33"/>
        <v>12.91923011440398</v>
      </c>
      <c r="Y211" s="24">
        <f t="shared" si="34"/>
        <v>11.429535420606278</v>
      </c>
      <c r="Z211" s="24">
        <f t="shared" si="35"/>
        <v>12.91923011440398</v>
      </c>
      <c r="AA211" s="24">
        <v>0</v>
      </c>
    </row>
    <row r="212" spans="1:27">
      <c r="A212" s="24">
        <f>Model_Data!A212</f>
        <v>45</v>
      </c>
      <c r="B212" s="24">
        <f>Model_Data!Y212</f>
        <v>165.26573251393552</v>
      </c>
      <c r="C212" s="24">
        <f>Model_Data!X212</f>
        <v>-4.7462079682678002</v>
      </c>
      <c r="D212" s="24">
        <f>Model_Data!B212</f>
        <v>402.25</v>
      </c>
      <c r="E212" s="24">
        <f>Inputs!$C$6</f>
        <v>25</v>
      </c>
      <c r="F212" s="24">
        <f>Subsurface_Inputs!$C$5+Subsurface_Inputs!$C$6*SIN(2*PI()*(A212+Subsurface_Inputs!$C$7)/Subsurface_Inputs!$C$8)+Subsurface_Inputs!$C$9*COS(2*PI()*A212/Subsurface_Inputs!$C$10)+Subsurface_Inputs!$C$11*(B212-AVERAGE($B$2:$B$242))</f>
        <v>1350.7083836412469</v>
      </c>
      <c r="G212" s="24">
        <f t="shared" si="27"/>
        <v>-1185.4426511273114</v>
      </c>
      <c r="H212" s="24">
        <f>MIN(1,MAX(0,Subsurface_Inputs!$C$13*EXP(-0.5*((A212-Subsurface_Inputs!$C$14)/Subsurface_Inputs!$C$15)^2)+Subsurface_Inputs!$C$16*EXP(-0.5*((A212-Subsurface_Inputs!$C$17)/Subsurface_Inputs!$C$18)^2)))</f>
        <v>0.12069513676921262</v>
      </c>
      <c r="I212" s="24">
        <f>Subsurface_Inputs!$C$19+Subsurface_Inputs!$C$20*SIN(2*PI()*(A212-Subsurface_Inputs!$C$21)/Subsurface_Inputs!$C$22)-Subsurface_Inputs!$C$23*H212</f>
        <v>5150.4107949692043</v>
      </c>
      <c r="J212" s="24">
        <f t="shared" si="28"/>
        <v>-4985.145062455269</v>
      </c>
      <c r="K212" s="24">
        <f>Subsurface_Inputs!$C$25+Subsurface_Inputs!$C$26*SIN(2*PI()*(A212+Subsurface_Inputs!$C$27)/Subsurface_Inputs!$C$28)+Subsurface_Inputs!$C$29*COS(2*PI()*(A212-Subsurface_Inputs!$C$30)/Subsurface_Inputs!$C$31)-Subsurface_Inputs!$C$32*(B212-AVERAGE($B$2:$B$242))</f>
        <v>14626.915429680796</v>
      </c>
      <c r="L212" s="24">
        <f t="shared" si="29"/>
        <v>-14461.64969716686</v>
      </c>
      <c r="M212" s="24">
        <f>2*Subsurface_Inputs!$C$34*F212/Subsurface_Inputs!$C$35*1000000</f>
        <v>16.039502387224292</v>
      </c>
      <c r="N212" s="24">
        <f>2*Subsurface_Inputs!$C$34*I212/Subsurface_Inputs!$C$35*1000000</f>
        <v>61.160519355328034</v>
      </c>
      <c r="O212" s="24">
        <f>2*Subsurface_Inputs!$C$34*K212/Subsurface_Inputs!$C$35*1000000</f>
        <v>173.69289166595254</v>
      </c>
      <c r="P212" s="24">
        <f>Subsurface_Inputs!$C$37-2*Subsurface_Inputs!$C$36*(F212/1000)</f>
        <v>-12.431275090554244</v>
      </c>
      <c r="Q212" s="24">
        <f>Subsurface_Inputs!$C$38+Subsurface_Inputs!$C$39*H212-2*Subsurface_Inputs!$C$36*(I212/1000)</f>
        <v>-32.184483200021653</v>
      </c>
      <c r="R212" s="24">
        <f>Subsurface_Inputs!$C$40-2*Subsurface_Inputs!$C$36*(K212/1000)-Subsurface_Inputs!$C$41*ABS(L212-AVERAGE($L$2:$L$242))</f>
        <v>-33.52967949872933</v>
      </c>
      <c r="S212" s="24">
        <f t="shared" si="30"/>
        <v>-450.46926589331815</v>
      </c>
      <c r="T212" s="24">
        <f t="shared" si="31"/>
        <v>10.829069847223039</v>
      </c>
      <c r="U212" s="25" t="str">
        <f>IF(H212&gt;=Subsurface_Inputs!$C$42,"Lens visible","Weak/no lens")</f>
        <v>Weak/no lens</v>
      </c>
      <c r="V212" s="25" t="str">
        <f t="shared" si="32"/>
        <v>Likely visible</v>
      </c>
      <c r="W212" s="24">
        <f>Subsurface_Inputs!$C$43</f>
        <v>-45</v>
      </c>
      <c r="X212" s="24">
        <f t="shared" si="33"/>
        <v>12.815516799978347</v>
      </c>
      <c r="Y212" s="24">
        <f t="shared" si="34"/>
        <v>11.47032050127067</v>
      </c>
      <c r="Z212" s="24">
        <f t="shared" si="35"/>
        <v>12.815516799978347</v>
      </c>
      <c r="AA212" s="24">
        <v>0</v>
      </c>
    </row>
    <row r="213" spans="1:27">
      <c r="A213" s="24">
        <f>Model_Data!A213</f>
        <v>45.5</v>
      </c>
      <c r="B213" s="24">
        <f>Model_Data!Y213</f>
        <v>168.78187987738474</v>
      </c>
      <c r="C213" s="24">
        <f>Model_Data!X213</f>
        <v>-4.9547764189191454</v>
      </c>
      <c r="D213" s="24">
        <f>Model_Data!B213</f>
        <v>402.30027777777775</v>
      </c>
      <c r="E213" s="24">
        <f>Inputs!$C$6</f>
        <v>25</v>
      </c>
      <c r="F213" s="24">
        <f>Subsurface_Inputs!$C$5+Subsurface_Inputs!$C$6*SIN(2*PI()*(A213+Subsurface_Inputs!$C$7)/Subsurface_Inputs!$C$8)+Subsurface_Inputs!$C$9*COS(2*PI()*A213/Subsurface_Inputs!$C$10)+Subsurface_Inputs!$C$11*(B213-AVERAGE($B$2:$B$242))</f>
        <v>1347.7303681384112</v>
      </c>
      <c r="G213" s="24">
        <f t="shared" si="27"/>
        <v>-1178.9484882610266</v>
      </c>
      <c r="H213" s="24">
        <f>MIN(1,MAX(0,Subsurface_Inputs!$C$13*EXP(-0.5*((A213-Subsurface_Inputs!$C$14)/Subsurface_Inputs!$C$15)^2)+Subsurface_Inputs!$C$16*EXP(-0.5*((A213-Subsurface_Inputs!$C$17)/Subsurface_Inputs!$C$18)^2)))</f>
        <v>0.10713901644628038</v>
      </c>
      <c r="I213" s="24">
        <f>Subsurface_Inputs!$C$19+Subsurface_Inputs!$C$20*SIN(2*PI()*(A213-Subsurface_Inputs!$C$21)/Subsurface_Inputs!$C$22)-Subsurface_Inputs!$C$23*H213</f>
        <v>5133.9220172600608</v>
      </c>
      <c r="J213" s="24">
        <f t="shared" si="28"/>
        <v>-4965.1401373826757</v>
      </c>
      <c r="K213" s="24">
        <f>Subsurface_Inputs!$C$25+Subsurface_Inputs!$C$26*SIN(2*PI()*(A213+Subsurface_Inputs!$C$27)/Subsurface_Inputs!$C$28)+Subsurface_Inputs!$C$29*COS(2*PI()*(A213-Subsurface_Inputs!$C$30)/Subsurface_Inputs!$C$31)-Subsurface_Inputs!$C$32*(B213-AVERAGE($B$2:$B$242))</f>
        <v>14618.902191505122</v>
      </c>
      <c r="L213" s="24">
        <f t="shared" si="29"/>
        <v>-14450.120311627737</v>
      </c>
      <c r="M213" s="24">
        <f>2*Subsurface_Inputs!$C$34*F213/Subsurface_Inputs!$C$35*1000000</f>
        <v>16.004138805162153</v>
      </c>
      <c r="N213" s="24">
        <f>2*Subsurface_Inputs!$C$34*I213/Subsurface_Inputs!$C$35*1000000</f>
        <v>60.964717069185966</v>
      </c>
      <c r="O213" s="24">
        <f>2*Subsurface_Inputs!$C$34*K213/Subsurface_Inputs!$C$35*1000000</f>
        <v>173.5977354098689</v>
      </c>
      <c r="P213" s="24">
        <f>Subsurface_Inputs!$C$37-2*Subsurface_Inputs!$C$36*(F213/1000)</f>
        <v>-12.42591466264914</v>
      </c>
      <c r="Q213" s="24">
        <f>Subsurface_Inputs!$C$38+Subsurface_Inputs!$C$39*H213-2*Subsurface_Inputs!$C$36*(I213/1000)</f>
        <v>-32.276808483051589</v>
      </c>
      <c r="R213" s="24">
        <f>Subsurface_Inputs!$C$40-2*Subsurface_Inputs!$C$36*(K213/1000)-Subsurface_Inputs!$C$41*ABS(L213-AVERAGE($L$2:$L$242))</f>
        <v>-33.561373212169606</v>
      </c>
      <c r="S213" s="24">
        <f t="shared" si="30"/>
        <v>-458.48250406899206</v>
      </c>
      <c r="T213" s="24">
        <f t="shared" si="31"/>
        <v>10.847052598286313</v>
      </c>
      <c r="U213" s="25" t="str">
        <f>IF(H213&gt;=Subsurface_Inputs!$C$42,"Lens visible","Weak/no lens")</f>
        <v>Weak/no lens</v>
      </c>
      <c r="V213" s="25" t="str">
        <f t="shared" si="32"/>
        <v>Likely visible</v>
      </c>
      <c r="W213" s="24">
        <f>Subsurface_Inputs!$C$43</f>
        <v>-45</v>
      </c>
      <c r="X213" s="24">
        <f t="shared" si="33"/>
        <v>12.723191516948411</v>
      </c>
      <c r="Y213" s="24">
        <f t="shared" si="34"/>
        <v>11.438626787830394</v>
      </c>
      <c r="Z213" s="24">
        <f t="shared" si="35"/>
        <v>12.723191516948411</v>
      </c>
      <c r="AA213" s="24">
        <v>0</v>
      </c>
    </row>
    <row r="214" spans="1:27">
      <c r="A214" s="24">
        <f>Model_Data!A214</f>
        <v>46</v>
      </c>
      <c r="B214" s="24">
        <f>Model_Data!Y214</f>
        <v>147.22365110398141</v>
      </c>
      <c r="C214" s="24">
        <f>Model_Data!X214</f>
        <v>-4.8192565136201182E-2</v>
      </c>
      <c r="D214" s="24">
        <f>Model_Data!B214</f>
        <v>402.35111111111109</v>
      </c>
      <c r="E214" s="24">
        <f>Inputs!$C$6</f>
        <v>25</v>
      </c>
      <c r="F214" s="24">
        <f>Subsurface_Inputs!$C$5+Subsurface_Inputs!$C$6*SIN(2*PI()*(A214+Subsurface_Inputs!$C$7)/Subsurface_Inputs!$C$8)+Subsurface_Inputs!$C$9*COS(2*PI()*A214/Subsurface_Inputs!$C$10)+Subsurface_Inputs!$C$11*(B214-AVERAGE($B$2:$B$242))</f>
        <v>1341.8359279664185</v>
      </c>
      <c r="G214" s="24">
        <f t="shared" si="27"/>
        <v>-1194.6122768624371</v>
      </c>
      <c r="H214" s="24">
        <f>MIN(1,MAX(0,Subsurface_Inputs!$C$13*EXP(-0.5*((A214-Subsurface_Inputs!$C$14)/Subsurface_Inputs!$C$15)^2)+Subsurface_Inputs!$C$16*EXP(-0.5*((A214-Subsurface_Inputs!$C$17)/Subsurface_Inputs!$C$18)^2)))</f>
        <v>9.4734698287381361E-2</v>
      </c>
      <c r="I214" s="24">
        <f>Subsurface_Inputs!$C$19+Subsurface_Inputs!$C$20*SIN(2*PI()*(A214-Subsurface_Inputs!$C$21)/Subsurface_Inputs!$C$22)-Subsurface_Inputs!$C$23*H214</f>
        <v>5117.0692838860068</v>
      </c>
      <c r="J214" s="24">
        <f t="shared" si="28"/>
        <v>-4969.8456327820259</v>
      </c>
      <c r="K214" s="24">
        <f>Subsurface_Inputs!$C$25+Subsurface_Inputs!$C$26*SIN(2*PI()*(A214+Subsurface_Inputs!$C$27)/Subsurface_Inputs!$C$28)+Subsurface_Inputs!$C$29*COS(2*PI()*(A214-Subsurface_Inputs!$C$30)/Subsurface_Inputs!$C$31)-Subsurface_Inputs!$C$32*(B214-AVERAGE($B$2:$B$242))</f>
        <v>14615.145412726704</v>
      </c>
      <c r="L214" s="24">
        <f t="shared" si="29"/>
        <v>-14467.921761622723</v>
      </c>
      <c r="M214" s="24">
        <f>2*Subsurface_Inputs!$C$34*F214/Subsurface_Inputs!$C$35*1000000</f>
        <v>15.934143024907087</v>
      </c>
      <c r="N214" s="24">
        <f>2*Subsurface_Inputs!$C$34*I214/Subsurface_Inputs!$C$35*1000000</f>
        <v>60.764592852546627</v>
      </c>
      <c r="O214" s="24">
        <f>2*Subsurface_Inputs!$C$34*K214/Subsurface_Inputs!$C$35*1000000</f>
        <v>173.55312410596756</v>
      </c>
      <c r="P214" s="24">
        <f>Subsurface_Inputs!$C$37-2*Subsurface_Inputs!$C$36*(F214/1000)</f>
        <v>-12.415304670339554</v>
      </c>
      <c r="Q214" s="24">
        <f>Subsurface_Inputs!$C$38+Subsurface_Inputs!$C$39*H214-2*Subsurface_Inputs!$C$36*(I214/1000)</f>
        <v>-32.358112426408383</v>
      </c>
      <c r="R214" s="24">
        <f>Subsurface_Inputs!$C$40-2*Subsurface_Inputs!$C$36*(K214/1000)-Subsurface_Inputs!$C$41*ABS(L214-AVERAGE($L$2:$L$242))</f>
        <v>-33.483405210388511</v>
      </c>
      <c r="S214" s="24">
        <f t="shared" si="30"/>
        <v>-462.23928284740941</v>
      </c>
      <c r="T214" s="24">
        <f t="shared" si="31"/>
        <v>10.891901988998219</v>
      </c>
      <c r="U214" s="25" t="str">
        <f>IF(H214&gt;=Subsurface_Inputs!$C$42,"Lens visible","Weak/no lens")</f>
        <v>Weak/no lens</v>
      </c>
      <c r="V214" s="25" t="str">
        <f t="shared" si="32"/>
        <v>Likely visible</v>
      </c>
      <c r="W214" s="24">
        <f>Subsurface_Inputs!$C$43</f>
        <v>-45</v>
      </c>
      <c r="X214" s="24">
        <f t="shared" si="33"/>
        <v>12.641887573591617</v>
      </c>
      <c r="Y214" s="24">
        <f t="shared" si="34"/>
        <v>11.516594789611489</v>
      </c>
      <c r="Z214" s="24">
        <f t="shared" si="35"/>
        <v>12.641887573591617</v>
      </c>
      <c r="AA214" s="24">
        <v>0</v>
      </c>
    </row>
    <row r="215" spans="1:27">
      <c r="A215" s="24">
        <f>Model_Data!A215</f>
        <v>46.5</v>
      </c>
      <c r="B215" s="24">
        <f>Model_Data!Y215</f>
        <v>125.26409736726505</v>
      </c>
      <c r="C215" s="24">
        <f>Model_Data!X215</f>
        <v>-12.323766405407561</v>
      </c>
      <c r="D215" s="24">
        <f>Model_Data!B215</f>
        <v>402.40249999999997</v>
      </c>
      <c r="E215" s="24">
        <f>Inputs!$C$6</f>
        <v>25</v>
      </c>
      <c r="F215" s="24">
        <f>Subsurface_Inputs!$C$5+Subsurface_Inputs!$C$6*SIN(2*PI()*(A215+Subsurface_Inputs!$C$7)/Subsurface_Inputs!$C$8)+Subsurface_Inputs!$C$9*COS(2*PI()*A215/Subsurface_Inputs!$C$10)+Subsurface_Inputs!$C$11*(B215-AVERAGE($B$2:$B$242))</f>
        <v>1334.0328418641786</v>
      </c>
      <c r="G215" s="24">
        <f t="shared" si="27"/>
        <v>-1208.7687444969135</v>
      </c>
      <c r="H215" s="24">
        <f>MIN(1,MAX(0,Subsurface_Inputs!$C$13*EXP(-0.5*((A215-Subsurface_Inputs!$C$14)/Subsurface_Inputs!$C$15)^2)+Subsurface_Inputs!$C$16*EXP(-0.5*((A215-Subsurface_Inputs!$C$17)/Subsurface_Inputs!$C$18)^2)))</f>
        <v>8.3439949897162677E-2</v>
      </c>
      <c r="I215" s="24">
        <f>Subsurface_Inputs!$C$19+Subsurface_Inputs!$C$20*SIN(2*PI()*(A215-Subsurface_Inputs!$C$21)/Subsurface_Inputs!$C$22)-Subsurface_Inputs!$C$23*H215</f>
        <v>5099.8918335434992</v>
      </c>
      <c r="J215" s="24">
        <f t="shared" si="28"/>
        <v>-4974.6277361762341</v>
      </c>
      <c r="K215" s="24">
        <f>Subsurface_Inputs!$C$25+Subsurface_Inputs!$C$26*SIN(2*PI()*(A215+Subsurface_Inputs!$C$27)/Subsurface_Inputs!$C$28)+Subsurface_Inputs!$C$29*COS(2*PI()*(A215-Subsurface_Inputs!$C$30)/Subsurface_Inputs!$C$31)-Subsurface_Inputs!$C$32*(B215-AVERAGE($B$2:$B$242))</f>
        <v>14612.173134210097</v>
      </c>
      <c r="L215" s="24">
        <f t="shared" si="29"/>
        <v>-14486.909036842833</v>
      </c>
      <c r="M215" s="24">
        <f>2*Subsurface_Inputs!$C$34*F215/Subsurface_Inputs!$C$35*1000000</f>
        <v>15.841482299853174</v>
      </c>
      <c r="N215" s="24">
        <f>2*Subsurface_Inputs!$C$34*I215/Subsurface_Inputs!$C$35*1000000</f>
        <v>60.560612660291994</v>
      </c>
      <c r="O215" s="24">
        <f>2*Subsurface_Inputs!$C$34*K215/Subsurface_Inputs!$C$35*1000000</f>
        <v>173.51782864993871</v>
      </c>
      <c r="P215" s="24">
        <f>Subsurface_Inputs!$C$37-2*Subsurface_Inputs!$C$36*(F215/1000)</f>
        <v>-12.401259115355522</v>
      </c>
      <c r="Q215" s="24">
        <f>Subsurface_Inputs!$C$38+Subsurface_Inputs!$C$39*H215-2*Subsurface_Inputs!$C$36*(I215/1000)</f>
        <v>-32.428845751303832</v>
      </c>
      <c r="R215" s="24">
        <f>Subsurface_Inputs!$C$40-2*Subsurface_Inputs!$C$36*(K215/1000)-Subsurface_Inputs!$C$41*ABS(L215-AVERAGE($L$2:$L$242))</f>
        <v>-33.402106008178173</v>
      </c>
      <c r="S215" s="24">
        <f t="shared" si="30"/>
        <v>-465.21156136401623</v>
      </c>
      <c r="T215" s="24">
        <f t="shared" si="31"/>
        <v>10.953383361830159</v>
      </c>
      <c r="U215" s="25" t="str">
        <f>IF(H215&gt;=Subsurface_Inputs!$C$42,"Lens visible","Weak/no lens")</f>
        <v>Weak/no lens</v>
      </c>
      <c r="V215" s="25" t="str">
        <f t="shared" si="32"/>
        <v>Likely visible</v>
      </c>
      <c r="W215" s="24">
        <f>Subsurface_Inputs!$C$43</f>
        <v>-45</v>
      </c>
      <c r="X215" s="24">
        <f t="shared" si="33"/>
        <v>12.571154248696168</v>
      </c>
      <c r="Y215" s="24">
        <f t="shared" si="34"/>
        <v>11.597893991821827</v>
      </c>
      <c r="Z215" s="24">
        <f t="shared" si="35"/>
        <v>12.571154248696168</v>
      </c>
      <c r="AA215" s="24">
        <v>0</v>
      </c>
    </row>
    <row r="216" spans="1:27">
      <c r="A216" s="24">
        <f>Model_Data!A216</f>
        <v>47</v>
      </c>
      <c r="B216" s="24">
        <f>Model_Data!Y216</f>
        <v>119.07484471646131</v>
      </c>
      <c r="C216" s="24">
        <f>Model_Data!X216</f>
        <v>5.6247334384920968</v>
      </c>
      <c r="D216" s="24">
        <f>Model_Data!B216</f>
        <v>402.45444444444445</v>
      </c>
      <c r="E216" s="24">
        <f>Inputs!$C$6</f>
        <v>25</v>
      </c>
      <c r="F216" s="24">
        <f>Subsurface_Inputs!$C$5+Subsurface_Inputs!$C$6*SIN(2*PI()*(A216+Subsurface_Inputs!$C$7)/Subsurface_Inputs!$C$8)+Subsurface_Inputs!$C$9*COS(2*PI()*A216/Subsurface_Inputs!$C$10)+Subsurface_Inputs!$C$11*(B216-AVERAGE($B$2:$B$242))</f>
        <v>1325.0139855411601</v>
      </c>
      <c r="G216" s="24">
        <f t="shared" si="27"/>
        <v>-1205.9391408246988</v>
      </c>
      <c r="H216" s="24">
        <f>MIN(1,MAX(0,Subsurface_Inputs!$C$13*EXP(-0.5*((A216-Subsurface_Inputs!$C$14)/Subsurface_Inputs!$C$15)^2)+Subsurface_Inputs!$C$16*EXP(-0.5*((A216-Subsurface_Inputs!$C$17)/Subsurface_Inputs!$C$18)^2)))</f>
        <v>7.3205300913049096E-2</v>
      </c>
      <c r="I216" s="24">
        <f>Subsurface_Inputs!$C$19+Subsurface_Inputs!$C$20*SIN(2*PI()*(A216-Subsurface_Inputs!$C$21)/Subsurface_Inputs!$C$22)-Subsurface_Inputs!$C$23*H216</f>
        <v>5082.4307277808684</v>
      </c>
      <c r="J216" s="24">
        <f t="shared" si="28"/>
        <v>-4963.355883064407</v>
      </c>
      <c r="K216" s="24">
        <f>Subsurface_Inputs!$C$25+Subsurface_Inputs!$C$26*SIN(2*PI()*(A216+Subsurface_Inputs!$C$27)/Subsurface_Inputs!$C$28)+Subsurface_Inputs!$C$29*COS(2*PI()*(A216-Subsurface_Inputs!$C$30)/Subsurface_Inputs!$C$31)-Subsurface_Inputs!$C$32*(B216-AVERAGE($B$2:$B$242))</f>
        <v>14607.701900076449</v>
      </c>
      <c r="L216" s="24">
        <f t="shared" si="29"/>
        <v>-14488.627055359988</v>
      </c>
      <c r="M216" s="24">
        <f>2*Subsurface_Inputs!$C$34*F216/Subsurface_Inputs!$C$35*1000000</f>
        <v>15.734384447144867</v>
      </c>
      <c r="N216" s="24">
        <f>2*Subsurface_Inputs!$C$34*I216/Subsurface_Inputs!$C$35*1000000</f>
        <v>60.353264093454584</v>
      </c>
      <c r="O216" s="24">
        <f>2*Subsurface_Inputs!$C$34*K216/Subsurface_Inputs!$C$35*1000000</f>
        <v>173.46473327315044</v>
      </c>
      <c r="P216" s="24">
        <f>Subsurface_Inputs!$C$37-2*Subsurface_Inputs!$C$36*(F216/1000)</f>
        <v>-12.385025173974089</v>
      </c>
      <c r="Q216" s="24">
        <f>Subsurface_Inputs!$C$38+Subsurface_Inputs!$C$39*H216-2*Subsurface_Inputs!$C$36*(I216/1000)</f>
        <v>-32.489527601788119</v>
      </c>
      <c r="R216" s="24">
        <f>Subsurface_Inputs!$C$40-2*Subsurface_Inputs!$C$36*(K216/1000)-Subsurface_Inputs!$C$41*ABS(L216-AVERAGE($L$2:$L$242))</f>
        <v>-33.387185712668987</v>
      </c>
      <c r="S216" s="24">
        <f t="shared" si="30"/>
        <v>-469.68279549766521</v>
      </c>
      <c r="T216" s="24">
        <f t="shared" si="31"/>
        <v>11.024564313644127</v>
      </c>
      <c r="U216" s="25" t="str">
        <f>IF(H216&gt;=Subsurface_Inputs!$C$42,"Lens visible","Weak/no lens")</f>
        <v>Weak/no lens</v>
      </c>
      <c r="V216" s="25" t="str">
        <f t="shared" si="32"/>
        <v>Likely visible</v>
      </c>
      <c r="W216" s="24">
        <f>Subsurface_Inputs!$C$43</f>
        <v>-45</v>
      </c>
      <c r="X216" s="24">
        <f t="shared" si="33"/>
        <v>12.510472398211881</v>
      </c>
      <c r="Y216" s="24">
        <f t="shared" si="34"/>
        <v>11.612814287331013</v>
      </c>
      <c r="Z216" s="24">
        <f t="shared" si="35"/>
        <v>12.510472398211881</v>
      </c>
      <c r="AA216" s="24">
        <v>0</v>
      </c>
    </row>
    <row r="217" spans="1:27">
      <c r="A217" s="24">
        <f>Model_Data!A217</f>
        <v>47.5</v>
      </c>
      <c r="B217" s="24">
        <f>Model_Data!Y217</f>
        <v>107.7527102272833</v>
      </c>
      <c r="C217" s="24">
        <f>Model_Data!X217</f>
        <v>4.7258194939479337</v>
      </c>
      <c r="D217" s="24">
        <f>Model_Data!B217</f>
        <v>402.50694444444446</v>
      </c>
      <c r="E217" s="24">
        <f>Inputs!$C$6</f>
        <v>25</v>
      </c>
      <c r="F217" s="24">
        <f>Subsurface_Inputs!$C$5+Subsurface_Inputs!$C$6*SIN(2*PI()*(A217+Subsurface_Inputs!$C$7)/Subsurface_Inputs!$C$8)+Subsurface_Inputs!$C$9*COS(2*PI()*A217/Subsurface_Inputs!$C$10)+Subsurface_Inputs!$C$11*(B217-AVERAGE($B$2:$B$242))</f>
        <v>1314.0140033089397</v>
      </c>
      <c r="G217" s="24">
        <f t="shared" si="27"/>
        <v>-1206.2612930816563</v>
      </c>
      <c r="H217" s="24">
        <f>MIN(1,MAX(0,Subsurface_Inputs!$C$13*EXP(-0.5*((A217-Subsurface_Inputs!$C$14)/Subsurface_Inputs!$C$15)^2)+Subsurface_Inputs!$C$16*EXP(-0.5*((A217-Subsurface_Inputs!$C$17)/Subsurface_Inputs!$C$18)^2)))</f>
        <v>6.3975628756759925E-2</v>
      </c>
      <c r="I217" s="24">
        <f>Subsurface_Inputs!$C$19+Subsurface_Inputs!$C$20*SIN(2*PI()*(A217-Subsurface_Inputs!$C$21)/Subsurface_Inputs!$C$22)-Subsurface_Inputs!$C$23*H217</f>
        <v>5064.7284275795591</v>
      </c>
      <c r="J217" s="24">
        <f t="shared" si="28"/>
        <v>-4956.9757173522758</v>
      </c>
      <c r="K217" s="24">
        <f>Subsurface_Inputs!$C$25+Subsurface_Inputs!$C$26*SIN(2*PI()*(A217+Subsurface_Inputs!$C$27)/Subsurface_Inputs!$C$28)+Subsurface_Inputs!$C$29*COS(2*PI()*(A217-Subsurface_Inputs!$C$30)/Subsurface_Inputs!$C$31)-Subsurface_Inputs!$C$32*(B217-AVERAGE($B$2:$B$242))</f>
        <v>14604.637100240307</v>
      </c>
      <c r="L217" s="24">
        <f t="shared" si="29"/>
        <v>-14496.884390013023</v>
      </c>
      <c r="M217" s="24">
        <f>2*Subsurface_Inputs!$C$34*F217/Subsurface_Inputs!$C$35*1000000</f>
        <v>15.603760958455549</v>
      </c>
      <c r="N217" s="24">
        <f>2*Subsurface_Inputs!$C$34*I217/Subsurface_Inputs!$C$35*1000000</f>
        <v>60.143051371169683</v>
      </c>
      <c r="O217" s="24">
        <f>2*Subsurface_Inputs!$C$34*K217/Subsurface_Inputs!$C$35*1000000</f>
        <v>173.42833913738914</v>
      </c>
      <c r="P217" s="24">
        <f>Subsurface_Inputs!$C$37-2*Subsurface_Inputs!$C$36*(F217/1000)</f>
        <v>-12.365225205956092</v>
      </c>
      <c r="Q217" s="24">
        <f>Subsurface_Inputs!$C$38+Subsurface_Inputs!$C$39*H217-2*Subsurface_Inputs!$C$36*(I217/1000)</f>
        <v>-32.540730510832368</v>
      </c>
      <c r="R217" s="24">
        <f>Subsurface_Inputs!$C$40-2*Subsurface_Inputs!$C$36*(K217/1000)-Subsurface_Inputs!$C$41*ABS(L217-AVERAGE($L$2:$L$242))</f>
        <v>-33.348639734351792</v>
      </c>
      <c r="S217" s="24">
        <f t="shared" si="30"/>
        <v>-472.74759533380711</v>
      </c>
      <c r="T217" s="24">
        <f t="shared" si="31"/>
        <v>11.114521659177928</v>
      </c>
      <c r="U217" s="25" t="str">
        <f>IF(H217&gt;=Subsurface_Inputs!$C$42,"Lens visible","Weak/no lens")</f>
        <v>Weak/no lens</v>
      </c>
      <c r="V217" s="25" t="str">
        <f t="shared" si="32"/>
        <v>Likely visible</v>
      </c>
      <c r="W217" s="24">
        <f>Subsurface_Inputs!$C$43</f>
        <v>-45</v>
      </c>
      <c r="X217" s="24">
        <f t="shared" si="33"/>
        <v>12.459269489167632</v>
      </c>
      <c r="Y217" s="24">
        <f t="shared" si="34"/>
        <v>11.651360265648208</v>
      </c>
      <c r="Z217" s="24">
        <f t="shared" si="35"/>
        <v>12.459269489167632</v>
      </c>
      <c r="AA217" s="24">
        <v>0</v>
      </c>
    </row>
    <row r="218" spans="1:27">
      <c r="A218" s="24">
        <f>Model_Data!A218</f>
        <v>48</v>
      </c>
      <c r="B218" s="24">
        <f>Model_Data!Y218</f>
        <v>124.99715373473305</v>
      </c>
      <c r="C218" s="24">
        <f>Model_Data!X218</f>
        <v>-9.0769147289597925</v>
      </c>
      <c r="D218" s="24">
        <f>Model_Data!B218</f>
        <v>402.56</v>
      </c>
      <c r="E218" s="24">
        <f>Inputs!$C$6</f>
        <v>25</v>
      </c>
      <c r="F218" s="24">
        <f>Subsurface_Inputs!$C$5+Subsurface_Inputs!$C$6*SIN(2*PI()*(A218+Subsurface_Inputs!$C$7)/Subsurface_Inputs!$C$8)+Subsurface_Inputs!$C$9*COS(2*PI()*A218/Subsurface_Inputs!$C$10)+Subsurface_Inputs!$C$11*(B218-AVERAGE($B$2:$B$242))</f>
        <v>1302.4756057822749</v>
      </c>
      <c r="G218" s="24">
        <f t="shared" si="27"/>
        <v>-1177.4784520475419</v>
      </c>
      <c r="H218" s="24">
        <f>MIN(1,MAX(0,Subsurface_Inputs!$C$13*EXP(-0.5*((A218-Subsurface_Inputs!$C$14)/Subsurface_Inputs!$C$15)^2)+Subsurface_Inputs!$C$16*EXP(-0.5*((A218-Subsurface_Inputs!$C$17)/Subsurface_Inputs!$C$18)^2)))</f>
        <v>5.5691656108017254E-2</v>
      </c>
      <c r="I218" s="24">
        <f>Subsurface_Inputs!$C$19+Subsurface_Inputs!$C$20*SIN(2*PI()*(A218-Subsurface_Inputs!$C$21)/Subsurface_Inputs!$C$22)-Subsurface_Inputs!$C$23*H218</f>
        <v>5046.8283910590981</v>
      </c>
      <c r="J218" s="24">
        <f t="shared" si="28"/>
        <v>-4921.8312373243652</v>
      </c>
      <c r="K218" s="24">
        <f>Subsurface_Inputs!$C$25+Subsurface_Inputs!$C$26*SIN(2*PI()*(A218+Subsurface_Inputs!$C$27)/Subsurface_Inputs!$C$28)+Subsurface_Inputs!$C$29*COS(2*PI()*(A218-Subsurface_Inputs!$C$30)/Subsurface_Inputs!$C$31)-Subsurface_Inputs!$C$32*(B218-AVERAGE($B$2:$B$242))</f>
        <v>14598.238200038542</v>
      </c>
      <c r="L218" s="24">
        <f t="shared" si="29"/>
        <v>-14473.241046303809</v>
      </c>
      <c r="M218" s="24">
        <f>2*Subsurface_Inputs!$C$34*F218/Subsurface_Inputs!$C$35*1000000</f>
        <v>15.466743851791291</v>
      </c>
      <c r="N218" s="24">
        <f>2*Subsurface_Inputs!$C$34*I218/Subsurface_Inputs!$C$35*1000000</f>
        <v>59.930490553469461</v>
      </c>
      <c r="O218" s="24">
        <f>2*Subsurface_Inputs!$C$34*K218/Subsurface_Inputs!$C$35*1000000</f>
        <v>173.35235295391323</v>
      </c>
      <c r="P218" s="24">
        <f>Subsurface_Inputs!$C$37-2*Subsurface_Inputs!$C$36*(F218/1000)</f>
        <v>-12.344456090408094</v>
      </c>
      <c r="Q218" s="24">
        <f>Subsurface_Inputs!$C$38+Subsurface_Inputs!$C$39*H218-2*Subsurface_Inputs!$C$36*(I218/1000)</f>
        <v>-32.583066198934219</v>
      </c>
      <c r="R218" s="24">
        <f>Subsurface_Inputs!$C$40-2*Subsurface_Inputs!$C$36*(K218/1000)-Subsurface_Inputs!$C$41*ABS(L218-AVERAGE($L$2:$L$242))</f>
        <v>-33.431695088825478</v>
      </c>
      <c r="S218" s="24">
        <f t="shared" si="30"/>
        <v>-479.14649553557138</v>
      </c>
      <c r="T218" s="24">
        <f t="shared" si="31"/>
        <v>11.20807033562118</v>
      </c>
      <c r="U218" s="25" t="str">
        <f>IF(H218&gt;=Subsurface_Inputs!$C$42,"Lens visible","Weak/no lens")</f>
        <v>Weak/no lens</v>
      </c>
      <c r="V218" s="25" t="str">
        <f t="shared" si="32"/>
        <v>Likely visible</v>
      </c>
      <c r="W218" s="24">
        <f>Subsurface_Inputs!$C$43</f>
        <v>-45</v>
      </c>
      <c r="X218" s="24">
        <f t="shared" si="33"/>
        <v>12.416933801065781</v>
      </c>
      <c r="Y218" s="24">
        <f t="shared" si="34"/>
        <v>11.568304911174522</v>
      </c>
      <c r="Z218" s="24">
        <f t="shared" si="35"/>
        <v>12.416933801065781</v>
      </c>
      <c r="AA218" s="24">
        <v>0</v>
      </c>
    </row>
    <row r="219" spans="1:27">
      <c r="A219" s="24">
        <f>Model_Data!A219</f>
        <v>48.5</v>
      </c>
      <c r="B219" s="24">
        <f>Model_Data!Y219</f>
        <v>114.26484888006172</v>
      </c>
      <c r="C219" s="24">
        <f>Model_Data!X219</f>
        <v>-2.0408727900443155</v>
      </c>
      <c r="D219" s="24">
        <f>Model_Data!B219</f>
        <v>402.61361111111108</v>
      </c>
      <c r="E219" s="24">
        <f>Inputs!$C$6</f>
        <v>25</v>
      </c>
      <c r="F219" s="24">
        <f>Subsurface_Inputs!$C$5+Subsurface_Inputs!$C$6*SIN(2*PI()*(A219+Subsurface_Inputs!$C$7)/Subsurface_Inputs!$C$8)+Subsurface_Inputs!$C$9*COS(2*PI()*A219/Subsurface_Inputs!$C$10)+Subsurface_Inputs!$C$11*(B219-AVERAGE($B$2:$B$242))</f>
        <v>1288.254557011614</v>
      </c>
      <c r="G219" s="24">
        <f t="shared" si="27"/>
        <v>-1173.9897081315523</v>
      </c>
      <c r="H219" s="24">
        <f>MIN(1,MAX(0,Subsurface_Inputs!$C$13*EXP(-0.5*((A219-Subsurface_Inputs!$C$14)/Subsurface_Inputs!$C$15)^2)+Subsurface_Inputs!$C$16*EXP(-0.5*((A219-Subsurface_Inputs!$C$17)/Subsurface_Inputs!$C$18)^2)))</f>
        <v>4.8291338145731298E-2</v>
      </c>
      <c r="I219" s="24">
        <f>Subsurface_Inputs!$C$19+Subsurface_Inputs!$C$20*SIN(2*PI()*(A219-Subsurface_Inputs!$C$21)/Subsurface_Inputs!$C$22)-Subsurface_Inputs!$C$23*H219</f>
        <v>5028.7746976378558</v>
      </c>
      <c r="J219" s="24">
        <f t="shared" si="28"/>
        <v>-4914.5098487577943</v>
      </c>
      <c r="K219" s="24">
        <f>Subsurface_Inputs!$C$25+Subsurface_Inputs!$C$26*SIN(2*PI()*(A219+Subsurface_Inputs!$C$27)/Subsurface_Inputs!$C$28)+Subsurface_Inputs!$C$29*COS(2*PI()*(A219-Subsurface_Inputs!$C$30)/Subsurface_Inputs!$C$31)-Subsurface_Inputs!$C$32*(B219-AVERAGE($B$2:$B$242))</f>
        <v>14596.397177031589</v>
      </c>
      <c r="L219" s="24">
        <f t="shared" si="29"/>
        <v>-14482.132328151527</v>
      </c>
      <c r="M219" s="24">
        <f>2*Subsurface_Inputs!$C$34*F219/Subsurface_Inputs!$C$35*1000000</f>
        <v>15.297870578723318</v>
      </c>
      <c r="N219" s="24">
        <f>2*Subsurface_Inputs!$C$34*I219/Subsurface_Inputs!$C$35*1000000</f>
        <v>59.716105078236374</v>
      </c>
      <c r="O219" s="24">
        <f>2*Subsurface_Inputs!$C$34*K219/Subsurface_Inputs!$C$35*1000000</f>
        <v>173.33049102333473</v>
      </c>
      <c r="P219" s="24">
        <f>Subsurface_Inputs!$C$37-2*Subsurface_Inputs!$C$36*(F219/1000)</f>
        <v>-12.318858202620905</v>
      </c>
      <c r="Q219" s="24">
        <f>Subsurface_Inputs!$C$38+Subsurface_Inputs!$C$39*H219-2*Subsurface_Inputs!$C$36*(I219/1000)</f>
        <v>-32.61717241243656</v>
      </c>
      <c r="R219" s="24">
        <f>Subsurface_Inputs!$C$40-2*Subsurface_Inputs!$C$36*(K219/1000)-Subsurface_Inputs!$C$41*ABS(L219-AVERAGE($L$2:$L$242))</f>
        <v>-33.392816120022083</v>
      </c>
      <c r="S219" s="24">
        <f t="shared" si="30"/>
        <v>-480.98751854252441</v>
      </c>
      <c r="T219" s="24">
        <f t="shared" si="31"/>
        <v>11.330367199236694</v>
      </c>
      <c r="U219" s="25" t="str">
        <f>IF(H219&gt;=Subsurface_Inputs!$C$42,"Lens visible","Weak/no lens")</f>
        <v>Weak/no lens</v>
      </c>
      <c r="V219" s="25" t="str">
        <f t="shared" si="32"/>
        <v>Likely visible</v>
      </c>
      <c r="W219" s="24">
        <f>Subsurface_Inputs!$C$43</f>
        <v>-45</v>
      </c>
      <c r="X219" s="24">
        <f t="shared" si="33"/>
        <v>12.38282758756344</v>
      </c>
      <c r="Y219" s="24">
        <f t="shared" si="34"/>
        <v>11.607183879977917</v>
      </c>
      <c r="Z219" s="24">
        <f t="shared" si="35"/>
        <v>12.38282758756344</v>
      </c>
      <c r="AA219" s="24">
        <v>0</v>
      </c>
    </row>
    <row r="220" spans="1:27">
      <c r="A220" s="24">
        <f>Model_Data!A220</f>
        <v>49</v>
      </c>
      <c r="B220" s="24">
        <f>Model_Data!Y220</f>
        <v>109.54402369059221</v>
      </c>
      <c r="C220" s="24">
        <f>Model_Data!X220</f>
        <v>10.431027200722241</v>
      </c>
      <c r="D220" s="24">
        <f>Model_Data!B220</f>
        <v>402.66777777777776</v>
      </c>
      <c r="E220" s="24">
        <f>Inputs!$C$6</f>
        <v>25</v>
      </c>
      <c r="F220" s="24">
        <f>Subsurface_Inputs!$C$5+Subsurface_Inputs!$C$6*SIN(2*PI()*(A220+Subsurface_Inputs!$C$7)/Subsurface_Inputs!$C$8)+Subsurface_Inputs!$C$9*COS(2*PI()*A220/Subsurface_Inputs!$C$10)+Subsurface_Inputs!$C$11*(B220-AVERAGE($B$2:$B$242))</f>
        <v>1272.8490761476717</v>
      </c>
      <c r="G220" s="24">
        <f t="shared" si="27"/>
        <v>-1163.3050524570795</v>
      </c>
      <c r="H220" s="24">
        <f>MIN(1,MAX(0,Subsurface_Inputs!$C$13*EXP(-0.5*((A220-Subsurface_Inputs!$C$14)/Subsurface_Inputs!$C$15)^2)+Subsurface_Inputs!$C$16*EXP(-0.5*((A220-Subsurface_Inputs!$C$17)/Subsurface_Inputs!$C$18)^2)))</f>
        <v>4.1711123135936778E-2</v>
      </c>
      <c r="I220" s="24">
        <f>Subsurface_Inputs!$C$19+Subsurface_Inputs!$C$20*SIN(2*PI()*(A220-Subsurface_Inputs!$C$21)/Subsurface_Inputs!$C$22)-Subsurface_Inputs!$C$23*H220</f>
        <v>5010.6117026535603</v>
      </c>
      <c r="J220" s="24">
        <f t="shared" si="28"/>
        <v>-4901.0676789629679</v>
      </c>
      <c r="K220" s="24">
        <f>Subsurface_Inputs!$C$25+Subsurface_Inputs!$C$26*SIN(2*PI()*(A220+Subsurface_Inputs!$C$27)/Subsurface_Inputs!$C$28)+Subsurface_Inputs!$C$29*COS(2*PI()*(A220-Subsurface_Inputs!$C$30)/Subsurface_Inputs!$C$31)-Subsurface_Inputs!$C$32*(B220-AVERAGE($B$2:$B$242))</f>
        <v>14594.33019373929</v>
      </c>
      <c r="L220" s="24">
        <f t="shared" si="29"/>
        <v>-14484.786170048697</v>
      </c>
      <c r="M220" s="24">
        <f>2*Subsurface_Inputs!$C$34*F220/Subsurface_Inputs!$C$35*1000000</f>
        <v>15.114932314560464</v>
      </c>
      <c r="N220" s="24">
        <f>2*Subsurface_Inputs!$C$34*I220/Subsurface_Inputs!$C$35*1000000</f>
        <v>59.500421659862688</v>
      </c>
      <c r="O220" s="24">
        <f>2*Subsurface_Inputs!$C$34*K220/Subsurface_Inputs!$C$35*1000000</f>
        <v>173.30594584107877</v>
      </c>
      <c r="P220" s="24">
        <f>Subsurface_Inputs!$C$37-2*Subsurface_Inputs!$C$36*(F220/1000)</f>
        <v>-12.291128337065809</v>
      </c>
      <c r="Q220" s="24">
        <f>Subsurface_Inputs!$C$38+Subsurface_Inputs!$C$39*H220-2*Subsurface_Inputs!$C$36*(I220/1000)</f>
        <v>-32.643700956552976</v>
      </c>
      <c r="R220" s="24">
        <f>Subsurface_Inputs!$C$40-2*Subsurface_Inputs!$C$36*(K220/1000)-Subsurface_Inputs!$C$41*ABS(L220-AVERAGE($L$2:$L$242))</f>
        <v>-33.378480182507275</v>
      </c>
      <c r="S220" s="24">
        <f t="shared" si="30"/>
        <v>-483.0545018348239</v>
      </c>
      <c r="T220" s="24">
        <f t="shared" si="31"/>
        <v>11.465876408465967</v>
      </c>
      <c r="U220" s="25" t="str">
        <f>IF(H220&gt;=Subsurface_Inputs!$C$42,"Lens visible","Weak/no lens")</f>
        <v>Weak/no lens</v>
      </c>
      <c r="V220" s="25" t="str">
        <f t="shared" si="32"/>
        <v>Likely visible</v>
      </c>
      <c r="W220" s="24">
        <f>Subsurface_Inputs!$C$43</f>
        <v>-45</v>
      </c>
      <c r="X220" s="24">
        <f t="shared" si="33"/>
        <v>12.356299043447024</v>
      </c>
      <c r="Y220" s="24">
        <f t="shared" si="34"/>
        <v>11.621519817492725</v>
      </c>
      <c r="Z220" s="24">
        <f t="shared" si="35"/>
        <v>12.356299043447024</v>
      </c>
      <c r="AA220" s="24">
        <v>0</v>
      </c>
    </row>
    <row r="221" spans="1:27">
      <c r="A221" s="24">
        <f>Model_Data!A221</f>
        <v>49.5</v>
      </c>
      <c r="B221" s="24">
        <f>Model_Data!Y221</f>
        <v>115.81874031490976</v>
      </c>
      <c r="C221" s="24">
        <f>Model_Data!X221</f>
        <v>-2.2699304094542576</v>
      </c>
      <c r="D221" s="24">
        <f>Model_Data!B221</f>
        <v>402.72250000000003</v>
      </c>
      <c r="E221" s="24">
        <f>Inputs!$C$6</f>
        <v>25</v>
      </c>
      <c r="F221" s="24">
        <f>Subsurface_Inputs!$C$5+Subsurface_Inputs!$C$6*SIN(2*PI()*(A221+Subsurface_Inputs!$C$7)/Subsurface_Inputs!$C$8)+Subsurface_Inputs!$C$9*COS(2*PI()*A221/Subsurface_Inputs!$C$10)+Subsurface_Inputs!$C$11*(B221-AVERAGE($B$2:$B$242))</f>
        <v>1256.6164862562375</v>
      </c>
      <c r="G221" s="24">
        <f t="shared" si="27"/>
        <v>-1140.7977459413278</v>
      </c>
      <c r="H221" s="24">
        <f>MIN(1,MAX(0,Subsurface_Inputs!$C$13*EXP(-0.5*((A221-Subsurface_Inputs!$C$14)/Subsurface_Inputs!$C$15)^2)+Subsurface_Inputs!$C$16*EXP(-0.5*((A221-Subsurface_Inputs!$C$17)/Subsurface_Inputs!$C$18)^2)))</f>
        <v>3.5887075261226004E-2</v>
      </c>
      <c r="I221" s="24">
        <f>Subsurface_Inputs!$C$19+Subsurface_Inputs!$C$20*SIN(2*PI()*(A221-Subsurface_Inputs!$C$21)/Subsurface_Inputs!$C$22)-Subsurface_Inputs!$C$23*H221</f>
        <v>4992.3837251716777</v>
      </c>
      <c r="J221" s="24">
        <f t="shared" si="28"/>
        <v>-4876.5649848567682</v>
      </c>
      <c r="K221" s="24">
        <f>Subsurface_Inputs!$C$25+Subsurface_Inputs!$C$26*SIN(2*PI()*(A221+Subsurface_Inputs!$C$27)/Subsurface_Inputs!$C$28)+Subsurface_Inputs!$C$29*COS(2*PI()*(A221-Subsurface_Inputs!$C$30)/Subsurface_Inputs!$C$31)-Subsurface_Inputs!$C$32*(B221-AVERAGE($B$2:$B$242))</f>
        <v>14591.31268234764</v>
      </c>
      <c r="L221" s="24">
        <f t="shared" si="29"/>
        <v>-14475.49394203273</v>
      </c>
      <c r="M221" s="24">
        <f>2*Subsurface_Inputs!$C$34*F221/Subsurface_Inputs!$C$35*1000000</f>
        <v>14.92217222846949</v>
      </c>
      <c r="N221" s="24">
        <f>2*Subsurface_Inputs!$C$34*I221/Subsurface_Inputs!$C$35*1000000</f>
        <v>59.283966582011793</v>
      </c>
      <c r="O221" s="24">
        <f>2*Subsurface_Inputs!$C$34*K221/Subsurface_Inputs!$C$35*1000000</f>
        <v>173.27011325000578</v>
      </c>
      <c r="P221" s="24">
        <f>Subsurface_Inputs!$C$37-2*Subsurface_Inputs!$C$36*(F221/1000)</f>
        <v>-12.261909675261228</v>
      </c>
      <c r="Q221" s="24">
        <f>Subsurface_Inputs!$C$38+Subsurface_Inputs!$C$39*H221-2*Subsurface_Inputs!$C$36*(I221/1000)</f>
        <v>-32.663307027957984</v>
      </c>
      <c r="R221" s="24">
        <f>Subsurface_Inputs!$C$40-2*Subsurface_Inputs!$C$36*(K221/1000)-Subsurface_Inputs!$C$41*ABS(L221-AVERAGE($L$2:$L$242))</f>
        <v>-33.410217574066174</v>
      </c>
      <c r="S221" s="24">
        <f t="shared" si="30"/>
        <v>-486.07201322647416</v>
      </c>
      <c r="T221" s="24">
        <f t="shared" si="31"/>
        <v>11.61158781691514</v>
      </c>
      <c r="U221" s="25" t="str">
        <f>IF(H221&gt;=Subsurface_Inputs!$C$42,"Lens visible","Weak/no lens")</f>
        <v>Weak/no lens</v>
      </c>
      <c r="V221" s="25" t="str">
        <f t="shared" si="32"/>
        <v>Likely visible</v>
      </c>
      <c r="W221" s="24">
        <f>Subsurface_Inputs!$C$43</f>
        <v>-45</v>
      </c>
      <c r="X221" s="24">
        <f t="shared" si="33"/>
        <v>12.336692972042016</v>
      </c>
      <c r="Y221" s="24">
        <f t="shared" si="34"/>
        <v>11.589782425933826</v>
      </c>
      <c r="Z221" s="24">
        <f t="shared" si="35"/>
        <v>12.336692972042016</v>
      </c>
      <c r="AA221" s="24">
        <v>0</v>
      </c>
    </row>
    <row r="222" spans="1:27">
      <c r="A222" s="24">
        <f>Model_Data!A222</f>
        <v>50</v>
      </c>
      <c r="B222" s="24">
        <f>Model_Data!Y222</f>
        <v>115.23525161719914</v>
      </c>
      <c r="C222" s="24">
        <f>Model_Data!X222</f>
        <v>8.1725883775596202</v>
      </c>
      <c r="D222" s="24">
        <f>Model_Data!B222</f>
        <v>402.77777777777777</v>
      </c>
      <c r="E222" s="24">
        <f>Inputs!$C$6</f>
        <v>25</v>
      </c>
      <c r="F222" s="24">
        <f>Subsurface_Inputs!$C$5+Subsurface_Inputs!$C$6*SIN(2*PI()*(A222+Subsurface_Inputs!$C$7)/Subsurface_Inputs!$C$8)+Subsurface_Inputs!$C$9*COS(2*PI()*A222/Subsurface_Inputs!$C$10)+Subsurface_Inputs!$C$11*(B222-AVERAGE($B$2:$B$242))</f>
        <v>1239.0176279041154</v>
      </c>
      <c r="G222" s="24">
        <f t="shared" si="27"/>
        <v>-1123.7823762869164</v>
      </c>
      <c r="H222" s="24">
        <f>MIN(1,MAX(0,Subsurface_Inputs!$C$13*EXP(-0.5*((A222-Subsurface_Inputs!$C$14)/Subsurface_Inputs!$C$15)^2)+Subsurface_Inputs!$C$16*EXP(-0.5*((A222-Subsurface_Inputs!$C$17)/Subsurface_Inputs!$C$18)^2)))</f>
        <v>3.0755853537606265E-2</v>
      </c>
      <c r="I222" s="24">
        <f>Subsurface_Inputs!$C$19+Subsurface_Inputs!$C$20*SIN(2*PI()*(A222-Subsurface_Inputs!$C$21)/Subsurface_Inputs!$C$22)-Subsurface_Inputs!$C$23*H222</f>
        <v>4974.1347705213429</v>
      </c>
      <c r="J222" s="24">
        <f t="shared" si="28"/>
        <v>-4858.8995189041434</v>
      </c>
      <c r="K222" s="24">
        <f>Subsurface_Inputs!$C$25+Subsurface_Inputs!$C$26*SIN(2*PI()*(A222+Subsurface_Inputs!$C$27)/Subsurface_Inputs!$C$28)+Subsurface_Inputs!$C$29*COS(2*PI()*(A222-Subsurface_Inputs!$C$30)/Subsurface_Inputs!$C$31)-Subsurface_Inputs!$C$32*(B222-AVERAGE($B$2:$B$242))</f>
        <v>14589.816141882691</v>
      </c>
      <c r="L222" s="24">
        <f t="shared" si="29"/>
        <v>-14474.580890265492</v>
      </c>
      <c r="M222" s="24">
        <f>2*Subsurface_Inputs!$C$34*F222/Subsurface_Inputs!$C$35*1000000</f>
        <v>14.71318786591573</v>
      </c>
      <c r="N222" s="24">
        <f>2*Subsurface_Inputs!$C$34*I222/Subsurface_Inputs!$C$35*1000000</f>
        <v>59.067262402765259</v>
      </c>
      <c r="O222" s="24">
        <f>2*Subsurface_Inputs!$C$34*K222/Subsurface_Inputs!$C$35*1000000</f>
        <v>173.25234200889196</v>
      </c>
      <c r="P222" s="24">
        <f>Subsurface_Inputs!$C$37-2*Subsurface_Inputs!$C$36*(F222/1000)</f>
        <v>-12.230231730227407</v>
      </c>
      <c r="Q222" s="24">
        <f>Subsurface_Inputs!$C$38+Subsurface_Inputs!$C$39*H222-2*Subsurface_Inputs!$C$36*(I222/1000)</f>
        <v>-32.676639905099961</v>
      </c>
      <c r="R222" s="24">
        <f>Subsurface_Inputs!$C$40-2*Subsurface_Inputs!$C$36*(K222/1000)-Subsurface_Inputs!$C$41*ABS(L222-AVERAGE($L$2:$L$242))</f>
        <v>-33.411176008298213</v>
      </c>
      <c r="S222" s="24">
        <f t="shared" si="30"/>
        <v>-487.56855369142249</v>
      </c>
      <c r="T222" s="24">
        <f t="shared" si="31"/>
        <v>11.775309578575069</v>
      </c>
      <c r="U222" s="25" t="str">
        <f>IF(H222&gt;=Subsurface_Inputs!$C$42,"Lens visible","Weak/no lens")</f>
        <v>Weak/no lens</v>
      </c>
      <c r="V222" s="25" t="str">
        <f t="shared" si="32"/>
        <v>Likely visible</v>
      </c>
      <c r="W222" s="24">
        <f>Subsurface_Inputs!$C$43</f>
        <v>-45</v>
      </c>
      <c r="X222" s="24">
        <f t="shared" si="33"/>
        <v>12.323360094900039</v>
      </c>
      <c r="Y222" s="24">
        <f t="shared" si="34"/>
        <v>11.588823991701787</v>
      </c>
      <c r="Z222" s="24">
        <f t="shared" si="35"/>
        <v>12.323360094900039</v>
      </c>
      <c r="AA222" s="24">
        <v>0</v>
      </c>
    </row>
    <row r="223" spans="1:27">
      <c r="A223" s="24">
        <f>Model_Data!A223</f>
        <v>50.5</v>
      </c>
      <c r="B223" s="24">
        <f>Model_Data!Y223</f>
        <v>136.98620076238512</v>
      </c>
      <c r="C223" s="24">
        <f>Model_Data!X223</f>
        <v>7.1754118877202355</v>
      </c>
      <c r="D223" s="24">
        <f>Model_Data!B223</f>
        <v>402.83361111111111</v>
      </c>
      <c r="E223" s="24">
        <f>Inputs!$C$6</f>
        <v>25</v>
      </c>
      <c r="F223" s="24">
        <f>Subsurface_Inputs!$C$5+Subsurface_Inputs!$C$6*SIN(2*PI()*(A223+Subsurface_Inputs!$C$7)/Subsurface_Inputs!$C$8)+Subsurface_Inputs!$C$9*COS(2*PI()*A223/Subsurface_Inputs!$C$10)+Subsurface_Inputs!$C$11*(B223-AVERAGE($B$2:$B$242))</f>
        <v>1221.4097059761266</v>
      </c>
      <c r="G223" s="24">
        <f t="shared" si="27"/>
        <v>-1084.4235052137415</v>
      </c>
      <c r="H223" s="24">
        <f>MIN(1,MAX(0,Subsurface_Inputs!$C$13*EXP(-0.5*((A223-Subsurface_Inputs!$C$14)/Subsurface_Inputs!$C$15)^2)+Subsurface_Inputs!$C$16*EXP(-0.5*((A223-Subsurface_Inputs!$C$17)/Subsurface_Inputs!$C$18)^2)))</f>
        <v>2.6255545137847985E-2</v>
      </c>
      <c r="I223" s="24">
        <f>Subsurface_Inputs!$C$19+Subsurface_Inputs!$C$20*SIN(2*PI()*(A223-Subsurface_Inputs!$C$21)/Subsurface_Inputs!$C$22)-Subsurface_Inputs!$C$23*H223</f>
        <v>4955.9082880246524</v>
      </c>
      <c r="J223" s="24">
        <f t="shared" si="28"/>
        <v>-4818.9220872622673</v>
      </c>
      <c r="K223" s="24">
        <f>Subsurface_Inputs!$C$25+Subsurface_Inputs!$C$26*SIN(2*PI()*(A223+Subsurface_Inputs!$C$27)/Subsurface_Inputs!$C$28)+Subsurface_Inputs!$C$29*COS(2*PI()*(A223-Subsurface_Inputs!$C$30)/Subsurface_Inputs!$C$31)-Subsurface_Inputs!$C$32*(B223-AVERAGE($B$2:$B$242))</f>
        <v>14585.724440359641</v>
      </c>
      <c r="L223" s="24">
        <f t="shared" si="29"/>
        <v>-14448.738239597256</v>
      </c>
      <c r="M223" s="24">
        <f>2*Subsurface_Inputs!$C$34*F223/Subsurface_Inputs!$C$35*1000000</f>
        <v>14.504095874469968</v>
      </c>
      <c r="N223" s="24">
        <f>2*Subsurface_Inputs!$C$34*I223/Subsurface_Inputs!$C$35*1000000</f>
        <v>58.850825077686792</v>
      </c>
      <c r="O223" s="24">
        <f>2*Subsurface_Inputs!$C$34*K223/Subsurface_Inputs!$C$35*1000000</f>
        <v>173.20375353698964</v>
      </c>
      <c r="P223" s="24">
        <f>Subsurface_Inputs!$C$37-2*Subsurface_Inputs!$C$36*(F223/1000)</f>
        <v>-12.198537470757028</v>
      </c>
      <c r="Q223" s="24">
        <f>Subsurface_Inputs!$C$38+Subsurface_Inputs!$C$39*H223-2*Subsurface_Inputs!$C$36*(I223/1000)</f>
        <v>-32.684335012203746</v>
      </c>
      <c r="R223" s="24">
        <f>Subsurface_Inputs!$C$40-2*Subsurface_Inputs!$C$36*(K223/1000)-Subsurface_Inputs!$C$41*ABS(L223-AVERAGE($L$2:$L$242))</f>
        <v>-33.50718154822966</v>
      </c>
      <c r="S223" s="24">
        <f t="shared" si="30"/>
        <v>-491.66025521447227</v>
      </c>
      <c r="T223" s="24">
        <f t="shared" si="31"/>
        <v>11.941713226114425</v>
      </c>
      <c r="U223" s="25" t="str">
        <f>IF(H223&gt;=Subsurface_Inputs!$C$42,"Lens visible","Weak/no lens")</f>
        <v>Weak/no lens</v>
      </c>
      <c r="V223" s="25" t="str">
        <f t="shared" si="32"/>
        <v>Likely visible</v>
      </c>
      <c r="W223" s="24">
        <f>Subsurface_Inputs!$C$43</f>
        <v>-45</v>
      </c>
      <c r="X223" s="24">
        <f t="shared" si="33"/>
        <v>12.315664987796254</v>
      </c>
      <c r="Y223" s="24">
        <f t="shared" si="34"/>
        <v>11.49281845177034</v>
      </c>
      <c r="Z223" s="24">
        <f t="shared" si="35"/>
        <v>12.315664987796254</v>
      </c>
      <c r="AA223" s="24">
        <v>0</v>
      </c>
    </row>
    <row r="224" spans="1:27">
      <c r="A224" s="24">
        <f>Model_Data!A224</f>
        <v>51</v>
      </c>
      <c r="B224" s="24">
        <f>Model_Data!Y224</f>
        <v>137.08289632779307</v>
      </c>
      <c r="C224" s="24">
        <f>Model_Data!X224</f>
        <v>11.525237738664625</v>
      </c>
      <c r="D224" s="24">
        <f>Model_Data!B224</f>
        <v>402.89</v>
      </c>
      <c r="E224" s="24">
        <f>Inputs!$C$6</f>
        <v>25</v>
      </c>
      <c r="F224" s="24">
        <f>Subsurface_Inputs!$C$5+Subsurface_Inputs!$C$6*SIN(2*PI()*(A224+Subsurface_Inputs!$C$7)/Subsurface_Inputs!$C$8)+Subsurface_Inputs!$C$9*COS(2*PI()*A224/Subsurface_Inputs!$C$10)+Subsurface_Inputs!$C$11*(B224-AVERAGE($B$2:$B$242))</f>
        <v>1202.2344218587632</v>
      </c>
      <c r="G224" s="24">
        <f t="shared" si="27"/>
        <v>-1065.15152553097</v>
      </c>
      <c r="H224" s="24">
        <f>MIN(1,MAX(0,Subsurface_Inputs!$C$13*EXP(-0.5*((A224-Subsurface_Inputs!$C$14)/Subsurface_Inputs!$C$15)^2)+Subsurface_Inputs!$C$16*EXP(-0.5*((A224-Subsurface_Inputs!$C$17)/Subsurface_Inputs!$C$18)^2)))</f>
        <v>2.2326355354089656E-2</v>
      </c>
      <c r="I224" s="24">
        <f>Subsurface_Inputs!$C$19+Subsurface_Inputs!$C$20*SIN(2*PI()*(A224-Subsurface_Inputs!$C$21)/Subsurface_Inputs!$C$22)-Subsurface_Inputs!$C$23*H224</f>
        <v>4937.7469634455183</v>
      </c>
      <c r="J224" s="24">
        <f t="shared" si="28"/>
        <v>-4800.6640671177256</v>
      </c>
      <c r="K224" s="24">
        <f>Subsurface_Inputs!$C$25+Subsurface_Inputs!$C$26*SIN(2*PI()*(A224+Subsurface_Inputs!$C$27)/Subsurface_Inputs!$C$28)+Subsurface_Inputs!$C$29*COS(2*PI()*(A224-Subsurface_Inputs!$C$30)/Subsurface_Inputs!$C$31)-Subsurface_Inputs!$C$32*(B224-AVERAGE($B$2:$B$242))</f>
        <v>14585.165789111041</v>
      </c>
      <c r="L224" s="24">
        <f t="shared" si="29"/>
        <v>-14448.082892783248</v>
      </c>
      <c r="M224" s="24">
        <f>2*Subsurface_Inputs!$C$34*F224/Subsurface_Inputs!$C$35*1000000</f>
        <v>14.276391642304748</v>
      </c>
      <c r="N224" s="24">
        <f>2*Subsurface_Inputs!$C$34*I224/Subsurface_Inputs!$C$35*1000000</f>
        <v>58.635161495176931</v>
      </c>
      <c r="O224" s="24">
        <f>2*Subsurface_Inputs!$C$34*K224/Subsurface_Inputs!$C$35*1000000</f>
        <v>173.1971196194512</v>
      </c>
      <c r="P224" s="24">
        <f>Subsurface_Inputs!$C$37-2*Subsurface_Inputs!$C$36*(F224/1000)</f>
        <v>-12.164021959345774</v>
      </c>
      <c r="Q224" s="24">
        <f>Subsurface_Inputs!$C$38+Subsurface_Inputs!$C$39*H224-2*Subsurface_Inputs!$C$36*(I224/1000)</f>
        <v>-32.687007336015128</v>
      </c>
      <c r="R224" s="24">
        <f>Subsurface_Inputs!$C$40-2*Subsurface_Inputs!$C$36*(K224/1000)-Subsurface_Inputs!$C$41*ABS(L224-AVERAGE($L$2:$L$242))</f>
        <v>-33.508797363238216</v>
      </c>
      <c r="S224" s="24">
        <f t="shared" si="30"/>
        <v>-492.21890646307293</v>
      </c>
      <c r="T224" s="24">
        <f t="shared" si="31"/>
        <v>12.131715349291909</v>
      </c>
      <c r="U224" s="25" t="str">
        <f>IF(H224&gt;=Subsurface_Inputs!$C$42,"Lens visible","Weak/no lens")</f>
        <v>Weak/no lens</v>
      </c>
      <c r="V224" s="25" t="str">
        <f t="shared" si="32"/>
        <v>Likely visible</v>
      </c>
      <c r="W224" s="24">
        <f>Subsurface_Inputs!$C$43</f>
        <v>-45</v>
      </c>
      <c r="X224" s="24">
        <f t="shared" si="33"/>
        <v>12.312992663984872</v>
      </c>
      <c r="Y224" s="24">
        <f t="shared" si="34"/>
        <v>11.491202636761784</v>
      </c>
      <c r="Z224" s="24">
        <f t="shared" si="35"/>
        <v>12.312992663984872</v>
      </c>
      <c r="AA224" s="24">
        <v>0</v>
      </c>
    </row>
    <row r="225" spans="1:27">
      <c r="A225" s="24">
        <f>Model_Data!A225</f>
        <v>51.5</v>
      </c>
      <c r="B225" s="24">
        <f>Model_Data!Y225</f>
        <v>159.61831316527434</v>
      </c>
      <c r="C225" s="24">
        <f>Model_Data!X225</f>
        <v>-4.5509465319165372</v>
      </c>
      <c r="D225" s="24">
        <f>Model_Data!B225</f>
        <v>402.94694444444445</v>
      </c>
      <c r="E225" s="24">
        <f>Inputs!$C$6</f>
        <v>25</v>
      </c>
      <c r="F225" s="24">
        <f>Subsurface_Inputs!$C$5+Subsurface_Inputs!$C$6*SIN(2*PI()*(A225+Subsurface_Inputs!$C$7)/Subsurface_Inputs!$C$8)+Subsurface_Inputs!$C$9*COS(2*PI()*A225/Subsurface_Inputs!$C$10)+Subsurface_Inputs!$C$11*(B225-AVERAGE($B$2:$B$242))</f>
        <v>1183.4655440782508</v>
      </c>
      <c r="G225" s="24">
        <f t="shared" si="27"/>
        <v>-1023.8472309129764</v>
      </c>
      <c r="H225" s="24">
        <f>MIN(1,MAX(0,Subsurface_Inputs!$C$13*EXP(-0.5*((A225-Subsurface_Inputs!$C$14)/Subsurface_Inputs!$C$15)^2)+Subsurface_Inputs!$C$16*EXP(-0.5*((A225-Subsurface_Inputs!$C$17)/Subsurface_Inputs!$C$18)^2)))</f>
        <v>1.8911159736583496E-2</v>
      </c>
      <c r="I225" s="24">
        <f>Subsurface_Inputs!$C$19+Subsurface_Inputs!$C$20*SIN(2*PI()*(A225-Subsurface_Inputs!$C$21)/Subsurface_Inputs!$C$22)-Subsurface_Inputs!$C$23*H225</f>
        <v>4919.6925448907987</v>
      </c>
      <c r="J225" s="24">
        <f t="shared" si="28"/>
        <v>-4760.0742317255244</v>
      </c>
      <c r="K225" s="24">
        <f>Subsurface_Inputs!$C$25+Subsurface_Inputs!$C$26*SIN(2*PI()*(A225+Subsurface_Inputs!$C$27)/Subsurface_Inputs!$C$28)+Subsurface_Inputs!$C$29*COS(2*PI()*(A225-Subsurface_Inputs!$C$30)/Subsurface_Inputs!$C$31)-Subsurface_Inputs!$C$32*(B225-AVERAGE($B$2:$B$242))</f>
        <v>14581.93601801468</v>
      </c>
      <c r="L225" s="24">
        <f t="shared" si="29"/>
        <v>-14422.317704849405</v>
      </c>
      <c r="M225" s="24">
        <f>2*Subsurface_Inputs!$C$34*F225/Subsurface_Inputs!$C$35*1000000</f>
        <v>14.053513437347956</v>
      </c>
      <c r="N225" s="24">
        <f>2*Subsurface_Inputs!$C$34*I225/Subsurface_Inputs!$C$35*1000000</f>
        <v>58.420767409069519</v>
      </c>
      <c r="O225" s="24">
        <f>2*Subsurface_Inputs!$C$34*K225/Subsurface_Inputs!$C$35*1000000</f>
        <v>173.15876646947623</v>
      </c>
      <c r="P225" s="24">
        <f>Subsurface_Inputs!$C$37-2*Subsurface_Inputs!$C$36*(F225/1000)</f>
        <v>-12.130237979340851</v>
      </c>
      <c r="Q225" s="24">
        <f>Subsurface_Inputs!$C$38+Subsurface_Inputs!$C$39*H225-2*Subsurface_Inputs!$C$36*(I225/1000)</f>
        <v>-32.685246143174183</v>
      </c>
      <c r="R225" s="24">
        <f>Subsurface_Inputs!$C$40-2*Subsurface_Inputs!$C$36*(K225/1000)-Subsurface_Inputs!$C$41*ABS(L225-AVERAGE($L$2:$L$242))</f>
        <v>-33.606044527000137</v>
      </c>
      <c r="S225" s="24">
        <f t="shared" si="30"/>
        <v>-495.44867755943415</v>
      </c>
      <c r="T225" s="24">
        <f t="shared" si="31"/>
        <v>12.321386195803367</v>
      </c>
      <c r="U225" s="25" t="str">
        <f>IF(H225&gt;=Subsurface_Inputs!$C$42,"Lens visible","Weak/no lens")</f>
        <v>Weak/no lens</v>
      </c>
      <c r="V225" s="25" t="str">
        <f t="shared" si="32"/>
        <v>Likely visible</v>
      </c>
      <c r="W225" s="24">
        <f>Subsurface_Inputs!$C$43</f>
        <v>-45</v>
      </c>
      <c r="X225" s="24">
        <f t="shared" si="33"/>
        <v>12.314753856825817</v>
      </c>
      <c r="Y225" s="24">
        <f t="shared" si="34"/>
        <v>11.393955472999863</v>
      </c>
      <c r="Z225" s="24">
        <f t="shared" si="35"/>
        <v>12.314753856825817</v>
      </c>
      <c r="AA225" s="24">
        <v>0</v>
      </c>
    </row>
    <row r="226" spans="1:27">
      <c r="A226" s="24">
        <f>Model_Data!A226</f>
        <v>52</v>
      </c>
      <c r="B226" s="24">
        <f>Model_Data!Y226</f>
        <v>166.99312244433131</v>
      </c>
      <c r="C226" s="24">
        <f>Model_Data!X226</f>
        <v>-7.8509490215719673</v>
      </c>
      <c r="D226" s="24">
        <f>Model_Data!B226</f>
        <v>403.00444444444446</v>
      </c>
      <c r="E226" s="24">
        <f>Inputs!$C$6</f>
        <v>25</v>
      </c>
      <c r="F226" s="24">
        <f>Subsurface_Inputs!$C$5+Subsurface_Inputs!$C$6*SIN(2*PI()*(A226+Subsurface_Inputs!$C$7)/Subsurface_Inputs!$C$8)+Subsurface_Inputs!$C$9*COS(2*PI()*A226/Subsurface_Inputs!$C$10)+Subsurface_Inputs!$C$11*(B226-AVERAGE($B$2:$B$242))</f>
        <v>1163.8148600008299</v>
      </c>
      <c r="G226" s="24">
        <f t="shared" si="27"/>
        <v>-996.82173755649853</v>
      </c>
      <c r="H226" s="24">
        <f>MIN(1,MAX(0,Subsurface_Inputs!$C$13*EXP(-0.5*((A226-Subsurface_Inputs!$C$14)/Subsurface_Inputs!$C$15)^2)+Subsurface_Inputs!$C$16*EXP(-0.5*((A226-Subsurface_Inputs!$C$17)/Subsurface_Inputs!$C$18)^2)))</f>
        <v>1.5955926618801099E-2</v>
      </c>
      <c r="I226" s="24">
        <f>Subsurface_Inputs!$C$19+Subsurface_Inputs!$C$20*SIN(2*PI()*(A226-Subsurface_Inputs!$C$21)/Subsurface_Inputs!$C$22)-Subsurface_Inputs!$C$23*H226</f>
        <v>4901.7857002542878</v>
      </c>
      <c r="J226" s="24">
        <f t="shared" si="28"/>
        <v>-4734.7925778099561</v>
      </c>
      <c r="K226" s="24">
        <f>Subsurface_Inputs!$C$25+Subsurface_Inputs!$C$26*SIN(2*PI()*(A226+Subsurface_Inputs!$C$27)/Subsurface_Inputs!$C$28)+Subsurface_Inputs!$C$29*COS(2*PI()*(A226-Subsurface_Inputs!$C$30)/Subsurface_Inputs!$C$31)-Subsurface_Inputs!$C$32*(B226-AVERAGE($B$2:$B$242))</f>
        <v>14581.267028886517</v>
      </c>
      <c r="L226" s="24">
        <f t="shared" si="29"/>
        <v>-14414.273906442186</v>
      </c>
      <c r="M226" s="24">
        <f>2*Subsurface_Inputs!$C$34*F226/Subsurface_Inputs!$C$35*1000000</f>
        <v>13.820163886854536</v>
      </c>
      <c r="N226" s="24">
        <f>2*Subsurface_Inputs!$C$34*I226/Subsurface_Inputs!$C$35*1000000</f>
        <v>58.208125745796004</v>
      </c>
      <c r="O226" s="24">
        <f>2*Subsurface_Inputs!$C$34*K226/Subsurface_Inputs!$C$35*1000000</f>
        <v>173.15082230266114</v>
      </c>
      <c r="P226" s="24">
        <f>Subsurface_Inputs!$C$37-2*Subsurface_Inputs!$C$36*(F226/1000)</f>
        <v>-12.094866748001493</v>
      </c>
      <c r="Q226" s="24">
        <f>Subsurface_Inputs!$C$38+Subsurface_Inputs!$C$39*H226-2*Subsurface_Inputs!$C$36*(I226/1000)</f>
        <v>-32.679610920888507</v>
      </c>
      <c r="R226" s="24">
        <f>Subsurface_Inputs!$C$40-2*Subsurface_Inputs!$C$36*(K226/1000)-Subsurface_Inputs!$C$41*ABS(L226-AVERAGE($L$2:$L$242))</f>
        <v>-33.637015540198327</v>
      </c>
      <c r="S226" s="24">
        <f t="shared" si="30"/>
        <v>-496.11766668759628</v>
      </c>
      <c r="T226" s="24">
        <f t="shared" si="31"/>
        <v>12.528854485391362</v>
      </c>
      <c r="U226" s="25" t="str">
        <f>IF(H226&gt;=Subsurface_Inputs!$C$42,"Lens visible","Weak/no lens")</f>
        <v>Weak/no lens</v>
      </c>
      <c r="V226" s="25" t="str">
        <f t="shared" si="32"/>
        <v>Likely visible</v>
      </c>
      <c r="W226" s="24">
        <f>Subsurface_Inputs!$C$43</f>
        <v>-45</v>
      </c>
      <c r="X226" s="24">
        <f t="shared" si="33"/>
        <v>12.320389079111493</v>
      </c>
      <c r="Y226" s="24">
        <f t="shared" si="34"/>
        <v>11.362984459801673</v>
      </c>
      <c r="Z226" s="24">
        <f t="shared" si="35"/>
        <v>12.320389079111493</v>
      </c>
      <c r="AA226" s="24">
        <v>0</v>
      </c>
    </row>
    <row r="227" spans="1:27">
      <c r="A227" s="24">
        <f>Model_Data!A227</f>
        <v>52.5</v>
      </c>
      <c r="B227" s="24">
        <f>Model_Data!Y227</f>
        <v>164.06842387185546</v>
      </c>
      <c r="C227" s="24">
        <f>Model_Data!X227</f>
        <v>6.5883469319652015</v>
      </c>
      <c r="D227" s="24">
        <f>Model_Data!B227</f>
        <v>403.0625</v>
      </c>
      <c r="E227" s="24">
        <f>Inputs!$C$6</f>
        <v>25</v>
      </c>
      <c r="F227" s="24">
        <f>Subsurface_Inputs!$C$5+Subsurface_Inputs!$C$6*SIN(2*PI()*(A227+Subsurface_Inputs!$C$7)/Subsurface_Inputs!$C$8)+Subsurface_Inputs!$C$9*COS(2*PI()*A227/Subsurface_Inputs!$C$10)+Subsurface_Inputs!$C$11*(B227-AVERAGE($B$2:$B$242))</f>
        <v>1143.6951084622933</v>
      </c>
      <c r="G227" s="24">
        <f t="shared" si="27"/>
        <v>-979.62668459043789</v>
      </c>
      <c r="H227" s="24">
        <f>MIN(1,MAX(0,Subsurface_Inputs!$C$13*EXP(-0.5*((A227-Subsurface_Inputs!$C$14)/Subsurface_Inputs!$C$15)^2)+Subsurface_Inputs!$C$16*EXP(-0.5*((A227-Subsurface_Inputs!$C$17)/Subsurface_Inputs!$C$18)^2)))</f>
        <v>1.3410020286176487E-2</v>
      </c>
      <c r="I227" s="24">
        <f>Subsurface_Inputs!$C$19+Subsurface_Inputs!$C$20*SIN(2*PI()*(A227-Subsurface_Inputs!$C$21)/Subsurface_Inputs!$C$22)-Subsurface_Inputs!$C$23*H227</f>
        <v>4884.0659038022213</v>
      </c>
      <c r="J227" s="24">
        <f t="shared" si="28"/>
        <v>-4719.9974799303654</v>
      </c>
      <c r="K227" s="24">
        <f>Subsurface_Inputs!$C$25+Subsurface_Inputs!$C$26*SIN(2*PI()*(A227+Subsurface_Inputs!$C$27)/Subsurface_Inputs!$C$28)+Subsurface_Inputs!$C$29*COS(2*PI()*(A227-Subsurface_Inputs!$C$30)/Subsurface_Inputs!$C$31)-Subsurface_Inputs!$C$32*(B227-AVERAGE($B$2:$B$242))</f>
        <v>14582.445512559116</v>
      </c>
      <c r="L227" s="24">
        <f t="shared" si="29"/>
        <v>-14418.377088687261</v>
      </c>
      <c r="M227" s="24">
        <f>2*Subsurface_Inputs!$C$34*F227/Subsurface_Inputs!$C$35*1000000</f>
        <v>13.581244215709269</v>
      </c>
      <c r="N227" s="24">
        <f>2*Subsurface_Inputs!$C$34*I227/Subsurface_Inputs!$C$35*1000000</f>
        <v>57.997705257601609</v>
      </c>
      <c r="O227" s="24">
        <f>2*Subsurface_Inputs!$C$34*K227/Subsurface_Inputs!$C$35*1000000</f>
        <v>173.16481665696358</v>
      </c>
      <c r="P227" s="24">
        <f>Subsurface_Inputs!$C$37-2*Subsurface_Inputs!$C$36*(F227/1000)</f>
        <v>-12.058651195232128</v>
      </c>
      <c r="Q227" s="24">
        <f>Subsurface_Inputs!$C$38+Subsurface_Inputs!$C$39*H227-2*Subsurface_Inputs!$C$36*(I227/1000)</f>
        <v>-32.670628444268409</v>
      </c>
      <c r="R227" s="24">
        <f>Subsurface_Inputs!$C$40-2*Subsurface_Inputs!$C$36*(K227/1000)-Subsurface_Inputs!$C$41*ABS(L227-AVERAGE($L$2:$L$242))</f>
        <v>-33.622724081828693</v>
      </c>
      <c r="S227" s="24">
        <f t="shared" si="30"/>
        <v>-494.93918301499798</v>
      </c>
      <c r="T227" s="24">
        <f t="shared" si="31"/>
        <v>12.750291056298495</v>
      </c>
      <c r="U227" s="25" t="str">
        <f>IF(H227&gt;=Subsurface_Inputs!$C$42,"Lens visible","Weak/no lens")</f>
        <v>Weak/no lens</v>
      </c>
      <c r="V227" s="25" t="str">
        <f t="shared" si="32"/>
        <v>Likely visible</v>
      </c>
      <c r="W227" s="24">
        <f>Subsurface_Inputs!$C$43</f>
        <v>-45</v>
      </c>
      <c r="X227" s="24">
        <f t="shared" si="33"/>
        <v>12.329371555731591</v>
      </c>
      <c r="Y227" s="24">
        <f t="shared" si="34"/>
        <v>11.377275918171307</v>
      </c>
      <c r="Z227" s="24">
        <f t="shared" si="35"/>
        <v>12.329371555731591</v>
      </c>
      <c r="AA227" s="24">
        <v>0</v>
      </c>
    </row>
    <row r="228" spans="1:27">
      <c r="A228" s="24">
        <f>Model_Data!A228</f>
        <v>53</v>
      </c>
      <c r="B228" s="24">
        <f>Model_Data!Y228</f>
        <v>183.52328091519169</v>
      </c>
      <c r="C228" s="24">
        <f>Model_Data!X228</f>
        <v>4.5083965407611828</v>
      </c>
      <c r="D228" s="24">
        <f>Model_Data!B228</f>
        <v>403.12111111111113</v>
      </c>
      <c r="E228" s="24">
        <f>Inputs!$C$6</f>
        <v>25</v>
      </c>
      <c r="F228" s="24">
        <f>Subsurface_Inputs!$C$5+Subsurface_Inputs!$C$6*SIN(2*PI()*(A228+Subsurface_Inputs!$C$7)/Subsurface_Inputs!$C$8)+Subsurface_Inputs!$C$9*COS(2*PI()*A228/Subsurface_Inputs!$C$10)+Subsurface_Inputs!$C$11*(B228-AVERAGE($B$2:$B$242))</f>
        <v>1124.6310718230975</v>
      </c>
      <c r="G228" s="24">
        <f t="shared" si="27"/>
        <v>-941.10779090790584</v>
      </c>
      <c r="H228" s="24">
        <f>MIN(1,MAX(0,Subsurface_Inputs!$C$13*EXP(-0.5*((A228-Subsurface_Inputs!$C$14)/Subsurface_Inputs!$C$15)^2)+Subsurface_Inputs!$C$16*EXP(-0.5*((A228-Subsurface_Inputs!$C$17)/Subsurface_Inputs!$C$18)^2)))</f>
        <v>1.1226396492872168E-2</v>
      </c>
      <c r="I228" s="24">
        <f>Subsurface_Inputs!$C$19+Subsurface_Inputs!$C$20*SIN(2*PI()*(A228-Subsurface_Inputs!$C$21)/Subsurface_Inputs!$C$22)-Subsurface_Inputs!$C$23*H228</f>
        <v>4866.5713491508914</v>
      </c>
      <c r="J228" s="24">
        <f t="shared" si="28"/>
        <v>-4683.0480682356992</v>
      </c>
      <c r="K228" s="24">
        <f>Subsurface_Inputs!$C$25+Subsurface_Inputs!$C$26*SIN(2*PI()*(A228+Subsurface_Inputs!$C$27)/Subsurface_Inputs!$C$28)+Subsurface_Inputs!$C$29*COS(2*PI()*(A228-Subsurface_Inputs!$C$30)/Subsurface_Inputs!$C$31)-Subsurface_Inputs!$C$32*(B228-AVERAGE($B$2:$B$242))</f>
        <v>14580.862995264828</v>
      </c>
      <c r="L228" s="24">
        <f t="shared" si="29"/>
        <v>-14397.339714349637</v>
      </c>
      <c r="M228" s="24">
        <f>2*Subsurface_Inputs!$C$34*F228/Subsurface_Inputs!$C$35*1000000</f>
        <v>13.35486103419662</v>
      </c>
      <c r="N228" s="24">
        <f>2*Subsurface_Inputs!$C$34*I228/Subsurface_Inputs!$C$35*1000000</f>
        <v>57.789959489164914</v>
      </c>
      <c r="O228" s="24">
        <f>2*Subsurface_Inputs!$C$34*K228/Subsurface_Inputs!$C$35*1000000</f>
        <v>173.14602445116478</v>
      </c>
      <c r="P228" s="24">
        <f>Subsurface_Inputs!$C$37-2*Subsurface_Inputs!$C$36*(F228/1000)</f>
        <v>-12.024335929281575</v>
      </c>
      <c r="Q228" s="24">
        <f>Subsurface_Inputs!$C$38+Subsurface_Inputs!$C$39*H228-2*Subsurface_Inputs!$C$36*(I228/1000)</f>
        <v>-32.658790860035758</v>
      </c>
      <c r="R228" s="24">
        <f>Subsurface_Inputs!$C$40-2*Subsurface_Inputs!$C$36*(K228/1000)-Subsurface_Inputs!$C$41*ABS(L228-AVERAGE($L$2:$L$242))</f>
        <v>-33.704025048049481</v>
      </c>
      <c r="S228" s="24">
        <f t="shared" si="30"/>
        <v>-496.52170030928573</v>
      </c>
      <c r="T228" s="24">
        <f t="shared" si="31"/>
        <v>12.965018805347725</v>
      </c>
      <c r="U228" s="25" t="str">
        <f>IF(H228&gt;=Subsurface_Inputs!$C$42,"Lens visible","Weak/no lens")</f>
        <v>Weak/no lens</v>
      </c>
      <c r="V228" s="25" t="str">
        <f t="shared" si="32"/>
        <v>Likely visible</v>
      </c>
      <c r="W228" s="24">
        <f>Subsurface_Inputs!$C$43</f>
        <v>-45</v>
      </c>
      <c r="X228" s="24">
        <f t="shared" si="33"/>
        <v>12.341209139964242</v>
      </c>
      <c r="Y228" s="24">
        <f t="shared" si="34"/>
        <v>11.295974951950519</v>
      </c>
      <c r="Z228" s="24">
        <f t="shared" si="35"/>
        <v>12.341209139964242</v>
      </c>
      <c r="AA228" s="24">
        <v>0</v>
      </c>
    </row>
    <row r="229" spans="1:27">
      <c r="A229" s="24">
        <f>Model_Data!A229</f>
        <v>53.5</v>
      </c>
      <c r="B229" s="24">
        <f>Model_Data!Y229</f>
        <v>181.04186719105834</v>
      </c>
      <c r="C229" s="24">
        <f>Model_Data!X229</f>
        <v>-0.1280560890739677</v>
      </c>
      <c r="D229" s="24">
        <f>Model_Data!B229</f>
        <v>403.1802777777778</v>
      </c>
      <c r="E229" s="24">
        <f>Inputs!$C$6</f>
        <v>25</v>
      </c>
      <c r="F229" s="24">
        <f>Subsurface_Inputs!$C$5+Subsurface_Inputs!$C$6*SIN(2*PI()*(A229+Subsurface_Inputs!$C$7)/Subsurface_Inputs!$C$8)+Subsurface_Inputs!$C$9*COS(2*PI()*A229/Subsurface_Inputs!$C$10)+Subsurface_Inputs!$C$11*(B229-AVERAGE($B$2:$B$242))</f>
        <v>1105.0638747666944</v>
      </c>
      <c r="G229" s="24">
        <f t="shared" si="27"/>
        <v>-924.02200757563605</v>
      </c>
      <c r="H229" s="24">
        <f>MIN(1,MAX(0,Subsurface_Inputs!$C$13*EXP(-0.5*((A229-Subsurface_Inputs!$C$14)/Subsurface_Inputs!$C$15)^2)+Subsurface_Inputs!$C$16*EXP(-0.5*((A229-Subsurface_Inputs!$C$17)/Subsurface_Inputs!$C$18)^2)))</f>
        <v>9.3617029220034037E-3</v>
      </c>
      <c r="I229" s="24">
        <f>Subsurface_Inputs!$C$19+Subsurface_Inputs!$C$20*SIN(2*PI()*(A229-Subsurface_Inputs!$C$21)/Subsurface_Inputs!$C$22)-Subsurface_Inputs!$C$23*H229</f>
        <v>4849.3388856723423</v>
      </c>
      <c r="J229" s="24">
        <f t="shared" si="28"/>
        <v>-4668.2970184812839</v>
      </c>
      <c r="K229" s="24">
        <f>Subsurface_Inputs!$C$25+Subsurface_Inputs!$C$26*SIN(2*PI()*(A229+Subsurface_Inputs!$C$27)/Subsurface_Inputs!$C$28)+Subsurface_Inputs!$C$29*COS(2*PI()*(A229-Subsurface_Inputs!$C$30)/Subsurface_Inputs!$C$31)-Subsurface_Inputs!$C$32*(B229-AVERAGE($B$2:$B$242))</f>
        <v>14582.689740911543</v>
      </c>
      <c r="L229" s="24">
        <f t="shared" si="29"/>
        <v>-14401.647873720485</v>
      </c>
      <c r="M229" s="24">
        <f>2*Subsurface_Inputs!$C$34*F229/Subsurface_Inputs!$C$35*1000000</f>
        <v>13.122502882208705</v>
      </c>
      <c r="N229" s="24">
        <f>2*Subsurface_Inputs!$C$34*I229/Subsurface_Inputs!$C$35*1000000</f>
        <v>57.585326022422947</v>
      </c>
      <c r="O229" s="24">
        <f>2*Subsurface_Inputs!$C$34*K229/Subsurface_Inputs!$C$35*1000000</f>
        <v>173.16771683977819</v>
      </c>
      <c r="P229" s="24">
        <f>Subsurface_Inputs!$C$37-2*Subsurface_Inputs!$C$36*(F229/1000)</f>
        <v>-11.989114974580049</v>
      </c>
      <c r="Q229" s="24">
        <f>Subsurface_Inputs!$C$38+Subsurface_Inputs!$C$39*H229-2*Subsurface_Inputs!$C$36*(I229/1000)</f>
        <v>-32.644554667912189</v>
      </c>
      <c r="R229" s="24">
        <f>Subsurface_Inputs!$C$40-2*Subsurface_Inputs!$C$36*(K229/1000)-Subsurface_Inputs!$C$41*ABS(L229-AVERAGE($L$2:$L$242))</f>
        <v>-33.690080552730166</v>
      </c>
      <c r="S229" s="24">
        <f t="shared" si="30"/>
        <v>-494.69495466257104</v>
      </c>
      <c r="T229" s="24">
        <f t="shared" si="31"/>
        <v>13.196241478792617</v>
      </c>
      <c r="U229" s="25" t="str">
        <f>IF(H229&gt;=Subsurface_Inputs!$C$42,"Lens visible","Weak/no lens")</f>
        <v>Weak/no lens</v>
      </c>
      <c r="V229" s="25" t="str">
        <f t="shared" si="32"/>
        <v>Likely visible</v>
      </c>
      <c r="W229" s="24">
        <f>Subsurface_Inputs!$C$43</f>
        <v>-45</v>
      </c>
      <c r="X229" s="24">
        <f t="shared" si="33"/>
        <v>12.355445332087811</v>
      </c>
      <c r="Y229" s="24">
        <f t="shared" si="34"/>
        <v>11.309919447269834</v>
      </c>
      <c r="Z229" s="24">
        <f t="shared" si="35"/>
        <v>12.355445332087811</v>
      </c>
      <c r="AA229" s="24">
        <v>0</v>
      </c>
    </row>
    <row r="230" spans="1:27">
      <c r="A230" s="24">
        <f>Model_Data!A230</f>
        <v>54</v>
      </c>
      <c r="B230" s="24">
        <f>Model_Data!Y230</f>
        <v>181.54184215615243</v>
      </c>
      <c r="C230" s="24">
        <f>Model_Data!X230</f>
        <v>-7.8528378251423838</v>
      </c>
      <c r="D230" s="24">
        <f>Model_Data!B230</f>
        <v>403.24</v>
      </c>
      <c r="E230" s="24">
        <f>Inputs!$C$6</f>
        <v>25</v>
      </c>
      <c r="F230" s="24">
        <f>Subsurface_Inputs!$C$5+Subsurface_Inputs!$C$6*SIN(2*PI()*(A230+Subsurface_Inputs!$C$7)/Subsurface_Inputs!$C$8)+Subsurface_Inputs!$C$9*COS(2*PI()*A230/Subsurface_Inputs!$C$10)+Subsurface_Inputs!$C$11*(B230-AVERAGE($B$2:$B$242))</f>
        <v>1086.1970090879151</v>
      </c>
      <c r="G230" s="24">
        <f t="shared" si="27"/>
        <v>-904.65516693176278</v>
      </c>
      <c r="H230" s="24">
        <f>MIN(1,MAX(0,Subsurface_Inputs!$C$13*EXP(-0.5*((A230-Subsurface_Inputs!$C$14)/Subsurface_Inputs!$C$15)^2)+Subsurface_Inputs!$C$16*EXP(-0.5*((A230-Subsurface_Inputs!$C$17)/Subsurface_Inputs!$C$18)^2)))</f>
        <v>7.7762975768280234E-3</v>
      </c>
      <c r="I230" s="24">
        <f>Subsurface_Inputs!$C$19+Subsurface_Inputs!$C$20*SIN(2*PI()*(A230-Subsurface_Inputs!$C$21)/Subsurface_Inputs!$C$22)-Subsurface_Inputs!$C$23*H230</f>
        <v>4832.4039752690642</v>
      </c>
      <c r="J230" s="24">
        <f t="shared" si="28"/>
        <v>-4650.8621331129116</v>
      </c>
      <c r="K230" s="24">
        <f>Subsurface_Inputs!$C$25+Subsurface_Inputs!$C$26*SIN(2*PI()*(A230+Subsurface_Inputs!$C$27)/Subsurface_Inputs!$C$28)+Subsurface_Inputs!$C$29*COS(2*PI()*(A230-Subsurface_Inputs!$C$30)/Subsurface_Inputs!$C$31)-Subsurface_Inputs!$C$32*(B230-AVERAGE($B$2:$B$242))</f>
        <v>14584.40288243893</v>
      </c>
      <c r="L230" s="24">
        <f t="shared" si="29"/>
        <v>-14402.861040282778</v>
      </c>
      <c r="M230" s="24">
        <f>2*Subsurface_Inputs!$C$34*F230/Subsurface_Inputs!$C$35*1000000</f>
        <v>12.898461082543237</v>
      </c>
      <c r="N230" s="24">
        <f>2*Subsurface_Inputs!$C$34*I230/Subsurface_Inputs!$C$35*1000000</f>
        <v>57.384225963275796</v>
      </c>
      <c r="O230" s="24">
        <f>2*Subsurface_Inputs!$C$34*K230/Subsurface_Inputs!$C$35*1000000</f>
        <v>173.18806019290381</v>
      </c>
      <c r="P230" s="24">
        <f>Subsurface_Inputs!$C$37-2*Subsurface_Inputs!$C$36*(F230/1000)</f>
        <v>-11.955154616358246</v>
      </c>
      <c r="Q230" s="24">
        <f>Subsurface_Inputs!$C$38+Subsurface_Inputs!$C$39*H230-2*Subsurface_Inputs!$C$36*(I230/1000)</f>
        <v>-32.628340477292866</v>
      </c>
      <c r="R230" s="24">
        <f>Subsurface_Inputs!$C$40-2*Subsurface_Inputs!$C$36*(K230/1000)-Subsurface_Inputs!$C$41*ABS(L230-AVERAGE($L$2:$L$242))</f>
        <v>-33.688311541230298</v>
      </c>
      <c r="S230" s="24">
        <f t="shared" si="30"/>
        <v>-492.98181313518398</v>
      </c>
      <c r="T230" s="24">
        <f t="shared" si="31"/>
        <v>13.427032813030412</v>
      </c>
      <c r="U230" s="25" t="str">
        <f>IF(H230&gt;=Subsurface_Inputs!$C$42,"Lens visible","Weak/no lens")</f>
        <v>Weak/no lens</v>
      </c>
      <c r="V230" s="25" t="str">
        <f t="shared" si="32"/>
        <v>Likely visible</v>
      </c>
      <c r="W230" s="24">
        <f>Subsurface_Inputs!$C$43</f>
        <v>-45</v>
      </c>
      <c r="X230" s="24">
        <f t="shared" si="33"/>
        <v>12.371659522707134</v>
      </c>
      <c r="Y230" s="24">
        <f t="shared" si="34"/>
        <v>11.311688458769702</v>
      </c>
      <c r="Z230" s="24">
        <f t="shared" si="35"/>
        <v>12.371659522707134</v>
      </c>
      <c r="AA230" s="24">
        <v>0</v>
      </c>
    </row>
    <row r="231" spans="1:27">
      <c r="A231" s="24">
        <f>Model_Data!A231</f>
        <v>54.5</v>
      </c>
      <c r="B231" s="24">
        <f>Model_Data!Y231</f>
        <v>176.67952286622949</v>
      </c>
      <c r="C231" s="24">
        <f>Model_Data!X231</f>
        <v>-10.88592803052483</v>
      </c>
      <c r="D231" s="24">
        <f>Model_Data!B231</f>
        <v>403.30027777777775</v>
      </c>
      <c r="E231" s="24">
        <f>Inputs!$C$6</f>
        <v>25</v>
      </c>
      <c r="F231" s="24">
        <f>Subsurface_Inputs!$C$5+Subsurface_Inputs!$C$6*SIN(2*PI()*(A231+Subsurface_Inputs!$C$7)/Subsurface_Inputs!$C$8)+Subsurface_Inputs!$C$9*COS(2*PI()*A231/Subsurface_Inputs!$C$10)+Subsurface_Inputs!$C$11*(B231-AVERAGE($B$2:$B$242))</f>
        <v>1067.8935602052688</v>
      </c>
      <c r="G231" s="24">
        <f t="shared" si="27"/>
        <v>-891.21403733903935</v>
      </c>
      <c r="H231" s="24">
        <f>MIN(1,MAX(0,Subsurface_Inputs!$C$13*EXP(-0.5*((A231-Subsurface_Inputs!$C$14)/Subsurface_Inputs!$C$15)^2)+Subsurface_Inputs!$C$16*EXP(-0.5*((A231-Subsurface_Inputs!$C$17)/Subsurface_Inputs!$C$18)^2)))</f>
        <v>6.4341980494993355E-3</v>
      </c>
      <c r="I231" s="24">
        <f>Subsurface_Inputs!$C$19+Subsurface_Inputs!$C$20*SIN(2*PI()*(A231-Subsurface_Inputs!$C$21)/Subsurface_Inputs!$C$22)-Subsurface_Inputs!$C$23*H231</f>
        <v>4815.8006664674858</v>
      </c>
      <c r="J231" s="24">
        <f t="shared" si="28"/>
        <v>-4639.1211436012563</v>
      </c>
      <c r="K231" s="24">
        <f>Subsurface_Inputs!$C$25+Subsurface_Inputs!$C$26*SIN(2*PI()*(A231+Subsurface_Inputs!$C$27)/Subsurface_Inputs!$C$28)+Subsurface_Inputs!$C$29*COS(2*PI()*(A231-Subsurface_Inputs!$C$30)/Subsurface_Inputs!$C$31)-Subsurface_Inputs!$C$32*(B231-AVERAGE($B$2:$B$242))</f>
        <v>14587.135802631939</v>
      </c>
      <c r="L231" s="24">
        <f t="shared" si="29"/>
        <v>-14410.456279765709</v>
      </c>
      <c r="M231" s="24">
        <f>2*Subsurface_Inputs!$C$34*F231/Subsurface_Inputs!$C$35*1000000</f>
        <v>12.681109790729817</v>
      </c>
      <c r="N231" s="24">
        <f>2*Subsurface_Inputs!$C$34*I231/Subsurface_Inputs!$C$35*1000000</f>
        <v>57.18706363394989</v>
      </c>
      <c r="O231" s="24">
        <f>2*Subsurface_Inputs!$C$34*K231/Subsurface_Inputs!$C$35*1000000</f>
        <v>173.22051329713472</v>
      </c>
      <c r="P231" s="24">
        <f>Subsurface_Inputs!$C$37-2*Subsurface_Inputs!$C$36*(F231/1000)</f>
        <v>-11.922208408369483</v>
      </c>
      <c r="Q231" s="24">
        <f>Subsurface_Inputs!$C$38+Subsurface_Inputs!$C$39*H231-2*Subsurface_Inputs!$C$36*(I231/1000)</f>
        <v>-32.610533417195981</v>
      </c>
      <c r="R231" s="24">
        <f>Subsurface_Inputs!$C$40-2*Subsurface_Inputs!$C$36*(K231/1000)-Subsurface_Inputs!$C$41*ABS(L231-AVERAGE($L$2:$L$242))</f>
        <v>-33.662849839645993</v>
      </c>
      <c r="S231" s="24">
        <f t="shared" si="30"/>
        <v>-490.24889294217428</v>
      </c>
      <c r="T231" s="24">
        <f t="shared" si="31"/>
        <v>13.659728222191005</v>
      </c>
      <c r="U231" s="25" t="str">
        <f>IF(H231&gt;=Subsurface_Inputs!$C$42,"Lens visible","Weak/no lens")</f>
        <v>Weak/no lens</v>
      </c>
      <c r="V231" s="25" t="str">
        <f t="shared" si="32"/>
        <v>Likely visible</v>
      </c>
      <c r="W231" s="24">
        <f>Subsurface_Inputs!$C$43</f>
        <v>-45</v>
      </c>
      <c r="X231" s="24">
        <f t="shared" si="33"/>
        <v>12.389466582804019</v>
      </c>
      <c r="Y231" s="24">
        <f t="shared" si="34"/>
        <v>11.337150160354007</v>
      </c>
      <c r="Z231" s="24">
        <f t="shared" si="35"/>
        <v>12.389466582804019</v>
      </c>
      <c r="AA231" s="24">
        <v>0</v>
      </c>
    </row>
    <row r="232" spans="1:27">
      <c r="A232" s="24">
        <f>Model_Data!A232</f>
        <v>55</v>
      </c>
      <c r="B232" s="24">
        <f>Model_Data!Y232</f>
        <v>188.50605986382979</v>
      </c>
      <c r="C232" s="24">
        <f>Model_Data!X232</f>
        <v>-2.7391578251359494</v>
      </c>
      <c r="D232" s="24">
        <f>Model_Data!B232</f>
        <v>403.36111111111109</v>
      </c>
      <c r="E232" s="24">
        <f>Inputs!$C$6</f>
        <v>25</v>
      </c>
      <c r="F232" s="24">
        <f>Subsurface_Inputs!$C$5+Subsurface_Inputs!$C$6*SIN(2*PI()*(A232+Subsurface_Inputs!$C$7)/Subsurface_Inputs!$C$8)+Subsurface_Inputs!$C$9*COS(2*PI()*A232/Subsurface_Inputs!$C$10)+Subsurface_Inputs!$C$11*(B232-AVERAGE($B$2:$B$242))</f>
        <v>1051.2196543632924</v>
      </c>
      <c r="G232" s="24">
        <f t="shared" si="27"/>
        <v>-862.7135944994626</v>
      </c>
      <c r="H232" s="24">
        <f>MIN(1,MAX(0,Subsurface_Inputs!$C$13*EXP(-0.5*((A232-Subsurface_Inputs!$C$14)/Subsurface_Inputs!$C$15)^2)+Subsurface_Inputs!$C$16*EXP(-0.5*((A232-Subsurface_Inputs!$C$17)/Subsurface_Inputs!$C$18)^2)))</f>
        <v>5.3029742110085962E-3</v>
      </c>
      <c r="I232" s="24">
        <f>Subsurface_Inputs!$C$19+Subsurface_Inputs!$C$20*SIN(2*PI()*(A232-Subsurface_Inputs!$C$21)/Subsurface_Inputs!$C$22)-Subsurface_Inputs!$C$23*H232</f>
        <v>4799.5615828756754</v>
      </c>
      <c r="J232" s="24">
        <f t="shared" si="28"/>
        <v>-4611.0555230118453</v>
      </c>
      <c r="K232" s="24">
        <f>Subsurface_Inputs!$C$25+Subsurface_Inputs!$C$26*SIN(2*PI()*(A232+Subsurface_Inputs!$C$27)/Subsurface_Inputs!$C$28)+Subsurface_Inputs!$C$29*COS(2*PI()*(A232-Subsurface_Inputs!$C$30)/Subsurface_Inputs!$C$31)-Subsurface_Inputs!$C$32*(B232-AVERAGE($B$2:$B$242))</f>
        <v>14587.76637498494</v>
      </c>
      <c r="L232" s="24">
        <f t="shared" si="29"/>
        <v>-14399.26031512111</v>
      </c>
      <c r="M232" s="24">
        <f>2*Subsurface_Inputs!$C$34*F232/Subsurface_Inputs!$C$35*1000000</f>
        <v>12.483109129894526</v>
      </c>
      <c r="N232" s="24">
        <f>2*Subsurface_Inputs!$C$34*I232/Subsurface_Inputs!$C$35*1000000</f>
        <v>56.994226435934571</v>
      </c>
      <c r="O232" s="24">
        <f>2*Subsurface_Inputs!$C$34*K232/Subsurface_Inputs!$C$35*1000000</f>
        <v>173.22800126928604</v>
      </c>
      <c r="P232" s="24">
        <f>Subsurface_Inputs!$C$37-2*Subsurface_Inputs!$C$36*(F232/1000)</f>
        <v>-11.892195377853927</v>
      </c>
      <c r="Q232" s="24">
        <f>Subsurface_Inputs!$C$38+Subsurface_Inputs!$C$39*H232-2*Subsurface_Inputs!$C$36*(I232/1000)</f>
        <v>-32.591484081277137</v>
      </c>
      <c r="R232" s="24">
        <f>Subsurface_Inputs!$C$40-2*Subsurface_Inputs!$C$36*(K232/1000)-Subsurface_Inputs!$C$41*ABS(L232-AVERAGE($L$2:$L$242))</f>
        <v>-33.708768728459788</v>
      </c>
      <c r="S232" s="24">
        <f t="shared" si="30"/>
        <v>-489.61832058917389</v>
      </c>
      <c r="T232" s="24">
        <f t="shared" si="31"/>
        <v>13.876991658627736</v>
      </c>
      <c r="U232" s="25" t="str">
        <f>IF(H232&gt;=Subsurface_Inputs!$C$42,"Lens visible","Weak/no lens")</f>
        <v>Weak/no lens</v>
      </c>
      <c r="V232" s="25" t="str">
        <f t="shared" si="32"/>
        <v>Likely visible</v>
      </c>
      <c r="W232" s="24">
        <f>Subsurface_Inputs!$C$43</f>
        <v>-45</v>
      </c>
      <c r="X232" s="24">
        <f t="shared" si="33"/>
        <v>12.408515918722863</v>
      </c>
      <c r="Y232" s="24">
        <f t="shared" si="34"/>
        <v>11.291231271540212</v>
      </c>
      <c r="Z232" s="24">
        <f t="shared" si="35"/>
        <v>12.408515918722863</v>
      </c>
      <c r="AA232" s="24">
        <v>0</v>
      </c>
    </row>
    <row r="233" spans="1:27">
      <c r="A233" s="24">
        <f>Model_Data!A233</f>
        <v>55.5</v>
      </c>
      <c r="B233" s="24">
        <f>Model_Data!Y233</f>
        <v>182.552269274569</v>
      </c>
      <c r="C233" s="24">
        <f>Model_Data!X233</f>
        <v>-6.5380942800848239</v>
      </c>
      <c r="D233" s="24">
        <f>Model_Data!B233</f>
        <v>403.42250000000001</v>
      </c>
      <c r="E233" s="24">
        <f>Inputs!$C$6</f>
        <v>25</v>
      </c>
      <c r="F233" s="24">
        <f>Subsurface_Inputs!$C$5+Subsurface_Inputs!$C$6*SIN(2*PI()*(A233+Subsurface_Inputs!$C$7)/Subsurface_Inputs!$C$8)+Subsurface_Inputs!$C$9*COS(2*PI()*A233/Subsurface_Inputs!$C$10)+Subsurface_Inputs!$C$11*(B233-AVERAGE($B$2:$B$242))</f>
        <v>1034.9652799163191</v>
      </c>
      <c r="G233" s="24">
        <f t="shared" si="27"/>
        <v>-852.41301064175013</v>
      </c>
      <c r="H233" s="24">
        <f>MIN(1,MAX(0,Subsurface_Inputs!$C$13*EXP(-0.5*((A233-Subsurface_Inputs!$C$14)/Subsurface_Inputs!$C$15)^2)+Subsurface_Inputs!$C$16*EXP(-0.5*((A233-Subsurface_Inputs!$C$17)/Subsurface_Inputs!$C$18)^2)))</f>
        <v>4.3535961731902299E-3</v>
      </c>
      <c r="I233" s="24">
        <f>Subsurface_Inputs!$C$19+Subsurface_Inputs!$C$20*SIN(2*PI()*(A233-Subsurface_Inputs!$C$21)/Subsurface_Inputs!$C$22)-Subsurface_Inputs!$C$23*H233</f>
        <v>4783.7179232157832</v>
      </c>
      <c r="J233" s="24">
        <f t="shared" si="28"/>
        <v>-4601.1656539412143</v>
      </c>
      <c r="K233" s="24">
        <f>Subsurface_Inputs!$C$25+Subsurface_Inputs!$C$26*SIN(2*PI()*(A233+Subsurface_Inputs!$C$27)/Subsurface_Inputs!$C$28)+Subsurface_Inputs!$C$29*COS(2*PI()*(A233-Subsurface_Inputs!$C$30)/Subsurface_Inputs!$C$31)-Subsurface_Inputs!$C$32*(B233-AVERAGE($B$2:$B$242))</f>
        <v>14591.085193045694</v>
      </c>
      <c r="L233" s="24">
        <f t="shared" si="29"/>
        <v>-14408.532923771125</v>
      </c>
      <c r="M233" s="24">
        <f>2*Subsurface_Inputs!$C$34*F233/Subsurface_Inputs!$C$35*1000000</f>
        <v>12.290090354781693</v>
      </c>
      <c r="N233" s="24">
        <f>2*Subsurface_Inputs!$C$34*I233/Subsurface_Inputs!$C$35*1000000</f>
        <v>56.806084850367348</v>
      </c>
      <c r="O233" s="24">
        <f>2*Subsurface_Inputs!$C$34*K233/Subsurface_Inputs!$C$35*1000000</f>
        <v>173.26741184143688</v>
      </c>
      <c r="P233" s="24">
        <f>Subsurface_Inputs!$C$37-2*Subsurface_Inputs!$C$36*(F233/1000)</f>
        <v>-11.862937503849375</v>
      </c>
      <c r="Q233" s="24">
        <f>Subsurface_Inputs!$C$38+Subsurface_Inputs!$C$39*H233-2*Subsurface_Inputs!$C$36*(I233/1000)</f>
        <v>-32.571509896229699</v>
      </c>
      <c r="R233" s="24">
        <f>Subsurface_Inputs!$C$40-2*Subsurface_Inputs!$C$36*(K233/1000)-Subsurface_Inputs!$C$41*ABS(L233-AVERAGE($L$2:$L$242))</f>
        <v>-33.677652166369086</v>
      </c>
      <c r="S233" s="24">
        <f t="shared" si="30"/>
        <v>-486.29950252841991</v>
      </c>
      <c r="T233" s="24">
        <f t="shared" si="31"/>
        <v>14.098139789023104</v>
      </c>
      <c r="U233" s="25" t="str">
        <f>IF(H233&gt;=Subsurface_Inputs!$C$42,"Lens visible","Weak/no lens")</f>
        <v>Weak/no lens</v>
      </c>
      <c r="V233" s="25" t="str">
        <f t="shared" si="32"/>
        <v>Likely visible</v>
      </c>
      <c r="W233" s="24">
        <f>Subsurface_Inputs!$C$43</f>
        <v>-45</v>
      </c>
      <c r="X233" s="24">
        <f t="shared" si="33"/>
        <v>12.428490103770301</v>
      </c>
      <c r="Y233" s="24">
        <f t="shared" si="34"/>
        <v>11.322347833630914</v>
      </c>
      <c r="Z233" s="24">
        <f t="shared" si="35"/>
        <v>12.428490103770301</v>
      </c>
      <c r="AA233" s="24">
        <v>0</v>
      </c>
    </row>
    <row r="234" spans="1:27">
      <c r="A234" s="24">
        <f>Model_Data!A234</f>
        <v>56</v>
      </c>
      <c r="B234" s="24">
        <f>Model_Data!Y234</f>
        <v>186.90390563134164</v>
      </c>
      <c r="C234" s="24">
        <f>Model_Data!X234</f>
        <v>-4.3572901776696842</v>
      </c>
      <c r="D234" s="24">
        <f>Model_Data!B234</f>
        <v>403.48444444444442</v>
      </c>
      <c r="E234" s="24">
        <f>Inputs!$C$6</f>
        <v>25</v>
      </c>
      <c r="F234" s="24">
        <f>Subsurface_Inputs!$C$5+Subsurface_Inputs!$C$6*SIN(2*PI()*(A234+Subsurface_Inputs!$C$7)/Subsurface_Inputs!$C$8)+Subsurface_Inputs!$C$9*COS(2*PI()*A234/Subsurface_Inputs!$C$10)+Subsurface_Inputs!$C$11*(B234-AVERAGE($B$2:$B$242))</f>
        <v>1020.4049971928663</v>
      </c>
      <c r="G234" s="24">
        <f t="shared" si="27"/>
        <v>-833.50109156152462</v>
      </c>
      <c r="H234" s="24">
        <f>MIN(1,MAX(0,Subsurface_Inputs!$C$13*EXP(-0.5*((A234-Subsurface_Inputs!$C$14)/Subsurface_Inputs!$C$15)^2)+Subsurface_Inputs!$C$16*EXP(-0.5*((A234-Subsurface_Inputs!$C$17)/Subsurface_Inputs!$C$18)^2)))</f>
        <v>3.5602484617209208E-3</v>
      </c>
      <c r="I234" s="24">
        <f>Subsurface_Inputs!$C$19+Subsurface_Inputs!$C$20*SIN(2*PI()*(A234-Subsurface_Inputs!$C$21)/Subsurface_Inputs!$C$22)-Subsurface_Inputs!$C$23*H234</f>
        <v>4768.2994703593758</v>
      </c>
      <c r="J234" s="24">
        <f t="shared" si="28"/>
        <v>-4581.3955647280345</v>
      </c>
      <c r="K234" s="24">
        <f>Subsurface_Inputs!$C$25+Subsurface_Inputs!$C$26*SIN(2*PI()*(A234+Subsurface_Inputs!$C$27)/Subsurface_Inputs!$C$28)+Subsurface_Inputs!$C$29*COS(2*PI()*(A234-Subsurface_Inputs!$C$30)/Subsurface_Inputs!$C$31)-Subsurface_Inputs!$C$32*(B234-AVERAGE($B$2:$B$242))</f>
        <v>14593.125138126092</v>
      </c>
      <c r="L234" s="24">
        <f t="shared" si="29"/>
        <v>-14406.22123249475</v>
      </c>
      <c r="M234" s="24">
        <f>2*Subsurface_Inputs!$C$34*F234/Subsurface_Inputs!$C$35*1000000</f>
        <v>12.117188718625483</v>
      </c>
      <c r="N234" s="24">
        <f>2*Subsurface_Inputs!$C$34*I234/Subsurface_Inputs!$C$35*1000000</f>
        <v>56.622992545327406</v>
      </c>
      <c r="O234" s="24">
        <f>2*Subsurface_Inputs!$C$34*K234/Subsurface_Inputs!$C$35*1000000</f>
        <v>173.29163594812275</v>
      </c>
      <c r="P234" s="24">
        <f>Subsurface_Inputs!$C$37-2*Subsurface_Inputs!$C$36*(F234/1000)</f>
        <v>-11.83672899494716</v>
      </c>
      <c r="Q234" s="24">
        <f>Subsurface_Inputs!$C$38+Subsurface_Inputs!$C$39*H234-2*Subsurface_Inputs!$C$36*(I234/1000)</f>
        <v>-32.550896810491395</v>
      </c>
      <c r="R234" s="24">
        <f>Subsurface_Inputs!$C$40-2*Subsurface_Inputs!$C$36*(K234/1000)-Subsurface_Inputs!$C$41*ABS(L234-AVERAGE($L$2:$L$242))</f>
        <v>-33.690570832619301</v>
      </c>
      <c r="S234" s="24">
        <f t="shared" si="30"/>
        <v>-484.25955744802195</v>
      </c>
      <c r="T234" s="24">
        <f t="shared" si="31"/>
        <v>14.301307008758064</v>
      </c>
      <c r="U234" s="25" t="str">
        <f>IF(H234&gt;=Subsurface_Inputs!$C$42,"Lens visible","Weak/no lens")</f>
        <v>Weak/no lens</v>
      </c>
      <c r="V234" s="25" t="str">
        <f t="shared" si="32"/>
        <v>Likely visible</v>
      </c>
      <c r="W234" s="24">
        <f>Subsurface_Inputs!$C$43</f>
        <v>-45</v>
      </c>
      <c r="X234" s="24">
        <f t="shared" si="33"/>
        <v>12.449103189508605</v>
      </c>
      <c r="Y234" s="24">
        <f t="shared" si="34"/>
        <v>11.309429167380699</v>
      </c>
      <c r="Z234" s="24">
        <f t="shared" si="35"/>
        <v>12.449103189508605</v>
      </c>
      <c r="AA234" s="24">
        <v>0</v>
      </c>
    </row>
    <row r="235" spans="1:27">
      <c r="A235" s="24">
        <f>Model_Data!A235</f>
        <v>56.5</v>
      </c>
      <c r="B235" s="24">
        <f>Model_Data!Y235</f>
        <v>190.07062484954076</v>
      </c>
      <c r="C235" s="24">
        <f>Model_Data!X235</f>
        <v>21.715435034758002</v>
      </c>
      <c r="D235" s="24">
        <f>Model_Data!B235</f>
        <v>403.54694444444442</v>
      </c>
      <c r="E235" s="24">
        <f>Inputs!$C$6</f>
        <v>25</v>
      </c>
      <c r="F235" s="24">
        <f>Subsurface_Inputs!$C$5+Subsurface_Inputs!$C$6*SIN(2*PI()*(A235+Subsurface_Inputs!$C$7)/Subsurface_Inputs!$C$8)+Subsurface_Inputs!$C$9*COS(2*PI()*A235/Subsurface_Inputs!$C$10)+Subsurface_Inputs!$C$11*(B235-AVERAGE($B$2:$B$242))</f>
        <v>1007.2107050698628</v>
      </c>
      <c r="G235" s="24">
        <f t="shared" si="27"/>
        <v>-817.14008022032203</v>
      </c>
      <c r="H235" s="24">
        <f>MIN(1,MAX(0,Subsurface_Inputs!$C$13*EXP(-0.5*((A235-Subsurface_Inputs!$C$14)/Subsurface_Inputs!$C$15)^2)+Subsurface_Inputs!$C$16*EXP(-0.5*((A235-Subsurface_Inputs!$C$17)/Subsurface_Inputs!$C$18)^2)))</f>
        <v>2.9001202743499403E-3</v>
      </c>
      <c r="I235" s="24">
        <f>Subsurface_Inputs!$C$19+Subsurface_Inputs!$C$20*SIN(2*PI()*(A235-Subsurface_Inputs!$C$21)/Subsurface_Inputs!$C$22)-Subsurface_Inputs!$C$23*H235</f>
        <v>4753.334607048062</v>
      </c>
      <c r="J235" s="24">
        <f t="shared" si="28"/>
        <v>-4563.2639821985213</v>
      </c>
      <c r="K235" s="24">
        <f>Subsurface_Inputs!$C$25+Subsurface_Inputs!$C$26*SIN(2*PI()*(A235+Subsurface_Inputs!$C$27)/Subsurface_Inputs!$C$28)+Subsurface_Inputs!$C$29*COS(2*PI()*(A235-Subsurface_Inputs!$C$30)/Subsurface_Inputs!$C$31)-Subsurface_Inputs!$C$32*(B235-AVERAGE($B$2:$B$242))</f>
        <v>14595.459830179932</v>
      </c>
      <c r="L235" s="24">
        <f t="shared" si="29"/>
        <v>-14405.389205330392</v>
      </c>
      <c r="M235" s="24">
        <f>2*Subsurface_Inputs!$C$34*F235/Subsurface_Inputs!$C$35*1000000</f>
        <v>11.960508059374567</v>
      </c>
      <c r="N235" s="24">
        <f>2*Subsurface_Inputs!$C$34*I235/Subsurface_Inputs!$C$35*1000000</f>
        <v>56.445286562516195</v>
      </c>
      <c r="O235" s="24">
        <f>2*Subsurface_Inputs!$C$34*K235/Subsurface_Inputs!$C$35*1000000</f>
        <v>173.31936014027596</v>
      </c>
      <c r="P235" s="24">
        <f>Subsurface_Inputs!$C$37-2*Subsurface_Inputs!$C$36*(F235/1000)</f>
        <v>-11.812979269125753</v>
      </c>
      <c r="Q235" s="24">
        <f>Subsurface_Inputs!$C$38+Subsurface_Inputs!$C$39*H235-2*Subsurface_Inputs!$C$36*(I235/1000)</f>
        <v>-32.529901210217361</v>
      </c>
      <c r="R235" s="24">
        <f>Subsurface_Inputs!$C$40-2*Subsurface_Inputs!$C$36*(K235/1000)-Subsurface_Inputs!$C$41*ABS(L235-AVERAGE($L$2:$L$242))</f>
        <v>-33.69810138697364</v>
      </c>
      <c r="S235" s="24">
        <f t="shared" si="30"/>
        <v>-481.92486539418132</v>
      </c>
      <c r="T235" s="24">
        <f t="shared" si="31"/>
        <v>14.490969721343015</v>
      </c>
      <c r="U235" s="25" t="str">
        <f>IF(H235&gt;=Subsurface_Inputs!$C$42,"Lens visible","Weak/no lens")</f>
        <v>Weak/no lens</v>
      </c>
      <c r="V235" s="25" t="str">
        <f t="shared" si="32"/>
        <v>Likely visible</v>
      </c>
      <c r="W235" s="24">
        <f>Subsurface_Inputs!$C$43</f>
        <v>-45</v>
      </c>
      <c r="X235" s="24">
        <f t="shared" si="33"/>
        <v>12.470098789782639</v>
      </c>
      <c r="Y235" s="24">
        <f t="shared" si="34"/>
        <v>11.30189861302636</v>
      </c>
      <c r="Z235" s="24">
        <f t="shared" si="35"/>
        <v>12.470098789782639</v>
      </c>
      <c r="AA235" s="24">
        <v>0</v>
      </c>
    </row>
    <row r="236" spans="1:27">
      <c r="A236" s="24">
        <f>Model_Data!A236</f>
        <v>57</v>
      </c>
      <c r="B236" s="24">
        <f>Model_Data!Y236</f>
        <v>200.68454527158707</v>
      </c>
      <c r="C236" s="24">
        <f>Model_Data!X236</f>
        <v>18.4135707545088</v>
      </c>
      <c r="D236" s="24">
        <f>Model_Data!B236</f>
        <v>403.61</v>
      </c>
      <c r="E236" s="24">
        <f>Inputs!$C$6</f>
        <v>25</v>
      </c>
      <c r="F236" s="24">
        <f>Subsurface_Inputs!$C$5+Subsurface_Inputs!$C$6*SIN(2*PI()*(A236+Subsurface_Inputs!$C$7)/Subsurface_Inputs!$C$8)+Subsurface_Inputs!$C$9*COS(2*PI()*A236/Subsurface_Inputs!$C$10)+Subsurface_Inputs!$C$11*(B236-AVERAGE($B$2:$B$242))</f>
        <v>995.83793307525298</v>
      </c>
      <c r="G236" s="24">
        <f t="shared" si="27"/>
        <v>-795.15338780366596</v>
      </c>
      <c r="H236" s="24">
        <f>MIN(1,MAX(0,Subsurface_Inputs!$C$13*EXP(-0.5*((A236-Subsurface_Inputs!$C$14)/Subsurface_Inputs!$C$15)^2)+Subsurface_Inputs!$C$16*EXP(-0.5*((A236-Subsurface_Inputs!$C$17)/Subsurface_Inputs!$C$18)^2)))</f>
        <v>2.3531805415579581E-3</v>
      </c>
      <c r="I236" s="24">
        <f>Subsurface_Inputs!$C$19+Subsurface_Inputs!$C$20*SIN(2*PI()*(A236-Subsurface_Inputs!$C$21)/Subsurface_Inputs!$C$22)-Subsurface_Inputs!$C$23*H236</f>
        <v>4738.8503362580605</v>
      </c>
      <c r="J236" s="24">
        <f t="shared" si="28"/>
        <v>-4538.1657909864734</v>
      </c>
      <c r="K236" s="24">
        <f>Subsurface_Inputs!$C$25+Subsurface_Inputs!$C$26*SIN(2*PI()*(A236+Subsurface_Inputs!$C$27)/Subsurface_Inputs!$C$28)+Subsurface_Inputs!$C$29*COS(2*PI()*(A236-Subsurface_Inputs!$C$30)/Subsurface_Inputs!$C$31)-Subsurface_Inputs!$C$32*(B236-AVERAGE($B$2:$B$242))</f>
        <v>14596.84593445949</v>
      </c>
      <c r="L236" s="24">
        <f t="shared" si="29"/>
        <v>-14396.161389187902</v>
      </c>
      <c r="M236" s="24">
        <f>2*Subsurface_Inputs!$C$34*F236/Subsurface_Inputs!$C$35*1000000</f>
        <v>11.82545773632471</v>
      </c>
      <c r="N236" s="24">
        <f>2*Subsurface_Inputs!$C$34*I236/Subsurface_Inputs!$C$35*1000000</f>
        <v>56.273287559084274</v>
      </c>
      <c r="O236" s="24">
        <f>2*Subsurface_Inputs!$C$34*K236/Subsurface_Inputs!$C$35*1000000</f>
        <v>173.33581996474305</v>
      </c>
      <c r="P236" s="24">
        <f>Subsurface_Inputs!$C$37-2*Subsurface_Inputs!$C$36*(F236/1000)</f>
        <v>-11.792508279535456</v>
      </c>
      <c r="Q236" s="24">
        <f>Subsurface_Inputs!$C$38+Subsurface_Inputs!$C$39*H236-2*Subsurface_Inputs!$C$36*(I236/1000)</f>
        <v>-32.508751980390485</v>
      </c>
      <c r="R236" s="24">
        <f>Subsurface_Inputs!$C$40-2*Subsurface_Inputs!$C$36*(K236/1000)-Subsurface_Inputs!$C$41*ABS(L236-AVERAGE($L$2:$L$242))</f>
        <v>-33.737507639246807</v>
      </c>
      <c r="S236" s="24">
        <f t="shared" si="30"/>
        <v>-480.53876111462341</v>
      </c>
      <c r="T236" s="24">
        <f t="shared" si="31"/>
        <v>14.657852899199053</v>
      </c>
      <c r="U236" s="25" t="str">
        <f>IF(H236&gt;=Subsurface_Inputs!$C$42,"Lens visible","Weak/no lens")</f>
        <v>Weak/no lens</v>
      </c>
      <c r="V236" s="25" t="str">
        <f t="shared" si="32"/>
        <v>Likely visible</v>
      </c>
      <c r="W236" s="24">
        <f>Subsurface_Inputs!$C$43</f>
        <v>-45</v>
      </c>
      <c r="X236" s="24">
        <f t="shared" si="33"/>
        <v>12.491248019609515</v>
      </c>
      <c r="Y236" s="24">
        <f t="shared" si="34"/>
        <v>11.262492360753193</v>
      </c>
      <c r="Z236" s="24">
        <f t="shared" si="35"/>
        <v>12.491248019609515</v>
      </c>
      <c r="AA236" s="24">
        <v>0</v>
      </c>
    </row>
    <row r="237" spans="1:27">
      <c r="A237" s="24">
        <f>Model_Data!A237</f>
        <v>57.5</v>
      </c>
      <c r="B237" s="24">
        <f>Model_Data!Y237</f>
        <v>178.27771269066969</v>
      </c>
      <c r="C237" s="24">
        <f>Model_Data!X237</f>
        <v>25.968776223167485</v>
      </c>
      <c r="D237" s="24">
        <f>Model_Data!B237</f>
        <v>403.67361111111109</v>
      </c>
      <c r="E237" s="24">
        <f>Inputs!$C$6</f>
        <v>25</v>
      </c>
      <c r="F237" s="24">
        <f>Subsurface_Inputs!$C$5+Subsurface_Inputs!$C$6*SIN(2*PI()*(A237+Subsurface_Inputs!$C$7)/Subsurface_Inputs!$C$8)+Subsurface_Inputs!$C$9*COS(2*PI()*A237/Subsurface_Inputs!$C$10)+Subsurface_Inputs!$C$11*(B237-AVERAGE($B$2:$B$242))</f>
        <v>984.75565752697844</v>
      </c>
      <c r="G237" s="24">
        <f t="shared" si="27"/>
        <v>-806.47794483630878</v>
      </c>
      <c r="H237" s="24">
        <f>MIN(1,MAX(0,Subsurface_Inputs!$C$13*EXP(-0.5*((A237-Subsurface_Inputs!$C$14)/Subsurface_Inputs!$C$15)^2)+Subsurface_Inputs!$C$16*EXP(-0.5*((A237-Subsurface_Inputs!$C$17)/Subsurface_Inputs!$C$18)^2)))</f>
        <v>1.9019453105300916E-3</v>
      </c>
      <c r="I237" s="24">
        <f>Subsurface_Inputs!$C$19+Subsurface_Inputs!$C$20*SIN(2*PI()*(A237-Subsurface_Inputs!$C$21)/Subsurface_Inputs!$C$22)-Subsurface_Inputs!$C$23*H237</f>
        <v>4724.8723044530643</v>
      </c>
      <c r="J237" s="24">
        <f t="shared" si="28"/>
        <v>-4546.5945917623949</v>
      </c>
      <c r="K237" s="24">
        <f>Subsurface_Inputs!$C$25+Subsurface_Inputs!$C$26*SIN(2*PI()*(A237+Subsurface_Inputs!$C$27)/Subsurface_Inputs!$C$28)+Subsurface_Inputs!$C$29*COS(2*PI()*(A237-Subsurface_Inputs!$C$30)/Subsurface_Inputs!$C$31)-Subsurface_Inputs!$C$32*(B237-AVERAGE($B$2:$B$242))</f>
        <v>14602.914420845136</v>
      </c>
      <c r="L237" s="24">
        <f t="shared" si="29"/>
        <v>-14424.636708154467</v>
      </c>
      <c r="M237" s="24">
        <f>2*Subsurface_Inputs!$C$34*F237/Subsurface_Inputs!$C$35*1000000</f>
        <v>11.693857024235223</v>
      </c>
      <c r="N237" s="24">
        <f>2*Subsurface_Inputs!$C$34*I237/Subsurface_Inputs!$C$35*1000000</f>
        <v>56.107300083756307</v>
      </c>
      <c r="O237" s="24">
        <f>2*Subsurface_Inputs!$C$34*K237/Subsurface_Inputs!$C$35*1000000</f>
        <v>173.40788252321107</v>
      </c>
      <c r="P237" s="24">
        <f>Subsurface_Inputs!$C$37-2*Subsurface_Inputs!$C$36*(F237/1000)</f>
        <v>-11.772560183548562</v>
      </c>
      <c r="Q237" s="24">
        <f>Subsurface_Inputs!$C$38+Subsurface_Inputs!$C$39*H237-2*Subsurface_Inputs!$C$36*(I237/1000)</f>
        <v>-32.487652640220745</v>
      </c>
      <c r="R237" s="24">
        <f>Subsurface_Inputs!$C$40-2*Subsurface_Inputs!$C$36*(K237/1000)-Subsurface_Inputs!$C$41*ABS(L237-AVERAGE($L$2:$L$242))</f>
        <v>-33.634529638874717</v>
      </c>
      <c r="S237" s="24">
        <f t="shared" si="30"/>
        <v>-474.47027472897753</v>
      </c>
      <c r="T237" s="24">
        <f t="shared" si="31"/>
        <v>14.828972353931436</v>
      </c>
      <c r="U237" s="25" t="str">
        <f>IF(H237&gt;=Subsurface_Inputs!$C$42,"Lens visible","Weak/no lens")</f>
        <v>Weak/no lens</v>
      </c>
      <c r="V237" s="25" t="str">
        <f t="shared" si="32"/>
        <v>Likely visible</v>
      </c>
      <c r="W237" s="24">
        <f>Subsurface_Inputs!$C$43</f>
        <v>-45</v>
      </c>
      <c r="X237" s="24">
        <f t="shared" si="33"/>
        <v>12.512347359779255</v>
      </c>
      <c r="Y237" s="24">
        <f t="shared" si="34"/>
        <v>11.365470361125283</v>
      </c>
      <c r="Z237" s="24">
        <f t="shared" si="35"/>
        <v>12.512347359779255</v>
      </c>
      <c r="AA237" s="24">
        <v>0</v>
      </c>
    </row>
    <row r="238" spans="1:27">
      <c r="A238" s="24">
        <f>Model_Data!A238</f>
        <v>58</v>
      </c>
      <c r="B238" s="24">
        <f>Model_Data!Y238</f>
        <v>194.52778179385766</v>
      </c>
      <c r="C238" s="24">
        <f>Model_Data!X238</f>
        <v>30.070182113253747</v>
      </c>
      <c r="D238" s="24">
        <f>Model_Data!B238</f>
        <v>403.73777777777775</v>
      </c>
      <c r="E238" s="24">
        <f>Inputs!$C$6</f>
        <v>25</v>
      </c>
      <c r="F238" s="24">
        <f>Subsurface_Inputs!$C$5+Subsurface_Inputs!$C$6*SIN(2*PI()*(A238+Subsurface_Inputs!$C$7)/Subsurface_Inputs!$C$8)+Subsurface_Inputs!$C$9*COS(2*PI()*A238/Subsurface_Inputs!$C$10)+Subsurface_Inputs!$C$11*(B238-AVERAGE($B$2:$B$242))</f>
        <v>976.89523378297622</v>
      </c>
      <c r="G238" s="24">
        <f t="shared" si="27"/>
        <v>-782.36745198911854</v>
      </c>
      <c r="H238" s="24">
        <f>MIN(1,MAX(0,Subsurface_Inputs!$C$13*EXP(-0.5*((A238-Subsurface_Inputs!$C$14)/Subsurface_Inputs!$C$15)^2)+Subsurface_Inputs!$C$16*EXP(-0.5*((A238-Subsurface_Inputs!$C$17)/Subsurface_Inputs!$C$18)^2)))</f>
        <v>1.5312437827304003E-3</v>
      </c>
      <c r="I238" s="24">
        <f>Subsurface_Inputs!$C$19+Subsurface_Inputs!$C$20*SIN(2*PI()*(A238-Subsurface_Inputs!$C$21)/Subsurface_Inputs!$C$22)-Subsurface_Inputs!$C$23*H238</f>
        <v>4711.424826253924</v>
      </c>
      <c r="J238" s="24">
        <f t="shared" si="28"/>
        <v>-4516.8970444600664</v>
      </c>
      <c r="K238" s="24">
        <f>Subsurface_Inputs!$C$25+Subsurface_Inputs!$C$26*SIN(2*PI()*(A238+Subsurface_Inputs!$C$27)/Subsurface_Inputs!$C$28)+Subsurface_Inputs!$C$29*COS(2*PI()*(A238-Subsurface_Inputs!$C$30)/Subsurface_Inputs!$C$31)-Subsurface_Inputs!$C$32*(B238-AVERAGE($B$2:$B$242))</f>
        <v>14603.596271830193</v>
      </c>
      <c r="L238" s="24">
        <f t="shared" si="29"/>
        <v>-14409.068490036336</v>
      </c>
      <c r="M238" s="24">
        <f>2*Subsurface_Inputs!$C$34*F238/Subsurface_Inputs!$C$35*1000000</f>
        <v>11.600515421463323</v>
      </c>
      <c r="N238" s="24">
        <f>2*Subsurface_Inputs!$C$34*I238/Subsurface_Inputs!$C$35*1000000</f>
        <v>55.947612869780635</v>
      </c>
      <c r="O238" s="24">
        <f>2*Subsurface_Inputs!$C$34*K238/Subsurface_Inputs!$C$35*1000000</f>
        <v>173.41597942305634</v>
      </c>
      <c r="P238" s="24">
        <f>Subsurface_Inputs!$C$37-2*Subsurface_Inputs!$C$36*(F238/1000)</f>
        <v>-11.758411420809358</v>
      </c>
      <c r="Q238" s="24">
        <f>Subsurface_Inputs!$C$38+Subsurface_Inputs!$C$39*H238-2*Subsurface_Inputs!$C$36*(I238/1000)</f>
        <v>-32.466783493212489</v>
      </c>
      <c r="R238" s="24">
        <f>Subsurface_Inputs!$C$40-2*Subsurface_Inputs!$C$36*(K238/1000)-Subsurface_Inputs!$C$41*ABS(L238-AVERAGE($L$2:$L$242))</f>
        <v>-33.698029843120338</v>
      </c>
      <c r="S238" s="24">
        <f t="shared" si="30"/>
        <v>-473.78842374392116</v>
      </c>
      <c r="T238" s="24">
        <f t="shared" si="31"/>
        <v>14.948989171826053</v>
      </c>
      <c r="U238" s="25" t="str">
        <f>IF(H238&gt;=Subsurface_Inputs!$C$42,"Lens visible","Weak/no lens")</f>
        <v>Weak/no lens</v>
      </c>
      <c r="V238" s="25" t="str">
        <f t="shared" si="32"/>
        <v>Likely visible</v>
      </c>
      <c r="W238" s="24">
        <f>Subsurface_Inputs!$C$43</f>
        <v>-45</v>
      </c>
      <c r="X238" s="24">
        <f t="shared" si="33"/>
        <v>12.533216506787511</v>
      </c>
      <c r="Y238" s="24">
        <f t="shared" si="34"/>
        <v>11.301970156879662</v>
      </c>
      <c r="Z238" s="24">
        <f t="shared" si="35"/>
        <v>12.533216506787511</v>
      </c>
      <c r="AA238" s="24">
        <v>0</v>
      </c>
    </row>
    <row r="239" spans="1:27">
      <c r="A239" s="24">
        <f>Model_Data!A239</f>
        <v>58.5</v>
      </c>
      <c r="B239" s="24">
        <f>Model_Data!Y239</f>
        <v>188.33221875951745</v>
      </c>
      <c r="C239" s="24">
        <f>Model_Data!X239</f>
        <v>28.425297518081656</v>
      </c>
      <c r="D239" s="24">
        <f>Model_Data!B239</f>
        <v>403.80250000000001</v>
      </c>
      <c r="E239" s="24">
        <f>Inputs!$C$6</f>
        <v>25</v>
      </c>
      <c r="F239" s="24">
        <f>Subsurface_Inputs!$C$5+Subsurface_Inputs!$C$6*SIN(2*PI()*(A239+Subsurface_Inputs!$C$7)/Subsurface_Inputs!$C$8)+Subsurface_Inputs!$C$9*COS(2*PI()*A239/Subsurface_Inputs!$C$10)+Subsurface_Inputs!$C$11*(B239-AVERAGE($B$2:$B$242))</f>
        <v>969.85286933348948</v>
      </c>
      <c r="G239" s="24">
        <f t="shared" si="27"/>
        <v>-781.52065057397203</v>
      </c>
      <c r="H239" s="24">
        <f>MIN(1,MAX(0,Subsurface_Inputs!$C$13*EXP(-0.5*((A239-Subsurface_Inputs!$C$14)/Subsurface_Inputs!$C$15)^2)+Subsurface_Inputs!$C$16*EXP(-0.5*((A239-Subsurface_Inputs!$C$17)/Subsurface_Inputs!$C$18)^2)))</f>
        <v>1.2279881870894578E-3</v>
      </c>
      <c r="I239" s="24">
        <f>Subsurface_Inputs!$C$19+Subsurface_Inputs!$C$20*SIN(2*PI()*(A239-Subsurface_Inputs!$C$21)/Subsurface_Inputs!$C$22)-Subsurface_Inputs!$C$23*H239</f>
        <v>4698.5309093276883</v>
      </c>
      <c r="J239" s="24">
        <f t="shared" si="28"/>
        <v>-4510.1986905681706</v>
      </c>
      <c r="K239" s="24">
        <f>Subsurface_Inputs!$C$25+Subsurface_Inputs!$C$26*SIN(2*PI()*(A239+Subsurface_Inputs!$C$27)/Subsurface_Inputs!$C$28)+Subsurface_Inputs!$C$29*COS(2*PI()*(A239-Subsurface_Inputs!$C$30)/Subsurface_Inputs!$C$31)-Subsurface_Inputs!$C$32*(B239-AVERAGE($B$2:$B$242))</f>
        <v>14607.412196224737</v>
      </c>
      <c r="L239" s="24">
        <f t="shared" si="29"/>
        <v>-14419.079977465221</v>
      </c>
      <c r="M239" s="24">
        <f>2*Subsurface_Inputs!$C$34*F239/Subsurface_Inputs!$C$35*1000000</f>
        <v>11.51688817611023</v>
      </c>
      <c r="N239" s="24">
        <f>2*Subsurface_Inputs!$C$34*I239/Subsurface_Inputs!$C$35*1000000</f>
        <v>55.7944991304837</v>
      </c>
      <c r="O239" s="24">
        <f>2*Subsurface_Inputs!$C$34*K239/Subsurface_Inputs!$C$35*1000000</f>
        <v>173.46129307415754</v>
      </c>
      <c r="P239" s="24">
        <f>Subsurface_Inputs!$C$37-2*Subsurface_Inputs!$C$36*(F239/1000)</f>
        <v>-11.745735164800282</v>
      </c>
      <c r="Q239" s="24">
        <f>Subsurface_Inputs!$C$38+Subsurface_Inputs!$C$39*H239-2*Subsurface_Inputs!$C$36*(I239/1000)</f>
        <v>-32.446303743106036</v>
      </c>
      <c r="R239" s="24">
        <f>Subsurface_Inputs!$C$40-2*Subsurface_Inputs!$C$36*(K239/1000)-Subsurface_Inputs!$C$41*ABS(L239-AVERAGE($L$2:$L$242))</f>
        <v>-33.664852557314987</v>
      </c>
      <c r="S239" s="24">
        <f t="shared" si="30"/>
        <v>-469.97249934937645</v>
      </c>
      <c r="T239" s="24">
        <f t="shared" si="31"/>
        <v>15.061472371848904</v>
      </c>
      <c r="U239" s="25" t="str">
        <f>IF(H239&gt;=Subsurface_Inputs!$C$42,"Lens visible","Weak/no lens")</f>
        <v>Weak/no lens</v>
      </c>
      <c r="V239" s="25" t="str">
        <f t="shared" si="32"/>
        <v>Likely visible</v>
      </c>
      <c r="W239" s="24">
        <f>Subsurface_Inputs!$C$43</f>
        <v>-45</v>
      </c>
      <c r="X239" s="24">
        <f t="shared" si="33"/>
        <v>12.553696256893964</v>
      </c>
      <c r="Y239" s="24">
        <f t="shared" si="34"/>
        <v>11.335147442685013</v>
      </c>
      <c r="Z239" s="24">
        <f t="shared" si="35"/>
        <v>12.553696256893964</v>
      </c>
      <c r="AA239" s="24">
        <v>0</v>
      </c>
    </row>
    <row r="240" spans="1:27">
      <c r="A240" s="24">
        <f>Model_Data!A240</f>
        <v>59</v>
      </c>
      <c r="B240" s="24">
        <f>Model_Data!Y240</f>
        <v>193.74067782731254</v>
      </c>
      <c r="C240" s="24">
        <f>Model_Data!X240</f>
        <v>25.687015204981627</v>
      </c>
      <c r="D240" s="24">
        <f>Model_Data!B240</f>
        <v>403.8677777777778</v>
      </c>
      <c r="E240" s="24">
        <f>Inputs!$C$6</f>
        <v>25</v>
      </c>
      <c r="F240" s="24">
        <f>Subsurface_Inputs!$C$5+Subsurface_Inputs!$C$6*SIN(2*PI()*(A240+Subsurface_Inputs!$C$7)/Subsurface_Inputs!$C$8)+Subsurface_Inputs!$C$9*COS(2*PI()*A240/Subsurface_Inputs!$C$10)+Subsurface_Inputs!$C$11*(B240-AVERAGE($B$2:$B$242))</f>
        <v>965.00682914462948</v>
      </c>
      <c r="G240" s="24">
        <f t="shared" si="27"/>
        <v>-771.26615131731694</v>
      </c>
      <c r="H240" s="24">
        <f>MIN(1,MAX(0,Subsurface_Inputs!$C$13*EXP(-0.5*((A240-Subsurface_Inputs!$C$14)/Subsurface_Inputs!$C$15)^2)+Subsurface_Inputs!$C$16*EXP(-0.5*((A240-Subsurface_Inputs!$C$17)/Subsurface_Inputs!$C$18)^2)))</f>
        <v>9.8095159322081783E-4</v>
      </c>
      <c r="I240" s="24">
        <f>Subsurface_Inputs!$C$19+Subsurface_Inputs!$C$20*SIN(2*PI()*(A240-Subsurface_Inputs!$C$21)/Subsurface_Inputs!$C$22)-Subsurface_Inputs!$C$23*H240</f>
        <v>4686.2122785554448</v>
      </c>
      <c r="J240" s="24">
        <f t="shared" si="28"/>
        <v>-4492.4716007281322</v>
      </c>
      <c r="K240" s="24">
        <f>Subsurface_Inputs!$C$25+Subsurface_Inputs!$C$26*SIN(2*PI()*(A240+Subsurface_Inputs!$C$27)/Subsurface_Inputs!$C$28)+Subsurface_Inputs!$C$29*COS(2*PI()*(A240-Subsurface_Inputs!$C$30)/Subsurface_Inputs!$C$31)-Subsurface_Inputs!$C$32*(B240-AVERAGE($B$2:$B$242))</f>
        <v>14609.562196914057</v>
      </c>
      <c r="L240" s="24">
        <f t="shared" si="29"/>
        <v>-14415.821519086745</v>
      </c>
      <c r="M240" s="24">
        <f>2*Subsurface_Inputs!$C$34*F240/Subsurface_Inputs!$C$35*1000000</f>
        <v>11.459342021722511</v>
      </c>
      <c r="N240" s="24">
        <f>2*Subsurface_Inputs!$C$34*I240/Subsurface_Inputs!$C$35*1000000</f>
        <v>55.648216846260304</v>
      </c>
      <c r="O240" s="24">
        <f>2*Subsurface_Inputs!$C$34*K240/Subsurface_Inputs!$C$35*1000000</f>
        <v>173.48682407818958</v>
      </c>
      <c r="P240" s="24">
        <f>Subsurface_Inputs!$C$37-2*Subsurface_Inputs!$C$36*(F240/1000)</f>
        <v>-11.737012292460333</v>
      </c>
      <c r="Q240" s="24">
        <f>Subsurface_Inputs!$C$38+Subsurface_Inputs!$C$39*H240-2*Subsurface_Inputs!$C$36*(I240/1000)</f>
        <v>-32.426353537060812</v>
      </c>
      <c r="R240" s="24">
        <f>Subsurface_Inputs!$C$40-2*Subsurface_Inputs!$C$36*(K240/1000)-Subsurface_Inputs!$C$41*ABS(L240-AVERAGE($L$2:$L$242))</f>
        <v>-33.681756392069659</v>
      </c>
      <c r="S240" s="24">
        <f t="shared" si="30"/>
        <v>-467.82249866005623</v>
      </c>
      <c r="T240" s="24">
        <f t="shared" si="31"/>
        <v>15.139335552540906</v>
      </c>
      <c r="U240" s="25" t="str">
        <f>IF(H240&gt;=Subsurface_Inputs!$C$42,"Lens visible","Weak/no lens")</f>
        <v>Weak/no lens</v>
      </c>
      <c r="V240" s="25" t="str">
        <f t="shared" si="32"/>
        <v>Likely visible</v>
      </c>
      <c r="W240" s="24">
        <f>Subsurface_Inputs!$C$43</f>
        <v>-45</v>
      </c>
      <c r="X240" s="24">
        <f t="shared" si="33"/>
        <v>12.573646462939188</v>
      </c>
      <c r="Y240" s="24">
        <f t="shared" si="34"/>
        <v>11.318243607930341</v>
      </c>
      <c r="Z240" s="24">
        <f t="shared" si="35"/>
        <v>12.573646462939188</v>
      </c>
      <c r="AA240" s="24">
        <v>0</v>
      </c>
    </row>
    <row r="241" spans="1:27">
      <c r="A241" s="24">
        <f>Model_Data!A241</f>
        <v>59.5</v>
      </c>
      <c r="B241" s="24">
        <f>Model_Data!Y241</f>
        <v>168.97901642333537</v>
      </c>
      <c r="C241" s="24">
        <f>Model_Data!X241</f>
        <v>45.681577079315673</v>
      </c>
      <c r="D241" s="24">
        <f>Model_Data!B241</f>
        <v>403.93361111111113</v>
      </c>
      <c r="E241" s="24">
        <f>Inputs!$C$6</f>
        <v>25</v>
      </c>
      <c r="F241" s="24">
        <f>Subsurface_Inputs!$C$5+Subsurface_Inputs!$C$6*SIN(2*PI()*(A241+Subsurface_Inputs!$C$7)/Subsurface_Inputs!$C$8)+Subsurface_Inputs!$C$9*COS(2*PI()*A241/Subsurface_Inputs!$C$10)+Subsurface_Inputs!$C$11*(B241-AVERAGE($B$2:$B$242))</f>
        <v>960.67870981033388</v>
      </c>
      <c r="G241" s="24">
        <f t="shared" si="27"/>
        <v>-791.69969338699855</v>
      </c>
      <c r="H241" s="24">
        <f>MIN(1,MAX(0,Subsurface_Inputs!$C$13*EXP(-0.5*((A241-Subsurface_Inputs!$C$14)/Subsurface_Inputs!$C$15)^2)+Subsurface_Inputs!$C$16*EXP(-0.5*((A241-Subsurface_Inputs!$C$17)/Subsurface_Inputs!$C$18)^2)))</f>
        <v>7.8055678271528577E-4</v>
      </c>
      <c r="I241" s="24">
        <f>Subsurface_Inputs!$C$19+Subsurface_Inputs!$C$20*SIN(2*PI()*(A241-Subsurface_Inputs!$C$21)/Subsurface_Inputs!$C$22)-Subsurface_Inputs!$C$23*H241</f>
        <v>4674.4893987734558</v>
      </c>
      <c r="J241" s="24">
        <f t="shared" si="28"/>
        <v>-4505.5103823501204</v>
      </c>
      <c r="K241" s="24">
        <f>Subsurface_Inputs!$C$25+Subsurface_Inputs!$C$26*SIN(2*PI()*(A241+Subsurface_Inputs!$C$27)/Subsurface_Inputs!$C$28)+Subsurface_Inputs!$C$29*COS(2*PI()*(A241-Subsurface_Inputs!$C$30)/Subsurface_Inputs!$C$31)-Subsurface_Inputs!$C$32*(B241-AVERAGE($B$2:$B$242))</f>
        <v>14615.862307364549</v>
      </c>
      <c r="L241" s="24">
        <f t="shared" si="29"/>
        <v>-14446.883290941214</v>
      </c>
      <c r="M241" s="24">
        <f>2*Subsurface_Inputs!$C$34*F241/Subsurface_Inputs!$C$35*1000000</f>
        <v>11.407946116258831</v>
      </c>
      <c r="N241" s="24">
        <f>2*Subsurface_Inputs!$C$34*I241/Subsurface_Inputs!$C$35*1000000</f>
        <v>55.509009034621897</v>
      </c>
      <c r="O241" s="24">
        <f>2*Subsurface_Inputs!$C$34*K241/Subsurface_Inputs!$C$35*1000000</f>
        <v>173.56163714504717</v>
      </c>
      <c r="P241" s="24">
        <f>Subsurface_Inputs!$C$37-2*Subsurface_Inputs!$C$36*(F241/1000)</f>
        <v>-11.7292216776586</v>
      </c>
      <c r="Q241" s="24">
        <f>Subsurface_Inputs!$C$38+Subsurface_Inputs!$C$39*H241-2*Subsurface_Inputs!$C$36*(I241/1000)</f>
        <v>-32.407055906747786</v>
      </c>
      <c r="R241" s="24">
        <f>Subsurface_Inputs!$C$40-2*Subsurface_Inputs!$C$36*(K241/1000)-Subsurface_Inputs!$C$41*ABS(L241-AVERAGE($L$2:$L$242))</f>
        <v>-33.568849503462665</v>
      </c>
      <c r="S241" s="24">
        <f t="shared" si="30"/>
        <v>-461.52238820956518</v>
      </c>
      <c r="T241" s="24">
        <f t="shared" si="31"/>
        <v>15.21410036270102</v>
      </c>
      <c r="U241" s="25" t="str">
        <f>IF(H241&gt;=Subsurface_Inputs!$C$42,"Lens visible","Weak/no lens")</f>
        <v>Weak/no lens</v>
      </c>
      <c r="V241" s="25" t="str">
        <f t="shared" si="32"/>
        <v>Likely visible</v>
      </c>
      <c r="W241" s="24">
        <f>Subsurface_Inputs!$C$43</f>
        <v>-45</v>
      </c>
      <c r="X241" s="24">
        <f t="shared" si="33"/>
        <v>12.592944093252214</v>
      </c>
      <c r="Y241" s="24">
        <f t="shared" si="34"/>
        <v>11.431150496537335</v>
      </c>
      <c r="Z241" s="24">
        <f t="shared" si="35"/>
        <v>12.592944093252214</v>
      </c>
      <c r="AA241" s="24">
        <v>0</v>
      </c>
    </row>
    <row r="242" spans="1:27">
      <c r="A242" s="24">
        <f>Model_Data!A242</f>
        <v>60</v>
      </c>
      <c r="B242" s="24">
        <f>Model_Data!Y242</f>
        <v>179.34901119414707</v>
      </c>
      <c r="C242" s="24">
        <f>Model_Data!X242</f>
        <v>31.89413090916895</v>
      </c>
      <c r="D242" s="24">
        <f>Model_Data!B242</f>
        <v>404</v>
      </c>
      <c r="E242" s="24">
        <f>Inputs!$C$6</f>
        <v>25</v>
      </c>
      <c r="F242" s="24">
        <f>Subsurface_Inputs!$C$5+Subsurface_Inputs!$C$6*SIN(2*PI()*(A242+Subsurface_Inputs!$C$7)/Subsurface_Inputs!$C$8)+Subsurface_Inputs!$C$9*COS(2*PI()*A242/Subsurface_Inputs!$C$10)+Subsurface_Inputs!$C$11*(B242-AVERAGE($B$2:$B$242))</f>
        <v>959.45013571673951</v>
      </c>
      <c r="G242" s="24">
        <f t="shared" si="27"/>
        <v>-780.1011245225925</v>
      </c>
      <c r="H242" s="24">
        <f>MIN(1,MAX(0,Subsurface_Inputs!$C$13*EXP(-0.5*((A242-Subsurface_Inputs!$C$14)/Subsurface_Inputs!$C$15)^2)+Subsurface_Inputs!$C$16*EXP(-0.5*((A242-Subsurface_Inputs!$C$17)/Subsurface_Inputs!$C$18)^2)))</f>
        <v>6.186784148549876E-4</v>
      </c>
      <c r="I242" s="24">
        <f>Subsurface_Inputs!$C$19+Subsurface_Inputs!$C$20*SIN(2*PI()*(A242-Subsurface_Inputs!$C$21)/Subsurface_Inputs!$C$22)-Subsurface_Inputs!$C$23*H242</f>
        <v>4663.3814955918206</v>
      </c>
      <c r="J242" s="24">
        <f t="shared" si="28"/>
        <v>-4484.0324843976732</v>
      </c>
      <c r="K242" s="24">
        <f>Subsurface_Inputs!$C$25+Subsurface_Inputs!$C$26*SIN(2*PI()*(A242+Subsurface_Inputs!$C$27)/Subsurface_Inputs!$C$28)+Subsurface_Inputs!$C$29*COS(2*PI()*(A242-Subsurface_Inputs!$C$30)/Subsurface_Inputs!$C$31)-Subsurface_Inputs!$C$32*(B242-AVERAGE($B$2:$B$242))</f>
        <v>14617.138727886957</v>
      </c>
      <c r="L242" s="24">
        <f t="shared" si="29"/>
        <v>-14437.789716692811</v>
      </c>
      <c r="M242" s="24">
        <f>2*Subsurface_Inputs!$C$34*F242/Subsurface_Inputs!$C$35*1000000</f>
        <v>11.393356944128303</v>
      </c>
      <c r="N242" s="24">
        <f>2*Subsurface_Inputs!$C$34*I242/Subsurface_Inputs!$C$35*1000000</f>
        <v>55.377103997415716</v>
      </c>
      <c r="O242" s="24">
        <f>2*Subsurface_Inputs!$C$34*K242/Subsurface_Inputs!$C$35*1000000</f>
        <v>173.57679448786388</v>
      </c>
      <c r="P242" s="24">
        <f>Subsurface_Inputs!$C$37-2*Subsurface_Inputs!$C$36*(F242/1000)</f>
        <v>-11.727010244290131</v>
      </c>
      <c r="Q242" s="24">
        <f>Subsurface_Inputs!$C$38+Subsurface_Inputs!$C$39*H242-2*Subsurface_Inputs!$C$36*(I242/1000)</f>
        <v>-32.388518586331585</v>
      </c>
      <c r="R242" s="24">
        <f>Subsurface_Inputs!$C$40-2*Subsurface_Inputs!$C$36*(K242/1000)-Subsurface_Inputs!$C$41*ABS(L242-AVERAGE($L$2:$L$242))</f>
        <v>-33.607521357396614</v>
      </c>
      <c r="S242" s="24">
        <f t="shared" si="30"/>
        <v>-460.24596768715674</v>
      </c>
      <c r="T242" s="24">
        <f t="shared" si="31"/>
        <v>15.234912356302386</v>
      </c>
      <c r="U242" s="25" t="str">
        <f>IF(H242&gt;=Subsurface_Inputs!$C$42,"Lens visible","Weak/no lens")</f>
        <v>Weak/no lens</v>
      </c>
      <c r="V242" s="25" t="str">
        <f t="shared" si="32"/>
        <v>Likely visible</v>
      </c>
      <c r="W242" s="24">
        <f>Subsurface_Inputs!$C$43</f>
        <v>-45</v>
      </c>
      <c r="X242" s="24">
        <f t="shared" si="33"/>
        <v>12.611481413668415</v>
      </c>
      <c r="Y242" s="24">
        <f t="shared" si="34"/>
        <v>11.392478642603386</v>
      </c>
      <c r="Z242" s="24">
        <f t="shared" si="35"/>
        <v>12.611481413668415</v>
      </c>
      <c r="AA242" s="24">
        <v>0</v>
      </c>
    </row>
  </sheetData>
  <autoFilter ref="A1:V24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42"/>
  <sheetViews>
    <sheetView workbookViewId="0">
      <pane ySplit="1" topLeftCell="A2" activePane="bottomLeft" state="frozen"/>
      <selection pane="bottomLeft"/>
    </sheetView>
  </sheetViews>
  <sheetFormatPr defaultRowHeight="13.8"/>
  <cols>
    <col min="1" max="10" width="20" customWidth="1"/>
  </cols>
  <sheetData>
    <row r="1" spans="1:10" ht="27.6">
      <c r="A1" s="23" t="s">
        <v>404</v>
      </c>
      <c r="B1" s="23" t="s">
        <v>475</v>
      </c>
      <c r="C1" s="23" t="s">
        <v>476</v>
      </c>
      <c r="D1" s="23" t="s">
        <v>477</v>
      </c>
      <c r="E1" s="23" t="s">
        <v>478</v>
      </c>
      <c r="F1" s="23" t="s">
        <v>479</v>
      </c>
      <c r="G1" s="23" t="s">
        <v>480</v>
      </c>
      <c r="H1" s="23" t="s">
        <v>481</v>
      </c>
      <c r="I1" s="23" t="s">
        <v>482</v>
      </c>
      <c r="J1" s="23" t="s">
        <v>474</v>
      </c>
    </row>
    <row r="2" spans="1:10">
      <c r="A2" s="25">
        <f>Subsurface_Live_Data!A2</f>
        <v>-60</v>
      </c>
      <c r="B2" s="25">
        <f>Subsurface_Live_Data!K2</f>
        <v>14538.343476908214</v>
      </c>
      <c r="C2" s="25">
        <f>MAX(0,B2-Subsurface_Inputs!$C$44)</f>
        <v>13038.343476908214</v>
      </c>
      <c r="D2" s="25">
        <f>B2+Subsurface_Inputs!$C$44</f>
        <v>16038.343476908214</v>
      </c>
      <c r="E2" s="25">
        <f>B2*Subsurface_Inputs!$C$45</f>
        <v>7996.0889122995186</v>
      </c>
      <c r="F2" s="25">
        <f t="shared" ref="F2:F65" si="0">B2</f>
        <v>14538.343476908214</v>
      </c>
      <c r="G2" s="25">
        <f>B2*Subsurface_Inputs!$C$46</f>
        <v>25442.101084589376</v>
      </c>
      <c r="H2" s="25">
        <f>Subsurface_Live_Data!Y2</f>
        <v>11.45881959240657</v>
      </c>
      <c r="I2" s="25">
        <f>Subsurface_Inputs!$C$47-Subsurface_Inputs!$C$43+2*SIN(2*PI()*A2/42)</f>
        <v>-15.867767478235116</v>
      </c>
      <c r="J2" s="25">
        <v>0</v>
      </c>
    </row>
    <row r="3" spans="1:10">
      <c r="A3" s="25">
        <f>Subsurface_Live_Data!A3</f>
        <v>-59.5</v>
      </c>
      <c r="B3" s="25">
        <f>Subsurface_Live_Data!K3</f>
        <v>14548.766391190573</v>
      </c>
      <c r="C3" s="25">
        <f>MAX(0,B3-Subsurface_Inputs!$C$44)</f>
        <v>13048.766391190573</v>
      </c>
      <c r="D3" s="25">
        <f>B3+Subsurface_Inputs!$C$44</f>
        <v>16048.766391190573</v>
      </c>
      <c r="E3" s="25">
        <f>B3*Subsurface_Inputs!$C$45</f>
        <v>8001.8215151548156</v>
      </c>
      <c r="F3" s="25">
        <f t="shared" si="0"/>
        <v>14548.766391190573</v>
      </c>
      <c r="G3" s="25">
        <f>B3*Subsurface_Inputs!$C$46</f>
        <v>25460.341184583503</v>
      </c>
      <c r="H3" s="25">
        <f>Subsurface_Live_Data!Y3</f>
        <v>11.516671286898983</v>
      </c>
      <c r="I3" s="25">
        <f>Subsurface_Inputs!$C$47-Subsurface_Inputs!$C$43+2*SIN(2*PI()*A3/42)</f>
        <v>-16.000000000000004</v>
      </c>
      <c r="J3" s="25">
        <v>0</v>
      </c>
    </row>
    <row r="4" spans="1:10">
      <c r="A4" s="25">
        <f>Subsurface_Live_Data!A4</f>
        <v>-59</v>
      </c>
      <c r="B4" s="25">
        <f>Subsurface_Live_Data!K4</f>
        <v>14557.33823698979</v>
      </c>
      <c r="C4" s="25">
        <f>MAX(0,B4-Subsurface_Inputs!$C$44)</f>
        <v>13057.33823698979</v>
      </c>
      <c r="D4" s="25">
        <f>B4+Subsurface_Inputs!$C$44</f>
        <v>16057.33823698979</v>
      </c>
      <c r="E4" s="25">
        <f>B4*Subsurface_Inputs!$C$45</f>
        <v>8006.5360303443849</v>
      </c>
      <c r="F4" s="25">
        <f t="shared" si="0"/>
        <v>14557.33823698979</v>
      </c>
      <c r="G4" s="25">
        <f>B4*Subsurface_Inputs!$C$46</f>
        <v>25475.341914732133</v>
      </c>
      <c r="H4" s="25">
        <f>Subsurface_Live_Data!Y4</f>
        <v>11.526344830412228</v>
      </c>
      <c r="I4" s="25">
        <f>Subsurface_Inputs!$C$47-Subsurface_Inputs!$C$43+2*SIN(2*PI()*A4/42)</f>
        <v>-16.126640116127245</v>
      </c>
      <c r="J4" s="25">
        <v>0</v>
      </c>
    </row>
    <row r="5" spans="1:10">
      <c r="A5" s="25">
        <f>Subsurface_Live_Data!A5</f>
        <v>-58.5</v>
      </c>
      <c r="B5" s="25">
        <f>Subsurface_Live_Data!K5</f>
        <v>14562.907070815563</v>
      </c>
      <c r="C5" s="25">
        <f>MAX(0,B5-Subsurface_Inputs!$C$44)</f>
        <v>13062.907070815563</v>
      </c>
      <c r="D5" s="25">
        <f>B5+Subsurface_Inputs!$C$44</f>
        <v>16062.907070815563</v>
      </c>
      <c r="E5" s="25">
        <f>B5*Subsurface_Inputs!$C$45</f>
        <v>8009.5988889485607</v>
      </c>
      <c r="F5" s="25">
        <f t="shared" si="0"/>
        <v>14562.907070815563</v>
      </c>
      <c r="G5" s="25">
        <f>B5*Subsurface_Inputs!$C$46</f>
        <v>25485.087373927236</v>
      </c>
      <c r="H5" s="25">
        <f>Subsurface_Live_Data!Y5</f>
        <v>11.453021717594453</v>
      </c>
      <c r="I5" s="25">
        <f>Subsurface_Inputs!$C$47-Subsurface_Inputs!$C$43+2*SIN(2*PI()*A5/42)</f>
        <v>-16.246979603717467</v>
      </c>
      <c r="J5" s="25">
        <v>0</v>
      </c>
    </row>
    <row r="6" spans="1:10">
      <c r="A6" s="25">
        <f>Subsurface_Live_Data!A6</f>
        <v>-58</v>
      </c>
      <c r="B6" s="25">
        <f>Subsurface_Live_Data!K6</f>
        <v>14573.125618242737</v>
      </c>
      <c r="C6" s="25">
        <f>MAX(0,B6-Subsurface_Inputs!$C$44)</f>
        <v>13073.125618242737</v>
      </c>
      <c r="D6" s="25">
        <f>B6+Subsurface_Inputs!$C$44</f>
        <v>16073.125618242737</v>
      </c>
      <c r="E6" s="25">
        <f>B6*Subsurface_Inputs!$C$45</f>
        <v>8015.2190900335063</v>
      </c>
      <c r="F6" s="25">
        <f t="shared" si="0"/>
        <v>14573.125618242737</v>
      </c>
      <c r="G6" s="25">
        <f>B6*Subsurface_Inputs!$C$46</f>
        <v>25502.969831924791</v>
      </c>
      <c r="H6" s="25">
        <f>Subsurface_Live_Data!Y6</f>
        <v>11.532767729891454</v>
      </c>
      <c r="I6" s="25">
        <f>Subsurface_Inputs!$C$47-Subsurface_Inputs!$C$43+2*SIN(2*PI()*A6/42)</f>
        <v>-16.360345475541838</v>
      </c>
      <c r="J6" s="25">
        <v>0</v>
      </c>
    </row>
    <row r="7" spans="1:10">
      <c r="A7" s="25">
        <f>Subsurface_Live_Data!A7</f>
        <v>-57.5</v>
      </c>
      <c r="B7" s="25">
        <f>Subsurface_Live_Data!K7</f>
        <v>14578.335140524403</v>
      </c>
      <c r="C7" s="25">
        <f>MAX(0,B7-Subsurface_Inputs!$C$44)</f>
        <v>13078.335140524403</v>
      </c>
      <c r="D7" s="25">
        <f>B7+Subsurface_Inputs!$C$44</f>
        <v>16078.335140524403</v>
      </c>
      <c r="E7" s="25">
        <f>B7*Subsurface_Inputs!$C$45</f>
        <v>8018.0843272884222</v>
      </c>
      <c r="F7" s="25">
        <f t="shared" si="0"/>
        <v>14578.335140524403</v>
      </c>
      <c r="G7" s="25">
        <f>B7*Subsurface_Inputs!$C$46</f>
        <v>25512.086495917705</v>
      </c>
      <c r="H7" s="25">
        <f>Subsurface_Live_Data!Y7</f>
        <v>11.468900738164521</v>
      </c>
      <c r="I7" s="25">
        <f>Subsurface_Inputs!$C$47-Subsurface_Inputs!$C$43+2*SIN(2*PI()*A7/42)</f>
        <v>-16.466103743659652</v>
      </c>
      <c r="J7" s="25">
        <v>0</v>
      </c>
    </row>
    <row r="8" spans="1:10">
      <c r="A8" s="25">
        <f>Subsurface_Live_Data!A8</f>
        <v>-57</v>
      </c>
      <c r="B8" s="25">
        <f>Subsurface_Live_Data!K8</f>
        <v>14585.997030216358</v>
      </c>
      <c r="C8" s="25">
        <f>MAX(0,B8-Subsurface_Inputs!$C$44)</f>
        <v>13085.997030216358</v>
      </c>
      <c r="D8" s="25">
        <f>B8+Subsurface_Inputs!$C$44</f>
        <v>16085.997030216358</v>
      </c>
      <c r="E8" s="25">
        <f>B8*Subsurface_Inputs!$C$45</f>
        <v>8022.2983666189975</v>
      </c>
      <c r="F8" s="25">
        <f t="shared" si="0"/>
        <v>14585.997030216358</v>
      </c>
      <c r="G8" s="25">
        <f>B8*Subsurface_Inputs!$C$46</f>
        <v>25525.494802878628</v>
      </c>
      <c r="H8" s="25">
        <f>Subsurface_Live_Data!Y8</f>
        <v>11.491498763485289</v>
      </c>
      <c r="I8" s="25">
        <f>Subsurface_Inputs!$C$47-Subsurface_Inputs!$C$43+2*SIN(2*PI()*A8/42)</f>
        <v>-16.563662964936061</v>
      </c>
      <c r="J8" s="25">
        <v>0</v>
      </c>
    </row>
    <row r="9" spans="1:10">
      <c r="A9" s="25">
        <f>Subsurface_Live_Data!A9</f>
        <v>-56.5</v>
      </c>
      <c r="B9" s="25">
        <f>Subsurface_Live_Data!K9</f>
        <v>14592.499316370247</v>
      </c>
      <c r="C9" s="25">
        <f>MAX(0,B9-Subsurface_Inputs!$C$44)</f>
        <v>13092.499316370247</v>
      </c>
      <c r="D9" s="25">
        <f>B9+Subsurface_Inputs!$C$44</f>
        <v>16092.499316370247</v>
      </c>
      <c r="E9" s="25">
        <f>B9*Subsurface_Inputs!$C$45</f>
        <v>8025.8746240036371</v>
      </c>
      <c r="F9" s="25">
        <f t="shared" si="0"/>
        <v>14592.499316370247</v>
      </c>
      <c r="G9" s="25">
        <f>B9*Subsurface_Inputs!$C$46</f>
        <v>25536.873803647934</v>
      </c>
      <c r="H9" s="25">
        <f>Subsurface_Live_Data!Y9</f>
        <v>11.489844684066831</v>
      </c>
      <c r="I9" s="25">
        <f>Subsurface_Inputs!$C$47-Subsurface_Inputs!$C$43+2*SIN(2*PI()*A9/42)</f>
        <v>-16.652477548631989</v>
      </c>
      <c r="J9" s="25">
        <v>0</v>
      </c>
    </row>
    <row r="10" spans="1:10">
      <c r="A10" s="25">
        <f>Subsurface_Live_Data!A10</f>
        <v>-56</v>
      </c>
      <c r="B10" s="25">
        <f>Subsurface_Live_Data!K10</f>
        <v>14595.55464426455</v>
      </c>
      <c r="C10" s="25">
        <f>MAX(0,B10-Subsurface_Inputs!$C$44)</f>
        <v>13095.55464426455</v>
      </c>
      <c r="D10" s="25">
        <f>B10+Subsurface_Inputs!$C$44</f>
        <v>16095.55464426455</v>
      </c>
      <c r="E10" s="25">
        <f>B10*Subsurface_Inputs!$C$45</f>
        <v>8027.5550543455029</v>
      </c>
      <c r="F10" s="25">
        <f t="shared" si="0"/>
        <v>14595.55464426455</v>
      </c>
      <c r="G10" s="25">
        <f>B10*Subsurface_Inputs!$C$46</f>
        <v>25542.220627462964</v>
      </c>
      <c r="H10" s="25">
        <f>Subsurface_Live_Data!Y10</f>
        <v>11.393928747671431</v>
      </c>
      <c r="I10" s="25">
        <f>Subsurface_Inputs!$C$47-Subsurface_Inputs!$C$43+2*SIN(2*PI()*A10/42)</f>
        <v>-16.732050807568879</v>
      </c>
      <c r="J10" s="25">
        <v>0</v>
      </c>
    </row>
    <row r="11" spans="1:10">
      <c r="A11" s="25">
        <f>Subsurface_Live_Data!A11</f>
        <v>-55.5</v>
      </c>
      <c r="B11" s="25">
        <f>Subsurface_Live_Data!K11</f>
        <v>14602.692839300287</v>
      </c>
      <c r="C11" s="25">
        <f>MAX(0,B11-Subsurface_Inputs!$C$44)</f>
        <v>13102.692839300287</v>
      </c>
      <c r="D11" s="25">
        <f>B11+Subsurface_Inputs!$C$44</f>
        <v>16102.692839300287</v>
      </c>
      <c r="E11" s="25">
        <f>B11*Subsurface_Inputs!$C$45</f>
        <v>8031.481061615159</v>
      </c>
      <c r="F11" s="25">
        <f t="shared" si="0"/>
        <v>14602.692839300287</v>
      </c>
      <c r="G11" s="25">
        <f>B11*Subsurface_Inputs!$C$46</f>
        <v>25554.712468775502</v>
      </c>
      <c r="H11" s="25">
        <f>Subsurface_Live_Data!Y11</f>
        <v>11.435776008351453</v>
      </c>
      <c r="I11" s="25">
        <f>Subsurface_Inputs!$C$47-Subsurface_Inputs!$C$43+2*SIN(2*PI()*A11/42)</f>
        <v>-16.801937735804838</v>
      </c>
      <c r="J11" s="25">
        <v>0</v>
      </c>
    </row>
    <row r="12" spans="1:10">
      <c r="A12" s="25">
        <f>Subsurface_Live_Data!A12</f>
        <v>-55</v>
      </c>
      <c r="B12" s="25">
        <f>Subsurface_Live_Data!K12</f>
        <v>14606.307966267494</v>
      </c>
      <c r="C12" s="25">
        <f>MAX(0,B12-Subsurface_Inputs!$C$44)</f>
        <v>13106.307966267494</v>
      </c>
      <c r="D12" s="25">
        <f>B12+Subsurface_Inputs!$C$44</f>
        <v>16106.307966267494</v>
      </c>
      <c r="E12" s="25">
        <f>B12*Subsurface_Inputs!$C$45</f>
        <v>8033.469381447122</v>
      </c>
      <c r="F12" s="25">
        <f t="shared" si="0"/>
        <v>14606.307966267494</v>
      </c>
      <c r="G12" s="25">
        <f>B12*Subsurface_Inputs!$C$46</f>
        <v>25561.038940968116</v>
      </c>
      <c r="H12" s="25">
        <f>Subsurface_Live_Data!Y12</f>
        <v>11.381607957439776</v>
      </c>
      <c r="I12" s="25">
        <f>Subsurface_Inputs!$C$47-Subsurface_Inputs!$C$43+2*SIN(2*PI()*A12/42)</f>
        <v>-16.861747497288409</v>
      </c>
      <c r="J12" s="25">
        <v>0</v>
      </c>
    </row>
    <row r="13" spans="1:10">
      <c r="A13" s="25">
        <f>Subsurface_Live_Data!A13</f>
        <v>-54.5</v>
      </c>
      <c r="B13" s="25">
        <f>Subsurface_Live_Data!K13</f>
        <v>14609.094149774912</v>
      </c>
      <c r="C13" s="25">
        <f>MAX(0,B13-Subsurface_Inputs!$C$44)</f>
        <v>13109.094149774912</v>
      </c>
      <c r="D13" s="25">
        <f>B13+Subsurface_Inputs!$C$44</f>
        <v>16109.094149774912</v>
      </c>
      <c r="E13" s="25">
        <f>B13*Subsurface_Inputs!$C$45</f>
        <v>8035.0017823762018</v>
      </c>
      <c r="F13" s="25">
        <f t="shared" si="0"/>
        <v>14609.094149774912</v>
      </c>
      <c r="G13" s="25">
        <f>B13*Subsurface_Inputs!$C$46</f>
        <v>25565.914762106095</v>
      </c>
      <c r="H13" s="25">
        <f>Subsurface_Live_Data!Y13</f>
        <v>11.314538472300406</v>
      </c>
      <c r="I13" s="25">
        <f>Subsurface_Inputs!$C$47-Subsurface_Inputs!$C$43+2*SIN(2*PI()*A13/42)</f>
        <v>-16.91114561157228</v>
      </c>
      <c r="J13" s="25">
        <v>0</v>
      </c>
    </row>
    <row r="14" spans="1:10">
      <c r="A14" s="25">
        <f>Subsurface_Live_Data!A14</f>
        <v>-54</v>
      </c>
      <c r="B14" s="25">
        <f>Subsurface_Live_Data!K14</f>
        <v>14613.717465260237</v>
      </c>
      <c r="C14" s="25">
        <f>MAX(0,B14-Subsurface_Inputs!$C$44)</f>
        <v>13113.717465260237</v>
      </c>
      <c r="D14" s="25">
        <f>B14+Subsurface_Inputs!$C$44</f>
        <v>16113.717465260237</v>
      </c>
      <c r="E14" s="25">
        <f>B14*Subsurface_Inputs!$C$45</f>
        <v>8037.5446058931311</v>
      </c>
      <c r="F14" s="25">
        <f t="shared" si="0"/>
        <v>14613.717465260237</v>
      </c>
      <c r="G14" s="25">
        <f>B14*Subsurface_Inputs!$C$46</f>
        <v>25574.005564205414</v>
      </c>
      <c r="H14" s="25">
        <f>Subsurface_Live_Data!Y14</f>
        <v>11.31676271977868</v>
      </c>
      <c r="I14" s="25">
        <f>Subsurface_Inputs!$C$47-Subsurface_Inputs!$C$43+2*SIN(2*PI()*A14/42)</f>
        <v>-16.949855824363649</v>
      </c>
      <c r="J14" s="25">
        <v>0</v>
      </c>
    </row>
    <row r="15" spans="1:10">
      <c r="A15" s="25">
        <f>Subsurface_Live_Data!A15</f>
        <v>-53.5</v>
      </c>
      <c r="B15" s="25">
        <f>Subsurface_Live_Data!K15</f>
        <v>14615.557901101563</v>
      </c>
      <c r="C15" s="25">
        <f>MAX(0,B15-Subsurface_Inputs!$C$44)</f>
        <v>13115.557901101563</v>
      </c>
      <c r="D15" s="25">
        <f>B15+Subsurface_Inputs!$C$44</f>
        <v>16115.557901101563</v>
      </c>
      <c r="E15" s="25">
        <f>B15*Subsurface_Inputs!$C$45</f>
        <v>8038.5568456058609</v>
      </c>
      <c r="F15" s="25">
        <f t="shared" si="0"/>
        <v>14615.557901101563</v>
      </c>
      <c r="G15" s="25">
        <f>B15*Subsurface_Inputs!$C$46</f>
        <v>25577.226326927735</v>
      </c>
      <c r="H15" s="25">
        <f>Subsurface_Live_Data!Y15</f>
        <v>11.246216688552344</v>
      </c>
      <c r="I15" s="25">
        <f>Subsurface_Inputs!$C$47-Subsurface_Inputs!$C$43+2*SIN(2*PI()*A15/42)</f>
        <v>-16.977661652450259</v>
      </c>
      <c r="J15" s="25">
        <v>0</v>
      </c>
    </row>
    <row r="16" spans="1:10">
      <c r="A16" s="25">
        <f>Subsurface_Live_Data!A16</f>
        <v>-53</v>
      </c>
      <c r="B16" s="25">
        <f>Subsurface_Live_Data!K16</f>
        <v>14618.824704591409</v>
      </c>
      <c r="C16" s="25">
        <f>MAX(0,B16-Subsurface_Inputs!$C$44)</f>
        <v>13118.824704591409</v>
      </c>
      <c r="D16" s="25">
        <f>B16+Subsurface_Inputs!$C$44</f>
        <v>16118.824704591409</v>
      </c>
      <c r="E16" s="25">
        <f>B16*Subsurface_Inputs!$C$45</f>
        <v>8040.3535875252755</v>
      </c>
      <c r="F16" s="25">
        <f t="shared" si="0"/>
        <v>14618.824704591409</v>
      </c>
      <c r="G16" s="25">
        <f>B16*Subsurface_Inputs!$C$46</f>
        <v>25582.943233034966</v>
      </c>
      <c r="H16" s="25">
        <f>Subsurface_Live_Data!Y16</f>
        <v>11.232469289416066</v>
      </c>
      <c r="I16" s="25">
        <f>Subsurface_Inputs!$C$47-Subsurface_Inputs!$C$43+2*SIN(2*PI()*A16/42)</f>
        <v>-16.994407594362361</v>
      </c>
      <c r="J16" s="25">
        <v>0</v>
      </c>
    </row>
    <row r="17" spans="1:10">
      <c r="A17" s="25">
        <f>Subsurface_Live_Data!A17</f>
        <v>-52.5</v>
      </c>
      <c r="B17" s="25">
        <f>Subsurface_Live_Data!K17</f>
        <v>14621.223871899127</v>
      </c>
      <c r="C17" s="25">
        <f>MAX(0,B17-Subsurface_Inputs!$C$44)</f>
        <v>13121.223871899127</v>
      </c>
      <c r="D17" s="25">
        <f>B17+Subsurface_Inputs!$C$44</f>
        <v>16121.223871899127</v>
      </c>
      <c r="E17" s="25">
        <f>B17*Subsurface_Inputs!$C$45</f>
        <v>8041.6731295445206</v>
      </c>
      <c r="F17" s="25">
        <f t="shared" si="0"/>
        <v>14621.223871899127</v>
      </c>
      <c r="G17" s="25">
        <f>B17*Subsurface_Inputs!$C$46</f>
        <v>25587.141775823471</v>
      </c>
      <c r="H17" s="25">
        <f>Subsurface_Live_Data!Y17</f>
        <v>11.204919156738015</v>
      </c>
      <c r="I17" s="25">
        <f>Subsurface_Inputs!$C$47-Subsurface_Inputs!$C$43+2*SIN(2*PI()*A17/42)</f>
        <v>-17</v>
      </c>
      <c r="J17" s="25">
        <v>0</v>
      </c>
    </row>
    <row r="18" spans="1:10">
      <c r="A18" s="25">
        <f>Subsurface_Live_Data!A18</f>
        <v>-52</v>
      </c>
      <c r="B18" s="25">
        <f>Subsurface_Live_Data!K18</f>
        <v>14622.536888707544</v>
      </c>
      <c r="C18" s="25">
        <f>MAX(0,B18-Subsurface_Inputs!$C$44)</f>
        <v>13122.536888707544</v>
      </c>
      <c r="D18" s="25">
        <f>B18+Subsurface_Inputs!$C$44</f>
        <v>16122.536888707544</v>
      </c>
      <c r="E18" s="25">
        <f>B18*Subsurface_Inputs!$C$45</f>
        <v>8042.3952887891501</v>
      </c>
      <c r="F18" s="25">
        <f t="shared" si="0"/>
        <v>14622.536888707544</v>
      </c>
      <c r="G18" s="25">
        <f>B18*Subsurface_Inputs!$C$46</f>
        <v>25589.439555238201</v>
      </c>
      <c r="H18" s="25">
        <f>Subsurface_Live_Data!Y18</f>
        <v>11.156774948067699</v>
      </c>
      <c r="I18" s="25">
        <f>Subsurface_Inputs!$C$47-Subsurface_Inputs!$C$43+2*SIN(2*PI()*A18/42)</f>
        <v>-16.994407594362361</v>
      </c>
      <c r="J18" s="25">
        <v>0</v>
      </c>
    </row>
    <row r="19" spans="1:10">
      <c r="A19" s="25">
        <f>Subsurface_Live_Data!A19</f>
        <v>-51.5</v>
      </c>
      <c r="B19" s="25">
        <f>Subsurface_Live_Data!K19</f>
        <v>14622.370048519269</v>
      </c>
      <c r="C19" s="25">
        <f>MAX(0,B19-Subsurface_Inputs!$C$44)</f>
        <v>13122.370048519269</v>
      </c>
      <c r="D19" s="25">
        <f>B19+Subsurface_Inputs!$C$44</f>
        <v>16122.370048519269</v>
      </c>
      <c r="E19" s="25">
        <f>B19*Subsurface_Inputs!$C$45</f>
        <v>8042.3035266855986</v>
      </c>
      <c r="F19" s="25">
        <f t="shared" si="0"/>
        <v>14622.370048519269</v>
      </c>
      <c r="G19" s="25">
        <f>B19*Subsurface_Inputs!$C$46</f>
        <v>25589.147584908722</v>
      </c>
      <c r="H19" s="25">
        <f>Subsurface_Live_Data!Y19</f>
        <v>11.075799003422581</v>
      </c>
      <c r="I19" s="25">
        <f>Subsurface_Inputs!$C$47-Subsurface_Inputs!$C$43+2*SIN(2*PI()*A19/42)</f>
        <v>-16.977661652450259</v>
      </c>
      <c r="J19" s="25">
        <v>0</v>
      </c>
    </row>
    <row r="20" spans="1:10">
      <c r="A20" s="25">
        <f>Subsurface_Live_Data!A20</f>
        <v>-51</v>
      </c>
      <c r="B20" s="25">
        <f>Subsurface_Live_Data!K20</f>
        <v>14625.906076815863</v>
      </c>
      <c r="C20" s="25">
        <f>MAX(0,B20-Subsurface_Inputs!$C$44)</f>
        <v>13125.906076815863</v>
      </c>
      <c r="D20" s="25">
        <f>B20+Subsurface_Inputs!$C$44</f>
        <v>16125.906076815863</v>
      </c>
      <c r="E20" s="25">
        <f>B20*Subsurface_Inputs!$C$45</f>
        <v>8044.2483422487257</v>
      </c>
      <c r="F20" s="25">
        <f t="shared" si="0"/>
        <v>14625.906076815863</v>
      </c>
      <c r="G20" s="25">
        <f>B20*Subsurface_Inputs!$C$46</f>
        <v>25595.33563442776</v>
      </c>
      <c r="H20" s="25">
        <f>Subsurface_Live_Data!Y20</f>
        <v>11.121293541922867</v>
      </c>
      <c r="I20" s="25">
        <f>Subsurface_Inputs!$C$47-Subsurface_Inputs!$C$43+2*SIN(2*PI()*A20/42)</f>
        <v>-16.949855824363645</v>
      </c>
      <c r="J20" s="25">
        <v>0</v>
      </c>
    </row>
    <row r="21" spans="1:10">
      <c r="A21" s="25">
        <f>Subsurface_Live_Data!A21</f>
        <v>-50.5</v>
      </c>
      <c r="B21" s="25">
        <f>Subsurface_Live_Data!K21</f>
        <v>14628.005233442198</v>
      </c>
      <c r="C21" s="25">
        <f>MAX(0,B21-Subsurface_Inputs!$C$44)</f>
        <v>13128.005233442198</v>
      </c>
      <c r="D21" s="25">
        <f>B21+Subsurface_Inputs!$C$44</f>
        <v>16128.005233442198</v>
      </c>
      <c r="E21" s="25">
        <f>B21*Subsurface_Inputs!$C$45</f>
        <v>8045.4028783932099</v>
      </c>
      <c r="F21" s="25">
        <f t="shared" si="0"/>
        <v>14628.005233442198</v>
      </c>
      <c r="G21" s="25">
        <f>B21*Subsurface_Inputs!$C$46</f>
        <v>25599.009158523848</v>
      </c>
      <c r="H21" s="25">
        <f>Subsurface_Live_Data!Y21</f>
        <v>11.134869527092704</v>
      </c>
      <c r="I21" s="25">
        <f>Subsurface_Inputs!$C$47-Subsurface_Inputs!$C$43+2*SIN(2*PI()*A21/42)</f>
        <v>-16.91114561157228</v>
      </c>
      <c r="J21" s="25">
        <v>0</v>
      </c>
    </row>
    <row r="22" spans="1:10">
      <c r="A22" s="25">
        <f>Subsurface_Live_Data!A22</f>
        <v>-50</v>
      </c>
      <c r="B22" s="25">
        <f>Subsurface_Live_Data!K22</f>
        <v>14626.012286300016</v>
      </c>
      <c r="C22" s="25">
        <f>MAX(0,B22-Subsurface_Inputs!$C$44)</f>
        <v>13126.012286300016</v>
      </c>
      <c r="D22" s="25">
        <f>B22+Subsurface_Inputs!$C$44</f>
        <v>16126.012286300016</v>
      </c>
      <c r="E22" s="25">
        <f>B22*Subsurface_Inputs!$C$45</f>
        <v>8044.3067574650095</v>
      </c>
      <c r="F22" s="25">
        <f t="shared" si="0"/>
        <v>14626.012286300016</v>
      </c>
      <c r="G22" s="25">
        <f>B22*Subsurface_Inputs!$C$46</f>
        <v>25595.521501025029</v>
      </c>
      <c r="H22" s="25">
        <f>Subsurface_Live_Data!Y22</f>
        <v>11.034536351926604</v>
      </c>
      <c r="I22" s="25">
        <f>Subsurface_Inputs!$C$47-Subsurface_Inputs!$C$43+2*SIN(2*PI()*A22/42)</f>
        <v>-16.861747497288409</v>
      </c>
      <c r="J22" s="25">
        <v>0</v>
      </c>
    </row>
    <row r="23" spans="1:10">
      <c r="A23" s="25">
        <f>Subsurface_Live_Data!A23</f>
        <v>-49.5</v>
      </c>
      <c r="B23" s="25">
        <f>Subsurface_Live_Data!K23</f>
        <v>14629.040649051145</v>
      </c>
      <c r="C23" s="25">
        <f>MAX(0,B23-Subsurface_Inputs!$C$44)</f>
        <v>13129.040649051145</v>
      </c>
      <c r="D23" s="25">
        <f>B23+Subsurface_Inputs!$C$44</f>
        <v>16129.040649051145</v>
      </c>
      <c r="E23" s="25">
        <f>B23*Subsurface_Inputs!$C$45</f>
        <v>8045.9723569781308</v>
      </c>
      <c r="F23" s="25">
        <f t="shared" si="0"/>
        <v>14629.040649051145</v>
      </c>
      <c r="G23" s="25">
        <f>B23*Subsurface_Inputs!$C$46</f>
        <v>25600.821135839506</v>
      </c>
      <c r="H23" s="25">
        <f>Subsurface_Live_Data!Y23</f>
        <v>11.100388976915582</v>
      </c>
      <c r="I23" s="25">
        <f>Subsurface_Inputs!$C$47-Subsurface_Inputs!$C$43+2*SIN(2*PI()*A23/42)</f>
        <v>-16.801937735804838</v>
      </c>
      <c r="J23" s="25">
        <v>0</v>
      </c>
    </row>
    <row r="24" spans="1:10">
      <c r="A24" s="25">
        <f>Subsurface_Live_Data!A24</f>
        <v>-49</v>
      </c>
      <c r="B24" s="25">
        <f>Subsurface_Live_Data!K24</f>
        <v>14628.219878746677</v>
      </c>
      <c r="C24" s="25">
        <f>MAX(0,B24-Subsurface_Inputs!$C$44)</f>
        <v>13128.219878746677</v>
      </c>
      <c r="D24" s="25">
        <f>B24+Subsurface_Inputs!$C$44</f>
        <v>16128.219878746677</v>
      </c>
      <c r="E24" s="25">
        <f>B24*Subsurface_Inputs!$C$45</f>
        <v>8045.5209333106732</v>
      </c>
      <c r="F24" s="25">
        <f t="shared" si="0"/>
        <v>14628.219878746677</v>
      </c>
      <c r="G24" s="25">
        <f>B24*Subsurface_Inputs!$C$46</f>
        <v>25599.384787806684</v>
      </c>
      <c r="H24" s="25">
        <f>Subsurface_Live_Data!Y24</f>
        <v>11.05908203278765</v>
      </c>
      <c r="I24" s="25">
        <f>Subsurface_Inputs!$C$47-Subsurface_Inputs!$C$43+2*SIN(2*PI()*A24/42)</f>
        <v>-16.732050807568875</v>
      </c>
      <c r="J24" s="25">
        <v>0</v>
      </c>
    </row>
    <row r="25" spans="1:10">
      <c r="A25" s="25">
        <f>Subsurface_Live_Data!A25</f>
        <v>-48.5</v>
      </c>
      <c r="B25" s="25">
        <f>Subsurface_Live_Data!K25</f>
        <v>14628.865542990872</v>
      </c>
      <c r="C25" s="25">
        <f>MAX(0,B25-Subsurface_Inputs!$C$44)</f>
        <v>13128.865542990872</v>
      </c>
      <c r="D25" s="25">
        <f>B25+Subsurface_Inputs!$C$44</f>
        <v>16128.865542990872</v>
      </c>
      <c r="E25" s="25">
        <f>B25*Subsurface_Inputs!$C$45</f>
        <v>8045.8760486449801</v>
      </c>
      <c r="F25" s="25">
        <f t="shared" si="0"/>
        <v>14628.865542990872</v>
      </c>
      <c r="G25" s="25">
        <f>B25*Subsurface_Inputs!$C$46</f>
        <v>25600.514700234027</v>
      </c>
      <c r="H25" s="25">
        <f>Subsurface_Live_Data!Y25</f>
        <v>11.073743837820004</v>
      </c>
      <c r="I25" s="25">
        <f>Subsurface_Inputs!$C$47-Subsurface_Inputs!$C$43+2*SIN(2*PI()*A25/42)</f>
        <v>-16.652477548631989</v>
      </c>
      <c r="J25" s="25">
        <v>0</v>
      </c>
    </row>
    <row r="26" spans="1:10">
      <c r="A26" s="25">
        <f>Subsurface_Live_Data!A26</f>
        <v>-48</v>
      </c>
      <c r="B26" s="25">
        <f>Subsurface_Live_Data!K26</f>
        <v>14630.343646203193</v>
      </c>
      <c r="C26" s="25">
        <f>MAX(0,B26-Subsurface_Inputs!$C$44)</f>
        <v>13130.343646203193</v>
      </c>
      <c r="D26" s="25">
        <f>B26+Subsurface_Inputs!$C$44</f>
        <v>16130.343646203193</v>
      </c>
      <c r="E26" s="25">
        <f>B26*Subsurface_Inputs!$C$45</f>
        <v>8046.6890054117566</v>
      </c>
      <c r="F26" s="25">
        <f t="shared" si="0"/>
        <v>14630.343646203193</v>
      </c>
      <c r="G26" s="25">
        <f>B26*Subsurface_Inputs!$C$46</f>
        <v>25603.101380855587</v>
      </c>
      <c r="H26" s="25">
        <f>Subsurface_Live_Data!Y26</f>
        <v>11.124377416664636</v>
      </c>
      <c r="I26" s="25">
        <f>Subsurface_Inputs!$C$47-Subsurface_Inputs!$C$43+2*SIN(2*PI()*A26/42)</f>
        <v>-16.563662964936061</v>
      </c>
      <c r="J26" s="25">
        <v>0</v>
      </c>
    </row>
    <row r="27" spans="1:10">
      <c r="A27" s="25">
        <f>Subsurface_Live_Data!A27</f>
        <v>-47.5</v>
      </c>
      <c r="B27" s="25">
        <f>Subsurface_Live_Data!K27</f>
        <v>14628.543151160482</v>
      </c>
      <c r="C27" s="25">
        <f>MAX(0,B27-Subsurface_Inputs!$C$44)</f>
        <v>13128.543151160482</v>
      </c>
      <c r="D27" s="25">
        <f>B27+Subsurface_Inputs!$C$44</f>
        <v>16128.543151160482</v>
      </c>
      <c r="E27" s="25">
        <f>B27*Subsurface_Inputs!$C$45</f>
        <v>8045.6987331382661</v>
      </c>
      <c r="F27" s="25">
        <f t="shared" si="0"/>
        <v>14628.543151160482</v>
      </c>
      <c r="G27" s="25">
        <f>B27*Subsurface_Inputs!$C$46</f>
        <v>25599.950514530843</v>
      </c>
      <c r="H27" s="25">
        <f>Subsurface_Live_Data!Y27</f>
        <v>11.083945044640572</v>
      </c>
      <c r="I27" s="25">
        <f>Subsurface_Inputs!$C$47-Subsurface_Inputs!$C$43+2*SIN(2*PI()*A27/42)</f>
        <v>-16.466103743659652</v>
      </c>
      <c r="J27" s="25">
        <v>0</v>
      </c>
    </row>
    <row r="28" spans="1:10">
      <c r="A28" s="25">
        <f>Subsurface_Live_Data!A28</f>
        <v>-47</v>
      </c>
      <c r="B28" s="25">
        <f>Subsurface_Live_Data!K28</f>
        <v>14628.933341310511</v>
      </c>
      <c r="C28" s="25">
        <f>MAX(0,B28-Subsurface_Inputs!$C$44)</f>
        <v>13128.933341310511</v>
      </c>
      <c r="D28" s="25">
        <f>B28+Subsurface_Inputs!$C$44</f>
        <v>16128.933341310511</v>
      </c>
      <c r="E28" s="25">
        <f>B28*Subsurface_Inputs!$C$45</f>
        <v>8045.9133377207818</v>
      </c>
      <c r="F28" s="25">
        <f t="shared" si="0"/>
        <v>14628.933341310511</v>
      </c>
      <c r="G28" s="25">
        <f>B28*Subsurface_Inputs!$C$46</f>
        <v>25600.633347293395</v>
      </c>
      <c r="H28" s="25">
        <f>Subsurface_Live_Data!Y28</f>
        <v>11.1201635961216</v>
      </c>
      <c r="I28" s="25">
        <f>Subsurface_Inputs!$C$47-Subsurface_Inputs!$C$43+2*SIN(2*PI()*A28/42)</f>
        <v>-16.360345475541838</v>
      </c>
      <c r="J28" s="25">
        <v>0</v>
      </c>
    </row>
    <row r="29" spans="1:10">
      <c r="A29" s="25">
        <f>Subsurface_Live_Data!A29</f>
        <v>-46.5</v>
      </c>
      <c r="B29" s="25">
        <f>Subsurface_Live_Data!K29</f>
        <v>14627.807692098573</v>
      </c>
      <c r="C29" s="25">
        <f>MAX(0,B29-Subsurface_Inputs!$C$44)</f>
        <v>13127.807692098573</v>
      </c>
      <c r="D29" s="25">
        <f>B29+Subsurface_Inputs!$C$44</f>
        <v>16127.807692098573</v>
      </c>
      <c r="E29" s="25">
        <f>B29*Subsurface_Inputs!$C$45</f>
        <v>8045.2942306542163</v>
      </c>
      <c r="F29" s="25">
        <f t="shared" si="0"/>
        <v>14627.807692098573</v>
      </c>
      <c r="G29" s="25">
        <f>B29*Subsurface_Inputs!$C$46</f>
        <v>25598.663461172502</v>
      </c>
      <c r="H29" s="25">
        <f>Subsurface_Live_Data!Y29</f>
        <v>11.118353455364286</v>
      </c>
      <c r="I29" s="25">
        <f>Subsurface_Inputs!$C$47-Subsurface_Inputs!$C$43+2*SIN(2*PI()*A29/42)</f>
        <v>-16.246979603717467</v>
      </c>
      <c r="J29" s="25">
        <v>0</v>
      </c>
    </row>
    <row r="30" spans="1:10">
      <c r="A30" s="25">
        <f>Subsurface_Live_Data!A30</f>
        <v>-46</v>
      </c>
      <c r="B30" s="25">
        <f>Subsurface_Live_Data!K30</f>
        <v>14628.668588877104</v>
      </c>
      <c r="C30" s="25">
        <f>MAX(0,B30-Subsurface_Inputs!$C$44)</f>
        <v>13128.668588877104</v>
      </c>
      <c r="D30" s="25">
        <f>B30+Subsurface_Inputs!$C$44</f>
        <v>16128.668588877104</v>
      </c>
      <c r="E30" s="25">
        <f>B30*Subsurface_Inputs!$C$45</f>
        <v>8045.7677238824081</v>
      </c>
      <c r="F30" s="25">
        <f t="shared" si="0"/>
        <v>14628.668588877104</v>
      </c>
      <c r="G30" s="25">
        <f>B30*Subsurface_Inputs!$C$46</f>
        <v>25600.170030534933</v>
      </c>
      <c r="H30" s="25">
        <f>Subsurface_Live_Data!Y30</f>
        <v>11.185621601117859</v>
      </c>
      <c r="I30" s="25">
        <f>Subsurface_Inputs!$C$47-Subsurface_Inputs!$C$43+2*SIN(2*PI()*A30/42)</f>
        <v>-16.126640116127241</v>
      </c>
      <c r="J30" s="25">
        <v>0</v>
      </c>
    </row>
    <row r="31" spans="1:10">
      <c r="A31" s="25">
        <f>Subsurface_Live_Data!A31</f>
        <v>-45.5</v>
      </c>
      <c r="B31" s="25">
        <f>Subsurface_Live_Data!K31</f>
        <v>14628.019588067556</v>
      </c>
      <c r="C31" s="25">
        <f>MAX(0,B31-Subsurface_Inputs!$C$44)</f>
        <v>13128.019588067556</v>
      </c>
      <c r="D31" s="25">
        <f>B31+Subsurface_Inputs!$C$44</f>
        <v>16128.019588067556</v>
      </c>
      <c r="E31" s="25">
        <f>B31*Subsurface_Inputs!$C$45</f>
        <v>8045.4107734371564</v>
      </c>
      <c r="F31" s="25">
        <f t="shared" si="0"/>
        <v>14628.019588067556</v>
      </c>
      <c r="G31" s="25">
        <f>B31*Subsurface_Inputs!$C$46</f>
        <v>25599.034279118223</v>
      </c>
      <c r="H31" s="25">
        <f>Subsurface_Live_Data!Y31</f>
        <v>11.213671211747339</v>
      </c>
      <c r="I31" s="25">
        <f>Subsurface_Inputs!$C$47-Subsurface_Inputs!$C$43+2*SIN(2*PI()*A31/42)</f>
        <v>-16</v>
      </c>
      <c r="J31" s="25">
        <v>0</v>
      </c>
    </row>
    <row r="32" spans="1:10">
      <c r="A32" s="25">
        <f>Subsurface_Live_Data!A32</f>
        <v>-45</v>
      </c>
      <c r="B32" s="25">
        <f>Subsurface_Live_Data!K32</f>
        <v>14629.081269338794</v>
      </c>
      <c r="C32" s="25">
        <f>MAX(0,B32-Subsurface_Inputs!$C$44)</f>
        <v>13129.081269338794</v>
      </c>
      <c r="D32" s="25">
        <f>B32+Subsurface_Inputs!$C$44</f>
        <v>16129.081269338794</v>
      </c>
      <c r="E32" s="25">
        <f>B32*Subsurface_Inputs!$C$45</f>
        <v>8045.9946981363373</v>
      </c>
      <c r="F32" s="25">
        <f t="shared" si="0"/>
        <v>14629.081269338794</v>
      </c>
      <c r="G32" s="25">
        <f>B32*Subsurface_Inputs!$C$46</f>
        <v>25600.892221342889</v>
      </c>
      <c r="H32" s="25">
        <f>Subsurface_Live_Data!Y32</f>
        <v>11.300860169559719</v>
      </c>
      <c r="I32" s="25">
        <f>Subsurface_Inputs!$C$47-Subsurface_Inputs!$C$43+2*SIN(2*PI()*A32/42)</f>
        <v>-15.867767478235116</v>
      </c>
      <c r="J32" s="25">
        <v>0</v>
      </c>
    </row>
    <row r="33" spans="1:10">
      <c r="A33" s="25">
        <f>Subsurface_Live_Data!A33</f>
        <v>-44.5</v>
      </c>
      <c r="B33" s="25">
        <f>Subsurface_Live_Data!K33</f>
        <v>14627.974984883302</v>
      </c>
      <c r="C33" s="25">
        <f>MAX(0,B33-Subsurface_Inputs!$C$44)</f>
        <v>13127.974984883302</v>
      </c>
      <c r="D33" s="25">
        <f>B33+Subsurface_Inputs!$C$44</f>
        <v>16127.974984883302</v>
      </c>
      <c r="E33" s="25">
        <f>B33*Subsurface_Inputs!$C$45</f>
        <v>8045.3862416858165</v>
      </c>
      <c r="F33" s="25">
        <f t="shared" si="0"/>
        <v>14627.974984883302</v>
      </c>
      <c r="G33" s="25">
        <f>B33*Subsurface_Inputs!$C$46</f>
        <v>25598.956223545778</v>
      </c>
      <c r="H33" s="25">
        <f>Subsurface_Live_Data!Y33</f>
        <v>11.327057534365672</v>
      </c>
      <c r="I33" s="25">
        <f>Subsurface_Inputs!$C$47-Subsurface_Inputs!$C$43+2*SIN(2*PI()*A33/42)</f>
        <v>-15.73068204873279</v>
      </c>
      <c r="J33" s="25">
        <v>0</v>
      </c>
    </row>
    <row r="34" spans="1:10">
      <c r="A34" s="25">
        <f>Subsurface_Live_Data!A34</f>
        <v>-44</v>
      </c>
      <c r="B34" s="25">
        <f>Subsurface_Live_Data!K34</f>
        <v>14625.911504274929</v>
      </c>
      <c r="C34" s="25">
        <f>MAX(0,B34-Subsurface_Inputs!$C$44)</f>
        <v>13125.911504274929</v>
      </c>
      <c r="D34" s="25">
        <f>B34+Subsurface_Inputs!$C$44</f>
        <v>16125.911504274929</v>
      </c>
      <c r="E34" s="25">
        <f>B34*Subsurface_Inputs!$C$45</f>
        <v>8044.2513273512113</v>
      </c>
      <c r="F34" s="25">
        <f t="shared" si="0"/>
        <v>14625.911504274929</v>
      </c>
      <c r="G34" s="25">
        <f>B34*Subsurface_Inputs!$C$46</f>
        <v>25595.345132481125</v>
      </c>
      <c r="H34" s="25">
        <f>Subsurface_Live_Data!Y34</f>
        <v>11.328707905104132</v>
      </c>
      <c r="I34" s="25">
        <f>Subsurface_Inputs!$C$47-Subsurface_Inputs!$C$43+2*SIN(2*PI()*A34/42)</f>
        <v>-15.589510348821808</v>
      </c>
      <c r="J34" s="25">
        <v>0</v>
      </c>
    </row>
    <row r="35" spans="1:10">
      <c r="A35" s="25">
        <f>Subsurface_Live_Data!A35</f>
        <v>-43.5</v>
      </c>
      <c r="B35" s="25">
        <f>Subsurface_Live_Data!K35</f>
        <v>14621.986694083294</v>
      </c>
      <c r="C35" s="25">
        <f>MAX(0,B35-Subsurface_Inputs!$C$44)</f>
        <v>13121.986694083294</v>
      </c>
      <c r="D35" s="25">
        <f>B35+Subsurface_Inputs!$C$44</f>
        <v>16121.986694083294</v>
      </c>
      <c r="E35" s="25">
        <f>B35*Subsurface_Inputs!$C$45</f>
        <v>8042.092681745813</v>
      </c>
      <c r="F35" s="25">
        <f t="shared" si="0"/>
        <v>14621.986694083294</v>
      </c>
      <c r="G35" s="25">
        <f>B35*Subsurface_Inputs!$C$46</f>
        <v>25588.476714645767</v>
      </c>
      <c r="H35" s="25">
        <f>Subsurface_Live_Data!Y35</f>
        <v>11.277146631645493</v>
      </c>
      <c r="I35" s="25">
        <f>Subsurface_Inputs!$C$47-Subsurface_Inputs!$C$43+2*SIN(2*PI()*A35/42)</f>
        <v>-15.445041867912629</v>
      </c>
      <c r="J35" s="25">
        <v>0</v>
      </c>
    </row>
    <row r="36" spans="1:10">
      <c r="A36" s="25">
        <f>Subsurface_Live_Data!A36</f>
        <v>-43</v>
      </c>
      <c r="B36" s="25">
        <f>Subsurface_Live_Data!K36</f>
        <v>14623.693198890638</v>
      </c>
      <c r="C36" s="25">
        <f>MAX(0,B36-Subsurface_Inputs!$C$44)</f>
        <v>13123.693198890638</v>
      </c>
      <c r="D36" s="25">
        <f>B36+Subsurface_Inputs!$C$44</f>
        <v>16123.693198890638</v>
      </c>
      <c r="E36" s="25">
        <f>B36*Subsurface_Inputs!$C$45</f>
        <v>8043.0312593898516</v>
      </c>
      <c r="F36" s="25">
        <f t="shared" si="0"/>
        <v>14623.693198890638</v>
      </c>
      <c r="G36" s="25">
        <f>B36*Subsurface_Inputs!$C$46</f>
        <v>25591.463098058615</v>
      </c>
      <c r="H36" s="25">
        <f>Subsurface_Live_Data!Y36</f>
        <v>11.402061786815047</v>
      </c>
      <c r="I36" s="25">
        <f>Subsurface_Inputs!$C$47-Subsurface_Inputs!$C$43+2*SIN(2*PI()*A36/42)</f>
        <v>-15.298084532352348</v>
      </c>
      <c r="J36" s="25">
        <v>0</v>
      </c>
    </row>
    <row r="37" spans="1:10">
      <c r="A37" s="25">
        <f>Subsurface_Live_Data!A37</f>
        <v>-42.5</v>
      </c>
      <c r="B37" s="25">
        <f>Subsurface_Live_Data!K37</f>
        <v>14620.914775457457</v>
      </c>
      <c r="C37" s="25">
        <f>MAX(0,B37-Subsurface_Inputs!$C$44)</f>
        <v>13120.914775457457</v>
      </c>
      <c r="D37" s="25">
        <f>B37+Subsurface_Inputs!$C$44</f>
        <v>16120.914775457457</v>
      </c>
      <c r="E37" s="25">
        <f>B37*Subsurface_Inputs!$C$45</f>
        <v>8041.5031265016023</v>
      </c>
      <c r="F37" s="25">
        <f t="shared" si="0"/>
        <v>14620.914775457457</v>
      </c>
      <c r="G37" s="25">
        <f>B37*Subsurface_Inputs!$C$46</f>
        <v>25586.600857050551</v>
      </c>
      <c r="H37" s="25">
        <f>Subsurface_Live_Data!Y37</f>
        <v>11.391265289964196</v>
      </c>
      <c r="I37" s="25">
        <f>Subsurface_Inputs!$C$47-Subsurface_Inputs!$C$43+2*SIN(2*PI()*A37/42)</f>
        <v>-15.149460187172849</v>
      </c>
      <c r="J37" s="25">
        <v>0</v>
      </c>
    </row>
    <row r="38" spans="1:10">
      <c r="A38" s="25">
        <f>Subsurface_Live_Data!A38</f>
        <v>-42</v>
      </c>
      <c r="B38" s="25">
        <f>Subsurface_Live_Data!K38</f>
        <v>14619.806259259829</v>
      </c>
      <c r="C38" s="25">
        <f>MAX(0,B38-Subsurface_Inputs!$C$44)</f>
        <v>13119.806259259829</v>
      </c>
      <c r="D38" s="25">
        <f>B38+Subsurface_Inputs!$C$44</f>
        <v>16119.806259259829</v>
      </c>
      <c r="E38" s="25">
        <f>B38*Subsurface_Inputs!$C$45</f>
        <v>8040.8934425929065</v>
      </c>
      <c r="F38" s="25">
        <f t="shared" si="0"/>
        <v>14619.806259259829</v>
      </c>
      <c r="G38" s="25">
        <f>B38*Subsurface_Inputs!$C$46</f>
        <v>25584.660953704701</v>
      </c>
      <c r="H38" s="25">
        <f>Subsurface_Live_Data!Y38</f>
        <v>11.433230564412199</v>
      </c>
      <c r="I38" s="25">
        <f>Subsurface_Inputs!$C$47-Subsurface_Inputs!$C$43+2*SIN(2*PI()*A38/42)</f>
        <v>-15</v>
      </c>
      <c r="J38" s="25">
        <v>0</v>
      </c>
    </row>
    <row r="39" spans="1:10">
      <c r="A39" s="25">
        <f>Subsurface_Live_Data!A39</f>
        <v>-41.5</v>
      </c>
      <c r="B39" s="25">
        <f>Subsurface_Live_Data!K39</f>
        <v>14617.022284654109</v>
      </c>
      <c r="C39" s="25">
        <f>MAX(0,B39-Subsurface_Inputs!$C$44)</f>
        <v>13117.022284654109</v>
      </c>
      <c r="D39" s="25">
        <f>B39+Subsurface_Inputs!$C$44</f>
        <v>16117.022284654109</v>
      </c>
      <c r="E39" s="25">
        <f>B39*Subsurface_Inputs!$C$45</f>
        <v>8039.3622565597607</v>
      </c>
      <c r="F39" s="25">
        <f t="shared" si="0"/>
        <v>14617.022284654109</v>
      </c>
      <c r="G39" s="25">
        <f>B39*Subsurface_Inputs!$C$46</f>
        <v>25579.78899814469</v>
      </c>
      <c r="H39" s="25">
        <f>Subsurface_Live_Data!Y39</f>
        <v>11.424076195718172</v>
      </c>
      <c r="I39" s="25">
        <f>Subsurface_Inputs!$C$47-Subsurface_Inputs!$C$43+2*SIN(2*PI()*A39/42)</f>
        <v>-14.850539812827153</v>
      </c>
      <c r="J39" s="25">
        <v>0</v>
      </c>
    </row>
    <row r="40" spans="1:10">
      <c r="A40" s="25">
        <f>Subsurface_Live_Data!A40</f>
        <v>-41</v>
      </c>
      <c r="B40" s="25">
        <f>Subsurface_Live_Data!K40</f>
        <v>14613.623267805096</v>
      </c>
      <c r="C40" s="25">
        <f>MAX(0,B40-Subsurface_Inputs!$C$44)</f>
        <v>13113.623267805096</v>
      </c>
      <c r="D40" s="25">
        <f>B40+Subsurface_Inputs!$C$44</f>
        <v>16113.623267805096</v>
      </c>
      <c r="E40" s="25">
        <f>B40*Subsurface_Inputs!$C$45</f>
        <v>8037.4927972928035</v>
      </c>
      <c r="F40" s="25">
        <f t="shared" si="0"/>
        <v>14613.623267805096</v>
      </c>
      <c r="G40" s="25">
        <f>B40*Subsurface_Inputs!$C$46</f>
        <v>25573.840718658917</v>
      </c>
      <c r="H40" s="25">
        <f>Subsurface_Live_Data!Y40</f>
        <v>11.39547570748875</v>
      </c>
      <c r="I40" s="25">
        <f>Subsurface_Inputs!$C$47-Subsurface_Inputs!$C$43+2*SIN(2*PI()*A40/42)</f>
        <v>-14.70191546764765</v>
      </c>
      <c r="J40" s="25">
        <v>0</v>
      </c>
    </row>
    <row r="41" spans="1:10">
      <c r="A41" s="25">
        <f>Subsurface_Live_Data!A41</f>
        <v>-40.5</v>
      </c>
      <c r="B41" s="25">
        <f>Subsurface_Live_Data!K41</f>
        <v>14608.974517462988</v>
      </c>
      <c r="C41" s="25">
        <f>MAX(0,B41-Subsurface_Inputs!$C$44)</f>
        <v>13108.974517462988</v>
      </c>
      <c r="D41" s="25">
        <f>B41+Subsurface_Inputs!$C$44</f>
        <v>16108.974517462988</v>
      </c>
      <c r="E41" s="25">
        <f>B41*Subsurface_Inputs!$C$45</f>
        <v>8034.9359846046436</v>
      </c>
      <c r="F41" s="25">
        <f t="shared" si="0"/>
        <v>14608.974517462988</v>
      </c>
      <c r="G41" s="25">
        <f>B41*Subsurface_Inputs!$C$46</f>
        <v>25565.705405560228</v>
      </c>
      <c r="H41" s="25">
        <f>Subsurface_Live_Data!Y41</f>
        <v>11.32692735289757</v>
      </c>
      <c r="I41" s="25">
        <f>Subsurface_Inputs!$C$47-Subsurface_Inputs!$C$43+2*SIN(2*PI()*A41/42)</f>
        <v>-14.554958132087371</v>
      </c>
      <c r="J41" s="25">
        <v>0</v>
      </c>
    </row>
    <row r="42" spans="1:10">
      <c r="A42" s="25">
        <f>Subsurface_Live_Data!A42</f>
        <v>-40</v>
      </c>
      <c r="B42" s="25">
        <f>Subsurface_Live_Data!K42</f>
        <v>14605.554950848265</v>
      </c>
      <c r="C42" s="25">
        <f>MAX(0,B42-Subsurface_Inputs!$C$44)</f>
        <v>13105.554950848265</v>
      </c>
      <c r="D42" s="25">
        <f>B42+Subsurface_Inputs!$C$44</f>
        <v>16105.554950848265</v>
      </c>
      <c r="E42" s="25">
        <f>B42*Subsurface_Inputs!$C$45</f>
        <v>8033.0552229665464</v>
      </c>
      <c r="F42" s="25">
        <f t="shared" si="0"/>
        <v>14605.554950848265</v>
      </c>
      <c r="G42" s="25">
        <f>B42*Subsurface_Inputs!$C$46</f>
        <v>25559.721163984465</v>
      </c>
      <c r="H42" s="25">
        <f>Subsurface_Live_Data!Y42</f>
        <v>11.293728085994147</v>
      </c>
      <c r="I42" s="25">
        <f>Subsurface_Inputs!$C$47-Subsurface_Inputs!$C$43+2*SIN(2*PI()*A42/42)</f>
        <v>-14.410489651178191</v>
      </c>
      <c r="J42" s="25">
        <v>0</v>
      </c>
    </row>
    <row r="43" spans="1:10">
      <c r="A43" s="25">
        <f>Subsurface_Live_Data!A43</f>
        <v>-39.5</v>
      </c>
      <c r="B43" s="25">
        <f>Subsurface_Live_Data!K43</f>
        <v>14602.691093675494</v>
      </c>
      <c r="C43" s="25">
        <f>MAX(0,B43-Subsurface_Inputs!$C$44)</f>
        <v>13102.691093675494</v>
      </c>
      <c r="D43" s="25">
        <f>B43+Subsurface_Inputs!$C$44</f>
        <v>16102.691093675494</v>
      </c>
      <c r="E43" s="25">
        <f>B43*Subsurface_Inputs!$C$45</f>
        <v>8031.4801015215226</v>
      </c>
      <c r="F43" s="25">
        <f t="shared" si="0"/>
        <v>14602.691093675494</v>
      </c>
      <c r="G43" s="25">
        <f>B43*Subsurface_Inputs!$C$46</f>
        <v>25554.709413932113</v>
      </c>
      <c r="H43" s="25">
        <f>Subsurface_Live_Data!Y43</f>
        <v>11.274162742701655</v>
      </c>
      <c r="I43" s="25">
        <f>Subsurface_Inputs!$C$47-Subsurface_Inputs!$C$43+2*SIN(2*PI()*A43/42)</f>
        <v>-14.26931795126721</v>
      </c>
      <c r="J43" s="25">
        <v>0</v>
      </c>
    </row>
    <row r="44" spans="1:10">
      <c r="A44" s="25">
        <f>Subsurface_Live_Data!A44</f>
        <v>-39</v>
      </c>
      <c r="B44" s="25">
        <f>Subsurface_Live_Data!K44</f>
        <v>14602.748972256197</v>
      </c>
      <c r="C44" s="25">
        <f>MAX(0,B44-Subsurface_Inputs!$C$44)</f>
        <v>13102.748972256197</v>
      </c>
      <c r="D44" s="25">
        <f>B44+Subsurface_Inputs!$C$44</f>
        <v>16102.748972256197</v>
      </c>
      <c r="E44" s="25">
        <f>B44*Subsurface_Inputs!$C$45</f>
        <v>8031.5119347409091</v>
      </c>
      <c r="F44" s="25">
        <f t="shared" si="0"/>
        <v>14602.748972256197</v>
      </c>
      <c r="G44" s="25">
        <f>B44*Subsurface_Inputs!$C$46</f>
        <v>25554.810701448343</v>
      </c>
      <c r="H44" s="25">
        <f>Subsurface_Live_Data!Y44</f>
        <v>11.34004038802685</v>
      </c>
      <c r="I44" s="25">
        <f>Subsurface_Inputs!$C$47-Subsurface_Inputs!$C$43+2*SIN(2*PI()*A44/42)</f>
        <v>-14.132232521764884</v>
      </c>
      <c r="J44" s="25">
        <v>0</v>
      </c>
    </row>
    <row r="45" spans="1:10">
      <c r="A45" s="25">
        <f>Subsurface_Live_Data!A45</f>
        <v>-38.5</v>
      </c>
      <c r="B45" s="25">
        <f>Subsurface_Live_Data!K45</f>
        <v>14596.904162667912</v>
      </c>
      <c r="C45" s="25">
        <f>MAX(0,B45-Subsurface_Inputs!$C$44)</f>
        <v>13096.904162667912</v>
      </c>
      <c r="D45" s="25">
        <f>B45+Subsurface_Inputs!$C$44</f>
        <v>16096.904162667912</v>
      </c>
      <c r="E45" s="25">
        <f>B45*Subsurface_Inputs!$C$45</f>
        <v>8028.2972894673521</v>
      </c>
      <c r="F45" s="25">
        <f t="shared" si="0"/>
        <v>14596.904162667912</v>
      </c>
      <c r="G45" s="25">
        <f>B45*Subsurface_Inputs!$C$46</f>
        <v>25544.582284668846</v>
      </c>
      <c r="H45" s="25">
        <f>Subsurface_Live_Data!Y45</f>
        <v>11.218821404193626</v>
      </c>
      <c r="I45" s="25">
        <f>Subsurface_Inputs!$C$47-Subsurface_Inputs!$C$43+2*SIN(2*PI()*A45/42)</f>
        <v>-14</v>
      </c>
      <c r="J45" s="25">
        <v>0</v>
      </c>
    </row>
    <row r="46" spans="1:10">
      <c r="A46" s="25">
        <f>Subsurface_Live_Data!A46</f>
        <v>-38</v>
      </c>
      <c r="B46" s="25">
        <f>Subsurface_Live_Data!K46</f>
        <v>14596.295801636577</v>
      </c>
      <c r="C46" s="25">
        <f>MAX(0,B46-Subsurface_Inputs!$C$44)</f>
        <v>13096.295801636577</v>
      </c>
      <c r="D46" s="25">
        <f>B46+Subsurface_Inputs!$C$44</f>
        <v>16096.295801636577</v>
      </c>
      <c r="E46" s="25">
        <f>B46*Subsurface_Inputs!$C$45</f>
        <v>8027.9626909001181</v>
      </c>
      <c r="F46" s="25">
        <f t="shared" si="0"/>
        <v>14596.295801636577</v>
      </c>
      <c r="G46" s="25">
        <f>B46*Subsurface_Inputs!$C$46</f>
        <v>25543.517652864011</v>
      </c>
      <c r="H46" s="25">
        <f>Subsurface_Live_Data!Y46</f>
        <v>11.252273929035155</v>
      </c>
      <c r="I46" s="25">
        <f>Subsurface_Inputs!$C$47-Subsurface_Inputs!$C$43+2*SIN(2*PI()*A46/42)</f>
        <v>-13.873359883872755</v>
      </c>
      <c r="J46" s="25">
        <v>0</v>
      </c>
    </row>
    <row r="47" spans="1:10">
      <c r="A47" s="25">
        <f>Subsurface_Live_Data!A47</f>
        <v>-37.5</v>
      </c>
      <c r="B47" s="25">
        <f>Subsurface_Live_Data!K47</f>
        <v>14589.655674119578</v>
      </c>
      <c r="C47" s="25">
        <f>MAX(0,B47-Subsurface_Inputs!$C$44)</f>
        <v>13089.655674119578</v>
      </c>
      <c r="D47" s="25">
        <f>B47+Subsurface_Inputs!$C$44</f>
        <v>16089.655674119578</v>
      </c>
      <c r="E47" s="25">
        <f>B47*Subsurface_Inputs!$C$45</f>
        <v>8024.3106207657684</v>
      </c>
      <c r="F47" s="25">
        <f t="shared" si="0"/>
        <v>14589.655674119578</v>
      </c>
      <c r="G47" s="25">
        <f>B47*Subsurface_Inputs!$C$46</f>
        <v>25531.897429709261</v>
      </c>
      <c r="H47" s="25">
        <f>Subsurface_Live_Data!Y47</f>
        <v>11.092663374976475</v>
      </c>
      <c r="I47" s="25">
        <f>Subsurface_Inputs!$C$47-Subsurface_Inputs!$C$43+2*SIN(2*PI()*A47/42)</f>
        <v>-13.753020396282533</v>
      </c>
      <c r="J47" s="25">
        <v>0</v>
      </c>
    </row>
    <row r="48" spans="1:10">
      <c r="A48" s="25">
        <f>Subsurface_Live_Data!A48</f>
        <v>-37</v>
      </c>
      <c r="B48" s="25">
        <f>Subsurface_Live_Data!K48</f>
        <v>14588.806016104165</v>
      </c>
      <c r="C48" s="25">
        <f>MAX(0,B48-Subsurface_Inputs!$C$44)</f>
        <v>13088.806016104165</v>
      </c>
      <c r="D48" s="25">
        <f>B48+Subsurface_Inputs!$C$44</f>
        <v>16088.806016104165</v>
      </c>
      <c r="E48" s="25">
        <f>B48*Subsurface_Inputs!$C$45</f>
        <v>8023.843308857291</v>
      </c>
      <c r="F48" s="25">
        <f t="shared" si="0"/>
        <v>14588.806016104165</v>
      </c>
      <c r="G48" s="25">
        <f>B48*Subsurface_Inputs!$C$46</f>
        <v>25530.410528182289</v>
      </c>
      <c r="H48" s="25">
        <f>Subsurface_Live_Data!Y48</f>
        <v>11.102787840036179</v>
      </c>
      <c r="I48" s="25">
        <f>Subsurface_Inputs!$C$47-Subsurface_Inputs!$C$43+2*SIN(2*PI()*A48/42)</f>
        <v>-13.639654524458162</v>
      </c>
      <c r="J48" s="25">
        <v>0</v>
      </c>
    </row>
    <row r="49" spans="1:10">
      <c r="A49" s="25">
        <f>Subsurface_Live_Data!A49</f>
        <v>-36.5</v>
      </c>
      <c r="B49" s="25">
        <f>Subsurface_Live_Data!K49</f>
        <v>14583.853391519191</v>
      </c>
      <c r="C49" s="25">
        <f>MAX(0,B49-Subsurface_Inputs!$C$44)</f>
        <v>13083.853391519191</v>
      </c>
      <c r="D49" s="25">
        <f>B49+Subsurface_Inputs!$C$44</f>
        <v>16083.853391519191</v>
      </c>
      <c r="E49" s="25">
        <f>B49*Subsurface_Inputs!$C$45</f>
        <v>8021.1193653355558</v>
      </c>
      <c r="F49" s="25">
        <f t="shared" si="0"/>
        <v>14583.853391519191</v>
      </c>
      <c r="G49" s="25">
        <f>B49*Subsurface_Inputs!$C$46</f>
        <v>25521.743435158583</v>
      </c>
      <c r="H49" s="25">
        <f>Subsurface_Live_Data!Y49</f>
        <v>10.977232703780807</v>
      </c>
      <c r="I49" s="25">
        <f>Subsurface_Inputs!$C$47-Subsurface_Inputs!$C$43+2*SIN(2*PI()*A49/42)</f>
        <v>-13.533896256340347</v>
      </c>
      <c r="J49" s="25">
        <v>0</v>
      </c>
    </row>
    <row r="50" spans="1:10">
      <c r="A50" s="25">
        <f>Subsurface_Live_Data!A50</f>
        <v>-36</v>
      </c>
      <c r="B50" s="25">
        <f>Subsurface_Live_Data!K50</f>
        <v>14582.102622173152</v>
      </c>
      <c r="C50" s="25">
        <f>MAX(0,B50-Subsurface_Inputs!$C$44)</f>
        <v>13082.102622173152</v>
      </c>
      <c r="D50" s="25">
        <f>B50+Subsurface_Inputs!$C$44</f>
        <v>16082.102622173152</v>
      </c>
      <c r="E50" s="25">
        <f>B50*Subsurface_Inputs!$C$45</f>
        <v>8020.1564421952344</v>
      </c>
      <c r="F50" s="25">
        <f t="shared" si="0"/>
        <v>14582.102622173152</v>
      </c>
      <c r="G50" s="25">
        <f>B50*Subsurface_Inputs!$C$46</f>
        <v>25518.679588803017</v>
      </c>
      <c r="H50" s="25">
        <f>Subsurface_Live_Data!Y50</f>
        <v>10.939810837081112</v>
      </c>
      <c r="I50" s="25">
        <f>Subsurface_Inputs!$C$47-Subsurface_Inputs!$C$43+2*SIN(2*PI()*A50/42)</f>
        <v>-13.436337035063939</v>
      </c>
      <c r="J50" s="25">
        <v>0</v>
      </c>
    </row>
    <row r="51" spans="1:10">
      <c r="A51" s="25">
        <f>Subsurface_Live_Data!A51</f>
        <v>-35.5</v>
      </c>
      <c r="B51" s="25">
        <f>Subsurface_Live_Data!K51</f>
        <v>14580.284946826378</v>
      </c>
      <c r="C51" s="25">
        <f>MAX(0,B51-Subsurface_Inputs!$C$44)</f>
        <v>13080.284946826378</v>
      </c>
      <c r="D51" s="25">
        <f>B51+Subsurface_Inputs!$C$44</f>
        <v>16080.284946826378</v>
      </c>
      <c r="E51" s="25">
        <f>B51*Subsurface_Inputs!$C$45</f>
        <v>8019.1567207545086</v>
      </c>
      <c r="F51" s="25">
        <f t="shared" si="0"/>
        <v>14580.284946826378</v>
      </c>
      <c r="G51" s="25">
        <f>B51*Subsurface_Inputs!$C$46</f>
        <v>25515.498656946162</v>
      </c>
      <c r="H51" s="25">
        <f>Subsurface_Live_Data!Y51</f>
        <v>10.888986351099952</v>
      </c>
      <c r="I51" s="25">
        <f>Subsurface_Inputs!$C$47-Subsurface_Inputs!$C$43+2*SIN(2*PI()*A51/42)</f>
        <v>-13.347522451368011</v>
      </c>
      <c r="J51" s="25">
        <v>0</v>
      </c>
    </row>
    <row r="52" spans="1:10">
      <c r="A52" s="25">
        <f>Subsurface_Live_Data!A52</f>
        <v>-35</v>
      </c>
      <c r="B52" s="25">
        <f>Subsurface_Live_Data!K52</f>
        <v>14581.129325609469</v>
      </c>
      <c r="C52" s="25">
        <f>MAX(0,B52-Subsurface_Inputs!$C$44)</f>
        <v>13081.129325609469</v>
      </c>
      <c r="D52" s="25">
        <f>B52+Subsurface_Inputs!$C$44</f>
        <v>16081.129325609469</v>
      </c>
      <c r="E52" s="25">
        <f>B52*Subsurface_Inputs!$C$45</f>
        <v>8019.6211290852088</v>
      </c>
      <c r="F52" s="25">
        <f t="shared" si="0"/>
        <v>14581.129325609469</v>
      </c>
      <c r="G52" s="25">
        <f>B52*Subsurface_Inputs!$C$46</f>
        <v>25516.976319816571</v>
      </c>
      <c r="H52" s="25">
        <f>Subsurface_Live_Data!Y52</f>
        <v>10.907800242212012</v>
      </c>
      <c r="I52" s="25">
        <f>Subsurface_Inputs!$C$47-Subsurface_Inputs!$C$43+2*SIN(2*PI()*A52/42)</f>
        <v>-13.267949192431121</v>
      </c>
      <c r="J52" s="25">
        <v>0</v>
      </c>
    </row>
    <row r="53" spans="1:10">
      <c r="A53" s="25">
        <f>Subsurface_Live_Data!A53</f>
        <v>-34.5</v>
      </c>
      <c r="B53" s="25">
        <f>Subsurface_Live_Data!K53</f>
        <v>14576.857632008796</v>
      </c>
      <c r="C53" s="25">
        <f>MAX(0,B53-Subsurface_Inputs!$C$44)</f>
        <v>13076.857632008796</v>
      </c>
      <c r="D53" s="25">
        <f>B53+Subsurface_Inputs!$C$44</f>
        <v>16076.857632008796</v>
      </c>
      <c r="E53" s="25">
        <f>B53*Subsurface_Inputs!$C$45</f>
        <v>8017.2716976048387</v>
      </c>
      <c r="F53" s="25">
        <f t="shared" si="0"/>
        <v>14576.857632008796</v>
      </c>
      <c r="G53" s="25">
        <f>B53*Subsurface_Inputs!$C$46</f>
        <v>25509.500856015395</v>
      </c>
      <c r="H53" s="25">
        <f>Subsurface_Live_Data!Y53</f>
        <v>10.755996764250092</v>
      </c>
      <c r="I53" s="25">
        <f>Subsurface_Inputs!$C$47-Subsurface_Inputs!$C$43+2*SIN(2*PI()*A53/42)</f>
        <v>-13.198062264195162</v>
      </c>
      <c r="J53" s="25">
        <v>0</v>
      </c>
    </row>
    <row r="54" spans="1:10">
      <c r="A54" s="25">
        <f>Subsurface_Live_Data!A54</f>
        <v>-34</v>
      </c>
      <c r="B54" s="25">
        <f>Subsurface_Live_Data!K54</f>
        <v>14577.628747923234</v>
      </c>
      <c r="C54" s="25">
        <f>MAX(0,B54-Subsurface_Inputs!$C$44)</f>
        <v>13077.628747923234</v>
      </c>
      <c r="D54" s="25">
        <f>B54+Subsurface_Inputs!$C$44</f>
        <v>16077.628747923234</v>
      </c>
      <c r="E54" s="25">
        <f>B54*Subsurface_Inputs!$C$45</f>
        <v>8017.6958113577793</v>
      </c>
      <c r="F54" s="25">
        <f t="shared" si="0"/>
        <v>14577.628747923234</v>
      </c>
      <c r="G54" s="25">
        <f>B54*Subsurface_Inputs!$C$46</f>
        <v>25510.850308865658</v>
      </c>
      <c r="H54" s="25">
        <f>Subsurface_Live_Data!Y54</f>
        <v>10.745291711753197</v>
      </c>
      <c r="I54" s="25">
        <f>Subsurface_Inputs!$C$47-Subsurface_Inputs!$C$43+2*SIN(2*PI()*A54/42)</f>
        <v>-13.138252502711591</v>
      </c>
      <c r="J54" s="25">
        <v>0</v>
      </c>
    </row>
    <row r="55" spans="1:10">
      <c r="A55" s="25">
        <f>Subsurface_Live_Data!A55</f>
        <v>-33.5</v>
      </c>
      <c r="B55" s="25">
        <f>Subsurface_Live_Data!K55</f>
        <v>14578.092560023488</v>
      </c>
      <c r="C55" s="25">
        <f>MAX(0,B55-Subsurface_Inputs!$C$44)</f>
        <v>13078.092560023488</v>
      </c>
      <c r="D55" s="25">
        <f>B55+Subsurface_Inputs!$C$44</f>
        <v>16078.092560023488</v>
      </c>
      <c r="E55" s="25">
        <f>B55*Subsurface_Inputs!$C$45</f>
        <v>8017.9509080129192</v>
      </c>
      <c r="F55" s="25">
        <f t="shared" si="0"/>
        <v>14578.092560023488</v>
      </c>
      <c r="G55" s="25">
        <f>B55*Subsurface_Inputs!$C$46</f>
        <v>25511.661980041103</v>
      </c>
      <c r="H55" s="25">
        <f>Subsurface_Live_Data!Y55</f>
        <v>10.710193895076756</v>
      </c>
      <c r="I55" s="25">
        <f>Subsurface_Inputs!$C$47-Subsurface_Inputs!$C$43+2*SIN(2*PI()*A55/42)</f>
        <v>-13.088854388427718</v>
      </c>
      <c r="J55" s="25">
        <v>0</v>
      </c>
    </row>
    <row r="56" spans="1:10">
      <c r="A56" s="25">
        <f>Subsurface_Live_Data!A56</f>
        <v>-33</v>
      </c>
      <c r="B56" s="25">
        <f>Subsurface_Live_Data!K56</f>
        <v>14578.466646582594</v>
      </c>
      <c r="C56" s="25">
        <f>MAX(0,B56-Subsurface_Inputs!$C$44)</f>
        <v>13078.466646582594</v>
      </c>
      <c r="D56" s="25">
        <f>B56+Subsurface_Inputs!$C$44</f>
        <v>16078.466646582594</v>
      </c>
      <c r="E56" s="25">
        <f>B56*Subsurface_Inputs!$C$45</f>
        <v>8018.156655620427</v>
      </c>
      <c r="F56" s="25">
        <f t="shared" si="0"/>
        <v>14578.466646582594</v>
      </c>
      <c r="G56" s="25">
        <f>B56*Subsurface_Inputs!$C$46</f>
        <v>25512.316631519541</v>
      </c>
      <c r="H56" s="25">
        <f>Subsurface_Live_Data!Y56</f>
        <v>10.656567626636438</v>
      </c>
      <c r="I56" s="25">
        <f>Subsurface_Inputs!$C$47-Subsurface_Inputs!$C$43+2*SIN(2*PI()*A56/42)</f>
        <v>-13.050144175636353</v>
      </c>
      <c r="J56" s="25">
        <v>0</v>
      </c>
    </row>
    <row r="57" spans="1:10">
      <c r="A57" s="25">
        <f>Subsurface_Live_Data!A57</f>
        <v>-32.5</v>
      </c>
      <c r="B57" s="25">
        <f>Subsurface_Live_Data!K57</f>
        <v>14580.08569704939</v>
      </c>
      <c r="C57" s="25">
        <f>MAX(0,B57-Subsurface_Inputs!$C$44)</f>
        <v>13080.08569704939</v>
      </c>
      <c r="D57" s="25">
        <f>B57+Subsurface_Inputs!$C$44</f>
        <v>16080.08569704939</v>
      </c>
      <c r="E57" s="25">
        <f>B57*Subsurface_Inputs!$C$45</f>
        <v>8019.0471333771648</v>
      </c>
      <c r="F57" s="25">
        <f t="shared" si="0"/>
        <v>14580.08569704939</v>
      </c>
      <c r="G57" s="25">
        <f>B57*Subsurface_Inputs!$C$46</f>
        <v>25515.149969836431</v>
      </c>
      <c r="H57" s="25">
        <f>Subsurface_Live_Data!Y57</f>
        <v>10.624684654638408</v>
      </c>
      <c r="I57" s="25">
        <f>Subsurface_Inputs!$C$47-Subsurface_Inputs!$C$43+2*SIN(2*PI()*A57/42)</f>
        <v>-13.022338347549743</v>
      </c>
      <c r="J57" s="25">
        <v>0</v>
      </c>
    </row>
    <row r="58" spans="1:10">
      <c r="A58" s="25">
        <f>Subsurface_Live_Data!A58</f>
        <v>-32</v>
      </c>
      <c r="B58" s="25">
        <f>Subsurface_Live_Data!K58</f>
        <v>14584.952070760557</v>
      </c>
      <c r="C58" s="25">
        <f>MAX(0,B58-Subsurface_Inputs!$C$44)</f>
        <v>13084.952070760557</v>
      </c>
      <c r="D58" s="25">
        <f>B58+Subsurface_Inputs!$C$44</f>
        <v>16084.952070760557</v>
      </c>
      <c r="E58" s="25">
        <f>B58*Subsurface_Inputs!$C$45</f>
        <v>8021.7236389183072</v>
      </c>
      <c r="F58" s="25">
        <f t="shared" si="0"/>
        <v>14584.952070760557</v>
      </c>
      <c r="G58" s="25">
        <f>B58*Subsurface_Inputs!$C$46</f>
        <v>25523.666123830975</v>
      </c>
      <c r="H58" s="25">
        <f>Subsurface_Live_Data!Y58</f>
        <v>10.675396785439752</v>
      </c>
      <c r="I58" s="25">
        <f>Subsurface_Inputs!$C$47-Subsurface_Inputs!$C$43+2*SIN(2*PI()*A58/42)</f>
        <v>-13.005592405637639</v>
      </c>
      <c r="J58" s="25">
        <v>0</v>
      </c>
    </row>
    <row r="59" spans="1:10">
      <c r="A59" s="25">
        <f>Subsurface_Live_Data!A59</f>
        <v>-31.5</v>
      </c>
      <c r="B59" s="25">
        <f>Subsurface_Live_Data!K59</f>
        <v>14587.057234351585</v>
      </c>
      <c r="C59" s="25">
        <f>MAX(0,B59-Subsurface_Inputs!$C$44)</f>
        <v>13087.057234351585</v>
      </c>
      <c r="D59" s="25">
        <f>B59+Subsurface_Inputs!$C$44</f>
        <v>16087.057234351585</v>
      </c>
      <c r="E59" s="25">
        <f>B59*Subsurface_Inputs!$C$45</f>
        <v>8022.8814788933723</v>
      </c>
      <c r="F59" s="25">
        <f t="shared" si="0"/>
        <v>14587.057234351585</v>
      </c>
      <c r="G59" s="25">
        <f>B59*Subsurface_Inputs!$C$46</f>
        <v>25527.350160115275</v>
      </c>
      <c r="H59" s="25">
        <f>Subsurface_Live_Data!Y59</f>
        <v>10.62308660212188</v>
      </c>
      <c r="I59" s="25">
        <f>Subsurface_Inputs!$C$47-Subsurface_Inputs!$C$43+2*SIN(2*PI()*A59/42)</f>
        <v>-13</v>
      </c>
      <c r="J59" s="25">
        <v>0</v>
      </c>
    </row>
    <row r="60" spans="1:10">
      <c r="A60" s="25">
        <f>Subsurface_Live_Data!A60</f>
        <v>-31</v>
      </c>
      <c r="B60" s="25">
        <f>Subsurface_Live_Data!K60</f>
        <v>14592.076103026691</v>
      </c>
      <c r="C60" s="25">
        <f>MAX(0,B60-Subsurface_Inputs!$C$44)</f>
        <v>13092.076103026691</v>
      </c>
      <c r="D60" s="25">
        <f>B60+Subsurface_Inputs!$C$44</f>
        <v>16092.076103026691</v>
      </c>
      <c r="E60" s="25">
        <f>B60*Subsurface_Inputs!$C$45</f>
        <v>8025.6418566646807</v>
      </c>
      <c r="F60" s="25">
        <f t="shared" si="0"/>
        <v>14592.076103026691</v>
      </c>
      <c r="G60" s="25">
        <f>B60*Subsurface_Inputs!$C$46</f>
        <v>25536.133180296711</v>
      </c>
      <c r="H60" s="25">
        <f>Subsurface_Live_Data!Y60</f>
        <v>10.641692875388621</v>
      </c>
      <c r="I60" s="25">
        <f>Subsurface_Inputs!$C$47-Subsurface_Inputs!$C$43+2*SIN(2*PI()*A60/42)</f>
        <v>-13.005592405637639</v>
      </c>
      <c r="J60" s="25">
        <v>0</v>
      </c>
    </row>
    <row r="61" spans="1:10">
      <c r="A61" s="25">
        <f>Subsurface_Live_Data!A61</f>
        <v>-30.5</v>
      </c>
      <c r="B61" s="25">
        <f>Subsurface_Live_Data!K61</f>
        <v>14599.553282966977</v>
      </c>
      <c r="C61" s="25">
        <f>MAX(0,B61-Subsurface_Inputs!$C$44)</f>
        <v>13099.553282966977</v>
      </c>
      <c r="D61" s="25">
        <f>B61+Subsurface_Inputs!$C$44</f>
        <v>16099.553282966977</v>
      </c>
      <c r="E61" s="25">
        <f>B61*Subsurface_Inputs!$C$45</f>
        <v>8029.7543056318382</v>
      </c>
      <c r="F61" s="25">
        <f t="shared" si="0"/>
        <v>14599.553282966977</v>
      </c>
      <c r="G61" s="25">
        <f>B61*Subsurface_Inputs!$C$46</f>
        <v>25549.218245192209</v>
      </c>
      <c r="H61" s="25">
        <f>Subsurface_Live_Data!Y61</f>
        <v>10.716558090919015</v>
      </c>
      <c r="I61" s="25">
        <f>Subsurface_Inputs!$C$47-Subsurface_Inputs!$C$43+2*SIN(2*PI()*A61/42)</f>
        <v>-13.022338347549743</v>
      </c>
      <c r="J61" s="25">
        <v>0</v>
      </c>
    </row>
    <row r="62" spans="1:10">
      <c r="A62" s="25">
        <f>Subsurface_Live_Data!A62</f>
        <v>-30</v>
      </c>
      <c r="B62" s="25">
        <f>Subsurface_Live_Data!K62</f>
        <v>14605.92076461545</v>
      </c>
      <c r="C62" s="25">
        <f>MAX(0,B62-Subsurface_Inputs!$C$44)</f>
        <v>13105.92076461545</v>
      </c>
      <c r="D62" s="25">
        <f>B62+Subsurface_Inputs!$C$44</f>
        <v>16105.92076461545</v>
      </c>
      <c r="E62" s="25">
        <f>B62*Subsurface_Inputs!$C$45</f>
        <v>8033.2564205384979</v>
      </c>
      <c r="F62" s="25">
        <f t="shared" si="0"/>
        <v>14605.92076461545</v>
      </c>
      <c r="G62" s="25">
        <f>B62*Subsurface_Inputs!$C$46</f>
        <v>25560.361338077037</v>
      </c>
      <c r="H62" s="25">
        <f>Subsurface_Live_Data!Y62</f>
        <v>10.737289374659134</v>
      </c>
      <c r="I62" s="25">
        <f>Subsurface_Inputs!$C$47-Subsurface_Inputs!$C$43+2*SIN(2*PI()*A62/42)</f>
        <v>-13.050144175636353</v>
      </c>
      <c r="J62" s="25">
        <v>0</v>
      </c>
    </row>
    <row r="63" spans="1:10">
      <c r="A63" s="25">
        <f>Subsurface_Live_Data!A63</f>
        <v>-29.5</v>
      </c>
      <c r="B63" s="25">
        <f>Subsurface_Live_Data!K63</f>
        <v>14614.273949137119</v>
      </c>
      <c r="C63" s="25">
        <f>MAX(0,B63-Subsurface_Inputs!$C$44)</f>
        <v>13114.273949137119</v>
      </c>
      <c r="D63" s="25">
        <f>B63+Subsurface_Inputs!$C$44</f>
        <v>16114.273949137119</v>
      </c>
      <c r="E63" s="25">
        <f>B63*Subsurface_Inputs!$C$45</f>
        <v>8037.8506720254163</v>
      </c>
      <c r="F63" s="25">
        <f t="shared" si="0"/>
        <v>14614.273949137119</v>
      </c>
      <c r="G63" s="25">
        <f>B63*Subsurface_Inputs!$C$46</f>
        <v>25574.979410989959</v>
      </c>
      <c r="H63" s="25">
        <f>Subsurface_Live_Data!Y63</f>
        <v>10.79858287399928</v>
      </c>
      <c r="I63" s="25">
        <f>Subsurface_Inputs!$C$47-Subsurface_Inputs!$C$43+2*SIN(2*PI()*A63/42)</f>
        <v>-13.08885438842772</v>
      </c>
      <c r="J63" s="25">
        <v>0</v>
      </c>
    </row>
    <row r="64" spans="1:10">
      <c r="A64" s="25">
        <f>Subsurface_Live_Data!A64</f>
        <v>-29</v>
      </c>
      <c r="B64" s="25">
        <f>Subsurface_Live_Data!K64</f>
        <v>14621.073466646045</v>
      </c>
      <c r="C64" s="25">
        <f>MAX(0,B64-Subsurface_Inputs!$C$44)</f>
        <v>13121.073466646045</v>
      </c>
      <c r="D64" s="25">
        <f>B64+Subsurface_Inputs!$C$44</f>
        <v>16121.073466646045</v>
      </c>
      <c r="E64" s="25">
        <f>B64*Subsurface_Inputs!$C$45</f>
        <v>8041.5904066553258</v>
      </c>
      <c r="F64" s="25">
        <f t="shared" si="0"/>
        <v>14621.073466646045</v>
      </c>
      <c r="G64" s="25">
        <f>B64*Subsurface_Inputs!$C$46</f>
        <v>25586.878566630578</v>
      </c>
      <c r="H64" s="25">
        <f>Subsurface_Live_Data!Y64</f>
        <v>10.791021672156113</v>
      </c>
      <c r="I64" s="25">
        <f>Subsurface_Inputs!$C$47-Subsurface_Inputs!$C$43+2*SIN(2*PI()*A64/42)</f>
        <v>-13.138252502711591</v>
      </c>
      <c r="J64" s="25">
        <v>0</v>
      </c>
    </row>
    <row r="65" spans="1:10">
      <c r="A65" s="25">
        <f>Subsurface_Live_Data!A65</f>
        <v>-28.5</v>
      </c>
      <c r="B65" s="25">
        <f>Subsurface_Live_Data!K65</f>
        <v>14632.442623515901</v>
      </c>
      <c r="C65" s="25">
        <f>MAX(0,B65-Subsurface_Inputs!$C$44)</f>
        <v>13132.442623515901</v>
      </c>
      <c r="D65" s="25">
        <f>B65+Subsurface_Inputs!$C$44</f>
        <v>16132.442623515901</v>
      </c>
      <c r="E65" s="25">
        <f>B65*Subsurface_Inputs!$C$45</f>
        <v>8047.8434429337458</v>
      </c>
      <c r="F65" s="25">
        <f t="shared" si="0"/>
        <v>14632.442623515901</v>
      </c>
      <c r="G65" s="25">
        <f>B65*Subsurface_Inputs!$C$46</f>
        <v>25606.774591152825</v>
      </c>
      <c r="H65" s="25">
        <f>Subsurface_Live_Data!Y65</f>
        <v>10.90257336727695</v>
      </c>
      <c r="I65" s="25">
        <f>Subsurface_Inputs!$C$47-Subsurface_Inputs!$C$43+2*SIN(2*PI()*A65/42)</f>
        <v>-13.198062264195162</v>
      </c>
      <c r="J65" s="25">
        <v>0</v>
      </c>
    </row>
    <row r="66" spans="1:10">
      <c r="A66" s="25">
        <f>Subsurface_Live_Data!A66</f>
        <v>-28</v>
      </c>
      <c r="B66" s="25">
        <f>Subsurface_Live_Data!K66</f>
        <v>14641.123866777607</v>
      </c>
      <c r="C66" s="25">
        <f>MAX(0,B66-Subsurface_Inputs!$C$44)</f>
        <v>13141.123866777607</v>
      </c>
      <c r="D66" s="25">
        <f>B66+Subsurface_Inputs!$C$44</f>
        <v>16141.123866777607</v>
      </c>
      <c r="E66" s="25">
        <f>B66*Subsurface_Inputs!$C$45</f>
        <v>8052.6181267276843</v>
      </c>
      <c r="F66" s="25">
        <f t="shared" ref="F66:F129" si="1">B66</f>
        <v>14641.123866777607</v>
      </c>
      <c r="G66" s="25">
        <f>B66*Subsurface_Inputs!$C$46</f>
        <v>25621.966766860813</v>
      </c>
      <c r="H66" s="25">
        <f>Subsurface_Live_Data!Y66</f>
        <v>10.909509279233099</v>
      </c>
      <c r="I66" s="25">
        <f>Subsurface_Inputs!$C$47-Subsurface_Inputs!$C$43+2*SIN(2*PI()*A66/42)</f>
        <v>-13.267949192431123</v>
      </c>
      <c r="J66" s="25">
        <v>0</v>
      </c>
    </row>
    <row r="67" spans="1:10">
      <c r="A67" s="25">
        <f>Subsurface_Live_Data!A67</f>
        <v>-27.5</v>
      </c>
      <c r="B67" s="25">
        <f>Subsurface_Live_Data!K67</f>
        <v>14653.311244711216</v>
      </c>
      <c r="C67" s="25">
        <f>MAX(0,B67-Subsurface_Inputs!$C$44)</f>
        <v>13153.311244711216</v>
      </c>
      <c r="D67" s="25">
        <f>B67+Subsurface_Inputs!$C$44</f>
        <v>16153.311244711216</v>
      </c>
      <c r="E67" s="25">
        <f>B67*Subsurface_Inputs!$C$45</f>
        <v>8059.3211845911692</v>
      </c>
      <c r="F67" s="25">
        <f t="shared" si="1"/>
        <v>14653.311244711216</v>
      </c>
      <c r="G67" s="25">
        <f>B67*Subsurface_Inputs!$C$46</f>
        <v>25643.294678244627</v>
      </c>
      <c r="H67" s="25">
        <f>Subsurface_Live_Data!Y67</f>
        <v>11.002079179356677</v>
      </c>
      <c r="I67" s="25">
        <f>Subsurface_Inputs!$C$47-Subsurface_Inputs!$C$43+2*SIN(2*PI()*A67/42)</f>
        <v>-13.347522451368011</v>
      </c>
      <c r="J67" s="25">
        <v>0</v>
      </c>
    </row>
    <row r="68" spans="1:10">
      <c r="A68" s="25">
        <f>Subsurface_Live_Data!A68</f>
        <v>-27</v>
      </c>
      <c r="B68" s="25">
        <f>Subsurface_Live_Data!K68</f>
        <v>14665.036556690675</v>
      </c>
      <c r="C68" s="25">
        <f>MAX(0,B68-Subsurface_Inputs!$C$44)</f>
        <v>13165.036556690675</v>
      </c>
      <c r="D68" s="25">
        <f>B68+Subsurface_Inputs!$C$44</f>
        <v>16165.036556690675</v>
      </c>
      <c r="E68" s="25">
        <f>B68*Subsurface_Inputs!$C$45</f>
        <v>8065.7701061798716</v>
      </c>
      <c r="F68" s="25">
        <f t="shared" si="1"/>
        <v>14665.036556690675</v>
      </c>
      <c r="G68" s="25">
        <f>B68*Subsurface_Inputs!$C$46</f>
        <v>25663.813974208682</v>
      </c>
      <c r="H68" s="25">
        <f>Subsurface_Live_Data!Y68</f>
        <v>11.05788083658414</v>
      </c>
      <c r="I68" s="25">
        <f>Subsurface_Inputs!$C$47-Subsurface_Inputs!$C$43+2*SIN(2*PI()*A68/42)</f>
        <v>-13.436337035063941</v>
      </c>
      <c r="J68" s="25">
        <v>0</v>
      </c>
    </row>
    <row r="69" spans="1:10">
      <c r="A69" s="25">
        <f>Subsurface_Live_Data!A69</f>
        <v>-26.5</v>
      </c>
      <c r="B69" s="25">
        <f>Subsurface_Live_Data!K69</f>
        <v>14676.338809952045</v>
      </c>
      <c r="C69" s="25">
        <f>MAX(0,B69-Subsurface_Inputs!$C$44)</f>
        <v>13176.338809952045</v>
      </c>
      <c r="D69" s="25">
        <f>B69+Subsurface_Inputs!$C$44</f>
        <v>16176.338809952045</v>
      </c>
      <c r="E69" s="25">
        <f>B69*Subsurface_Inputs!$C$45</f>
        <v>8071.986345473626</v>
      </c>
      <c r="F69" s="25">
        <f t="shared" si="1"/>
        <v>14676.338809952045</v>
      </c>
      <c r="G69" s="25">
        <f>B69*Subsurface_Inputs!$C$46</f>
        <v>25683.592917416077</v>
      </c>
      <c r="H69" s="25">
        <f>Subsurface_Live_Data!Y69</f>
        <v>11.07787575402272</v>
      </c>
      <c r="I69" s="25">
        <f>Subsurface_Inputs!$C$47-Subsurface_Inputs!$C$43+2*SIN(2*PI()*A69/42)</f>
        <v>-13.533896256340347</v>
      </c>
      <c r="J69" s="25">
        <v>0</v>
      </c>
    </row>
    <row r="70" spans="1:10">
      <c r="A70" s="25">
        <f>Subsurface_Live_Data!A70</f>
        <v>-26</v>
      </c>
      <c r="B70" s="25">
        <f>Subsurface_Live_Data!K70</f>
        <v>14691.249740602572</v>
      </c>
      <c r="C70" s="25">
        <f>MAX(0,B70-Subsurface_Inputs!$C$44)</f>
        <v>13191.249740602572</v>
      </c>
      <c r="D70" s="25">
        <f>B70+Subsurface_Inputs!$C$44</f>
        <v>16191.249740602572</v>
      </c>
      <c r="E70" s="25">
        <f>B70*Subsurface_Inputs!$C$45</f>
        <v>8080.1873573314151</v>
      </c>
      <c r="F70" s="25">
        <f t="shared" si="1"/>
        <v>14691.249740602572</v>
      </c>
      <c r="G70" s="25">
        <f>B70*Subsurface_Inputs!$C$46</f>
        <v>25709.687046054503</v>
      </c>
      <c r="H70" s="25">
        <f>Subsurface_Live_Data!Y70</f>
        <v>11.185944796017459</v>
      </c>
      <c r="I70" s="25">
        <f>Subsurface_Inputs!$C$47-Subsurface_Inputs!$C$43+2*SIN(2*PI()*A70/42)</f>
        <v>-13.639654524458161</v>
      </c>
      <c r="J70" s="25">
        <v>0</v>
      </c>
    </row>
    <row r="71" spans="1:10">
      <c r="A71" s="25">
        <f>Subsurface_Live_Data!A71</f>
        <v>-25.5</v>
      </c>
      <c r="B71" s="25">
        <f>Subsurface_Live_Data!K71</f>
        <v>14704.337559090227</v>
      </c>
      <c r="C71" s="25">
        <f>MAX(0,B71-Subsurface_Inputs!$C$44)</f>
        <v>13204.337559090227</v>
      </c>
      <c r="D71" s="25">
        <f>B71+Subsurface_Inputs!$C$44</f>
        <v>16204.337559090227</v>
      </c>
      <c r="E71" s="25">
        <f>B71*Subsurface_Inputs!$C$45</f>
        <v>8087.3856574996253</v>
      </c>
      <c r="F71" s="25">
        <f t="shared" si="1"/>
        <v>14704.337559090227</v>
      </c>
      <c r="G71" s="25">
        <f>B71*Subsurface_Inputs!$C$46</f>
        <v>25732.590728407897</v>
      </c>
      <c r="H71" s="25">
        <f>Subsurface_Live_Data!Y71</f>
        <v>11.214821032610359</v>
      </c>
      <c r="I71" s="25">
        <f>Subsurface_Inputs!$C$47-Subsurface_Inputs!$C$43+2*SIN(2*PI()*A71/42)</f>
        <v>-13.753020396282533</v>
      </c>
      <c r="J71" s="25">
        <v>0</v>
      </c>
    </row>
    <row r="72" spans="1:10">
      <c r="A72" s="25">
        <f>Subsurface_Live_Data!A72</f>
        <v>-25</v>
      </c>
      <c r="B72" s="25">
        <f>Subsurface_Live_Data!K72</f>
        <v>14719.836152269878</v>
      </c>
      <c r="C72" s="25">
        <f>MAX(0,B72-Subsurface_Inputs!$C$44)</f>
        <v>13219.836152269878</v>
      </c>
      <c r="D72" s="25">
        <f>B72+Subsurface_Inputs!$C$44</f>
        <v>16219.836152269878</v>
      </c>
      <c r="E72" s="25">
        <f>B72*Subsurface_Inputs!$C$45</f>
        <v>8095.9098837484335</v>
      </c>
      <c r="F72" s="25">
        <f t="shared" si="1"/>
        <v>14719.836152269878</v>
      </c>
      <c r="G72" s="25">
        <f>B72*Subsurface_Inputs!$C$46</f>
        <v>25759.713266472285</v>
      </c>
      <c r="H72" s="25">
        <f>Subsurface_Live_Data!Y72</f>
        <v>11.294723484494817</v>
      </c>
      <c r="I72" s="25">
        <f>Subsurface_Inputs!$C$47-Subsurface_Inputs!$C$43+2*SIN(2*PI()*A72/42)</f>
        <v>-13.873359883872755</v>
      </c>
      <c r="J72" s="25">
        <v>0</v>
      </c>
    </row>
    <row r="73" spans="1:10">
      <c r="A73" s="25">
        <f>Subsurface_Live_Data!A73</f>
        <v>-24.5</v>
      </c>
      <c r="B73" s="25">
        <f>Subsurface_Live_Data!K73</f>
        <v>14732.271053468079</v>
      </c>
      <c r="C73" s="25">
        <f>MAX(0,B73-Subsurface_Inputs!$C$44)</f>
        <v>13232.271053468079</v>
      </c>
      <c r="D73" s="25">
        <f>B73+Subsurface_Inputs!$C$44</f>
        <v>16232.271053468079</v>
      </c>
      <c r="E73" s="25">
        <f>B73*Subsurface_Inputs!$C$45</f>
        <v>8102.7490794074438</v>
      </c>
      <c r="F73" s="25">
        <f t="shared" si="1"/>
        <v>14732.271053468079</v>
      </c>
      <c r="G73" s="25">
        <f>B73*Subsurface_Inputs!$C$46</f>
        <v>25781.474343569138</v>
      </c>
      <c r="H73" s="25">
        <f>Subsurface_Live_Data!Y73</f>
        <v>11.25719126249966</v>
      </c>
      <c r="I73" s="25">
        <f>Subsurface_Inputs!$C$47-Subsurface_Inputs!$C$43+2*SIN(2*PI()*A73/42)</f>
        <v>-14</v>
      </c>
      <c r="J73" s="25">
        <v>0</v>
      </c>
    </row>
    <row r="74" spans="1:10">
      <c r="A74" s="25">
        <f>Subsurface_Live_Data!A74</f>
        <v>-24</v>
      </c>
      <c r="B74" s="25">
        <f>Subsurface_Live_Data!K74</f>
        <v>14748.893722340972</v>
      </c>
      <c r="C74" s="25">
        <f>MAX(0,B74-Subsurface_Inputs!$C$44)</f>
        <v>13248.893722340972</v>
      </c>
      <c r="D74" s="25">
        <f>B74+Subsurface_Inputs!$C$44</f>
        <v>16248.893722340972</v>
      </c>
      <c r="E74" s="25">
        <f>B74*Subsurface_Inputs!$C$45</f>
        <v>8111.8915472875351</v>
      </c>
      <c r="F74" s="25">
        <f t="shared" si="1"/>
        <v>14748.893722340972</v>
      </c>
      <c r="G74" s="25">
        <f>B74*Subsurface_Inputs!$C$46</f>
        <v>25810.564014096701</v>
      </c>
      <c r="H74" s="25">
        <f>Subsurface_Live_Data!Y74</f>
        <v>11.325418971252532</v>
      </c>
      <c r="I74" s="25">
        <f>Subsurface_Inputs!$C$47-Subsurface_Inputs!$C$43+2*SIN(2*PI()*A74/42)</f>
        <v>-14.132232521764884</v>
      </c>
      <c r="J74" s="25">
        <v>0</v>
      </c>
    </row>
    <row r="75" spans="1:10">
      <c r="A75" s="25">
        <f>Subsurface_Live_Data!A75</f>
        <v>-23.5</v>
      </c>
      <c r="B75" s="25">
        <f>Subsurface_Live_Data!K75</f>
        <v>14764.46311292151</v>
      </c>
      <c r="C75" s="25">
        <f>MAX(0,B75-Subsurface_Inputs!$C$44)</f>
        <v>13264.46311292151</v>
      </c>
      <c r="D75" s="25">
        <f>B75+Subsurface_Inputs!$C$44</f>
        <v>16264.46311292151</v>
      </c>
      <c r="E75" s="25">
        <f>B75*Subsurface_Inputs!$C$45</f>
        <v>8120.4547121068317</v>
      </c>
      <c r="F75" s="25">
        <f t="shared" si="1"/>
        <v>14764.46311292151</v>
      </c>
      <c r="G75" s="25">
        <f>B75*Subsurface_Inputs!$C$46</f>
        <v>25837.810447612643</v>
      </c>
      <c r="H75" s="25">
        <f>Subsurface_Live_Data!Y75</f>
        <v>11.338249939067538</v>
      </c>
      <c r="I75" s="25">
        <f>Subsurface_Inputs!$C$47-Subsurface_Inputs!$C$43+2*SIN(2*PI()*A75/42)</f>
        <v>-14.26931795126721</v>
      </c>
      <c r="J75" s="25">
        <v>0</v>
      </c>
    </row>
    <row r="76" spans="1:10">
      <c r="A76" s="25">
        <f>Subsurface_Live_Data!A76</f>
        <v>-23</v>
      </c>
      <c r="B76" s="25">
        <f>Subsurface_Live_Data!K76</f>
        <v>14780.793521743946</v>
      </c>
      <c r="C76" s="25">
        <f>MAX(0,B76-Subsurface_Inputs!$C$44)</f>
        <v>13280.793521743946</v>
      </c>
      <c r="D76" s="25">
        <f>B76+Subsurface_Inputs!$C$44</f>
        <v>16280.793521743946</v>
      </c>
      <c r="E76" s="25">
        <f>B76*Subsurface_Inputs!$C$45</f>
        <v>8129.4364369591713</v>
      </c>
      <c r="F76" s="25">
        <f t="shared" si="1"/>
        <v>14780.793521743946</v>
      </c>
      <c r="G76" s="25">
        <f>B76*Subsurface_Inputs!$C$46</f>
        <v>25866.388663051905</v>
      </c>
      <c r="H76" s="25">
        <f>Subsurface_Live_Data!Y76</f>
        <v>11.351691680234417</v>
      </c>
      <c r="I76" s="25">
        <f>Subsurface_Inputs!$C$47-Subsurface_Inputs!$C$43+2*SIN(2*PI()*A76/42)</f>
        <v>-14.410489651178192</v>
      </c>
      <c r="J76" s="25">
        <v>0</v>
      </c>
    </row>
    <row r="77" spans="1:10">
      <c r="A77" s="25">
        <f>Subsurface_Live_Data!A77</f>
        <v>-22.5</v>
      </c>
      <c r="B77" s="25">
        <f>Subsurface_Live_Data!K77</f>
        <v>14797.70065261399</v>
      </c>
      <c r="C77" s="25">
        <f>MAX(0,B77-Subsurface_Inputs!$C$44)</f>
        <v>13297.70065261399</v>
      </c>
      <c r="D77" s="25">
        <f>B77+Subsurface_Inputs!$C$44</f>
        <v>16297.70065261399</v>
      </c>
      <c r="E77" s="25">
        <f>B77*Subsurface_Inputs!$C$45</f>
        <v>8138.7353589376953</v>
      </c>
      <c r="F77" s="25">
        <f t="shared" si="1"/>
        <v>14797.70065261399</v>
      </c>
      <c r="G77" s="25">
        <f>B77*Subsurface_Inputs!$C$46</f>
        <v>25895.976142074484</v>
      </c>
      <c r="H77" s="25">
        <f>Subsurface_Live_Data!Y77</f>
        <v>11.360313465460202</v>
      </c>
      <c r="I77" s="25">
        <f>Subsurface_Inputs!$C$47-Subsurface_Inputs!$C$43+2*SIN(2*PI()*A77/42)</f>
        <v>-14.554958132087371</v>
      </c>
      <c r="J77" s="25">
        <v>0</v>
      </c>
    </row>
    <row r="78" spans="1:10">
      <c r="A78" s="25">
        <f>Subsurface_Live_Data!A78</f>
        <v>-22</v>
      </c>
      <c r="B78" s="25">
        <f>Subsurface_Live_Data!K78</f>
        <v>14812.199905041163</v>
      </c>
      <c r="C78" s="25">
        <f>MAX(0,B78-Subsurface_Inputs!$C$44)</f>
        <v>13312.199905041163</v>
      </c>
      <c r="D78" s="25">
        <f>B78+Subsurface_Inputs!$C$44</f>
        <v>16312.199905041163</v>
      </c>
      <c r="E78" s="25">
        <f>B78*Subsurface_Inputs!$C$45</f>
        <v>8146.7099477726406</v>
      </c>
      <c r="F78" s="25">
        <f t="shared" si="1"/>
        <v>14812.199905041163</v>
      </c>
      <c r="G78" s="25">
        <f>B78*Subsurface_Inputs!$C$46</f>
        <v>25921.349833822034</v>
      </c>
      <c r="H78" s="25">
        <f>Subsurface_Live_Data!Y78</f>
        <v>11.27257644440855</v>
      </c>
      <c r="I78" s="25">
        <f>Subsurface_Inputs!$C$47-Subsurface_Inputs!$C$43+2*SIN(2*PI()*A78/42)</f>
        <v>-14.701915467647652</v>
      </c>
      <c r="J78" s="25">
        <v>0</v>
      </c>
    </row>
    <row r="79" spans="1:10">
      <c r="A79" s="25">
        <f>Subsurface_Live_Data!A79</f>
        <v>-21.5</v>
      </c>
      <c r="B79" s="25">
        <f>Subsurface_Live_Data!K79</f>
        <v>14829.435200520922</v>
      </c>
      <c r="C79" s="25">
        <f>MAX(0,B79-Subsurface_Inputs!$C$44)</f>
        <v>13329.435200520922</v>
      </c>
      <c r="D79" s="25">
        <f>B79+Subsurface_Inputs!$C$44</f>
        <v>16329.435200520922</v>
      </c>
      <c r="E79" s="25">
        <f>B79*Subsurface_Inputs!$C$45</f>
        <v>8156.1893602865075</v>
      </c>
      <c r="F79" s="25">
        <f t="shared" si="1"/>
        <v>14829.435200520922</v>
      </c>
      <c r="G79" s="25">
        <f>B79*Subsurface_Inputs!$C$46</f>
        <v>25951.511600911614</v>
      </c>
      <c r="H79" s="25">
        <f>Subsurface_Live_Data!Y79</f>
        <v>11.247129016783916</v>
      </c>
      <c r="I79" s="25">
        <f>Subsurface_Inputs!$C$47-Subsurface_Inputs!$C$43+2*SIN(2*PI()*A79/42)</f>
        <v>-14.850539812827153</v>
      </c>
      <c r="J79" s="25">
        <v>0</v>
      </c>
    </row>
    <row r="80" spans="1:10">
      <c r="A80" s="25">
        <f>Subsurface_Live_Data!A80</f>
        <v>-21</v>
      </c>
      <c r="B80" s="25">
        <f>Subsurface_Live_Data!K80</f>
        <v>14851.674432510064</v>
      </c>
      <c r="C80" s="25">
        <f>MAX(0,B80-Subsurface_Inputs!$C$44)</f>
        <v>13351.674432510064</v>
      </c>
      <c r="D80" s="25">
        <f>B80+Subsurface_Inputs!$C$44</f>
        <v>16351.674432510064</v>
      </c>
      <c r="E80" s="25">
        <f>B80*Subsurface_Inputs!$C$45</f>
        <v>8168.4209378805363</v>
      </c>
      <c r="F80" s="25">
        <f t="shared" si="1"/>
        <v>14851.674432510064</v>
      </c>
      <c r="G80" s="25">
        <f>B80*Subsurface_Inputs!$C$46</f>
        <v>25990.430256892614</v>
      </c>
      <c r="H80" s="25">
        <f>Subsurface_Live_Data!Y80</f>
        <v>11.354180722343798</v>
      </c>
      <c r="I80" s="25">
        <f>Subsurface_Inputs!$C$47-Subsurface_Inputs!$C$43+2*SIN(2*PI()*A80/42)</f>
        <v>-15</v>
      </c>
      <c r="J80" s="25">
        <v>0</v>
      </c>
    </row>
    <row r="81" spans="1:10">
      <c r="A81" s="25">
        <f>Subsurface_Live_Data!A81</f>
        <v>-20.5</v>
      </c>
      <c r="B81" s="25">
        <f>Subsurface_Live_Data!K81</f>
        <v>14869.049486702863</v>
      </c>
      <c r="C81" s="25">
        <f>MAX(0,B81-Subsurface_Inputs!$C$44)</f>
        <v>13369.049486702863</v>
      </c>
      <c r="D81" s="25">
        <f>B81+Subsurface_Inputs!$C$44</f>
        <v>16369.049486702863</v>
      </c>
      <c r="E81" s="25">
        <f>B81*Subsurface_Inputs!$C$45</f>
        <v>8177.9772176865754</v>
      </c>
      <c r="F81" s="25">
        <f t="shared" si="1"/>
        <v>14869.049486702863</v>
      </c>
      <c r="G81" s="25">
        <f>B81*Subsurface_Inputs!$C$46</f>
        <v>26020.83660173001</v>
      </c>
      <c r="H81" s="25">
        <f>Subsurface_Live_Data!Y81</f>
        <v>11.290558893280128</v>
      </c>
      <c r="I81" s="25">
        <f>Subsurface_Inputs!$C$47-Subsurface_Inputs!$C$43+2*SIN(2*PI()*A81/42)</f>
        <v>-15.149460187172849</v>
      </c>
      <c r="J81" s="25">
        <v>0</v>
      </c>
    </row>
    <row r="82" spans="1:10">
      <c r="A82" s="25">
        <f>Subsurface_Live_Data!A82</f>
        <v>-20</v>
      </c>
      <c r="B82" s="25">
        <f>Subsurface_Live_Data!K82</f>
        <v>14891.436062206307</v>
      </c>
      <c r="C82" s="25">
        <f>MAX(0,B82-Subsurface_Inputs!$C$44)</f>
        <v>13391.436062206307</v>
      </c>
      <c r="D82" s="25">
        <f>B82+Subsurface_Inputs!$C$44</f>
        <v>16391.436062206307</v>
      </c>
      <c r="E82" s="25">
        <f>B82*Subsurface_Inputs!$C$45</f>
        <v>8190.2898342134695</v>
      </c>
      <c r="F82" s="25">
        <f t="shared" si="1"/>
        <v>14891.436062206307</v>
      </c>
      <c r="G82" s="25">
        <f>B82*Subsurface_Inputs!$C$46</f>
        <v>26060.013108861036</v>
      </c>
      <c r="H82" s="25">
        <f>Subsurface_Live_Data!Y82</f>
        <v>11.360695594483232</v>
      </c>
      <c r="I82" s="25">
        <f>Subsurface_Inputs!$C$47-Subsurface_Inputs!$C$43+2*SIN(2*PI()*A82/42)</f>
        <v>-15.29808453235235</v>
      </c>
      <c r="J82" s="25">
        <v>0</v>
      </c>
    </row>
    <row r="83" spans="1:10">
      <c r="A83" s="25">
        <f>Subsurface_Live_Data!A83</f>
        <v>-19.5</v>
      </c>
      <c r="B83" s="25">
        <f>Subsurface_Live_Data!K83</f>
        <v>14910.194563445199</v>
      </c>
      <c r="C83" s="25">
        <f>MAX(0,B83-Subsurface_Inputs!$C$44)</f>
        <v>13410.194563445199</v>
      </c>
      <c r="D83" s="25">
        <f>B83+Subsurface_Inputs!$C$44</f>
        <v>16410.194563445199</v>
      </c>
      <c r="E83" s="25">
        <f>B83*Subsurface_Inputs!$C$45</f>
        <v>8200.6070098948603</v>
      </c>
      <c r="F83" s="25">
        <f t="shared" si="1"/>
        <v>14910.194563445199</v>
      </c>
      <c r="G83" s="25">
        <f>B83*Subsurface_Inputs!$C$46</f>
        <v>26092.840486029098</v>
      </c>
      <c r="H83" s="25">
        <f>Subsurface_Live_Data!Y83</f>
        <v>11.299339356268405</v>
      </c>
      <c r="I83" s="25">
        <f>Subsurface_Inputs!$C$47-Subsurface_Inputs!$C$43+2*SIN(2*PI()*A83/42)</f>
        <v>-15.445041867912629</v>
      </c>
      <c r="J83" s="25">
        <v>0</v>
      </c>
    </row>
    <row r="84" spans="1:10">
      <c r="A84" s="25">
        <f>Subsurface_Live_Data!A84</f>
        <v>-19</v>
      </c>
      <c r="B84" s="25">
        <f>Subsurface_Live_Data!K84</f>
        <v>14932.184635308322</v>
      </c>
      <c r="C84" s="25">
        <f>MAX(0,B84-Subsurface_Inputs!$C$44)</f>
        <v>13432.184635308322</v>
      </c>
      <c r="D84" s="25">
        <f>B84+Subsurface_Inputs!$C$44</f>
        <v>16432.184635308324</v>
      </c>
      <c r="E84" s="25">
        <f>B84*Subsurface_Inputs!$C$45</f>
        <v>8212.7015494195784</v>
      </c>
      <c r="F84" s="25">
        <f t="shared" si="1"/>
        <v>14932.184635308322</v>
      </c>
      <c r="G84" s="25">
        <f>B84*Subsurface_Inputs!$C$46</f>
        <v>26131.323111789563</v>
      </c>
      <c r="H84" s="25">
        <f>Subsurface_Live_Data!Y84</f>
        <v>11.318230004173273</v>
      </c>
      <c r="I84" s="25">
        <f>Subsurface_Inputs!$C$47-Subsurface_Inputs!$C$43+2*SIN(2*PI()*A84/42)</f>
        <v>-15.589510348821809</v>
      </c>
      <c r="J84" s="25">
        <v>0</v>
      </c>
    </row>
    <row r="85" spans="1:10">
      <c r="A85" s="25">
        <f>Subsurface_Live_Data!A85</f>
        <v>-18.5</v>
      </c>
      <c r="B85" s="25">
        <f>Subsurface_Live_Data!K85</f>
        <v>14956.623219107312</v>
      </c>
      <c r="C85" s="25">
        <f>MAX(0,B85-Subsurface_Inputs!$C$44)</f>
        <v>13456.623219107312</v>
      </c>
      <c r="D85" s="25">
        <f>B85+Subsurface_Inputs!$C$44</f>
        <v>16456.623219107314</v>
      </c>
      <c r="E85" s="25">
        <f>B85*Subsurface_Inputs!$C$45</f>
        <v>8226.1427705090227</v>
      </c>
      <c r="F85" s="25">
        <f t="shared" si="1"/>
        <v>14956.623219107312</v>
      </c>
      <c r="G85" s="25">
        <f>B85*Subsurface_Inputs!$C$46</f>
        <v>26174.090633437798</v>
      </c>
      <c r="H85" s="25">
        <f>Subsurface_Live_Data!Y85</f>
        <v>11.393986820829632</v>
      </c>
      <c r="I85" s="25">
        <f>Subsurface_Inputs!$C$47-Subsurface_Inputs!$C$43+2*SIN(2*PI()*A85/42)</f>
        <v>-15.73068204873279</v>
      </c>
      <c r="J85" s="25">
        <v>0</v>
      </c>
    </row>
    <row r="86" spans="1:10">
      <c r="A86" s="25">
        <f>Subsurface_Live_Data!A86</f>
        <v>-18</v>
      </c>
      <c r="B86" s="25">
        <f>Subsurface_Live_Data!K86</f>
        <v>14977.225154246555</v>
      </c>
      <c r="C86" s="25">
        <f>MAX(0,B86-Subsurface_Inputs!$C$44)</f>
        <v>13477.225154246555</v>
      </c>
      <c r="D86" s="25">
        <f>B86+Subsurface_Inputs!$C$44</f>
        <v>16477.225154246553</v>
      </c>
      <c r="E86" s="25">
        <f>B86*Subsurface_Inputs!$C$45</f>
        <v>8237.4738348356059</v>
      </c>
      <c r="F86" s="25">
        <f t="shared" si="1"/>
        <v>14977.225154246555</v>
      </c>
      <c r="G86" s="25">
        <f>B86*Subsurface_Inputs!$C$46</f>
        <v>26210.144019931471</v>
      </c>
      <c r="H86" s="25">
        <f>Subsurface_Live_Data!Y86</f>
        <v>11.33397660875665</v>
      </c>
      <c r="I86" s="25">
        <f>Subsurface_Inputs!$C$47-Subsurface_Inputs!$C$43+2*SIN(2*PI()*A86/42)</f>
        <v>-15.867767478235116</v>
      </c>
      <c r="J86" s="25">
        <v>0</v>
      </c>
    </row>
    <row r="87" spans="1:10">
      <c r="A87" s="25">
        <f>Subsurface_Live_Data!A87</f>
        <v>-17.5</v>
      </c>
      <c r="B87" s="25">
        <f>Subsurface_Live_Data!K87</f>
        <v>15001.397890806353</v>
      </c>
      <c r="C87" s="25">
        <f>MAX(0,B87-Subsurface_Inputs!$C$44)</f>
        <v>13501.397890806353</v>
      </c>
      <c r="D87" s="25">
        <f>B87+Subsurface_Inputs!$C$44</f>
        <v>16501.397890806351</v>
      </c>
      <c r="E87" s="25">
        <f>B87*Subsurface_Inputs!$C$45</f>
        <v>8250.7688399434955</v>
      </c>
      <c r="F87" s="25">
        <f t="shared" si="1"/>
        <v>15001.397890806353</v>
      </c>
      <c r="G87" s="25">
        <f>B87*Subsurface_Inputs!$C$46</f>
        <v>26252.446308911116</v>
      </c>
      <c r="H87" s="25">
        <f>Subsurface_Live_Data!Y87</f>
        <v>11.366960963516384</v>
      </c>
      <c r="I87" s="25">
        <f>Subsurface_Inputs!$C$47-Subsurface_Inputs!$C$43+2*SIN(2*PI()*A87/42)</f>
        <v>-16</v>
      </c>
      <c r="J87" s="25">
        <v>0</v>
      </c>
    </row>
    <row r="88" spans="1:10">
      <c r="A88" s="25">
        <f>Subsurface_Live_Data!A88</f>
        <v>-17</v>
      </c>
      <c r="B88" s="25">
        <f>Subsurface_Live_Data!K88</f>
        <v>15029.035468184995</v>
      </c>
      <c r="C88" s="25">
        <f>MAX(0,B88-Subsurface_Inputs!$C$44)</f>
        <v>13529.035468184995</v>
      </c>
      <c r="D88" s="25">
        <f>B88+Subsurface_Inputs!$C$44</f>
        <v>16529.035468184993</v>
      </c>
      <c r="E88" s="25">
        <f>B88*Subsurface_Inputs!$C$45</f>
        <v>8265.969507501748</v>
      </c>
      <c r="F88" s="25">
        <f t="shared" si="1"/>
        <v>15029.035468184995</v>
      </c>
      <c r="G88" s="25">
        <f>B88*Subsurface_Inputs!$C$46</f>
        <v>26300.81206932374</v>
      </c>
      <c r="H88" s="25">
        <f>Subsurface_Live_Data!Y88</f>
        <v>11.490555106161622</v>
      </c>
      <c r="I88" s="25">
        <f>Subsurface_Inputs!$C$47-Subsurface_Inputs!$C$43+2*SIN(2*PI()*A88/42)</f>
        <v>-16.126640116127245</v>
      </c>
      <c r="J88" s="25">
        <v>0</v>
      </c>
    </row>
    <row r="89" spans="1:10">
      <c r="A89" s="25">
        <f>Subsurface_Live_Data!A89</f>
        <v>-16.5</v>
      </c>
      <c r="B89" s="25">
        <f>Subsurface_Live_Data!K89</f>
        <v>15054.195422736151</v>
      </c>
      <c r="C89" s="25">
        <f>MAX(0,B89-Subsurface_Inputs!$C$44)</f>
        <v>13554.195422736151</v>
      </c>
      <c r="D89" s="25">
        <f>B89+Subsurface_Inputs!$C$44</f>
        <v>16554.195422736149</v>
      </c>
      <c r="E89" s="25">
        <f>B89*Subsurface_Inputs!$C$45</f>
        <v>8279.8074825048843</v>
      </c>
      <c r="F89" s="25">
        <f t="shared" si="1"/>
        <v>15054.195422736151</v>
      </c>
      <c r="G89" s="25">
        <f>B89*Subsurface_Inputs!$C$46</f>
        <v>26344.841989788263</v>
      </c>
      <c r="H89" s="25">
        <f>Subsurface_Live_Data!Y89</f>
        <v>11.522826992578345</v>
      </c>
      <c r="I89" s="25">
        <f>Subsurface_Inputs!$C$47-Subsurface_Inputs!$C$43+2*SIN(2*PI()*A89/42)</f>
        <v>-16.246979603717467</v>
      </c>
      <c r="J89" s="25">
        <v>0</v>
      </c>
    </row>
    <row r="90" spans="1:10">
      <c r="A90" s="25">
        <f>Subsurface_Live_Data!A90</f>
        <v>-16</v>
      </c>
      <c r="B90" s="25">
        <f>Subsurface_Live_Data!K90</f>
        <v>15076.995599774111</v>
      </c>
      <c r="C90" s="25">
        <f>MAX(0,B90-Subsurface_Inputs!$C$44)</f>
        <v>13576.995599774111</v>
      </c>
      <c r="D90" s="25">
        <f>B90+Subsurface_Inputs!$C$44</f>
        <v>16576.995599774113</v>
      </c>
      <c r="E90" s="25">
        <f>B90*Subsurface_Inputs!$C$45</f>
        <v>8292.3475798757609</v>
      </c>
      <c r="F90" s="25">
        <f t="shared" si="1"/>
        <v>15076.995599774111</v>
      </c>
      <c r="G90" s="25">
        <f>B90*Subsurface_Inputs!$C$46</f>
        <v>26384.742299604695</v>
      </c>
      <c r="H90" s="25">
        <f>Subsurface_Live_Data!Y90</f>
        <v>11.468377346074597</v>
      </c>
      <c r="I90" s="25">
        <f>Subsurface_Inputs!$C$47-Subsurface_Inputs!$C$43+2*SIN(2*PI()*A90/42)</f>
        <v>-16.360345475541838</v>
      </c>
      <c r="J90" s="25">
        <v>0</v>
      </c>
    </row>
    <row r="91" spans="1:10">
      <c r="A91" s="25">
        <f>Subsurface_Live_Data!A91</f>
        <v>-15.5</v>
      </c>
      <c r="B91" s="25">
        <f>Subsurface_Live_Data!K91</f>
        <v>15105.051448537502</v>
      </c>
      <c r="C91" s="25">
        <f>MAX(0,B91-Subsurface_Inputs!$C$44)</f>
        <v>13605.051448537502</v>
      </c>
      <c r="D91" s="25">
        <f>B91+Subsurface_Inputs!$C$44</f>
        <v>16605.051448537502</v>
      </c>
      <c r="E91" s="25">
        <f>B91*Subsurface_Inputs!$C$45</f>
        <v>8307.7782966956274</v>
      </c>
      <c r="F91" s="25">
        <f t="shared" si="1"/>
        <v>15105.051448537502</v>
      </c>
      <c r="G91" s="25">
        <f>B91*Subsurface_Inputs!$C$46</f>
        <v>26433.840034940629</v>
      </c>
      <c r="H91" s="25">
        <f>Subsurface_Live_Data!Y91</f>
        <v>11.562565278938486</v>
      </c>
      <c r="I91" s="25">
        <f>Subsurface_Inputs!$C$47-Subsurface_Inputs!$C$43+2*SIN(2*PI()*A91/42)</f>
        <v>-16.466103743659652</v>
      </c>
      <c r="J91" s="25">
        <v>0</v>
      </c>
    </row>
    <row r="92" spans="1:10">
      <c r="A92" s="25">
        <f>Subsurface_Live_Data!A92</f>
        <v>-15</v>
      </c>
      <c r="B92" s="25">
        <f>Subsurface_Live_Data!K92</f>
        <v>15130.78865834882</v>
      </c>
      <c r="C92" s="25">
        <f>MAX(0,B92-Subsurface_Inputs!$C$44)</f>
        <v>13630.78865834882</v>
      </c>
      <c r="D92" s="25">
        <f>B92+Subsurface_Inputs!$C$44</f>
        <v>16630.788658348822</v>
      </c>
      <c r="E92" s="25">
        <f>B92*Subsurface_Inputs!$C$45</f>
        <v>8321.9337620918523</v>
      </c>
      <c r="F92" s="25">
        <f t="shared" si="1"/>
        <v>15130.78865834882</v>
      </c>
      <c r="G92" s="25">
        <f>B92*Subsurface_Inputs!$C$46</f>
        <v>26478.880152110436</v>
      </c>
      <c r="H92" s="25">
        <f>Subsurface_Live_Data!Y92</f>
        <v>11.573383574152402</v>
      </c>
      <c r="I92" s="25">
        <f>Subsurface_Inputs!$C$47-Subsurface_Inputs!$C$43+2*SIN(2*PI()*A92/42)</f>
        <v>-16.563662964936061</v>
      </c>
      <c r="J92" s="25">
        <v>0</v>
      </c>
    </row>
    <row r="93" spans="1:10">
      <c r="A93" s="25">
        <f>Subsurface_Live_Data!A93</f>
        <v>-14.5</v>
      </c>
      <c r="B93" s="25">
        <f>Subsurface_Live_Data!K93</f>
        <v>15157.295315059795</v>
      </c>
      <c r="C93" s="25">
        <f>MAX(0,B93-Subsurface_Inputs!$C$44)</f>
        <v>13657.295315059795</v>
      </c>
      <c r="D93" s="25">
        <f>B93+Subsurface_Inputs!$C$44</f>
        <v>16657.295315059797</v>
      </c>
      <c r="E93" s="25">
        <f>B93*Subsurface_Inputs!$C$45</f>
        <v>8336.5124232828875</v>
      </c>
      <c r="F93" s="25">
        <f t="shared" si="1"/>
        <v>15157.295315059795</v>
      </c>
      <c r="G93" s="25">
        <f>B93*Subsurface_Inputs!$C$46</f>
        <v>26525.266801354643</v>
      </c>
      <c r="H93" s="25">
        <f>Subsurface_Live_Data!Y93</f>
        <v>11.596964229012677</v>
      </c>
      <c r="I93" s="25">
        <f>Subsurface_Inputs!$C$47-Subsurface_Inputs!$C$43+2*SIN(2*PI()*A93/42)</f>
        <v>-16.652477548631989</v>
      </c>
      <c r="J93" s="25">
        <v>0</v>
      </c>
    </row>
    <row r="94" spans="1:10">
      <c r="A94" s="25">
        <f>Subsurface_Live_Data!A94</f>
        <v>-14</v>
      </c>
      <c r="B94" s="25">
        <f>Subsurface_Live_Data!K94</f>
        <v>15185.969392963387</v>
      </c>
      <c r="C94" s="25">
        <f>MAX(0,B94-Subsurface_Inputs!$C$44)</f>
        <v>13685.969392963387</v>
      </c>
      <c r="D94" s="25">
        <f>B94+Subsurface_Inputs!$C$44</f>
        <v>16685.969392963387</v>
      </c>
      <c r="E94" s="25">
        <f>B94*Subsurface_Inputs!$C$45</f>
        <v>8352.2831661298642</v>
      </c>
      <c r="F94" s="25">
        <f t="shared" si="1"/>
        <v>15185.969392963387</v>
      </c>
      <c r="G94" s="25">
        <f>B94*Subsurface_Inputs!$C$46</f>
        <v>26575.446437685925</v>
      </c>
      <c r="H94" s="25">
        <f>Subsurface_Live_Data!Y94</f>
        <v>11.653038406340784</v>
      </c>
      <c r="I94" s="25">
        <f>Subsurface_Inputs!$C$47-Subsurface_Inputs!$C$43+2*SIN(2*PI()*A94/42)</f>
        <v>-16.732050807568879</v>
      </c>
      <c r="J94" s="25">
        <v>0</v>
      </c>
    </row>
    <row r="95" spans="1:10">
      <c r="A95" s="25">
        <f>Subsurface_Live_Data!A95</f>
        <v>-13.5</v>
      </c>
      <c r="B95" s="25">
        <f>Subsurface_Live_Data!K95</f>
        <v>15214.640299238325</v>
      </c>
      <c r="C95" s="25">
        <f>MAX(0,B95-Subsurface_Inputs!$C$44)</f>
        <v>13714.640299238325</v>
      </c>
      <c r="D95" s="25">
        <f>B95+Subsurface_Inputs!$C$44</f>
        <v>16714.640299238323</v>
      </c>
      <c r="E95" s="25">
        <f>B95*Subsurface_Inputs!$C$45</f>
        <v>8368.0521645810786</v>
      </c>
      <c r="F95" s="25">
        <f t="shared" si="1"/>
        <v>15214.640299238325</v>
      </c>
      <c r="G95" s="25">
        <f>B95*Subsurface_Inputs!$C$46</f>
        <v>26625.620523667068</v>
      </c>
      <c r="H95" s="25">
        <f>Subsurface_Live_Data!Y95</f>
        <v>11.47799684997721</v>
      </c>
      <c r="I95" s="25">
        <f>Subsurface_Inputs!$C$47-Subsurface_Inputs!$C$43+2*SIN(2*PI()*A95/42)</f>
        <v>-16.801937735804838</v>
      </c>
      <c r="J95" s="25">
        <v>0</v>
      </c>
    </row>
    <row r="96" spans="1:10">
      <c r="A96" s="25">
        <f>Subsurface_Live_Data!A96</f>
        <v>-13</v>
      </c>
      <c r="B96" s="25">
        <f>Subsurface_Live_Data!K96</f>
        <v>15241.286697126136</v>
      </c>
      <c r="C96" s="25">
        <f>MAX(0,B96-Subsurface_Inputs!$C$44)</f>
        <v>13741.286697126136</v>
      </c>
      <c r="D96" s="25">
        <f>B96+Subsurface_Inputs!$C$44</f>
        <v>16741.286697126136</v>
      </c>
      <c r="E96" s="25">
        <f>B96*Subsurface_Inputs!$C$45</f>
        <v>8382.7076834193758</v>
      </c>
      <c r="F96" s="25">
        <f t="shared" si="1"/>
        <v>15241.286697126136</v>
      </c>
      <c r="G96" s="25">
        <f>B96*Subsurface_Inputs!$C$46</f>
        <v>26672.251719970736</v>
      </c>
      <c r="H96" s="25">
        <f>Subsurface_Live_Data!Y96</f>
        <v>11.379905453940133</v>
      </c>
      <c r="I96" s="25">
        <f>Subsurface_Inputs!$C$47-Subsurface_Inputs!$C$43+2*SIN(2*PI()*A96/42)</f>
        <v>-16.861747497288409</v>
      </c>
      <c r="J96" s="25">
        <v>0</v>
      </c>
    </row>
    <row r="97" spans="1:10">
      <c r="A97" s="25">
        <f>Subsurface_Live_Data!A97</f>
        <v>-12.5</v>
      </c>
      <c r="B97" s="25">
        <f>Subsurface_Live_Data!K97</f>
        <v>15267.885369240817</v>
      </c>
      <c r="C97" s="25">
        <f>MAX(0,B97-Subsurface_Inputs!$C$44)</f>
        <v>13767.885369240817</v>
      </c>
      <c r="D97" s="25">
        <f>B97+Subsurface_Inputs!$C$44</f>
        <v>16767.885369240816</v>
      </c>
      <c r="E97" s="25">
        <f>B97*Subsurface_Inputs!$C$45</f>
        <v>8397.3369530824511</v>
      </c>
      <c r="F97" s="25">
        <f t="shared" si="1"/>
        <v>15267.885369240817</v>
      </c>
      <c r="G97" s="25">
        <f>B97*Subsurface_Inputs!$C$46</f>
        <v>26718.799396171431</v>
      </c>
      <c r="H97" s="25">
        <f>Subsurface_Live_Data!Y97</f>
        <v>11.289568636876993</v>
      </c>
      <c r="I97" s="25">
        <f>Subsurface_Inputs!$C$47-Subsurface_Inputs!$C$43+2*SIN(2*PI()*A97/42)</f>
        <v>-16.91114561157228</v>
      </c>
      <c r="J97" s="25">
        <v>0</v>
      </c>
    </row>
    <row r="98" spans="1:10">
      <c r="A98" s="25">
        <f>Subsurface_Live_Data!A98</f>
        <v>-12</v>
      </c>
      <c r="B98" s="25">
        <f>Subsurface_Live_Data!K98</f>
        <v>15298.413678377055</v>
      </c>
      <c r="C98" s="25">
        <f>MAX(0,B98-Subsurface_Inputs!$C$44)</f>
        <v>13798.413678377055</v>
      </c>
      <c r="D98" s="25">
        <f>B98+Subsurface_Inputs!$C$44</f>
        <v>16798.413678377055</v>
      </c>
      <c r="E98" s="25">
        <f>B98*Subsurface_Inputs!$C$45</f>
        <v>8414.1275231073814</v>
      </c>
      <c r="F98" s="25">
        <f t="shared" si="1"/>
        <v>15298.413678377055</v>
      </c>
      <c r="G98" s="25">
        <f>B98*Subsurface_Inputs!$C$46</f>
        <v>26772.223937159848</v>
      </c>
      <c r="H98" s="25">
        <f>Subsurface_Live_Data!Y98</f>
        <v>11.068998776624483</v>
      </c>
      <c r="I98" s="25">
        <f>Subsurface_Inputs!$C$47-Subsurface_Inputs!$C$43+2*SIN(2*PI()*A98/42)</f>
        <v>-16.949855824363649</v>
      </c>
      <c r="J98" s="25">
        <v>0</v>
      </c>
    </row>
    <row r="99" spans="1:10">
      <c r="A99" s="25">
        <f>Subsurface_Live_Data!A99</f>
        <v>-11.5</v>
      </c>
      <c r="B99" s="25">
        <f>Subsurface_Live_Data!K99</f>
        <v>15324.614103451207</v>
      </c>
      <c r="C99" s="25">
        <f>MAX(0,B99-Subsurface_Inputs!$C$44)</f>
        <v>13824.614103451207</v>
      </c>
      <c r="D99" s="25">
        <f>B99+Subsurface_Inputs!$C$44</f>
        <v>16824.614103451207</v>
      </c>
      <c r="E99" s="25">
        <f>B99*Subsurface_Inputs!$C$45</f>
        <v>8428.5377568981639</v>
      </c>
      <c r="F99" s="25">
        <f t="shared" si="1"/>
        <v>15324.614103451207</v>
      </c>
      <c r="G99" s="25">
        <f>B99*Subsurface_Inputs!$C$46</f>
        <v>26818.074681039612</v>
      </c>
      <c r="H99" s="25">
        <f>Subsurface_Live_Data!Y99</f>
        <v>11.000712279845345</v>
      </c>
      <c r="I99" s="25">
        <f>Subsurface_Inputs!$C$47-Subsurface_Inputs!$C$43+2*SIN(2*PI()*A99/42)</f>
        <v>-16.977661652450259</v>
      </c>
      <c r="J99" s="25">
        <v>0</v>
      </c>
    </row>
    <row r="100" spans="1:10">
      <c r="A100" s="25">
        <f>Subsurface_Live_Data!A100</f>
        <v>-11</v>
      </c>
      <c r="B100" s="25">
        <f>Subsurface_Live_Data!K100</f>
        <v>15353.311864414831</v>
      </c>
      <c r="C100" s="25">
        <f>MAX(0,B100-Subsurface_Inputs!$C$44)</f>
        <v>13853.311864414831</v>
      </c>
      <c r="D100" s="25">
        <f>B100+Subsurface_Inputs!$C$44</f>
        <v>16853.311864414831</v>
      </c>
      <c r="E100" s="25">
        <f>B100*Subsurface_Inputs!$C$45</f>
        <v>8444.3215254281567</v>
      </c>
      <c r="F100" s="25">
        <f t="shared" si="1"/>
        <v>15353.311864414831</v>
      </c>
      <c r="G100" s="25">
        <f>B100*Subsurface_Inputs!$C$46</f>
        <v>26868.295762725953</v>
      </c>
      <c r="H100" s="25">
        <f>Subsurface_Live_Data!Y100</f>
        <v>10.848786697494702</v>
      </c>
      <c r="I100" s="25">
        <f>Subsurface_Inputs!$C$47-Subsurface_Inputs!$C$43+2*SIN(2*PI()*A100/42)</f>
        <v>-16.994407594362361</v>
      </c>
      <c r="J100" s="25">
        <v>0</v>
      </c>
    </row>
    <row r="101" spans="1:10">
      <c r="A101" s="25">
        <f>Subsurface_Live_Data!A101</f>
        <v>-10.5</v>
      </c>
      <c r="B101" s="25">
        <f>Subsurface_Live_Data!K101</f>
        <v>15381.489084576646</v>
      </c>
      <c r="C101" s="25">
        <f>MAX(0,B101-Subsurface_Inputs!$C$44)</f>
        <v>13881.489084576646</v>
      </c>
      <c r="D101" s="25">
        <f>B101+Subsurface_Inputs!$C$44</f>
        <v>16881.489084576646</v>
      </c>
      <c r="E101" s="25">
        <f>B101*Subsurface_Inputs!$C$45</f>
        <v>8459.818996517155</v>
      </c>
      <c r="F101" s="25">
        <f t="shared" si="1"/>
        <v>15381.489084576646</v>
      </c>
      <c r="G101" s="25">
        <f>B101*Subsurface_Inputs!$C$46</f>
        <v>26917.605898009129</v>
      </c>
      <c r="H101" s="25">
        <f>Subsurface_Live_Data!Y101</f>
        <v>10.715600351220196</v>
      </c>
      <c r="I101" s="25">
        <f>Subsurface_Inputs!$C$47-Subsurface_Inputs!$C$43+2*SIN(2*PI()*A101/42)</f>
        <v>-17</v>
      </c>
      <c r="J101" s="25">
        <v>0</v>
      </c>
    </row>
    <row r="102" spans="1:10">
      <c r="A102" s="25">
        <f>Subsurface_Live_Data!A102</f>
        <v>-10</v>
      </c>
      <c r="B102" s="25">
        <f>Subsurface_Live_Data!K102</f>
        <v>15410.508745213121</v>
      </c>
      <c r="C102" s="25">
        <f>MAX(0,B102-Subsurface_Inputs!$C$44)</f>
        <v>13910.508745213121</v>
      </c>
      <c r="D102" s="25">
        <f>B102+Subsurface_Inputs!$C$44</f>
        <v>16910.508745213119</v>
      </c>
      <c r="E102" s="25">
        <f>B102*Subsurface_Inputs!$C$45</f>
        <v>8475.7798098672174</v>
      </c>
      <c r="F102" s="25">
        <f t="shared" si="1"/>
        <v>15410.508745213121</v>
      </c>
      <c r="G102" s="25">
        <f>B102*Subsurface_Inputs!$C$46</f>
        <v>26968.390304122961</v>
      </c>
      <c r="H102" s="25">
        <f>Subsurface_Live_Data!Y102</f>
        <v>10.552937731267718</v>
      </c>
      <c r="I102" s="25">
        <f>Subsurface_Inputs!$C$47-Subsurface_Inputs!$C$43+2*SIN(2*PI()*A102/42)</f>
        <v>-16.994407594362361</v>
      </c>
      <c r="J102" s="25">
        <v>0</v>
      </c>
    </row>
    <row r="103" spans="1:10">
      <c r="A103" s="25">
        <f>Subsurface_Live_Data!A103</f>
        <v>-9.5</v>
      </c>
      <c r="B103" s="25">
        <f>Subsurface_Live_Data!K103</f>
        <v>15439.79021897657</v>
      </c>
      <c r="C103" s="25">
        <f>MAX(0,B103-Subsurface_Inputs!$C$44)</f>
        <v>13939.79021897657</v>
      </c>
      <c r="D103" s="25">
        <f>B103+Subsurface_Inputs!$C$44</f>
        <v>16939.79021897657</v>
      </c>
      <c r="E103" s="25">
        <f>B103*Subsurface_Inputs!$C$45</f>
        <v>8491.8846204371148</v>
      </c>
      <c r="F103" s="25">
        <f t="shared" si="1"/>
        <v>15439.79021897657</v>
      </c>
      <c r="G103" s="25">
        <f>B103*Subsurface_Inputs!$C$46</f>
        <v>27019.632883208997</v>
      </c>
      <c r="H103" s="25">
        <f>Subsurface_Live_Data!Y103</f>
        <v>10.379373539175454</v>
      </c>
      <c r="I103" s="25">
        <f>Subsurface_Inputs!$C$47-Subsurface_Inputs!$C$43+2*SIN(2*PI()*A103/42)</f>
        <v>-16.977661652450259</v>
      </c>
      <c r="J103" s="25">
        <v>0</v>
      </c>
    </row>
    <row r="104" spans="1:10">
      <c r="A104" s="25">
        <f>Subsurface_Live_Data!A104</f>
        <v>-9</v>
      </c>
      <c r="B104" s="25">
        <f>Subsurface_Live_Data!K104</f>
        <v>15467.420577548042</v>
      </c>
      <c r="C104" s="25">
        <f>MAX(0,B104-Subsurface_Inputs!$C$44)</f>
        <v>13967.420577548042</v>
      </c>
      <c r="D104" s="25">
        <f>B104+Subsurface_Inputs!$C$44</f>
        <v>16967.420577548044</v>
      </c>
      <c r="E104" s="25">
        <f>B104*Subsurface_Inputs!$C$45</f>
        <v>8507.0813176514239</v>
      </c>
      <c r="F104" s="25">
        <f t="shared" si="1"/>
        <v>15467.420577548042</v>
      </c>
      <c r="G104" s="25">
        <f>B104*Subsurface_Inputs!$C$46</f>
        <v>27067.986010709075</v>
      </c>
      <c r="H104" s="25">
        <f>Subsurface_Live_Data!Y104</f>
        <v>10.259264306893563</v>
      </c>
      <c r="I104" s="25">
        <f>Subsurface_Inputs!$C$47-Subsurface_Inputs!$C$43+2*SIN(2*PI()*A104/42)</f>
        <v>-16.949855824363649</v>
      </c>
      <c r="J104" s="25">
        <v>0</v>
      </c>
    </row>
    <row r="105" spans="1:10">
      <c r="A105" s="25">
        <f>Subsurface_Live_Data!A105</f>
        <v>-8.5</v>
      </c>
      <c r="B105" s="25">
        <f>Subsurface_Live_Data!K105</f>
        <v>15499.091325220381</v>
      </c>
      <c r="C105" s="25">
        <f>MAX(0,B105-Subsurface_Inputs!$C$44)</f>
        <v>13999.091325220381</v>
      </c>
      <c r="D105" s="25">
        <f>B105+Subsurface_Inputs!$C$44</f>
        <v>16999.091325220383</v>
      </c>
      <c r="E105" s="25">
        <f>B105*Subsurface_Inputs!$C$45</f>
        <v>8524.5002288712094</v>
      </c>
      <c r="F105" s="25">
        <f t="shared" si="1"/>
        <v>15499.091325220381</v>
      </c>
      <c r="G105" s="25">
        <f>B105*Subsurface_Inputs!$C$46</f>
        <v>27123.409819135668</v>
      </c>
      <c r="H105" s="25">
        <f>Subsurface_Live_Data!Y105</f>
        <v>9.9955832708548726</v>
      </c>
      <c r="I105" s="25">
        <f>Subsurface_Inputs!$C$47-Subsurface_Inputs!$C$43+2*SIN(2*PI()*A105/42)</f>
        <v>-16.91114561157228</v>
      </c>
      <c r="J105" s="25">
        <v>0</v>
      </c>
    </row>
    <row r="106" spans="1:10">
      <c r="A106" s="25">
        <f>Subsurface_Live_Data!A106</f>
        <v>-8</v>
      </c>
      <c r="B106" s="25">
        <f>Subsurface_Live_Data!K106</f>
        <v>15525.64240190194</v>
      </c>
      <c r="C106" s="25">
        <f>MAX(0,B106-Subsurface_Inputs!$C$44)</f>
        <v>14025.64240190194</v>
      </c>
      <c r="D106" s="25">
        <f>B106+Subsurface_Inputs!$C$44</f>
        <v>17025.64240190194</v>
      </c>
      <c r="E106" s="25">
        <f>B106*Subsurface_Inputs!$C$45</f>
        <v>8539.1033210460682</v>
      </c>
      <c r="F106" s="25">
        <f t="shared" si="1"/>
        <v>15525.64240190194</v>
      </c>
      <c r="G106" s="25">
        <f>B106*Subsurface_Inputs!$C$46</f>
        <v>27169.874203328392</v>
      </c>
      <c r="H106" s="25">
        <f>Subsurface_Live_Data!Y106</f>
        <v>9.901768272525338</v>
      </c>
      <c r="I106" s="25">
        <f>Subsurface_Inputs!$C$47-Subsurface_Inputs!$C$43+2*SIN(2*PI()*A106/42)</f>
        <v>-16.861747497288409</v>
      </c>
      <c r="J106" s="25">
        <v>0</v>
      </c>
    </row>
    <row r="107" spans="1:10">
      <c r="A107" s="25">
        <f>Subsurface_Live_Data!A107</f>
        <v>-7.5</v>
      </c>
      <c r="B107" s="25">
        <f>Subsurface_Live_Data!K107</f>
        <v>15554.793139416372</v>
      </c>
      <c r="C107" s="25">
        <f>MAX(0,B107-Subsurface_Inputs!$C$44)</f>
        <v>14054.793139416372</v>
      </c>
      <c r="D107" s="25">
        <f>B107+Subsurface_Inputs!$C$44</f>
        <v>17054.793139416372</v>
      </c>
      <c r="E107" s="25">
        <f>B107*Subsurface_Inputs!$C$45</f>
        <v>8555.1362266790056</v>
      </c>
      <c r="F107" s="25">
        <f t="shared" si="1"/>
        <v>15554.793139416372</v>
      </c>
      <c r="G107" s="25">
        <f>B107*Subsurface_Inputs!$C$46</f>
        <v>27220.887993978649</v>
      </c>
      <c r="H107" s="25">
        <f>Subsurface_Live_Data!Y107</f>
        <v>9.7110866859320311</v>
      </c>
      <c r="I107" s="25">
        <f>Subsurface_Inputs!$C$47-Subsurface_Inputs!$C$43+2*SIN(2*PI()*A107/42)</f>
        <v>-16.801937735804838</v>
      </c>
      <c r="J107" s="25">
        <v>0</v>
      </c>
    </row>
    <row r="108" spans="1:10">
      <c r="A108" s="25">
        <f>Subsurface_Live_Data!A108</f>
        <v>-7</v>
      </c>
      <c r="B108" s="25">
        <f>Subsurface_Live_Data!K108</f>
        <v>15586.69843418237</v>
      </c>
      <c r="C108" s="25">
        <f>MAX(0,B108-Subsurface_Inputs!$C$44)</f>
        <v>14086.69843418237</v>
      </c>
      <c r="D108" s="25">
        <f>B108+Subsurface_Inputs!$C$44</f>
        <v>17086.69843418237</v>
      </c>
      <c r="E108" s="25">
        <f>B108*Subsurface_Inputs!$C$45</f>
        <v>8572.6841388003049</v>
      </c>
      <c r="F108" s="25">
        <f t="shared" si="1"/>
        <v>15586.69843418237</v>
      </c>
      <c r="G108" s="25">
        <f>B108*Subsurface_Inputs!$C$46</f>
        <v>27276.722259819147</v>
      </c>
      <c r="H108" s="25">
        <f>Subsurface_Live_Data!Y108</f>
        <v>9.4168079215306406</v>
      </c>
      <c r="I108" s="25">
        <f>Subsurface_Inputs!$C$47-Subsurface_Inputs!$C$43+2*SIN(2*PI()*A108/42)</f>
        <v>-16.732050807568879</v>
      </c>
      <c r="J108" s="25">
        <v>0</v>
      </c>
    </row>
    <row r="109" spans="1:10">
      <c r="A109" s="25">
        <f>Subsurface_Live_Data!A109</f>
        <v>-6.5</v>
      </c>
      <c r="B109" s="25">
        <f>Subsurface_Live_Data!K109</f>
        <v>15612.620101689698</v>
      </c>
      <c r="C109" s="25">
        <f>MAX(0,B109-Subsurface_Inputs!$C$44)</f>
        <v>14112.620101689698</v>
      </c>
      <c r="D109" s="25">
        <f>B109+Subsurface_Inputs!$C$44</f>
        <v>17112.620101689696</v>
      </c>
      <c r="E109" s="25">
        <f>B109*Subsurface_Inputs!$C$45</f>
        <v>8586.9410559293337</v>
      </c>
      <c r="F109" s="25">
        <f t="shared" si="1"/>
        <v>15612.620101689698</v>
      </c>
      <c r="G109" s="25">
        <f>B109*Subsurface_Inputs!$C$46</f>
        <v>27322.085177956971</v>
      </c>
      <c r="H109" s="25">
        <f>Subsurface_Live_Data!Y109</f>
        <v>9.3178741155608691</v>
      </c>
      <c r="I109" s="25">
        <f>Subsurface_Inputs!$C$47-Subsurface_Inputs!$C$43+2*SIN(2*PI()*A109/42)</f>
        <v>-16.652477548631989</v>
      </c>
      <c r="J109" s="25">
        <v>0</v>
      </c>
    </row>
    <row r="110" spans="1:10">
      <c r="A110" s="25">
        <f>Subsurface_Live_Data!A110</f>
        <v>-6</v>
      </c>
      <c r="B110" s="25">
        <f>Subsurface_Live_Data!K110</f>
        <v>15641.059100480645</v>
      </c>
      <c r="C110" s="25">
        <f>MAX(0,B110-Subsurface_Inputs!$C$44)</f>
        <v>14141.059100480645</v>
      </c>
      <c r="D110" s="25">
        <f>B110+Subsurface_Inputs!$C$44</f>
        <v>17141.059100480645</v>
      </c>
      <c r="E110" s="25">
        <f>B110*Subsurface_Inputs!$C$45</f>
        <v>8602.5825052643559</v>
      </c>
      <c r="F110" s="25">
        <f t="shared" si="1"/>
        <v>15641.059100480645</v>
      </c>
      <c r="G110" s="25">
        <f>B110*Subsurface_Inputs!$C$46</f>
        <v>27371.853425841127</v>
      </c>
      <c r="H110" s="25">
        <f>Subsurface_Live_Data!Y110</f>
        <v>9.1207015020715261</v>
      </c>
      <c r="I110" s="25">
        <f>Subsurface_Inputs!$C$47-Subsurface_Inputs!$C$43+2*SIN(2*PI()*A110/42)</f>
        <v>-16.563662964936061</v>
      </c>
      <c r="J110" s="25">
        <v>0</v>
      </c>
    </row>
    <row r="111" spans="1:10">
      <c r="A111" s="25">
        <f>Subsurface_Live_Data!A111</f>
        <v>-5.5</v>
      </c>
      <c r="B111" s="25">
        <f>Subsurface_Live_Data!K111</f>
        <v>15669.38478023053</v>
      </c>
      <c r="C111" s="25">
        <f>MAX(0,B111-Subsurface_Inputs!$C$44)</f>
        <v>14169.38478023053</v>
      </c>
      <c r="D111" s="25">
        <f>B111+Subsurface_Inputs!$C$44</f>
        <v>17169.384780230532</v>
      </c>
      <c r="E111" s="25">
        <f>B111*Subsurface_Inputs!$C$45</f>
        <v>8618.1616291267928</v>
      </c>
      <c r="F111" s="25">
        <f t="shared" si="1"/>
        <v>15669.38478023053</v>
      </c>
      <c r="G111" s="25">
        <f>B111*Subsurface_Inputs!$C$46</f>
        <v>27421.423365403429</v>
      </c>
      <c r="H111" s="25">
        <f>Subsurface_Live_Data!Y111</f>
        <v>8.9143269173107598</v>
      </c>
      <c r="I111" s="25">
        <f>Subsurface_Inputs!$C$47-Subsurface_Inputs!$C$43+2*SIN(2*PI()*A111/42)</f>
        <v>-16.466103743659652</v>
      </c>
      <c r="J111" s="25">
        <v>0</v>
      </c>
    </row>
    <row r="112" spans="1:10">
      <c r="A112" s="25">
        <f>Subsurface_Live_Data!A112</f>
        <v>-5</v>
      </c>
      <c r="B112" s="25">
        <f>Subsurface_Live_Data!K112</f>
        <v>15697.234366267417</v>
      </c>
      <c r="C112" s="25">
        <f>MAX(0,B112-Subsurface_Inputs!$C$44)</f>
        <v>14197.234366267417</v>
      </c>
      <c r="D112" s="25">
        <f>B112+Subsurface_Inputs!$C$44</f>
        <v>17197.234366267417</v>
      </c>
      <c r="E112" s="25">
        <f>B112*Subsurface_Inputs!$C$45</f>
        <v>8633.4789014470807</v>
      </c>
      <c r="F112" s="25">
        <f t="shared" si="1"/>
        <v>15697.234366267417</v>
      </c>
      <c r="G112" s="25">
        <f>B112*Subsurface_Inputs!$C$46</f>
        <v>27470.160140967979</v>
      </c>
      <c r="H112" s="25">
        <f>Subsurface_Live_Data!Y112</f>
        <v>8.709851587082369</v>
      </c>
      <c r="I112" s="25">
        <f>Subsurface_Inputs!$C$47-Subsurface_Inputs!$C$43+2*SIN(2*PI()*A112/42)</f>
        <v>-16.360345475541838</v>
      </c>
      <c r="J112" s="25">
        <v>0</v>
      </c>
    </row>
    <row r="113" spans="1:10">
      <c r="A113" s="25">
        <f>Subsurface_Live_Data!A113</f>
        <v>-4.5</v>
      </c>
      <c r="B113" s="25">
        <f>Subsurface_Live_Data!K113</f>
        <v>15723.473778049673</v>
      </c>
      <c r="C113" s="25">
        <f>MAX(0,B113-Subsurface_Inputs!$C$44)</f>
        <v>14223.473778049673</v>
      </c>
      <c r="D113" s="25">
        <f>B113+Subsurface_Inputs!$C$44</f>
        <v>17223.473778049673</v>
      </c>
      <c r="E113" s="25">
        <f>B113*Subsurface_Inputs!$C$45</f>
        <v>8647.9105779273214</v>
      </c>
      <c r="F113" s="25">
        <f t="shared" si="1"/>
        <v>15723.473778049673</v>
      </c>
      <c r="G113" s="25">
        <f>B113*Subsurface_Inputs!$C$46</f>
        <v>27516.079111586929</v>
      </c>
      <c r="H113" s="25">
        <f>Subsurface_Live_Data!Y113</f>
        <v>8.5449053228635066</v>
      </c>
      <c r="I113" s="25">
        <f>Subsurface_Inputs!$C$47-Subsurface_Inputs!$C$43+2*SIN(2*PI()*A113/42)</f>
        <v>-16.246979603717467</v>
      </c>
      <c r="J113" s="25">
        <v>0</v>
      </c>
    </row>
    <row r="114" spans="1:10">
      <c r="A114" s="25">
        <f>Subsurface_Live_Data!A114</f>
        <v>-4</v>
      </c>
      <c r="B114" s="25">
        <f>Subsurface_Live_Data!K114</f>
        <v>15748.287353885482</v>
      </c>
      <c r="C114" s="25">
        <f>MAX(0,B114-Subsurface_Inputs!$C$44)</f>
        <v>14248.287353885482</v>
      </c>
      <c r="D114" s="25">
        <f>B114+Subsurface_Inputs!$C$44</f>
        <v>17248.287353885484</v>
      </c>
      <c r="E114" s="25">
        <f>B114*Subsurface_Inputs!$C$45</f>
        <v>8661.558044637015</v>
      </c>
      <c r="F114" s="25">
        <f t="shared" si="1"/>
        <v>15748.287353885482</v>
      </c>
      <c r="G114" s="25">
        <f>B114*Subsurface_Inputs!$C$46</f>
        <v>27559.502869299595</v>
      </c>
      <c r="H114" s="25">
        <f>Subsurface_Live_Data!Y114</f>
        <v>8.4118228484609148</v>
      </c>
      <c r="I114" s="25">
        <f>Subsurface_Inputs!$C$47-Subsurface_Inputs!$C$43+2*SIN(2*PI()*A114/42)</f>
        <v>-16.126640116127245</v>
      </c>
      <c r="J114" s="25">
        <v>0</v>
      </c>
    </row>
    <row r="115" spans="1:10">
      <c r="A115" s="25">
        <f>Subsurface_Live_Data!A115</f>
        <v>-3.5</v>
      </c>
      <c r="B115" s="25">
        <f>Subsurface_Live_Data!K115</f>
        <v>15775.781421619809</v>
      </c>
      <c r="C115" s="25">
        <f>MAX(0,B115-Subsurface_Inputs!$C$44)</f>
        <v>14275.781421619809</v>
      </c>
      <c r="D115" s="25">
        <f>B115+Subsurface_Inputs!$C$44</f>
        <v>17275.781421619809</v>
      </c>
      <c r="E115" s="25">
        <f>B115*Subsurface_Inputs!$C$45</f>
        <v>8676.6797818908963</v>
      </c>
      <c r="F115" s="25">
        <f t="shared" si="1"/>
        <v>15775.781421619809</v>
      </c>
      <c r="G115" s="25">
        <f>B115*Subsurface_Inputs!$C$46</f>
        <v>27607.617487834665</v>
      </c>
      <c r="H115" s="25">
        <f>Subsurface_Live_Data!Y115</f>
        <v>8.1681584638660567</v>
      </c>
      <c r="I115" s="25">
        <f>Subsurface_Inputs!$C$47-Subsurface_Inputs!$C$43+2*SIN(2*PI()*A115/42)</f>
        <v>-16</v>
      </c>
      <c r="J115" s="25">
        <v>0</v>
      </c>
    </row>
    <row r="116" spans="1:10">
      <c r="A116" s="25">
        <f>Subsurface_Live_Data!A116</f>
        <v>-3</v>
      </c>
      <c r="B116" s="25">
        <f>Subsurface_Live_Data!K116</f>
        <v>15797.512523197043</v>
      </c>
      <c r="C116" s="25">
        <f>MAX(0,B116-Subsurface_Inputs!$C$44)</f>
        <v>14297.512523197043</v>
      </c>
      <c r="D116" s="25">
        <f>B116+Subsurface_Inputs!$C$44</f>
        <v>17297.512523197045</v>
      </c>
      <c r="E116" s="25">
        <f>B116*Subsurface_Inputs!$C$45</f>
        <v>8688.6318877583744</v>
      </c>
      <c r="F116" s="25">
        <f t="shared" si="1"/>
        <v>15797.512523197043</v>
      </c>
      <c r="G116" s="25">
        <f>B116*Subsurface_Inputs!$C$46</f>
        <v>27645.646915594825</v>
      </c>
      <c r="H116" s="25">
        <f>Subsurface_Live_Data!Y116</f>
        <v>8.1028475552523958</v>
      </c>
      <c r="I116" s="25">
        <f>Subsurface_Inputs!$C$47-Subsurface_Inputs!$C$43+2*SIN(2*PI()*A116/42)</f>
        <v>-15.867767478235116</v>
      </c>
      <c r="J116" s="25">
        <v>0</v>
      </c>
    </row>
    <row r="117" spans="1:10">
      <c r="A117" s="25">
        <f>Subsurface_Live_Data!A117</f>
        <v>-2.5</v>
      </c>
      <c r="B117" s="25">
        <f>Subsurface_Live_Data!K117</f>
        <v>15820.518953735622</v>
      </c>
      <c r="C117" s="25">
        <f>MAX(0,B117-Subsurface_Inputs!$C$44)</f>
        <v>14320.518953735622</v>
      </c>
      <c r="D117" s="25">
        <f>B117+Subsurface_Inputs!$C$44</f>
        <v>17320.51895373562</v>
      </c>
      <c r="E117" s="25">
        <f>B117*Subsurface_Inputs!$C$45</f>
        <v>8701.2854245545932</v>
      </c>
      <c r="F117" s="25">
        <f t="shared" si="1"/>
        <v>15820.518953735622</v>
      </c>
      <c r="G117" s="25">
        <f>B117*Subsurface_Inputs!$C$46</f>
        <v>27685.908169037339</v>
      </c>
      <c r="H117" s="25">
        <f>Subsurface_Live_Data!Y117</f>
        <v>7.9727255506960617</v>
      </c>
      <c r="I117" s="25">
        <f>Subsurface_Inputs!$C$47-Subsurface_Inputs!$C$43+2*SIN(2*PI()*A117/42)</f>
        <v>-15.73068204873279</v>
      </c>
      <c r="J117" s="25">
        <v>0</v>
      </c>
    </row>
    <row r="118" spans="1:10">
      <c r="A118" s="25">
        <f>Subsurface_Live_Data!A118</f>
        <v>-2</v>
      </c>
      <c r="B118" s="25">
        <f>Subsurface_Live_Data!K118</f>
        <v>15840.763766829245</v>
      </c>
      <c r="C118" s="25">
        <f>MAX(0,B118-Subsurface_Inputs!$C$44)</f>
        <v>14340.763766829245</v>
      </c>
      <c r="D118" s="25">
        <f>B118+Subsurface_Inputs!$C$44</f>
        <v>17340.763766829245</v>
      </c>
      <c r="E118" s="25">
        <f>B118*Subsurface_Inputs!$C$45</f>
        <v>8712.4200717560852</v>
      </c>
      <c r="F118" s="25">
        <f t="shared" si="1"/>
        <v>15840.763766829245</v>
      </c>
      <c r="G118" s="25">
        <f>B118*Subsurface_Inputs!$C$46</f>
        <v>27721.336591951178</v>
      </c>
      <c r="H118" s="25">
        <f>Subsurface_Live_Data!Y118</f>
        <v>7.915332699430266</v>
      </c>
      <c r="I118" s="25">
        <f>Subsurface_Inputs!$C$47-Subsurface_Inputs!$C$43+2*SIN(2*PI()*A118/42)</f>
        <v>-15.589510348821808</v>
      </c>
      <c r="J118" s="25">
        <v>0</v>
      </c>
    </row>
    <row r="119" spans="1:10">
      <c r="A119" s="25">
        <f>Subsurface_Live_Data!A119</f>
        <v>-1.5</v>
      </c>
      <c r="B119" s="25">
        <f>Subsurface_Live_Data!K119</f>
        <v>15862.974345451357</v>
      </c>
      <c r="C119" s="25">
        <f>MAX(0,B119-Subsurface_Inputs!$C$44)</f>
        <v>14362.974345451357</v>
      </c>
      <c r="D119" s="25">
        <f>B119+Subsurface_Inputs!$C$44</f>
        <v>17362.974345451359</v>
      </c>
      <c r="E119" s="25">
        <f>B119*Subsurface_Inputs!$C$45</f>
        <v>8724.6358899982479</v>
      </c>
      <c r="F119" s="25">
        <f t="shared" si="1"/>
        <v>15862.974345451357</v>
      </c>
      <c r="G119" s="25">
        <f>B119*Subsurface_Inputs!$C$46</f>
        <v>27760.205104539877</v>
      </c>
      <c r="H119" s="25">
        <f>Subsurface_Live_Data!Y119</f>
        <v>7.7670025372451619</v>
      </c>
      <c r="I119" s="25">
        <f>Subsurface_Inputs!$C$47-Subsurface_Inputs!$C$43+2*SIN(2*PI()*A119/42)</f>
        <v>-15.445041867912629</v>
      </c>
      <c r="J119" s="25">
        <v>0</v>
      </c>
    </row>
    <row r="120" spans="1:10">
      <c r="A120" s="25">
        <f>Subsurface_Live_Data!A120</f>
        <v>-1</v>
      </c>
      <c r="B120" s="25">
        <f>Subsurface_Live_Data!K120</f>
        <v>15882.259787427234</v>
      </c>
      <c r="C120" s="25">
        <f>MAX(0,B120-Subsurface_Inputs!$C$44)</f>
        <v>14382.259787427234</v>
      </c>
      <c r="D120" s="25">
        <f>B120+Subsurface_Inputs!$C$44</f>
        <v>17382.259787427232</v>
      </c>
      <c r="E120" s="25">
        <f>B120*Subsurface_Inputs!$C$45</f>
        <v>8735.2428830849803</v>
      </c>
      <c r="F120" s="25">
        <f t="shared" si="1"/>
        <v>15882.259787427234</v>
      </c>
      <c r="G120" s="25">
        <f>B120*Subsurface_Inputs!$C$46</f>
        <v>27793.95462799766</v>
      </c>
      <c r="H120" s="25">
        <f>Subsurface_Live_Data!Y120</f>
        <v>7.6947013878614143</v>
      </c>
      <c r="I120" s="25">
        <f>Subsurface_Inputs!$C$47-Subsurface_Inputs!$C$43+2*SIN(2*PI()*A120/42)</f>
        <v>-15.298084532352348</v>
      </c>
      <c r="J120" s="25">
        <v>0</v>
      </c>
    </row>
    <row r="121" spans="1:10">
      <c r="A121" s="25">
        <f>Subsurface_Live_Data!A121</f>
        <v>-0.5</v>
      </c>
      <c r="B121" s="25">
        <f>Subsurface_Live_Data!K121</f>
        <v>15897.379848026414</v>
      </c>
      <c r="C121" s="25">
        <f>MAX(0,B121-Subsurface_Inputs!$C$44)</f>
        <v>14397.379848026414</v>
      </c>
      <c r="D121" s="25">
        <f>B121+Subsurface_Inputs!$C$44</f>
        <v>17397.379848026416</v>
      </c>
      <c r="E121" s="25">
        <f>B121*Subsurface_Inputs!$C$45</f>
        <v>8743.5589164145276</v>
      </c>
      <c r="F121" s="25">
        <f t="shared" si="1"/>
        <v>15897.379848026414</v>
      </c>
      <c r="G121" s="25">
        <f>B121*Subsurface_Inputs!$C$46</f>
        <v>27820.414734046226</v>
      </c>
      <c r="H121" s="25">
        <f>Subsurface_Live_Data!Y121</f>
        <v>7.7399585421054695</v>
      </c>
      <c r="I121" s="25">
        <f>Subsurface_Inputs!$C$47-Subsurface_Inputs!$C$43+2*SIN(2*PI()*A121/42)</f>
        <v>-15.149460187172849</v>
      </c>
      <c r="J121" s="25">
        <v>0</v>
      </c>
    </row>
    <row r="122" spans="1:10">
      <c r="A122" s="25">
        <f>Subsurface_Live_Data!A122</f>
        <v>0</v>
      </c>
      <c r="B122" s="25">
        <f>Subsurface_Live_Data!K122</f>
        <v>15915.349780721908</v>
      </c>
      <c r="C122" s="25">
        <f>MAX(0,B122-Subsurface_Inputs!$C$44)</f>
        <v>14415.349780721908</v>
      </c>
      <c r="D122" s="25">
        <f>B122+Subsurface_Inputs!$C$44</f>
        <v>17415.34978072191</v>
      </c>
      <c r="E122" s="25">
        <f>B122*Subsurface_Inputs!$C$45</f>
        <v>8753.4423793970509</v>
      </c>
      <c r="F122" s="25">
        <f t="shared" si="1"/>
        <v>15915.349780721908</v>
      </c>
      <c r="G122" s="25">
        <f>B122*Subsurface_Inputs!$C$46</f>
        <v>27851.862116263339</v>
      </c>
      <c r="H122" s="25">
        <f>Subsurface_Live_Data!Y122</f>
        <v>7.6605939001411514</v>
      </c>
      <c r="I122" s="25">
        <f>Subsurface_Inputs!$C$47-Subsurface_Inputs!$C$43+2*SIN(2*PI()*A122/42)</f>
        <v>-15</v>
      </c>
      <c r="J122" s="25">
        <v>0</v>
      </c>
    </row>
    <row r="123" spans="1:10">
      <c r="A123" s="25">
        <f>Subsurface_Live_Data!A123</f>
        <v>0.5</v>
      </c>
      <c r="B123" s="25">
        <f>Subsurface_Live_Data!K123</f>
        <v>15932.899548678191</v>
      </c>
      <c r="C123" s="25">
        <f>MAX(0,B123-Subsurface_Inputs!$C$44)</f>
        <v>14432.899548678191</v>
      </c>
      <c r="D123" s="25">
        <f>B123+Subsurface_Inputs!$C$44</f>
        <v>17432.899548678193</v>
      </c>
      <c r="E123" s="25">
        <f>B123*Subsurface_Inputs!$C$45</f>
        <v>8763.0947517730056</v>
      </c>
      <c r="F123" s="25">
        <f t="shared" si="1"/>
        <v>15932.899548678191</v>
      </c>
      <c r="G123" s="25">
        <f>B123*Subsurface_Inputs!$C$46</f>
        <v>27882.574210186835</v>
      </c>
      <c r="H123" s="25">
        <f>Subsurface_Live_Data!Y123</f>
        <v>7.5679938561498545</v>
      </c>
      <c r="I123" s="25">
        <f>Subsurface_Inputs!$C$47-Subsurface_Inputs!$C$43+2*SIN(2*PI()*A123/42)</f>
        <v>-14.850539812827151</v>
      </c>
      <c r="J123" s="25">
        <v>0</v>
      </c>
    </row>
    <row r="124" spans="1:10">
      <c r="A124" s="25">
        <f>Subsurface_Live_Data!A124</f>
        <v>1</v>
      </c>
      <c r="B124" s="25">
        <f>Subsurface_Live_Data!K124</f>
        <v>15947.69149082374</v>
      </c>
      <c r="C124" s="25">
        <f>MAX(0,B124-Subsurface_Inputs!$C$44)</f>
        <v>14447.69149082374</v>
      </c>
      <c r="D124" s="25">
        <f>B124+Subsurface_Inputs!$C$44</f>
        <v>17447.691490823738</v>
      </c>
      <c r="E124" s="25">
        <f>B124*Subsurface_Inputs!$C$45</f>
        <v>8771.2303199530579</v>
      </c>
      <c r="F124" s="25">
        <f t="shared" si="1"/>
        <v>15947.69149082374</v>
      </c>
      <c r="G124" s="25">
        <f>B124*Subsurface_Inputs!$C$46</f>
        <v>27908.460108941545</v>
      </c>
      <c r="H124" s="25">
        <f>Subsurface_Live_Data!Y124</f>
        <v>7.5415464797815304</v>
      </c>
      <c r="I124" s="25">
        <f>Subsurface_Inputs!$C$47-Subsurface_Inputs!$C$43+2*SIN(2*PI()*A124/42)</f>
        <v>-14.701915467647652</v>
      </c>
      <c r="J124" s="25">
        <v>0</v>
      </c>
    </row>
    <row r="125" spans="1:10">
      <c r="A125" s="25">
        <f>Subsurface_Live_Data!A125</f>
        <v>1.5</v>
      </c>
      <c r="B125" s="25">
        <f>Subsurface_Live_Data!K125</f>
        <v>15960.826835798127</v>
      </c>
      <c r="C125" s="25">
        <f>MAX(0,B125-Subsurface_Inputs!$C$44)</f>
        <v>14460.826835798127</v>
      </c>
      <c r="D125" s="25">
        <f>B125+Subsurface_Inputs!$C$44</f>
        <v>17460.826835798129</v>
      </c>
      <c r="E125" s="25">
        <f>B125*Subsurface_Inputs!$C$45</f>
        <v>8778.4547596889697</v>
      </c>
      <c r="F125" s="25">
        <f t="shared" si="1"/>
        <v>15960.826835798127</v>
      </c>
      <c r="G125" s="25">
        <f>B125*Subsurface_Inputs!$C$46</f>
        <v>27931.446962646722</v>
      </c>
      <c r="H125" s="25">
        <f>Subsurface_Live_Data!Y125</f>
        <v>7.5424913275554459</v>
      </c>
      <c r="I125" s="25">
        <f>Subsurface_Inputs!$C$47-Subsurface_Inputs!$C$43+2*SIN(2*PI()*A125/42)</f>
        <v>-14.554958132087371</v>
      </c>
      <c r="J125" s="25">
        <v>0</v>
      </c>
    </row>
    <row r="126" spans="1:10">
      <c r="A126" s="25">
        <f>Subsurface_Live_Data!A126</f>
        <v>2</v>
      </c>
      <c r="B126" s="25">
        <f>Subsurface_Live_Data!K126</f>
        <v>15973.127659706997</v>
      </c>
      <c r="C126" s="25">
        <f>MAX(0,B126-Subsurface_Inputs!$C$44)</f>
        <v>14473.127659706997</v>
      </c>
      <c r="D126" s="25">
        <f>B126+Subsurface_Inputs!$C$44</f>
        <v>17473.127659706995</v>
      </c>
      <c r="E126" s="25">
        <f>B126*Subsurface_Inputs!$C$45</f>
        <v>8785.220212838849</v>
      </c>
      <c r="F126" s="25">
        <f t="shared" si="1"/>
        <v>15973.127659706997</v>
      </c>
      <c r="G126" s="25">
        <f>B126*Subsurface_Inputs!$C$46</f>
        <v>27952.973404487246</v>
      </c>
      <c r="H126" s="25">
        <f>Subsurface_Live_Data!Y126</f>
        <v>7.5417160239603476</v>
      </c>
      <c r="I126" s="25">
        <f>Subsurface_Inputs!$C$47-Subsurface_Inputs!$C$43+2*SIN(2*PI()*A126/42)</f>
        <v>-14.410489651178192</v>
      </c>
      <c r="J126" s="25">
        <v>0</v>
      </c>
    </row>
    <row r="127" spans="1:10">
      <c r="A127" s="25">
        <f>Subsurface_Live_Data!A127</f>
        <v>2.5</v>
      </c>
      <c r="B127" s="25">
        <f>Subsurface_Live_Data!K127</f>
        <v>15984.674832252707</v>
      </c>
      <c r="C127" s="25">
        <f>MAX(0,B127-Subsurface_Inputs!$C$44)</f>
        <v>14484.674832252707</v>
      </c>
      <c r="D127" s="25">
        <f>B127+Subsurface_Inputs!$C$44</f>
        <v>17484.674832252706</v>
      </c>
      <c r="E127" s="25">
        <f>B127*Subsurface_Inputs!$C$45</f>
        <v>8791.5711577389902</v>
      </c>
      <c r="F127" s="25">
        <f t="shared" si="1"/>
        <v>15984.674832252707</v>
      </c>
      <c r="G127" s="25">
        <f>B127*Subsurface_Inputs!$C$46</f>
        <v>27973.180956442236</v>
      </c>
      <c r="H127" s="25">
        <f>Subsurface_Live_Data!Y127</f>
        <v>7.5356397463826212</v>
      </c>
      <c r="I127" s="25">
        <f>Subsurface_Inputs!$C$47-Subsurface_Inputs!$C$43+2*SIN(2*PI()*A127/42)</f>
        <v>-14.26931795126721</v>
      </c>
      <c r="J127" s="25">
        <v>0</v>
      </c>
    </row>
    <row r="128" spans="1:10">
      <c r="A128" s="25">
        <f>Subsurface_Live_Data!A128</f>
        <v>3</v>
      </c>
      <c r="B128" s="25">
        <f>Subsurface_Live_Data!K128</f>
        <v>15999.039471084721</v>
      </c>
      <c r="C128" s="25">
        <f>MAX(0,B128-Subsurface_Inputs!$C$44)</f>
        <v>14499.039471084721</v>
      </c>
      <c r="D128" s="25">
        <f>B128+Subsurface_Inputs!$C$44</f>
        <v>17499.039471084721</v>
      </c>
      <c r="E128" s="25">
        <f>B128*Subsurface_Inputs!$C$45</f>
        <v>8799.4717090965969</v>
      </c>
      <c r="F128" s="25">
        <f t="shared" si="1"/>
        <v>15999.039471084721</v>
      </c>
      <c r="G128" s="25">
        <f>B128*Subsurface_Inputs!$C$46</f>
        <v>27998.319074398263</v>
      </c>
      <c r="H128" s="25">
        <f>Subsurface_Live_Data!Y128</f>
        <v>7.4007739980906209</v>
      </c>
      <c r="I128" s="25">
        <f>Subsurface_Inputs!$C$47-Subsurface_Inputs!$C$43+2*SIN(2*PI()*A128/42)</f>
        <v>-14.132232521764884</v>
      </c>
      <c r="J128" s="25">
        <v>0</v>
      </c>
    </row>
    <row r="129" spans="1:10">
      <c r="A129" s="25">
        <f>Subsurface_Live_Data!A129</f>
        <v>3.5</v>
      </c>
      <c r="B129" s="25">
        <f>Subsurface_Live_Data!K129</f>
        <v>16006.807001469824</v>
      </c>
      <c r="C129" s="25">
        <f>MAX(0,B129-Subsurface_Inputs!$C$44)</f>
        <v>14506.807001469824</v>
      </c>
      <c r="D129" s="25">
        <f>B129+Subsurface_Inputs!$C$44</f>
        <v>17506.807001469824</v>
      </c>
      <c r="E129" s="25">
        <f>B129*Subsurface_Inputs!$C$45</f>
        <v>8803.7438508084033</v>
      </c>
      <c r="F129" s="25">
        <f t="shared" si="1"/>
        <v>16006.807001469824</v>
      </c>
      <c r="G129" s="25">
        <f>B129*Subsurface_Inputs!$C$46</f>
        <v>28011.91225257219</v>
      </c>
      <c r="H129" s="25">
        <f>Subsurface_Live_Data!Y129</f>
        <v>7.4600259841447638</v>
      </c>
      <c r="I129" s="25">
        <f>Subsurface_Inputs!$C$47-Subsurface_Inputs!$C$43+2*SIN(2*PI()*A129/42)</f>
        <v>-14</v>
      </c>
      <c r="J129" s="25">
        <v>0</v>
      </c>
    </row>
    <row r="130" spans="1:10">
      <c r="A130" s="25">
        <f>Subsurface_Live_Data!A130</f>
        <v>4</v>
      </c>
      <c r="B130" s="25">
        <f>Subsurface_Live_Data!K130</f>
        <v>16017.23599184729</v>
      </c>
      <c r="C130" s="25">
        <f>MAX(0,B130-Subsurface_Inputs!$C$44)</f>
        <v>14517.23599184729</v>
      </c>
      <c r="D130" s="25">
        <f>B130+Subsurface_Inputs!$C$44</f>
        <v>17517.23599184729</v>
      </c>
      <c r="E130" s="25">
        <f>B130*Subsurface_Inputs!$C$45</f>
        <v>8809.4797955160102</v>
      </c>
      <c r="F130" s="25">
        <f t="shared" ref="F130:F193" si="2">B130</f>
        <v>16017.23599184729</v>
      </c>
      <c r="G130" s="25">
        <f>B130*Subsurface_Inputs!$C$46</f>
        <v>28030.162985732757</v>
      </c>
      <c r="H130" s="25">
        <f>Subsurface_Live_Data!Y130</f>
        <v>7.3945408374868435</v>
      </c>
      <c r="I130" s="25">
        <f>Subsurface_Inputs!$C$47-Subsurface_Inputs!$C$43+2*SIN(2*PI()*A130/42)</f>
        <v>-13.873359883872755</v>
      </c>
      <c r="J130" s="25">
        <v>0</v>
      </c>
    </row>
    <row r="131" spans="1:10">
      <c r="A131" s="25">
        <f>Subsurface_Live_Data!A131</f>
        <v>4.5</v>
      </c>
      <c r="B131" s="25">
        <f>Subsurface_Live_Data!K131</f>
        <v>16025.329990466244</v>
      </c>
      <c r="C131" s="25">
        <f>MAX(0,B131-Subsurface_Inputs!$C$44)</f>
        <v>14525.329990466244</v>
      </c>
      <c r="D131" s="25">
        <f>B131+Subsurface_Inputs!$C$44</f>
        <v>17525.329990466242</v>
      </c>
      <c r="E131" s="25">
        <f>B131*Subsurface_Inputs!$C$45</f>
        <v>8813.9314947564344</v>
      </c>
      <c r="F131" s="25">
        <f t="shared" si="2"/>
        <v>16025.329990466244</v>
      </c>
      <c r="G131" s="25">
        <f>B131*Subsurface_Inputs!$C$46</f>
        <v>28044.327483315927</v>
      </c>
      <c r="H131" s="25">
        <f>Subsurface_Live_Data!Y131</f>
        <v>7.3754911221664372</v>
      </c>
      <c r="I131" s="25">
        <f>Subsurface_Inputs!$C$47-Subsurface_Inputs!$C$43+2*SIN(2*PI()*A131/42)</f>
        <v>-13.753020396282533</v>
      </c>
      <c r="J131" s="25">
        <v>0</v>
      </c>
    </row>
    <row r="132" spans="1:10">
      <c r="A132" s="25">
        <f>Subsurface_Live_Data!A132</f>
        <v>5</v>
      </c>
      <c r="B132" s="25">
        <f>Subsurface_Live_Data!K132</f>
        <v>16035.975154282107</v>
      </c>
      <c r="C132" s="25">
        <f>MAX(0,B132-Subsurface_Inputs!$C$44)</f>
        <v>14535.975154282107</v>
      </c>
      <c r="D132" s="25">
        <f>B132+Subsurface_Inputs!$C$44</f>
        <v>17535.975154282107</v>
      </c>
      <c r="E132" s="25">
        <f>B132*Subsurface_Inputs!$C$45</f>
        <v>8819.78633485516</v>
      </c>
      <c r="F132" s="25">
        <f t="shared" si="2"/>
        <v>16035.975154282107</v>
      </c>
      <c r="G132" s="25">
        <f>B132*Subsurface_Inputs!$C$46</f>
        <v>28062.956519993688</v>
      </c>
      <c r="H132" s="25">
        <f>Subsurface_Live_Data!Y132</f>
        <v>7.2344333874964875</v>
      </c>
      <c r="I132" s="25">
        <f>Subsurface_Inputs!$C$47-Subsurface_Inputs!$C$43+2*SIN(2*PI()*A132/42)</f>
        <v>-13.639654524458161</v>
      </c>
      <c r="J132" s="25">
        <v>0</v>
      </c>
    </row>
    <row r="133" spans="1:10">
      <c r="A133" s="25">
        <f>Subsurface_Live_Data!A133</f>
        <v>5.5</v>
      </c>
      <c r="B133" s="25">
        <f>Subsurface_Live_Data!K133</f>
        <v>16043.928899152816</v>
      </c>
      <c r="C133" s="25">
        <f>MAX(0,B133-Subsurface_Inputs!$C$44)</f>
        <v>14543.928899152816</v>
      </c>
      <c r="D133" s="25">
        <f>B133+Subsurface_Inputs!$C$44</f>
        <v>17543.928899152816</v>
      </c>
      <c r="E133" s="25">
        <f>B133*Subsurface_Inputs!$C$45</f>
        <v>8824.1608945340486</v>
      </c>
      <c r="F133" s="25">
        <f t="shared" si="2"/>
        <v>16043.928899152816</v>
      </c>
      <c r="G133" s="25">
        <f>B133*Subsurface_Inputs!$C$46</f>
        <v>28076.875573517427</v>
      </c>
      <c r="H133" s="25">
        <f>Subsurface_Live_Data!Y133</f>
        <v>7.1511280401506525</v>
      </c>
      <c r="I133" s="25">
        <f>Subsurface_Inputs!$C$47-Subsurface_Inputs!$C$43+2*SIN(2*PI()*A133/42)</f>
        <v>-13.533896256340348</v>
      </c>
      <c r="J133" s="25">
        <v>0</v>
      </c>
    </row>
    <row r="134" spans="1:10">
      <c r="A134" s="25">
        <f>Subsurface_Live_Data!A134</f>
        <v>6</v>
      </c>
      <c r="B134" s="25">
        <f>Subsurface_Live_Data!K134</f>
        <v>16050.168296224891</v>
      </c>
      <c r="C134" s="25">
        <f>MAX(0,B134-Subsurface_Inputs!$C$44)</f>
        <v>14550.168296224891</v>
      </c>
      <c r="D134" s="25">
        <f>B134+Subsurface_Inputs!$C$44</f>
        <v>17550.168296224889</v>
      </c>
      <c r="E134" s="25">
        <f>B134*Subsurface_Inputs!$C$45</f>
        <v>8827.5925629236899</v>
      </c>
      <c r="F134" s="25">
        <f t="shared" si="2"/>
        <v>16050.168296224891</v>
      </c>
      <c r="G134" s="25">
        <f>B134*Subsurface_Inputs!$C$46</f>
        <v>28087.794518393559</v>
      </c>
      <c r="H134" s="25">
        <f>Subsurface_Live_Data!Y134</f>
        <v>7.0916226442565602</v>
      </c>
      <c r="I134" s="25">
        <f>Subsurface_Inputs!$C$47-Subsurface_Inputs!$C$43+2*SIN(2*PI()*A134/42)</f>
        <v>-13.436337035063941</v>
      </c>
      <c r="J134" s="25">
        <v>0</v>
      </c>
    </row>
    <row r="135" spans="1:10">
      <c r="A135" s="25">
        <f>Subsurface_Live_Data!A135</f>
        <v>6.5</v>
      </c>
      <c r="B135" s="25">
        <f>Subsurface_Live_Data!K135</f>
        <v>16055.648842831961</v>
      </c>
      <c r="C135" s="25">
        <f>MAX(0,B135-Subsurface_Inputs!$C$44)</f>
        <v>14555.648842831961</v>
      </c>
      <c r="D135" s="25">
        <f>B135+Subsurface_Inputs!$C$44</f>
        <v>17555.648842831961</v>
      </c>
      <c r="E135" s="25">
        <f>B135*Subsurface_Inputs!$C$45</f>
        <v>8830.6068635575793</v>
      </c>
      <c r="F135" s="25">
        <f t="shared" si="2"/>
        <v>16055.648842831961</v>
      </c>
      <c r="G135" s="25">
        <f>B135*Subsurface_Inputs!$C$46</f>
        <v>28097.385474955932</v>
      </c>
      <c r="H135" s="25">
        <f>Subsurface_Live_Data!Y135</f>
        <v>7.0227727647990861</v>
      </c>
      <c r="I135" s="25">
        <f>Subsurface_Inputs!$C$47-Subsurface_Inputs!$C$43+2*SIN(2*PI()*A135/42)</f>
        <v>-13.347522451368011</v>
      </c>
      <c r="J135" s="25">
        <v>0</v>
      </c>
    </row>
    <row r="136" spans="1:10">
      <c r="A136" s="25">
        <f>Subsurface_Live_Data!A136</f>
        <v>7</v>
      </c>
      <c r="B136" s="25">
        <f>Subsurface_Live_Data!K136</f>
        <v>16057.186598182137</v>
      </c>
      <c r="C136" s="25">
        <f>MAX(0,B136-Subsurface_Inputs!$C$44)</f>
        <v>14557.186598182137</v>
      </c>
      <c r="D136" s="25">
        <f>B136+Subsurface_Inputs!$C$44</f>
        <v>17557.186598182139</v>
      </c>
      <c r="E136" s="25">
        <f>B136*Subsurface_Inputs!$C$45</f>
        <v>8831.4526290001759</v>
      </c>
      <c r="F136" s="25">
        <f t="shared" si="2"/>
        <v>16057.186598182137</v>
      </c>
      <c r="G136" s="25">
        <f>B136*Subsurface_Inputs!$C$46</f>
        <v>28100.076546818742</v>
      </c>
      <c r="H136" s="25">
        <f>Subsurface_Live_Data!Y136</f>
        <v>7.0537795720315088</v>
      </c>
      <c r="I136" s="25">
        <f>Subsurface_Inputs!$C$47-Subsurface_Inputs!$C$43+2*SIN(2*PI()*A136/42)</f>
        <v>-13.267949192431123</v>
      </c>
      <c r="J136" s="25">
        <v>0</v>
      </c>
    </row>
    <row r="137" spans="1:10">
      <c r="A137" s="25">
        <f>Subsurface_Live_Data!A137</f>
        <v>7.5</v>
      </c>
      <c r="B137" s="25">
        <f>Subsurface_Live_Data!K137</f>
        <v>16063.19705852591</v>
      </c>
      <c r="C137" s="25">
        <f>MAX(0,B137-Subsurface_Inputs!$C$44)</f>
        <v>14563.19705852591</v>
      </c>
      <c r="D137" s="25">
        <f>B137+Subsurface_Inputs!$C$44</f>
        <v>17563.197058525911</v>
      </c>
      <c r="E137" s="25">
        <f>B137*Subsurface_Inputs!$C$45</f>
        <v>8834.7583821892513</v>
      </c>
      <c r="F137" s="25">
        <f t="shared" si="2"/>
        <v>16063.19705852591</v>
      </c>
      <c r="G137" s="25">
        <f>B137*Subsurface_Inputs!$C$46</f>
        <v>28110.594852420341</v>
      </c>
      <c r="H137" s="25">
        <f>Subsurface_Live_Data!Y137</f>
        <v>6.8952227835146758</v>
      </c>
      <c r="I137" s="25">
        <f>Subsurface_Inputs!$C$47-Subsurface_Inputs!$C$43+2*SIN(2*PI()*A137/42)</f>
        <v>-13.198062264195162</v>
      </c>
      <c r="J137" s="25">
        <v>0</v>
      </c>
    </row>
    <row r="138" spans="1:10">
      <c r="A138" s="25">
        <f>Subsurface_Live_Data!A138</f>
        <v>8</v>
      </c>
      <c r="B138" s="25">
        <f>Subsurface_Live_Data!K138</f>
        <v>16064.496639991332</v>
      </c>
      <c r="C138" s="25">
        <f>MAX(0,B138-Subsurface_Inputs!$C$44)</f>
        <v>14564.496639991332</v>
      </c>
      <c r="D138" s="25">
        <f>B138+Subsurface_Inputs!$C$44</f>
        <v>17564.496639991332</v>
      </c>
      <c r="E138" s="25">
        <f>B138*Subsurface_Inputs!$C$45</f>
        <v>8835.4731519952329</v>
      </c>
      <c r="F138" s="25">
        <f t="shared" si="2"/>
        <v>16064.496639991332</v>
      </c>
      <c r="G138" s="25">
        <f>B138*Subsurface_Inputs!$C$46</f>
        <v>28112.869119984833</v>
      </c>
      <c r="H138" s="25">
        <f>Subsurface_Live_Data!Y138</f>
        <v>6.8626558158189255</v>
      </c>
      <c r="I138" s="25">
        <f>Subsurface_Inputs!$C$47-Subsurface_Inputs!$C$43+2*SIN(2*PI()*A138/42)</f>
        <v>-13.138252502711591</v>
      </c>
      <c r="J138" s="25">
        <v>0</v>
      </c>
    </row>
    <row r="139" spans="1:10">
      <c r="A139" s="25">
        <f>Subsurface_Live_Data!A139</f>
        <v>8.5</v>
      </c>
      <c r="B139" s="25">
        <f>Subsurface_Live_Data!K139</f>
        <v>16066.128989193123</v>
      </c>
      <c r="C139" s="25">
        <f>MAX(0,B139-Subsurface_Inputs!$C$44)</f>
        <v>14566.128989193123</v>
      </c>
      <c r="D139" s="25">
        <f>B139+Subsurface_Inputs!$C$44</f>
        <v>17566.128989193123</v>
      </c>
      <c r="E139" s="25">
        <f>B139*Subsurface_Inputs!$C$45</f>
        <v>8836.3709440562179</v>
      </c>
      <c r="F139" s="25">
        <f t="shared" si="2"/>
        <v>16066.128989193123</v>
      </c>
      <c r="G139" s="25">
        <f>B139*Subsurface_Inputs!$C$46</f>
        <v>28115.725731087965</v>
      </c>
      <c r="H139" s="25">
        <f>Subsurface_Live_Data!Y139</f>
        <v>6.7826902652002588</v>
      </c>
      <c r="I139" s="25">
        <f>Subsurface_Inputs!$C$47-Subsurface_Inputs!$C$43+2*SIN(2*PI()*A139/42)</f>
        <v>-13.088854388427718</v>
      </c>
      <c r="J139" s="25">
        <v>0</v>
      </c>
    </row>
    <row r="140" spans="1:10">
      <c r="A140" s="25">
        <f>Subsurface_Live_Data!A140</f>
        <v>9</v>
      </c>
      <c r="B140" s="25">
        <f>Subsurface_Live_Data!K140</f>
        <v>16063.809243256452</v>
      </c>
      <c r="C140" s="25">
        <f>MAX(0,B140-Subsurface_Inputs!$C$44)</f>
        <v>14563.809243256452</v>
      </c>
      <c r="D140" s="25">
        <f>B140+Subsurface_Inputs!$C$44</f>
        <v>17563.809243256452</v>
      </c>
      <c r="E140" s="25">
        <f>B140*Subsurface_Inputs!$C$45</f>
        <v>8835.0950837910495</v>
      </c>
      <c r="F140" s="25">
        <f t="shared" si="2"/>
        <v>16063.809243256452</v>
      </c>
      <c r="G140" s="25">
        <f>B140*Subsurface_Inputs!$C$46</f>
        <v>28111.666175698789</v>
      </c>
      <c r="H140" s="25">
        <f>Subsurface_Live_Data!Y140</f>
        <v>6.8026404213815184</v>
      </c>
      <c r="I140" s="25">
        <f>Subsurface_Inputs!$C$47-Subsurface_Inputs!$C$43+2*SIN(2*PI()*A140/42)</f>
        <v>-13.050144175636353</v>
      </c>
      <c r="J140" s="25">
        <v>0</v>
      </c>
    </row>
    <row r="141" spans="1:10">
      <c r="A141" s="25">
        <f>Subsurface_Live_Data!A141</f>
        <v>9.5</v>
      </c>
      <c r="B141" s="25">
        <f>Subsurface_Live_Data!K141</f>
        <v>16060.875739012859</v>
      </c>
      <c r="C141" s="25">
        <f>MAX(0,B141-Subsurface_Inputs!$C$44)</f>
        <v>14560.875739012859</v>
      </c>
      <c r="D141" s="25">
        <f>B141+Subsurface_Inputs!$C$44</f>
        <v>17560.875739012859</v>
      </c>
      <c r="E141" s="25">
        <f>B141*Subsurface_Inputs!$C$45</f>
        <v>8833.4816564570738</v>
      </c>
      <c r="F141" s="25">
        <f t="shared" si="2"/>
        <v>16060.875739012859</v>
      </c>
      <c r="G141" s="25">
        <f>B141*Subsurface_Inputs!$C$46</f>
        <v>28106.532543272504</v>
      </c>
      <c r="H141" s="25">
        <f>Subsurface_Live_Data!Y141</f>
        <v>6.8078687225716408</v>
      </c>
      <c r="I141" s="25">
        <f>Subsurface_Inputs!$C$47-Subsurface_Inputs!$C$43+2*SIN(2*PI()*A141/42)</f>
        <v>-13.022338347549743</v>
      </c>
      <c r="J141" s="25">
        <v>0</v>
      </c>
    </row>
    <row r="142" spans="1:10">
      <c r="A142" s="25">
        <f>Subsurface_Live_Data!A142</f>
        <v>10</v>
      </c>
      <c r="B142" s="25">
        <f>Subsurface_Live_Data!K142</f>
        <v>16059.653002376923</v>
      </c>
      <c r="C142" s="25">
        <f>MAX(0,B142-Subsurface_Inputs!$C$44)</f>
        <v>14559.653002376923</v>
      </c>
      <c r="D142" s="25">
        <f>B142+Subsurface_Inputs!$C$44</f>
        <v>17559.653002376923</v>
      </c>
      <c r="E142" s="25">
        <f>B142*Subsurface_Inputs!$C$45</f>
        <v>8832.8091513073086</v>
      </c>
      <c r="F142" s="25">
        <f t="shared" si="2"/>
        <v>16059.653002376923</v>
      </c>
      <c r="G142" s="25">
        <f>B142*Subsurface_Inputs!$C$46</f>
        <v>28104.392754159613</v>
      </c>
      <c r="H142" s="25">
        <f>Subsurface_Live_Data!Y142</f>
        <v>6.7186519032613745</v>
      </c>
      <c r="I142" s="25">
        <f>Subsurface_Inputs!$C$47-Subsurface_Inputs!$C$43+2*SIN(2*PI()*A142/42)</f>
        <v>-13.005592405637639</v>
      </c>
      <c r="J142" s="25">
        <v>0</v>
      </c>
    </row>
    <row r="143" spans="1:10">
      <c r="A143" s="25">
        <f>Subsurface_Live_Data!A143</f>
        <v>10.5</v>
      </c>
      <c r="B143" s="25">
        <f>Subsurface_Live_Data!K143</f>
        <v>16056.097371463013</v>
      </c>
      <c r="C143" s="25">
        <f>MAX(0,B143-Subsurface_Inputs!$C$44)</f>
        <v>14556.097371463013</v>
      </c>
      <c r="D143" s="25">
        <f>B143+Subsurface_Inputs!$C$44</f>
        <v>17556.097371463013</v>
      </c>
      <c r="E143" s="25">
        <f>B143*Subsurface_Inputs!$C$45</f>
        <v>8830.8535543046582</v>
      </c>
      <c r="F143" s="25">
        <f t="shared" si="2"/>
        <v>16056.097371463013</v>
      </c>
      <c r="G143" s="25">
        <f>B143*Subsurface_Inputs!$C$46</f>
        <v>28098.170400060273</v>
      </c>
      <c r="H143" s="25">
        <f>Subsurface_Live_Data!Y143</f>
        <v>6.6742181687878954</v>
      </c>
      <c r="I143" s="25">
        <f>Subsurface_Inputs!$C$47-Subsurface_Inputs!$C$43+2*SIN(2*PI()*A143/42)</f>
        <v>-13</v>
      </c>
      <c r="J143" s="25">
        <v>0</v>
      </c>
    </row>
    <row r="144" spans="1:10">
      <c r="A144" s="25">
        <f>Subsurface_Live_Data!A144</f>
        <v>11</v>
      </c>
      <c r="B144" s="25">
        <f>Subsurface_Live_Data!K144</f>
        <v>16048.056445742717</v>
      </c>
      <c r="C144" s="25">
        <f>MAX(0,B144-Subsurface_Inputs!$C$44)</f>
        <v>14548.056445742717</v>
      </c>
      <c r="D144" s="25">
        <f>B144+Subsurface_Inputs!$C$44</f>
        <v>17548.056445742717</v>
      </c>
      <c r="E144" s="25">
        <f>B144*Subsurface_Inputs!$C$45</f>
        <v>8826.4310451584952</v>
      </c>
      <c r="F144" s="25">
        <f t="shared" si="2"/>
        <v>16048.056445742717</v>
      </c>
      <c r="G144" s="25">
        <f>B144*Subsurface_Inputs!$C$46</f>
        <v>28084.098780049753</v>
      </c>
      <c r="H144" s="25">
        <f>Subsurface_Live_Data!Y144</f>
        <v>6.748857559477365</v>
      </c>
      <c r="I144" s="25">
        <f>Subsurface_Inputs!$C$47-Subsurface_Inputs!$C$43+2*SIN(2*PI()*A144/42)</f>
        <v>-13.005592405637639</v>
      </c>
      <c r="J144" s="25">
        <v>0</v>
      </c>
    </row>
    <row r="145" spans="1:10">
      <c r="A145" s="25">
        <f>Subsurface_Live_Data!A145</f>
        <v>11.5</v>
      </c>
      <c r="B145" s="25">
        <f>Subsurface_Live_Data!K145</f>
        <v>16041.249630235392</v>
      </c>
      <c r="C145" s="25">
        <f>MAX(0,B145-Subsurface_Inputs!$C$44)</f>
        <v>14541.249630235392</v>
      </c>
      <c r="D145" s="25">
        <f>B145+Subsurface_Inputs!$C$44</f>
        <v>17541.24963023539</v>
      </c>
      <c r="E145" s="25">
        <f>B145*Subsurface_Inputs!$C$45</f>
        <v>8822.6872966294668</v>
      </c>
      <c r="F145" s="25">
        <f t="shared" si="2"/>
        <v>16041.249630235392</v>
      </c>
      <c r="G145" s="25">
        <f>B145*Subsurface_Inputs!$C$46</f>
        <v>28072.186852911935</v>
      </c>
      <c r="H145" s="25">
        <f>Subsurface_Live_Data!Y145</f>
        <v>6.7463613744289361</v>
      </c>
      <c r="I145" s="25">
        <f>Subsurface_Inputs!$C$47-Subsurface_Inputs!$C$43+2*SIN(2*PI()*A145/42)</f>
        <v>-13.022338347549743</v>
      </c>
      <c r="J145" s="25">
        <v>0</v>
      </c>
    </row>
    <row r="146" spans="1:10">
      <c r="A146" s="25">
        <f>Subsurface_Live_Data!A146</f>
        <v>12</v>
      </c>
      <c r="B146" s="25">
        <f>Subsurface_Live_Data!K146</f>
        <v>16033.398823391759</v>
      </c>
      <c r="C146" s="25">
        <f>MAX(0,B146-Subsurface_Inputs!$C$44)</f>
        <v>14533.398823391759</v>
      </c>
      <c r="D146" s="25">
        <f>B146+Subsurface_Inputs!$C$44</f>
        <v>17533.398823391759</v>
      </c>
      <c r="E146" s="25">
        <f>B146*Subsurface_Inputs!$C$45</f>
        <v>8818.3693528654676</v>
      </c>
      <c r="F146" s="25">
        <f t="shared" si="2"/>
        <v>16033.398823391759</v>
      </c>
      <c r="G146" s="25">
        <f>B146*Subsurface_Inputs!$C$46</f>
        <v>28058.447940935577</v>
      </c>
      <c r="H146" s="25">
        <f>Subsurface_Live_Data!Y146</f>
        <v>6.7454722128374272</v>
      </c>
      <c r="I146" s="25">
        <f>Subsurface_Inputs!$C$47-Subsurface_Inputs!$C$43+2*SIN(2*PI()*A146/42)</f>
        <v>-13.050144175636353</v>
      </c>
      <c r="J146" s="25">
        <v>0</v>
      </c>
    </row>
    <row r="147" spans="1:10">
      <c r="A147" s="25">
        <f>Subsurface_Live_Data!A147</f>
        <v>12.5</v>
      </c>
      <c r="B147" s="25">
        <f>Subsurface_Live_Data!K147</f>
        <v>16021.161227495551</v>
      </c>
      <c r="C147" s="25">
        <f>MAX(0,B147-Subsurface_Inputs!$C$44)</f>
        <v>14521.161227495551</v>
      </c>
      <c r="D147" s="25">
        <f>B147+Subsurface_Inputs!$C$44</f>
        <v>17521.161227495551</v>
      </c>
      <c r="E147" s="25">
        <f>B147*Subsurface_Inputs!$C$45</f>
        <v>8811.6386751225546</v>
      </c>
      <c r="F147" s="25">
        <f t="shared" si="2"/>
        <v>16021.161227495551</v>
      </c>
      <c r="G147" s="25">
        <f>B147*Subsurface_Inputs!$C$46</f>
        <v>28037.032148117214</v>
      </c>
      <c r="H147" s="25">
        <f>Subsurface_Live_Data!Y147</f>
        <v>6.8615923343307017</v>
      </c>
      <c r="I147" s="25">
        <f>Subsurface_Inputs!$C$47-Subsurface_Inputs!$C$43+2*SIN(2*PI()*A147/42)</f>
        <v>-13.088854388427718</v>
      </c>
      <c r="J147" s="25">
        <v>0</v>
      </c>
    </row>
    <row r="148" spans="1:10">
      <c r="A148" s="25">
        <f>Subsurface_Live_Data!A148</f>
        <v>13</v>
      </c>
      <c r="B148" s="25">
        <f>Subsurface_Live_Data!K148</f>
        <v>16010.081996804991</v>
      </c>
      <c r="C148" s="25">
        <f>MAX(0,B148-Subsurface_Inputs!$C$44)</f>
        <v>14510.081996804991</v>
      </c>
      <c r="D148" s="25">
        <f>B148+Subsurface_Inputs!$C$44</f>
        <v>17510.081996804991</v>
      </c>
      <c r="E148" s="25">
        <f>B148*Subsurface_Inputs!$C$45</f>
        <v>8805.5450982427465</v>
      </c>
      <c r="F148" s="25">
        <f t="shared" si="2"/>
        <v>16010.081996804991</v>
      </c>
      <c r="G148" s="25">
        <f>B148*Subsurface_Inputs!$C$46</f>
        <v>28017.643494408734</v>
      </c>
      <c r="H148" s="25">
        <f>Subsurface_Live_Data!Y148</f>
        <v>6.904695729184013</v>
      </c>
      <c r="I148" s="25">
        <f>Subsurface_Inputs!$C$47-Subsurface_Inputs!$C$43+2*SIN(2*PI()*A148/42)</f>
        <v>-13.138252502711591</v>
      </c>
      <c r="J148" s="25">
        <v>0</v>
      </c>
    </row>
    <row r="149" spans="1:10">
      <c r="A149" s="25">
        <f>Subsurface_Live_Data!A149</f>
        <v>13.5</v>
      </c>
      <c r="B149" s="25">
        <f>Subsurface_Live_Data!K149</f>
        <v>15999.920769914777</v>
      </c>
      <c r="C149" s="25">
        <f>MAX(0,B149-Subsurface_Inputs!$C$44)</f>
        <v>14499.920769914777</v>
      </c>
      <c r="D149" s="25">
        <f>B149+Subsurface_Inputs!$C$44</f>
        <v>17499.920769914777</v>
      </c>
      <c r="E149" s="25">
        <f>B149*Subsurface_Inputs!$C$45</f>
        <v>8799.9564234531281</v>
      </c>
      <c r="F149" s="25">
        <f t="shared" si="2"/>
        <v>15999.920769914777</v>
      </c>
      <c r="G149" s="25">
        <f>B149*Subsurface_Inputs!$C$46</f>
        <v>27999.861347350859</v>
      </c>
      <c r="H149" s="25">
        <f>Subsurface_Live_Data!Y149</f>
        <v>6.8836748181005376</v>
      </c>
      <c r="I149" s="25">
        <f>Subsurface_Inputs!$C$47-Subsurface_Inputs!$C$43+2*SIN(2*PI()*A149/42)</f>
        <v>-13.198062264195162</v>
      </c>
      <c r="J149" s="25">
        <v>0</v>
      </c>
    </row>
    <row r="150" spans="1:10">
      <c r="A150" s="25">
        <f>Subsurface_Live_Data!A150</f>
        <v>14</v>
      </c>
      <c r="B150" s="25">
        <f>Subsurface_Live_Data!K150</f>
        <v>15985.326614254289</v>
      </c>
      <c r="C150" s="25">
        <f>MAX(0,B150-Subsurface_Inputs!$C$44)</f>
        <v>14485.326614254289</v>
      </c>
      <c r="D150" s="25">
        <f>B150+Subsurface_Inputs!$C$44</f>
        <v>17485.326614254289</v>
      </c>
      <c r="E150" s="25">
        <f>B150*Subsurface_Inputs!$C$45</f>
        <v>8791.9296378398594</v>
      </c>
      <c r="F150" s="25">
        <f t="shared" si="2"/>
        <v>15985.326614254289</v>
      </c>
      <c r="G150" s="25">
        <f>B150*Subsurface_Inputs!$C$46</f>
        <v>27974.321574945006</v>
      </c>
      <c r="H150" s="25">
        <f>Subsurface_Live_Data!Y150</f>
        <v>6.983140154018237</v>
      </c>
      <c r="I150" s="25">
        <f>Subsurface_Inputs!$C$47-Subsurface_Inputs!$C$43+2*SIN(2*PI()*A150/42)</f>
        <v>-13.267949192431123</v>
      </c>
      <c r="J150" s="25">
        <v>0</v>
      </c>
    </row>
    <row r="151" spans="1:10">
      <c r="A151" s="25">
        <f>Subsurface_Live_Data!A151</f>
        <v>14.5</v>
      </c>
      <c r="B151" s="25">
        <f>Subsurface_Live_Data!K151</f>
        <v>15969.739281077251</v>
      </c>
      <c r="C151" s="25">
        <f>MAX(0,B151-Subsurface_Inputs!$C$44)</f>
        <v>14469.739281077251</v>
      </c>
      <c r="D151" s="25">
        <f>B151+Subsurface_Inputs!$C$44</f>
        <v>17469.739281077251</v>
      </c>
      <c r="E151" s="25">
        <f>B151*Subsurface_Inputs!$C$45</f>
        <v>8783.356604592489</v>
      </c>
      <c r="F151" s="25">
        <f t="shared" si="2"/>
        <v>15969.739281077251</v>
      </c>
      <c r="G151" s="25">
        <f>B151*Subsurface_Inputs!$C$46</f>
        <v>27947.043741885187</v>
      </c>
      <c r="H151" s="25">
        <f>Subsurface_Live_Data!Y151</f>
        <v>7.0856127948056553</v>
      </c>
      <c r="I151" s="25">
        <f>Subsurface_Inputs!$C$47-Subsurface_Inputs!$C$43+2*SIN(2*PI()*A151/42)</f>
        <v>-13.347522451368011</v>
      </c>
      <c r="J151" s="25">
        <v>0</v>
      </c>
    </row>
    <row r="152" spans="1:10">
      <c r="A152" s="25">
        <f>Subsurface_Live_Data!A152</f>
        <v>15</v>
      </c>
      <c r="B152" s="25">
        <f>Subsurface_Live_Data!K152</f>
        <v>15955.784004300433</v>
      </c>
      <c r="C152" s="25">
        <f>MAX(0,B152-Subsurface_Inputs!$C$44)</f>
        <v>14455.784004300433</v>
      </c>
      <c r="D152" s="25">
        <f>B152+Subsurface_Inputs!$C$44</f>
        <v>17455.784004300433</v>
      </c>
      <c r="E152" s="25">
        <f>B152*Subsurface_Inputs!$C$45</f>
        <v>8775.6812023652383</v>
      </c>
      <c r="F152" s="25">
        <f t="shared" si="2"/>
        <v>15955.784004300433</v>
      </c>
      <c r="G152" s="25">
        <f>B152*Subsurface_Inputs!$C$46</f>
        <v>27922.622007525759</v>
      </c>
      <c r="H152" s="25">
        <f>Subsurface_Live_Data!Y152</f>
        <v>7.1016670158485482</v>
      </c>
      <c r="I152" s="25">
        <f>Subsurface_Inputs!$C$47-Subsurface_Inputs!$C$43+2*SIN(2*PI()*A152/42)</f>
        <v>-13.436337035063939</v>
      </c>
      <c r="J152" s="25">
        <v>0</v>
      </c>
    </row>
    <row r="153" spans="1:10">
      <c r="A153" s="25">
        <f>Subsurface_Live_Data!A153</f>
        <v>15.5</v>
      </c>
      <c r="B153" s="25">
        <f>Subsurface_Live_Data!K153</f>
        <v>15939.048750669783</v>
      </c>
      <c r="C153" s="25">
        <f>MAX(0,B153-Subsurface_Inputs!$C$44)</f>
        <v>14439.048750669783</v>
      </c>
      <c r="D153" s="25">
        <f>B153+Subsurface_Inputs!$C$44</f>
        <v>17439.048750669783</v>
      </c>
      <c r="E153" s="25">
        <f>B153*Subsurface_Inputs!$C$45</f>
        <v>8766.4768128683809</v>
      </c>
      <c r="F153" s="25">
        <f t="shared" si="2"/>
        <v>15939.048750669783</v>
      </c>
      <c r="G153" s="25">
        <f>B153*Subsurface_Inputs!$C$46</f>
        <v>27893.33531367212</v>
      </c>
      <c r="H153" s="25">
        <f>Subsurface_Live_Data!Y153</f>
        <v>7.1838132042365643</v>
      </c>
      <c r="I153" s="25">
        <f>Subsurface_Inputs!$C$47-Subsurface_Inputs!$C$43+2*SIN(2*PI()*A153/42)</f>
        <v>-13.533896256340347</v>
      </c>
      <c r="J153" s="25">
        <v>0</v>
      </c>
    </row>
    <row r="154" spans="1:10">
      <c r="A154" s="25">
        <f>Subsurface_Live_Data!A154</f>
        <v>16</v>
      </c>
      <c r="B154" s="25">
        <f>Subsurface_Live_Data!K154</f>
        <v>15920.135353699008</v>
      </c>
      <c r="C154" s="25">
        <f>MAX(0,B154-Subsurface_Inputs!$C$44)</f>
        <v>14420.135353699008</v>
      </c>
      <c r="D154" s="25">
        <f>B154+Subsurface_Inputs!$C$44</f>
        <v>17420.135353699006</v>
      </c>
      <c r="E154" s="25">
        <f>B154*Subsurface_Inputs!$C$45</f>
        <v>8756.0744445344553</v>
      </c>
      <c r="F154" s="25">
        <f t="shared" si="2"/>
        <v>15920.135353699008</v>
      </c>
      <c r="G154" s="25">
        <f>B154*Subsurface_Inputs!$C$46</f>
        <v>27860.236868973265</v>
      </c>
      <c r="H154" s="25">
        <f>Subsurface_Live_Data!Y154</f>
        <v>7.3122811327486659</v>
      </c>
      <c r="I154" s="25">
        <f>Subsurface_Inputs!$C$47-Subsurface_Inputs!$C$43+2*SIN(2*PI()*A154/42)</f>
        <v>-13.639654524458161</v>
      </c>
      <c r="J154" s="25">
        <v>0</v>
      </c>
    </row>
    <row r="155" spans="1:10">
      <c r="A155" s="25">
        <f>Subsurface_Live_Data!A155</f>
        <v>16.5</v>
      </c>
      <c r="B155" s="25">
        <f>Subsurface_Live_Data!K155</f>
        <v>15900.088700233617</v>
      </c>
      <c r="C155" s="25">
        <f>MAX(0,B155-Subsurface_Inputs!$C$44)</f>
        <v>14400.088700233617</v>
      </c>
      <c r="D155" s="25">
        <f>B155+Subsurface_Inputs!$C$44</f>
        <v>17400.088700233617</v>
      </c>
      <c r="E155" s="25">
        <f>B155*Subsurface_Inputs!$C$45</f>
        <v>8745.0487851284906</v>
      </c>
      <c r="F155" s="25">
        <f t="shared" si="2"/>
        <v>15900.088700233617</v>
      </c>
      <c r="G155" s="25">
        <f>B155*Subsurface_Inputs!$C$46</f>
        <v>27825.155225408831</v>
      </c>
      <c r="H155" s="25">
        <f>Subsurface_Live_Data!Y155</f>
        <v>7.452123186476463</v>
      </c>
      <c r="I155" s="25">
        <f>Subsurface_Inputs!$C$47-Subsurface_Inputs!$C$43+2*SIN(2*PI()*A155/42)</f>
        <v>-13.753020396282533</v>
      </c>
      <c r="J155" s="25">
        <v>0</v>
      </c>
    </row>
    <row r="156" spans="1:10">
      <c r="A156" s="25">
        <f>Subsurface_Live_Data!A156</f>
        <v>17</v>
      </c>
      <c r="B156" s="25">
        <f>Subsurface_Live_Data!K156</f>
        <v>15880.399991454986</v>
      </c>
      <c r="C156" s="25">
        <f>MAX(0,B156-Subsurface_Inputs!$C$44)</f>
        <v>14380.399991454986</v>
      </c>
      <c r="D156" s="25">
        <f>B156+Subsurface_Inputs!$C$44</f>
        <v>17380.399991454986</v>
      </c>
      <c r="E156" s="25">
        <f>B156*Subsurface_Inputs!$C$45</f>
        <v>8734.2199953002437</v>
      </c>
      <c r="F156" s="25">
        <f t="shared" si="2"/>
        <v>15880.399991454986</v>
      </c>
      <c r="G156" s="25">
        <f>B156*Subsurface_Inputs!$C$46</f>
        <v>27790.699985046223</v>
      </c>
      <c r="H156" s="25">
        <f>Subsurface_Live_Data!Y156</f>
        <v>7.5530999977332343</v>
      </c>
      <c r="I156" s="25">
        <f>Subsurface_Inputs!$C$47-Subsurface_Inputs!$C$43+2*SIN(2*PI()*A156/42)</f>
        <v>-13.873359883872757</v>
      </c>
      <c r="J156" s="25">
        <v>0</v>
      </c>
    </row>
    <row r="157" spans="1:10">
      <c r="A157" s="25">
        <f>Subsurface_Live_Data!A157</f>
        <v>17.5</v>
      </c>
      <c r="B157" s="25">
        <f>Subsurface_Live_Data!K157</f>
        <v>15857.99823216511</v>
      </c>
      <c r="C157" s="25">
        <f>MAX(0,B157-Subsurface_Inputs!$C$44)</f>
        <v>14357.99823216511</v>
      </c>
      <c r="D157" s="25">
        <f>B157+Subsurface_Inputs!$C$44</f>
        <v>17357.998232165111</v>
      </c>
      <c r="E157" s="25">
        <f>B157*Subsurface_Inputs!$C$45</f>
        <v>8721.8990276908116</v>
      </c>
      <c r="F157" s="25">
        <f t="shared" si="2"/>
        <v>15857.99823216511</v>
      </c>
      <c r="G157" s="25">
        <f>B157*Subsurface_Inputs!$C$46</f>
        <v>27751.496906288943</v>
      </c>
      <c r="H157" s="25">
        <f>Subsurface_Live_Data!Y157</f>
        <v>7.7218277215541704</v>
      </c>
      <c r="I157" s="25">
        <f>Subsurface_Inputs!$C$47-Subsurface_Inputs!$C$43+2*SIN(2*PI()*A157/42)</f>
        <v>-14</v>
      </c>
      <c r="J157" s="25">
        <v>0</v>
      </c>
    </row>
    <row r="158" spans="1:10">
      <c r="A158" s="25">
        <f>Subsurface_Live_Data!A158</f>
        <v>18</v>
      </c>
      <c r="B158" s="25">
        <f>Subsurface_Live_Data!K158</f>
        <v>15835.432705922178</v>
      </c>
      <c r="C158" s="25">
        <f>MAX(0,B158-Subsurface_Inputs!$C$44)</f>
        <v>14335.432705922178</v>
      </c>
      <c r="D158" s="25">
        <f>B158+Subsurface_Inputs!$C$44</f>
        <v>17335.432705922176</v>
      </c>
      <c r="E158" s="25">
        <f>B158*Subsurface_Inputs!$C$45</f>
        <v>8709.4879882571986</v>
      </c>
      <c r="F158" s="25">
        <f t="shared" si="2"/>
        <v>15835.432705922178</v>
      </c>
      <c r="G158" s="25">
        <f>B158*Subsurface_Inputs!$C$46</f>
        <v>27712.00723536381</v>
      </c>
      <c r="H158" s="25">
        <f>Subsurface_Live_Data!Y158</f>
        <v>7.8717893190450567</v>
      </c>
      <c r="I158" s="25">
        <f>Subsurface_Inputs!$C$47-Subsurface_Inputs!$C$43+2*SIN(2*PI()*A158/42)</f>
        <v>-14.132232521764884</v>
      </c>
      <c r="J158" s="25">
        <v>0</v>
      </c>
    </row>
    <row r="159" spans="1:10">
      <c r="A159" s="25">
        <f>Subsurface_Live_Data!A159</f>
        <v>18.5</v>
      </c>
      <c r="B159" s="25">
        <f>Subsurface_Live_Data!K159</f>
        <v>15813.188429767819</v>
      </c>
      <c r="C159" s="25">
        <f>MAX(0,B159-Subsurface_Inputs!$C$44)</f>
        <v>14313.188429767819</v>
      </c>
      <c r="D159" s="25">
        <f>B159+Subsurface_Inputs!$C$44</f>
        <v>17313.188429767819</v>
      </c>
      <c r="E159" s="25">
        <f>B159*Subsurface_Inputs!$C$45</f>
        <v>8697.2536363723011</v>
      </c>
      <c r="F159" s="25">
        <f t="shared" si="2"/>
        <v>15813.188429767819</v>
      </c>
      <c r="G159" s="25">
        <f>B159*Subsurface_Inputs!$C$46</f>
        <v>27673.079752093683</v>
      </c>
      <c r="H159" s="25">
        <f>Subsurface_Live_Data!Y159</f>
        <v>7.9874607557265165</v>
      </c>
      <c r="I159" s="25">
        <f>Subsurface_Inputs!$C$47-Subsurface_Inputs!$C$43+2*SIN(2*PI()*A159/42)</f>
        <v>-14.26931795126721</v>
      </c>
      <c r="J159" s="25">
        <v>0</v>
      </c>
    </row>
    <row r="160" spans="1:10">
      <c r="A160" s="25">
        <f>Subsurface_Live_Data!A160</f>
        <v>19</v>
      </c>
      <c r="B160" s="25">
        <f>Subsurface_Live_Data!K160</f>
        <v>15787.561669406819</v>
      </c>
      <c r="C160" s="25">
        <f>MAX(0,B160-Subsurface_Inputs!$C$44)</f>
        <v>14287.561669406819</v>
      </c>
      <c r="D160" s="25">
        <f>B160+Subsurface_Inputs!$C$44</f>
        <v>17287.561669406819</v>
      </c>
      <c r="E160" s="25">
        <f>B160*Subsurface_Inputs!$C$45</f>
        <v>8683.1589181737509</v>
      </c>
      <c r="F160" s="25">
        <f t="shared" si="2"/>
        <v>15787.561669406819</v>
      </c>
      <c r="G160" s="25">
        <f>B160*Subsurface_Inputs!$C$46</f>
        <v>27628.232921461935</v>
      </c>
      <c r="H160" s="25">
        <f>Subsurface_Live_Data!Y160</f>
        <v>8.1973298849761136</v>
      </c>
      <c r="I160" s="25">
        <f>Subsurface_Inputs!$C$47-Subsurface_Inputs!$C$43+2*SIN(2*PI()*A160/42)</f>
        <v>-14.410489651178191</v>
      </c>
      <c r="J160" s="25">
        <v>0</v>
      </c>
    </row>
    <row r="161" spans="1:10">
      <c r="A161" s="25">
        <f>Subsurface_Live_Data!A161</f>
        <v>19.5</v>
      </c>
      <c r="B161" s="25">
        <f>Subsurface_Live_Data!K161</f>
        <v>15762.323121828636</v>
      </c>
      <c r="C161" s="25">
        <f>MAX(0,B161-Subsurface_Inputs!$C$44)</f>
        <v>14262.323121828636</v>
      </c>
      <c r="D161" s="25">
        <f>B161+Subsurface_Inputs!$C$44</f>
        <v>17262.323121828638</v>
      </c>
      <c r="E161" s="25">
        <f>B161*Subsurface_Inputs!$C$45</f>
        <v>8669.2777170057507</v>
      </c>
      <c r="F161" s="25">
        <f t="shared" si="2"/>
        <v>15762.323121828636</v>
      </c>
      <c r="G161" s="25">
        <f>B161*Subsurface_Inputs!$C$46</f>
        <v>27584.065463200113</v>
      </c>
      <c r="H161" s="25">
        <f>Subsurface_Live_Data!Y161</f>
        <v>8.3730134174034632</v>
      </c>
      <c r="I161" s="25">
        <f>Subsurface_Inputs!$C$47-Subsurface_Inputs!$C$43+2*SIN(2*PI()*A161/42)</f>
        <v>-14.554958132087371</v>
      </c>
      <c r="J161" s="25">
        <v>0</v>
      </c>
    </row>
    <row r="162" spans="1:10">
      <c r="A162" s="25">
        <f>Subsurface_Live_Data!A162</f>
        <v>20</v>
      </c>
      <c r="B162" s="25">
        <f>Subsurface_Live_Data!K162</f>
        <v>15737.095893870179</v>
      </c>
      <c r="C162" s="25">
        <f>MAX(0,B162-Subsurface_Inputs!$C$44)</f>
        <v>14237.095893870179</v>
      </c>
      <c r="D162" s="25">
        <f>B162+Subsurface_Inputs!$C$44</f>
        <v>17237.095893870181</v>
      </c>
      <c r="E162" s="25">
        <f>B162*Subsurface_Inputs!$C$45</f>
        <v>8655.402741628599</v>
      </c>
      <c r="F162" s="25">
        <f t="shared" si="2"/>
        <v>15737.095893870179</v>
      </c>
      <c r="G162" s="25">
        <f>B162*Subsurface_Inputs!$C$46</f>
        <v>27539.917814272812</v>
      </c>
      <c r="H162" s="25">
        <f>Subsurface_Live_Data!Y162</f>
        <v>8.5287195378782101</v>
      </c>
      <c r="I162" s="25">
        <f>Subsurface_Inputs!$C$47-Subsurface_Inputs!$C$43+2*SIN(2*PI()*A162/42)</f>
        <v>-14.70191546764765</v>
      </c>
      <c r="J162" s="25">
        <v>0</v>
      </c>
    </row>
    <row r="163" spans="1:10">
      <c r="A163" s="25">
        <f>Subsurface_Live_Data!A163</f>
        <v>20.5</v>
      </c>
      <c r="B163" s="25">
        <f>Subsurface_Live_Data!K163</f>
        <v>15711.171253853849</v>
      </c>
      <c r="C163" s="25">
        <f>MAX(0,B163-Subsurface_Inputs!$C$44)</f>
        <v>14211.171253853849</v>
      </c>
      <c r="D163" s="25">
        <f>B163+Subsurface_Inputs!$C$44</f>
        <v>17211.171253853849</v>
      </c>
      <c r="E163" s="25">
        <f>B163*Subsurface_Inputs!$C$45</f>
        <v>8641.1441896196175</v>
      </c>
      <c r="F163" s="25">
        <f t="shared" si="2"/>
        <v>15711.171253853849</v>
      </c>
      <c r="G163" s="25">
        <f>B163*Subsurface_Inputs!$C$46</f>
        <v>27494.549694244233</v>
      </c>
      <c r="H163" s="25">
        <f>Subsurface_Live_Data!Y163</f>
        <v>8.6900921347781548</v>
      </c>
      <c r="I163" s="25">
        <f>Subsurface_Inputs!$C$47-Subsurface_Inputs!$C$43+2*SIN(2*PI()*A163/42)</f>
        <v>-14.850539812827151</v>
      </c>
      <c r="J163" s="25">
        <v>0</v>
      </c>
    </row>
    <row r="164" spans="1:10">
      <c r="A164" s="25">
        <f>Subsurface_Live_Data!A164</f>
        <v>21</v>
      </c>
      <c r="B164" s="25">
        <f>Subsurface_Live_Data!K164</f>
        <v>15685.108568743879</v>
      </c>
      <c r="C164" s="25">
        <f>MAX(0,B164-Subsurface_Inputs!$C$44)</f>
        <v>14185.108568743879</v>
      </c>
      <c r="D164" s="25">
        <f>B164+Subsurface_Inputs!$C$44</f>
        <v>17185.108568743879</v>
      </c>
      <c r="E164" s="25">
        <f>B164*Subsurface_Inputs!$C$45</f>
        <v>8626.809712809134</v>
      </c>
      <c r="F164" s="25">
        <f t="shared" si="2"/>
        <v>15685.108568743879</v>
      </c>
      <c r="G164" s="25">
        <f>B164*Subsurface_Inputs!$C$46</f>
        <v>27448.939995301789</v>
      </c>
      <c r="H164" s="25">
        <f>Subsurface_Live_Data!Y164</f>
        <v>8.839215672583947</v>
      </c>
      <c r="I164" s="25">
        <f>Subsurface_Inputs!$C$47-Subsurface_Inputs!$C$43+2*SIN(2*PI()*A164/42)</f>
        <v>-15</v>
      </c>
      <c r="J164" s="25">
        <v>0</v>
      </c>
    </row>
    <row r="165" spans="1:10">
      <c r="A165" s="25">
        <f>Subsurface_Live_Data!A165</f>
        <v>21.5</v>
      </c>
      <c r="B165" s="25">
        <f>Subsurface_Live_Data!K165</f>
        <v>15658.02240777977</v>
      </c>
      <c r="C165" s="25">
        <f>MAX(0,B165-Subsurface_Inputs!$C$44)</f>
        <v>14158.02240777977</v>
      </c>
      <c r="D165" s="25">
        <f>B165+Subsurface_Inputs!$C$44</f>
        <v>17158.022407779768</v>
      </c>
      <c r="E165" s="25">
        <f>B165*Subsurface_Inputs!$C$45</f>
        <v>8611.9123242788737</v>
      </c>
      <c r="F165" s="25">
        <f t="shared" si="2"/>
        <v>15658.02240777977</v>
      </c>
      <c r="G165" s="25">
        <f>B165*Subsurface_Inputs!$C$46</f>
        <v>27401.539213614597</v>
      </c>
      <c r="H165" s="25">
        <f>Subsurface_Live_Data!Y165</f>
        <v>9.007858255554396</v>
      </c>
      <c r="I165" s="25">
        <f>Subsurface_Inputs!$C$47-Subsurface_Inputs!$C$43+2*SIN(2*PI()*A165/42)</f>
        <v>-15.149460187172847</v>
      </c>
      <c r="J165" s="25">
        <v>0</v>
      </c>
    </row>
    <row r="166" spans="1:10">
      <c r="A166" s="25">
        <f>Subsurface_Live_Data!A166</f>
        <v>22</v>
      </c>
      <c r="B166" s="25">
        <f>Subsurface_Live_Data!K166</f>
        <v>15630.330005252259</v>
      </c>
      <c r="C166" s="25">
        <f>MAX(0,B166-Subsurface_Inputs!$C$44)</f>
        <v>14130.330005252259</v>
      </c>
      <c r="D166" s="25">
        <f>B166+Subsurface_Inputs!$C$44</f>
        <v>17130.330005252261</v>
      </c>
      <c r="E166" s="25">
        <f>B166*Subsurface_Inputs!$C$45</f>
        <v>8596.6815028887431</v>
      </c>
      <c r="F166" s="25">
        <f t="shared" si="2"/>
        <v>15630.330005252259</v>
      </c>
      <c r="G166" s="25">
        <f>B166*Subsurface_Inputs!$C$46</f>
        <v>27353.077509191455</v>
      </c>
      <c r="H166" s="25">
        <f>Subsurface_Live_Data!Y166</f>
        <v>9.1830342965578566</v>
      </c>
      <c r="I166" s="25">
        <f>Subsurface_Inputs!$C$47-Subsurface_Inputs!$C$43+2*SIN(2*PI()*A166/42)</f>
        <v>-15.298084532352348</v>
      </c>
      <c r="J166" s="25">
        <v>0</v>
      </c>
    </row>
    <row r="167" spans="1:10">
      <c r="A167" s="25">
        <f>Subsurface_Live_Data!A167</f>
        <v>22.5</v>
      </c>
      <c r="B167" s="25">
        <f>Subsurface_Live_Data!K167</f>
        <v>15603.432448110259</v>
      </c>
      <c r="C167" s="25">
        <f>MAX(0,B167-Subsurface_Inputs!$C$44)</f>
        <v>14103.432448110259</v>
      </c>
      <c r="D167" s="25">
        <f>B167+Subsurface_Inputs!$C$44</f>
        <v>17103.432448110259</v>
      </c>
      <c r="E167" s="25">
        <f>B167*Subsurface_Inputs!$C$45</f>
        <v>8581.8878464606441</v>
      </c>
      <c r="F167" s="25">
        <f t="shared" si="2"/>
        <v>15603.432448110259</v>
      </c>
      <c r="G167" s="25">
        <f>B167*Subsurface_Inputs!$C$46</f>
        <v>27306.006784192956</v>
      </c>
      <c r="H167" s="25">
        <f>Subsurface_Live_Data!Y167</f>
        <v>9.3179594010685562</v>
      </c>
      <c r="I167" s="25">
        <f>Subsurface_Inputs!$C$47-Subsurface_Inputs!$C$43+2*SIN(2*PI()*A167/42)</f>
        <v>-15.445041867912629</v>
      </c>
      <c r="J167" s="25">
        <v>0</v>
      </c>
    </row>
    <row r="168" spans="1:10">
      <c r="A168" s="25">
        <f>Subsurface_Live_Data!A168</f>
        <v>23</v>
      </c>
      <c r="B168" s="25">
        <f>Subsurface_Live_Data!K168</f>
        <v>15576.006285577792</v>
      </c>
      <c r="C168" s="25">
        <f>MAX(0,B168-Subsurface_Inputs!$C$44)</f>
        <v>14076.006285577792</v>
      </c>
      <c r="D168" s="25">
        <f>B168+Subsurface_Inputs!$C$44</f>
        <v>17076.006285577794</v>
      </c>
      <c r="E168" s="25">
        <f>B168*Subsurface_Inputs!$C$45</f>
        <v>8566.8034570677864</v>
      </c>
      <c r="F168" s="25">
        <f t="shared" si="2"/>
        <v>15576.006285577792</v>
      </c>
      <c r="G168" s="25">
        <f>B168*Subsurface_Inputs!$C$46</f>
        <v>27258.010999761136</v>
      </c>
      <c r="H168" s="25">
        <f>Subsurface_Live_Data!Y168</f>
        <v>9.4595098540630644</v>
      </c>
      <c r="I168" s="25">
        <f>Subsurface_Inputs!$C$47-Subsurface_Inputs!$C$43+2*SIN(2*PI()*A168/42)</f>
        <v>-15.589510348821808</v>
      </c>
      <c r="J168" s="25">
        <v>0</v>
      </c>
    </row>
    <row r="169" spans="1:10">
      <c r="A169" s="25">
        <f>Subsurface_Live_Data!A169</f>
        <v>23.5</v>
      </c>
      <c r="B169" s="25">
        <f>Subsurface_Live_Data!K169</f>
        <v>15548.580022641643</v>
      </c>
      <c r="C169" s="25">
        <f>MAX(0,B169-Subsurface_Inputs!$C$44)</f>
        <v>14048.580022641643</v>
      </c>
      <c r="D169" s="25">
        <f>B169+Subsurface_Inputs!$C$44</f>
        <v>17048.580022641643</v>
      </c>
      <c r="E169" s="25">
        <f>B169*Subsurface_Inputs!$C$45</f>
        <v>8551.7190124529043</v>
      </c>
      <c r="F169" s="25">
        <f t="shared" si="2"/>
        <v>15548.580022641643</v>
      </c>
      <c r="G169" s="25">
        <f>B169*Subsurface_Inputs!$C$46</f>
        <v>27210.015039622875</v>
      </c>
      <c r="H169" s="25">
        <f>Subsurface_Live_Data!Y169</f>
        <v>9.590918785865675</v>
      </c>
      <c r="I169" s="25">
        <f>Subsurface_Inputs!$C$47-Subsurface_Inputs!$C$43+2*SIN(2*PI()*A169/42)</f>
        <v>-15.73068204873279</v>
      </c>
      <c r="J169" s="25">
        <v>0</v>
      </c>
    </row>
    <row r="170" spans="1:10">
      <c r="A170" s="25">
        <f>Subsurface_Live_Data!A170</f>
        <v>24</v>
      </c>
      <c r="B170" s="25">
        <f>Subsurface_Live_Data!K170</f>
        <v>15518.472780255021</v>
      </c>
      <c r="C170" s="25">
        <f>MAX(0,B170-Subsurface_Inputs!$C$44)</f>
        <v>14018.472780255021</v>
      </c>
      <c r="D170" s="25">
        <f>B170+Subsurface_Inputs!$C$44</f>
        <v>17018.472780255019</v>
      </c>
      <c r="E170" s="25">
        <f>B170*Subsurface_Inputs!$C$45</f>
        <v>8535.1600291402628</v>
      </c>
      <c r="F170" s="25">
        <f t="shared" si="2"/>
        <v>15518.472780255021</v>
      </c>
      <c r="G170" s="25">
        <f>B170*Subsurface_Inputs!$C$46</f>
        <v>27157.327365446286</v>
      </c>
      <c r="H170" s="25">
        <f>Subsurface_Live_Data!Y170</f>
        <v>9.8057384174950997</v>
      </c>
      <c r="I170" s="25">
        <f>Subsurface_Inputs!$C$47-Subsurface_Inputs!$C$43+2*SIN(2*PI()*A170/42)</f>
        <v>-15.867767478235116</v>
      </c>
      <c r="J170" s="25">
        <v>0</v>
      </c>
    </row>
    <row r="171" spans="1:10">
      <c r="A171" s="25">
        <f>Subsurface_Live_Data!A171</f>
        <v>24.5</v>
      </c>
      <c r="B171" s="25">
        <f>Subsurface_Live_Data!K171</f>
        <v>15493.131581035042</v>
      </c>
      <c r="C171" s="25">
        <f>MAX(0,B171-Subsurface_Inputs!$C$44)</f>
        <v>13993.131581035042</v>
      </c>
      <c r="D171" s="25">
        <f>B171+Subsurface_Inputs!$C$44</f>
        <v>16993.131581035042</v>
      </c>
      <c r="E171" s="25">
        <f>B171*Subsurface_Inputs!$C$45</f>
        <v>8521.2223695692737</v>
      </c>
      <c r="F171" s="25">
        <f t="shared" si="2"/>
        <v>15493.131581035042</v>
      </c>
      <c r="G171" s="25">
        <f>B171*Subsurface_Inputs!$C$46</f>
        <v>27112.980266811326</v>
      </c>
      <c r="H171" s="25">
        <f>Subsurface_Live_Data!Y171</f>
        <v>9.8494152533448656</v>
      </c>
      <c r="I171" s="25">
        <f>Subsurface_Inputs!$C$47-Subsurface_Inputs!$C$43+2*SIN(2*PI()*A171/42)</f>
        <v>-16</v>
      </c>
      <c r="J171" s="25">
        <v>0</v>
      </c>
    </row>
    <row r="172" spans="1:10">
      <c r="A172" s="25">
        <f>Subsurface_Live_Data!A172</f>
        <v>25</v>
      </c>
      <c r="B172" s="25">
        <f>Subsurface_Live_Data!K172</f>
        <v>15463.492493885011</v>
      </c>
      <c r="C172" s="25">
        <f>MAX(0,B172-Subsurface_Inputs!$C$44)</f>
        <v>13963.492493885011</v>
      </c>
      <c r="D172" s="25">
        <f>B172+Subsurface_Inputs!$C$44</f>
        <v>16963.492493885009</v>
      </c>
      <c r="E172" s="25">
        <f>B172*Subsurface_Inputs!$C$45</f>
        <v>8504.9208716367575</v>
      </c>
      <c r="F172" s="25">
        <f t="shared" si="2"/>
        <v>15463.492493885011</v>
      </c>
      <c r="G172" s="25">
        <f>B172*Subsurface_Inputs!$C$46</f>
        <v>27061.111864298768</v>
      </c>
      <c r="H172" s="25">
        <f>Subsurface_Live_Data!Y172</f>
        <v>10.03490234882954</v>
      </c>
      <c r="I172" s="25">
        <f>Subsurface_Inputs!$C$47-Subsurface_Inputs!$C$43+2*SIN(2*PI()*A172/42)</f>
        <v>-16.126640116127245</v>
      </c>
      <c r="J172" s="25">
        <v>0</v>
      </c>
    </row>
    <row r="173" spans="1:10">
      <c r="A173" s="25">
        <f>Subsurface_Live_Data!A173</f>
        <v>25.5</v>
      </c>
      <c r="B173" s="25">
        <f>Subsurface_Live_Data!K173</f>
        <v>15438.185629581803</v>
      </c>
      <c r="C173" s="25">
        <f>MAX(0,B173-Subsurface_Inputs!$C$44)</f>
        <v>13938.185629581803</v>
      </c>
      <c r="D173" s="25">
        <f>B173+Subsurface_Inputs!$C$44</f>
        <v>16938.185629581803</v>
      </c>
      <c r="E173" s="25">
        <f>B173*Subsurface_Inputs!$C$45</f>
        <v>8491.0020962699928</v>
      </c>
      <c r="F173" s="25">
        <f t="shared" si="2"/>
        <v>15438.185629581803</v>
      </c>
      <c r="G173" s="25">
        <f>B173*Subsurface_Inputs!$C$46</f>
        <v>27016.824851768157</v>
      </c>
      <c r="H173" s="25">
        <f>Subsurface_Live_Data!Y173</f>
        <v>10.066981506141857</v>
      </c>
      <c r="I173" s="25">
        <f>Subsurface_Inputs!$C$47-Subsurface_Inputs!$C$43+2*SIN(2*PI()*A173/42)</f>
        <v>-16.246979603717467</v>
      </c>
      <c r="J173" s="25">
        <v>0</v>
      </c>
    </row>
    <row r="174" spans="1:10">
      <c r="A174" s="25">
        <f>Subsurface_Live_Data!A174</f>
        <v>26</v>
      </c>
      <c r="B174" s="25">
        <f>Subsurface_Live_Data!K174</f>
        <v>15409.145316242726</v>
      </c>
      <c r="C174" s="25">
        <f>MAX(0,B174-Subsurface_Inputs!$C$44)</f>
        <v>13909.145316242726</v>
      </c>
      <c r="D174" s="25">
        <f>B174+Subsurface_Inputs!$C$44</f>
        <v>16909.145316242728</v>
      </c>
      <c r="E174" s="25">
        <f>B174*Subsurface_Inputs!$C$45</f>
        <v>8475.0299239335</v>
      </c>
      <c r="F174" s="25">
        <f t="shared" si="2"/>
        <v>15409.145316242726</v>
      </c>
      <c r="G174" s="25">
        <f>B174*Subsurface_Inputs!$C$46</f>
        <v>26966.004303424772</v>
      </c>
      <c r="H174" s="25">
        <f>Subsurface_Live_Data!Y174</f>
        <v>10.224287443835486</v>
      </c>
      <c r="I174" s="25">
        <f>Subsurface_Inputs!$C$47-Subsurface_Inputs!$C$43+2*SIN(2*PI()*A174/42)</f>
        <v>-16.360345475541838</v>
      </c>
      <c r="J174" s="25">
        <v>0</v>
      </c>
    </row>
    <row r="175" spans="1:10">
      <c r="A175" s="25">
        <f>Subsurface_Live_Data!A175</f>
        <v>26.5</v>
      </c>
      <c r="B175" s="25">
        <f>Subsurface_Live_Data!K175</f>
        <v>15380.200342679758</v>
      </c>
      <c r="C175" s="25">
        <f>MAX(0,B175-Subsurface_Inputs!$C$44)</f>
        <v>13880.200342679758</v>
      </c>
      <c r="D175" s="25">
        <f>B175+Subsurface_Inputs!$C$44</f>
        <v>16880.20034267976</v>
      </c>
      <c r="E175" s="25">
        <f>B175*Subsurface_Inputs!$C$45</f>
        <v>8459.1101884738673</v>
      </c>
      <c r="F175" s="25">
        <f t="shared" si="2"/>
        <v>15380.200342679758</v>
      </c>
      <c r="G175" s="25">
        <f>B175*Subsurface_Inputs!$C$46</f>
        <v>26915.350599689576</v>
      </c>
      <c r="H175" s="25">
        <f>Subsurface_Live_Data!Y175</f>
        <v>10.376617083348194</v>
      </c>
      <c r="I175" s="25">
        <f>Subsurface_Inputs!$C$47-Subsurface_Inputs!$C$43+2*SIN(2*PI()*A175/42)</f>
        <v>-16.466103743659652</v>
      </c>
      <c r="J175" s="25">
        <v>0</v>
      </c>
    </row>
    <row r="176" spans="1:10">
      <c r="A176" s="25">
        <f>Subsurface_Live_Data!A176</f>
        <v>27</v>
      </c>
      <c r="B176" s="25">
        <f>Subsurface_Live_Data!K176</f>
        <v>15355.916304404951</v>
      </c>
      <c r="C176" s="25">
        <f>MAX(0,B176-Subsurface_Inputs!$C$44)</f>
        <v>13855.916304404951</v>
      </c>
      <c r="D176" s="25">
        <f>B176+Subsurface_Inputs!$C$44</f>
        <v>16855.916304404949</v>
      </c>
      <c r="E176" s="25">
        <f>B176*Subsurface_Inputs!$C$45</f>
        <v>8445.7539674227246</v>
      </c>
      <c r="F176" s="25">
        <f t="shared" si="2"/>
        <v>15355.916304404951</v>
      </c>
      <c r="G176" s="25">
        <f>B176*Subsurface_Inputs!$C$46</f>
        <v>26872.853532708665</v>
      </c>
      <c r="H176" s="25">
        <f>Subsurface_Live_Data!Y176</f>
        <v>10.36843087988111</v>
      </c>
      <c r="I176" s="25">
        <f>Subsurface_Inputs!$C$47-Subsurface_Inputs!$C$43+2*SIN(2*PI()*A176/42)</f>
        <v>-16.563662964936061</v>
      </c>
      <c r="J176" s="25">
        <v>0</v>
      </c>
    </row>
    <row r="177" spans="1:10">
      <c r="A177" s="25">
        <f>Subsurface_Live_Data!A177</f>
        <v>27.5</v>
      </c>
      <c r="B177" s="25">
        <f>Subsurface_Live_Data!K177</f>
        <v>15327.740262481064</v>
      </c>
      <c r="C177" s="25">
        <f>MAX(0,B177-Subsurface_Inputs!$C$44)</f>
        <v>13827.740262481064</v>
      </c>
      <c r="D177" s="25">
        <f>B177+Subsurface_Inputs!$C$44</f>
        <v>16827.740262481064</v>
      </c>
      <c r="E177" s="25">
        <f>B177*Subsurface_Inputs!$C$45</f>
        <v>8430.2571443645866</v>
      </c>
      <c r="F177" s="25">
        <f t="shared" si="2"/>
        <v>15327.740262481064</v>
      </c>
      <c r="G177" s="25">
        <f>B177*Subsurface_Inputs!$C$46</f>
        <v>26823.545459341862</v>
      </c>
      <c r="H177" s="25">
        <f>Subsurface_Live_Data!Y177</f>
        <v>10.495077552324503</v>
      </c>
      <c r="I177" s="25">
        <f>Subsurface_Inputs!$C$47-Subsurface_Inputs!$C$43+2*SIN(2*PI()*A177/42)</f>
        <v>-16.652477548631989</v>
      </c>
      <c r="J177" s="25">
        <v>0</v>
      </c>
    </row>
    <row r="178" spans="1:10">
      <c r="A178" s="25">
        <f>Subsurface_Live_Data!A178</f>
        <v>28</v>
      </c>
      <c r="B178" s="25">
        <f>Subsurface_Live_Data!K178</f>
        <v>15301.840793373181</v>
      </c>
      <c r="C178" s="25">
        <f>MAX(0,B178-Subsurface_Inputs!$C$44)</f>
        <v>13801.840793373181</v>
      </c>
      <c r="D178" s="25">
        <f>B178+Subsurface_Inputs!$C$44</f>
        <v>16801.84079337318</v>
      </c>
      <c r="E178" s="25">
        <f>B178*Subsurface_Inputs!$C$45</f>
        <v>8416.0124363552513</v>
      </c>
      <c r="F178" s="25">
        <f t="shared" si="2"/>
        <v>15301.840793373181</v>
      </c>
      <c r="G178" s="25">
        <f>B178*Subsurface_Inputs!$C$46</f>
        <v>26778.221388403068</v>
      </c>
      <c r="H178" s="25">
        <f>Subsurface_Live_Data!Y178</f>
        <v>10.545888705162824</v>
      </c>
      <c r="I178" s="25">
        <f>Subsurface_Inputs!$C$47-Subsurface_Inputs!$C$43+2*SIN(2*PI()*A178/42)</f>
        <v>-16.732050807568875</v>
      </c>
      <c r="J178" s="25">
        <v>0</v>
      </c>
    </row>
    <row r="179" spans="1:10">
      <c r="A179" s="25">
        <f>Subsurface_Live_Data!A179</f>
        <v>28.5</v>
      </c>
      <c r="B179" s="25">
        <f>Subsurface_Live_Data!K179</f>
        <v>15272.833757183123</v>
      </c>
      <c r="C179" s="25">
        <f>MAX(0,B179-Subsurface_Inputs!$C$44)</f>
        <v>13772.833757183123</v>
      </c>
      <c r="D179" s="25">
        <f>B179+Subsurface_Inputs!$C$44</f>
        <v>16772.833757183122</v>
      </c>
      <c r="E179" s="25">
        <f>B179*Subsurface_Inputs!$C$45</f>
        <v>8400.058566450718</v>
      </c>
      <c r="F179" s="25">
        <f t="shared" si="2"/>
        <v>15272.833757183123</v>
      </c>
      <c r="G179" s="25">
        <f>B179*Subsurface_Inputs!$C$46</f>
        <v>26727.459075070466</v>
      </c>
      <c r="H179" s="25">
        <f>Subsurface_Live_Data!Y179</f>
        <v>10.707258668913994</v>
      </c>
      <c r="I179" s="25">
        <f>Subsurface_Inputs!$C$47-Subsurface_Inputs!$C$43+2*SIN(2*PI()*A179/42)</f>
        <v>-16.801937735804838</v>
      </c>
      <c r="J179" s="25">
        <v>0</v>
      </c>
    </row>
    <row r="180" spans="1:10">
      <c r="A180" s="25">
        <f>Subsurface_Live_Data!A180</f>
        <v>29</v>
      </c>
      <c r="B180" s="25">
        <f>Subsurface_Live_Data!K180</f>
        <v>15247.471049891155</v>
      </c>
      <c r="C180" s="25">
        <f>MAX(0,B180-Subsurface_Inputs!$C$44)</f>
        <v>13747.471049891155</v>
      </c>
      <c r="D180" s="25">
        <f>B180+Subsurface_Inputs!$C$44</f>
        <v>16747.471049891155</v>
      </c>
      <c r="E180" s="25">
        <f>B180*Subsurface_Inputs!$C$45</f>
        <v>8386.1090774401364</v>
      </c>
      <c r="F180" s="25">
        <f t="shared" si="2"/>
        <v>15247.471049891155</v>
      </c>
      <c r="G180" s="25">
        <f>B180*Subsurface_Inputs!$C$46</f>
        <v>26683.074337309521</v>
      </c>
      <c r="H180" s="25">
        <f>Subsurface_Live_Data!Y180</f>
        <v>10.748425265349418</v>
      </c>
      <c r="I180" s="25">
        <f>Subsurface_Inputs!$C$47-Subsurface_Inputs!$C$43+2*SIN(2*PI()*A180/42)</f>
        <v>-16.861747497288409</v>
      </c>
      <c r="J180" s="25">
        <v>0</v>
      </c>
    </row>
    <row r="181" spans="1:10">
      <c r="A181" s="25">
        <f>Subsurface_Live_Data!A181</f>
        <v>29.5</v>
      </c>
      <c r="B181" s="25">
        <f>Subsurface_Live_Data!K181</f>
        <v>15221.486466946375</v>
      </c>
      <c r="C181" s="25">
        <f>MAX(0,B181-Subsurface_Inputs!$C$44)</f>
        <v>13721.486466946375</v>
      </c>
      <c r="D181" s="25">
        <f>B181+Subsurface_Inputs!$C$44</f>
        <v>16721.486466946375</v>
      </c>
      <c r="E181" s="25">
        <f>B181*Subsurface_Inputs!$C$45</f>
        <v>8371.8175568205061</v>
      </c>
      <c r="F181" s="25">
        <f t="shared" si="2"/>
        <v>15221.486466946375</v>
      </c>
      <c r="G181" s="25">
        <f>B181*Subsurface_Inputs!$C$46</f>
        <v>26637.601317156157</v>
      </c>
      <c r="H181" s="25">
        <f>Subsurface_Live_Data!Y181</f>
        <v>10.81730764228115</v>
      </c>
      <c r="I181" s="25">
        <f>Subsurface_Inputs!$C$47-Subsurface_Inputs!$C$43+2*SIN(2*PI()*A181/42)</f>
        <v>-16.91114561157228</v>
      </c>
      <c r="J181" s="25">
        <v>0</v>
      </c>
    </row>
    <row r="182" spans="1:10">
      <c r="A182" s="25">
        <f>Subsurface_Live_Data!A182</f>
        <v>30</v>
      </c>
      <c r="B182" s="25">
        <f>Subsurface_Live_Data!K182</f>
        <v>15193.623838416177</v>
      </c>
      <c r="C182" s="25">
        <f>MAX(0,B182-Subsurface_Inputs!$C$44)</f>
        <v>13693.623838416177</v>
      </c>
      <c r="D182" s="25">
        <f>B182+Subsurface_Inputs!$C$44</f>
        <v>16693.623838416177</v>
      </c>
      <c r="E182" s="25">
        <f>B182*Subsurface_Inputs!$C$45</f>
        <v>8356.4931111288988</v>
      </c>
      <c r="F182" s="25">
        <f t="shared" si="2"/>
        <v>15193.623838416177</v>
      </c>
      <c r="G182" s="25">
        <f>B182*Subsurface_Inputs!$C$46</f>
        <v>26588.841717228308</v>
      </c>
      <c r="H182" s="25">
        <f>Subsurface_Live_Data!Y182</f>
        <v>10.958336392768565</v>
      </c>
      <c r="I182" s="25">
        <f>Subsurface_Inputs!$C$47-Subsurface_Inputs!$C$43+2*SIN(2*PI()*A182/42)</f>
        <v>-16.949855824363649</v>
      </c>
      <c r="J182" s="25">
        <v>0</v>
      </c>
    </row>
    <row r="183" spans="1:10">
      <c r="A183" s="25">
        <f>Subsurface_Live_Data!A183</f>
        <v>30.5</v>
      </c>
      <c r="B183" s="25">
        <f>Subsurface_Live_Data!K183</f>
        <v>15167.924996429248</v>
      </c>
      <c r="C183" s="25">
        <f>MAX(0,B183-Subsurface_Inputs!$C$44)</f>
        <v>13667.924996429248</v>
      </c>
      <c r="D183" s="25">
        <f>B183+Subsurface_Inputs!$C$44</f>
        <v>16667.924996429247</v>
      </c>
      <c r="E183" s="25">
        <f>B183*Subsurface_Inputs!$C$45</f>
        <v>8342.3587480360875</v>
      </c>
      <c r="F183" s="25">
        <f t="shared" si="2"/>
        <v>15167.924996429248</v>
      </c>
      <c r="G183" s="25">
        <f>B183*Subsurface_Inputs!$C$46</f>
        <v>26543.868743751184</v>
      </c>
      <c r="H183" s="25">
        <f>Subsurface_Live_Data!Y183</f>
        <v>11.033810092531461</v>
      </c>
      <c r="I183" s="25">
        <f>Subsurface_Inputs!$C$47-Subsurface_Inputs!$C$43+2*SIN(2*PI()*A183/42)</f>
        <v>-16.977661652450259</v>
      </c>
      <c r="J183" s="25">
        <v>0</v>
      </c>
    </row>
    <row r="184" spans="1:10">
      <c r="A184" s="25">
        <f>Subsurface_Live_Data!A184</f>
        <v>31</v>
      </c>
      <c r="B184" s="25">
        <f>Subsurface_Live_Data!K184</f>
        <v>15140.057820585258</v>
      </c>
      <c r="C184" s="25">
        <f>MAX(0,B184-Subsurface_Inputs!$C$44)</f>
        <v>13640.057820585258</v>
      </c>
      <c r="D184" s="25">
        <f>B184+Subsurface_Inputs!$C$44</f>
        <v>16640.057820585258</v>
      </c>
      <c r="E184" s="25">
        <f>B184*Subsurface_Inputs!$C$45</f>
        <v>8327.031801321893</v>
      </c>
      <c r="F184" s="25">
        <f t="shared" si="2"/>
        <v>15140.057820585258</v>
      </c>
      <c r="G184" s="25">
        <f>B184*Subsurface_Inputs!$C$46</f>
        <v>26495.1011860242</v>
      </c>
      <c r="H184" s="25">
        <f>Subsurface_Live_Data!Y184</f>
        <v>11.193817246817488</v>
      </c>
      <c r="I184" s="25">
        <f>Subsurface_Inputs!$C$47-Subsurface_Inputs!$C$43+2*SIN(2*PI()*A184/42)</f>
        <v>-16.994407594362361</v>
      </c>
      <c r="J184" s="25">
        <v>0</v>
      </c>
    </row>
    <row r="185" spans="1:10">
      <c r="A185" s="25">
        <f>Subsurface_Live_Data!A185</f>
        <v>31.5</v>
      </c>
      <c r="B185" s="25">
        <f>Subsurface_Live_Data!K185</f>
        <v>15115.746926095389</v>
      </c>
      <c r="C185" s="25">
        <f>MAX(0,B185-Subsurface_Inputs!$C$44)</f>
        <v>13615.746926095389</v>
      </c>
      <c r="D185" s="25">
        <f>B185+Subsurface_Inputs!$C$44</f>
        <v>16615.746926095388</v>
      </c>
      <c r="E185" s="25">
        <f>B185*Subsurface_Inputs!$C$45</f>
        <v>8313.6608093524646</v>
      </c>
      <c r="F185" s="25">
        <f t="shared" si="2"/>
        <v>15115.746926095389</v>
      </c>
      <c r="G185" s="25">
        <f>B185*Subsurface_Inputs!$C$46</f>
        <v>26452.55712066693</v>
      </c>
      <c r="H185" s="25">
        <f>Subsurface_Live_Data!Y185</f>
        <v>11.242744641553259</v>
      </c>
      <c r="I185" s="25">
        <f>Subsurface_Inputs!$C$47-Subsurface_Inputs!$C$43+2*SIN(2*PI()*A185/42)</f>
        <v>-17</v>
      </c>
      <c r="J185" s="25">
        <v>0</v>
      </c>
    </row>
    <row r="186" spans="1:10">
      <c r="A186" s="25">
        <f>Subsurface_Live_Data!A186</f>
        <v>32</v>
      </c>
      <c r="B186" s="25">
        <f>Subsurface_Live_Data!K186</f>
        <v>15087.819991779352</v>
      </c>
      <c r="C186" s="25">
        <f>MAX(0,B186-Subsurface_Inputs!$C$44)</f>
        <v>13587.819991779352</v>
      </c>
      <c r="D186" s="25">
        <f>B186+Subsurface_Inputs!$C$44</f>
        <v>16587.819991779354</v>
      </c>
      <c r="E186" s="25">
        <f>B186*Subsurface_Inputs!$C$45</f>
        <v>8298.3009954786448</v>
      </c>
      <c r="F186" s="25">
        <f t="shared" si="2"/>
        <v>15087.819991779352</v>
      </c>
      <c r="G186" s="25">
        <f>B186*Subsurface_Inputs!$C$46</f>
        <v>26403.684985613865</v>
      </c>
      <c r="H186" s="25">
        <f>Subsurface_Live_Data!Y186</f>
        <v>11.428225375338606</v>
      </c>
      <c r="I186" s="25">
        <f>Subsurface_Inputs!$C$47-Subsurface_Inputs!$C$43+2*SIN(2*PI()*A186/42)</f>
        <v>-16.994407594362361</v>
      </c>
      <c r="J186" s="25">
        <v>0</v>
      </c>
    </row>
    <row r="187" spans="1:10">
      <c r="A187" s="25">
        <f>Subsurface_Live_Data!A187</f>
        <v>32.5</v>
      </c>
      <c r="B187" s="25">
        <f>Subsurface_Live_Data!K187</f>
        <v>15060.407592662792</v>
      </c>
      <c r="C187" s="25">
        <f>MAX(0,B187-Subsurface_Inputs!$C$44)</f>
        <v>13560.407592662792</v>
      </c>
      <c r="D187" s="25">
        <f>B187+Subsurface_Inputs!$C$44</f>
        <v>16560.407592662792</v>
      </c>
      <c r="E187" s="25">
        <f>B187*Subsurface_Inputs!$C$45</f>
        <v>8283.2241759645367</v>
      </c>
      <c r="F187" s="25">
        <f t="shared" si="2"/>
        <v>15060.407592662792</v>
      </c>
      <c r="G187" s="25">
        <f>B187*Subsurface_Inputs!$C$46</f>
        <v>26355.713287159888</v>
      </c>
      <c r="H187" s="25">
        <f>Subsurface_Live_Data!Y187</f>
        <v>11.609353684434424</v>
      </c>
      <c r="I187" s="25">
        <f>Subsurface_Inputs!$C$47-Subsurface_Inputs!$C$43+2*SIN(2*PI()*A187/42)</f>
        <v>-16.977661652450259</v>
      </c>
      <c r="J187" s="25">
        <v>0</v>
      </c>
    </row>
    <row r="188" spans="1:10">
      <c r="A188" s="25">
        <f>Subsurface_Live_Data!A188</f>
        <v>33</v>
      </c>
      <c r="B188" s="25">
        <f>Subsurface_Live_Data!K188</f>
        <v>15034.536710550707</v>
      </c>
      <c r="C188" s="25">
        <f>MAX(0,B188-Subsurface_Inputs!$C$44)</f>
        <v>13534.536710550707</v>
      </c>
      <c r="D188" s="25">
        <f>B188+Subsurface_Inputs!$C$44</f>
        <v>16534.536710550707</v>
      </c>
      <c r="E188" s="25">
        <f>B188*Subsurface_Inputs!$C$45</f>
        <v>8268.9951908028888</v>
      </c>
      <c r="F188" s="25">
        <f t="shared" si="2"/>
        <v>15034.536710550707</v>
      </c>
      <c r="G188" s="25">
        <f>B188*Subsurface_Inputs!$C$46</f>
        <v>26310.439243463738</v>
      </c>
      <c r="H188" s="25">
        <f>Subsurface_Live_Data!Y188</f>
        <v>11.751854321649567</v>
      </c>
      <c r="I188" s="25">
        <f>Subsurface_Inputs!$C$47-Subsurface_Inputs!$C$43+2*SIN(2*PI()*A188/42)</f>
        <v>-16.949855824363649</v>
      </c>
      <c r="J188" s="25">
        <v>0</v>
      </c>
    </row>
    <row r="189" spans="1:10">
      <c r="A189" s="25">
        <f>Subsurface_Live_Data!A189</f>
        <v>33.5</v>
      </c>
      <c r="B189" s="25">
        <f>Subsurface_Live_Data!K189</f>
        <v>15008.916500694744</v>
      </c>
      <c r="C189" s="25">
        <f>MAX(0,B189-Subsurface_Inputs!$C$44)</f>
        <v>13508.916500694744</v>
      </c>
      <c r="D189" s="25">
        <f>B189+Subsurface_Inputs!$C$44</f>
        <v>16508.916500694744</v>
      </c>
      <c r="E189" s="25">
        <f>B189*Subsurface_Inputs!$C$45</f>
        <v>8254.90407538211</v>
      </c>
      <c r="F189" s="25">
        <f t="shared" si="2"/>
        <v>15008.916500694744</v>
      </c>
      <c r="G189" s="25">
        <f>B189*Subsurface_Inputs!$C$46</f>
        <v>26265.603876215802</v>
      </c>
      <c r="H189" s="25">
        <f>Subsurface_Live_Data!Y189</f>
        <v>11.901072509592169</v>
      </c>
      <c r="I189" s="25">
        <f>Subsurface_Inputs!$C$47-Subsurface_Inputs!$C$43+2*SIN(2*PI()*A189/42)</f>
        <v>-16.91114561157228</v>
      </c>
      <c r="J189" s="25">
        <v>0</v>
      </c>
    </row>
    <row r="190" spans="1:10">
      <c r="A190" s="25">
        <f>Subsurface_Live_Data!A190</f>
        <v>34</v>
      </c>
      <c r="B190" s="25">
        <f>Subsurface_Live_Data!K190</f>
        <v>14981.502855142809</v>
      </c>
      <c r="C190" s="25">
        <f>MAX(0,B190-Subsurface_Inputs!$C$44)</f>
        <v>13481.502855142809</v>
      </c>
      <c r="D190" s="25">
        <f>B190+Subsurface_Inputs!$C$44</f>
        <v>16481.502855142811</v>
      </c>
      <c r="E190" s="25">
        <f>B190*Subsurface_Inputs!$C$45</f>
        <v>8239.8265703285451</v>
      </c>
      <c r="F190" s="25">
        <f t="shared" si="2"/>
        <v>14981.502855142809</v>
      </c>
      <c r="G190" s="25">
        <f>B190*Subsurface_Inputs!$C$46</f>
        <v>26217.629996499916</v>
      </c>
      <c r="H190" s="25">
        <f>Subsurface_Live_Data!Y190</f>
        <v>11.938394057389566</v>
      </c>
      <c r="I190" s="25">
        <f>Subsurface_Inputs!$C$47-Subsurface_Inputs!$C$43+2*SIN(2*PI()*A190/42)</f>
        <v>-16.861747497288409</v>
      </c>
      <c r="J190" s="25">
        <v>0</v>
      </c>
    </row>
    <row r="191" spans="1:10">
      <c r="A191" s="25">
        <f>Subsurface_Live_Data!A191</f>
        <v>34.5</v>
      </c>
      <c r="B191" s="25">
        <f>Subsurface_Live_Data!K191</f>
        <v>14956.29351283138</v>
      </c>
      <c r="C191" s="25">
        <f>MAX(0,B191-Subsurface_Inputs!$C$44)</f>
        <v>13456.29351283138</v>
      </c>
      <c r="D191" s="25">
        <f>B191+Subsurface_Inputs!$C$44</f>
        <v>16456.29351283138</v>
      </c>
      <c r="E191" s="25">
        <f>B191*Subsurface_Inputs!$C$45</f>
        <v>8225.96143205726</v>
      </c>
      <c r="F191" s="25">
        <f t="shared" si="2"/>
        <v>14956.29351283138</v>
      </c>
      <c r="G191" s="25">
        <f>B191*Subsurface_Inputs!$C$46</f>
        <v>26173.513647454914</v>
      </c>
      <c r="H191" s="25">
        <f>Subsurface_Live_Data!Y191</f>
        <v>11.860649470344789</v>
      </c>
      <c r="I191" s="25">
        <f>Subsurface_Inputs!$C$47-Subsurface_Inputs!$C$43+2*SIN(2*PI()*A191/42)</f>
        <v>-16.801937735804838</v>
      </c>
      <c r="J191" s="25">
        <v>0</v>
      </c>
    </row>
    <row r="192" spans="1:10">
      <c r="A192" s="25">
        <f>Subsurface_Live_Data!A192</f>
        <v>35</v>
      </c>
      <c r="B192" s="25">
        <f>Subsurface_Live_Data!K192</f>
        <v>14933.44947800909</v>
      </c>
      <c r="C192" s="25">
        <f>MAX(0,B192-Subsurface_Inputs!$C$44)</f>
        <v>13433.44947800909</v>
      </c>
      <c r="D192" s="25">
        <f>B192+Subsurface_Inputs!$C$44</f>
        <v>16433.44947800909</v>
      </c>
      <c r="E192" s="25">
        <f>B192*Subsurface_Inputs!$C$45</f>
        <v>8213.3972129049998</v>
      </c>
      <c r="F192" s="25">
        <f t="shared" si="2"/>
        <v>14933.44947800909</v>
      </c>
      <c r="G192" s="25">
        <f>B192*Subsurface_Inputs!$C$46</f>
        <v>26133.536586515907</v>
      </c>
      <c r="H192" s="25">
        <f>Subsurface_Live_Data!Y192</f>
        <v>11.837722705166975</v>
      </c>
      <c r="I192" s="25">
        <f>Subsurface_Inputs!$C$47-Subsurface_Inputs!$C$43+2*SIN(2*PI()*A192/42)</f>
        <v>-16.732050807568879</v>
      </c>
      <c r="J192" s="25">
        <v>0</v>
      </c>
    </row>
    <row r="193" spans="1:10">
      <c r="A193" s="25">
        <f>Subsurface_Live_Data!A193</f>
        <v>35.5</v>
      </c>
      <c r="B193" s="25">
        <f>Subsurface_Live_Data!K193</f>
        <v>14910.216672625642</v>
      </c>
      <c r="C193" s="25">
        <f>MAX(0,B193-Subsurface_Inputs!$C$44)</f>
        <v>13410.216672625642</v>
      </c>
      <c r="D193" s="25">
        <f>B193+Subsurface_Inputs!$C$44</f>
        <v>16410.21667262564</v>
      </c>
      <c r="E193" s="25">
        <f>B193*Subsurface_Inputs!$C$45</f>
        <v>8200.6191699441042</v>
      </c>
      <c r="F193" s="25">
        <f t="shared" si="2"/>
        <v>14910.216672625642</v>
      </c>
      <c r="G193" s="25">
        <f>B193*Subsurface_Inputs!$C$46</f>
        <v>26092.879177094874</v>
      </c>
      <c r="H193" s="25">
        <f>Subsurface_Live_Data!Y193</f>
        <v>11.78409463500163</v>
      </c>
      <c r="I193" s="25">
        <f>Subsurface_Inputs!$C$47-Subsurface_Inputs!$C$43+2*SIN(2*PI()*A193/42)</f>
        <v>-16.652477548631989</v>
      </c>
      <c r="J193" s="25">
        <v>0</v>
      </c>
    </row>
    <row r="194" spans="1:10">
      <c r="A194" s="25">
        <f>Subsurface_Live_Data!A194</f>
        <v>36</v>
      </c>
      <c r="B194" s="25">
        <f>Subsurface_Live_Data!K194</f>
        <v>14886.463437913209</v>
      </c>
      <c r="C194" s="25">
        <f>MAX(0,B194-Subsurface_Inputs!$C$44)</f>
        <v>13386.463437913209</v>
      </c>
      <c r="D194" s="25">
        <f>B194+Subsurface_Inputs!$C$44</f>
        <v>16386.463437913211</v>
      </c>
      <c r="E194" s="25">
        <f>B194*Subsurface_Inputs!$C$45</f>
        <v>8187.554890852266</v>
      </c>
      <c r="F194" s="25">
        <f t="shared" ref="F194:F242" si="3">B194</f>
        <v>14886.463437913209</v>
      </c>
      <c r="G194" s="25">
        <f>B194*Subsurface_Inputs!$C$46</f>
        <v>26051.311016348118</v>
      </c>
      <c r="H194" s="25">
        <f>Subsurface_Live_Data!Y194</f>
        <v>11.694996917271943</v>
      </c>
      <c r="I194" s="25">
        <f>Subsurface_Inputs!$C$47-Subsurface_Inputs!$C$43+2*SIN(2*PI()*A194/42)</f>
        <v>-16.563662964936061</v>
      </c>
      <c r="J194" s="25">
        <v>0</v>
      </c>
    </row>
    <row r="195" spans="1:10">
      <c r="A195" s="25">
        <f>Subsurface_Live_Data!A195</f>
        <v>36.5</v>
      </c>
      <c r="B195" s="25">
        <f>Subsurface_Live_Data!K195</f>
        <v>14861.558563029474</v>
      </c>
      <c r="C195" s="25">
        <f>MAX(0,B195-Subsurface_Inputs!$C$44)</f>
        <v>13361.558563029474</v>
      </c>
      <c r="D195" s="25">
        <f>B195+Subsurface_Inputs!$C$44</f>
        <v>16361.558563029474</v>
      </c>
      <c r="E195" s="25">
        <f>B195*Subsurface_Inputs!$C$45</f>
        <v>8173.857209666211</v>
      </c>
      <c r="F195" s="25">
        <f t="shared" si="3"/>
        <v>14861.558563029474</v>
      </c>
      <c r="G195" s="25">
        <f>B195*Subsurface_Inputs!$C$46</f>
        <v>26007.727485301577</v>
      </c>
      <c r="H195" s="25">
        <f>Subsurface_Live_Data!Y195</f>
        <v>11.550345784684573</v>
      </c>
      <c r="I195" s="25">
        <f>Subsurface_Inputs!$C$47-Subsurface_Inputs!$C$43+2*SIN(2*PI()*A195/42)</f>
        <v>-16.466103743659655</v>
      </c>
      <c r="J195" s="25">
        <v>0</v>
      </c>
    </row>
    <row r="196" spans="1:10">
      <c r="A196" s="25">
        <f>Subsurface_Live_Data!A196</f>
        <v>37</v>
      </c>
      <c r="B196" s="25">
        <f>Subsurface_Live_Data!K196</f>
        <v>14840.110005912009</v>
      </c>
      <c r="C196" s="25">
        <f>MAX(0,B196-Subsurface_Inputs!$C$44)</f>
        <v>13340.110005912009</v>
      </c>
      <c r="D196" s="25">
        <f>B196+Subsurface_Inputs!$C$44</f>
        <v>16340.110005912009</v>
      </c>
      <c r="E196" s="25">
        <f>B196*Subsurface_Inputs!$C$45</f>
        <v>8162.060503251606</v>
      </c>
      <c r="F196" s="25">
        <f t="shared" si="3"/>
        <v>14840.110005912009</v>
      </c>
      <c r="G196" s="25">
        <f>B196*Subsurface_Inputs!$C$46</f>
        <v>25970.192510346016</v>
      </c>
      <c r="H196" s="25">
        <f>Subsurface_Live_Data!Y196</f>
        <v>11.491331845105265</v>
      </c>
      <c r="I196" s="25">
        <f>Subsurface_Inputs!$C$47-Subsurface_Inputs!$C$43+2*SIN(2*PI()*A196/42)</f>
        <v>-16.360345475541838</v>
      </c>
      <c r="J196" s="25">
        <v>0</v>
      </c>
    </row>
    <row r="197" spans="1:10">
      <c r="A197" s="25">
        <f>Subsurface_Live_Data!A197</f>
        <v>37.5</v>
      </c>
      <c r="B197" s="25">
        <f>Subsurface_Live_Data!K197</f>
        <v>14819.341583785392</v>
      </c>
      <c r="C197" s="25">
        <f>MAX(0,B197-Subsurface_Inputs!$C$44)</f>
        <v>13319.341583785392</v>
      </c>
      <c r="D197" s="25">
        <f>B197+Subsurface_Inputs!$C$44</f>
        <v>16319.341583785392</v>
      </c>
      <c r="E197" s="25">
        <f>B197*Subsurface_Inputs!$C$45</f>
        <v>8150.6378710819663</v>
      </c>
      <c r="F197" s="25">
        <f t="shared" si="3"/>
        <v>14819.341583785392</v>
      </c>
      <c r="G197" s="25">
        <f>B197*Subsurface_Inputs!$C$46</f>
        <v>25933.847771624434</v>
      </c>
      <c r="H197" s="25">
        <f>Subsurface_Live_Data!Y197</f>
        <v>11.431983824879595</v>
      </c>
      <c r="I197" s="25">
        <f>Subsurface_Inputs!$C$47-Subsurface_Inputs!$C$43+2*SIN(2*PI()*A197/42)</f>
        <v>-16.246979603717467</v>
      </c>
      <c r="J197" s="25">
        <v>0</v>
      </c>
    </row>
    <row r="198" spans="1:10">
      <c r="A198" s="25">
        <f>Subsurface_Live_Data!A198</f>
        <v>38</v>
      </c>
      <c r="B198" s="25">
        <f>Subsurface_Live_Data!K198</f>
        <v>14799.576086730554</v>
      </c>
      <c r="C198" s="25">
        <f>MAX(0,B198-Subsurface_Inputs!$C$44)</f>
        <v>13299.576086730554</v>
      </c>
      <c r="D198" s="25">
        <f>B198+Subsurface_Inputs!$C$44</f>
        <v>16299.576086730554</v>
      </c>
      <c r="E198" s="25">
        <f>B198*Subsurface_Inputs!$C$45</f>
        <v>8139.766847701806</v>
      </c>
      <c r="F198" s="25">
        <f t="shared" si="3"/>
        <v>14799.576086730554</v>
      </c>
      <c r="G198" s="25">
        <f>B198*Subsurface_Inputs!$C$46</f>
        <v>25899.258151778471</v>
      </c>
      <c r="H198" s="25">
        <f>Subsurface_Live_Data!Y198</f>
        <v>11.381749805357863</v>
      </c>
      <c r="I198" s="25">
        <f>Subsurface_Inputs!$C$47-Subsurface_Inputs!$C$43+2*SIN(2*PI()*A198/42)</f>
        <v>-16.126640116127245</v>
      </c>
      <c r="J198" s="25">
        <v>0</v>
      </c>
    </row>
    <row r="199" spans="1:10">
      <c r="A199" s="25">
        <f>Subsurface_Live_Data!A199</f>
        <v>38.5</v>
      </c>
      <c r="B199" s="25">
        <f>Subsurface_Live_Data!K199</f>
        <v>14776.789430047362</v>
      </c>
      <c r="C199" s="25">
        <f>MAX(0,B199-Subsurface_Inputs!$C$44)</f>
        <v>13276.789430047362</v>
      </c>
      <c r="D199" s="25">
        <f>B199+Subsurface_Inputs!$C$44</f>
        <v>16276.789430047362</v>
      </c>
      <c r="E199" s="25">
        <f>B199*Subsurface_Inputs!$C$45</f>
        <v>8127.2341865260496</v>
      </c>
      <c r="F199" s="25">
        <f t="shared" si="3"/>
        <v>14776.789430047362</v>
      </c>
      <c r="G199" s="25">
        <f>B199*Subsurface_Inputs!$C$46</f>
        <v>25859.381502582884</v>
      </c>
      <c r="H199" s="25">
        <f>Subsurface_Live_Data!Y199</f>
        <v>11.21637855478378</v>
      </c>
      <c r="I199" s="25">
        <f>Subsurface_Inputs!$C$47-Subsurface_Inputs!$C$43+2*SIN(2*PI()*A199/42)</f>
        <v>-16</v>
      </c>
      <c r="J199" s="25">
        <v>0</v>
      </c>
    </row>
    <row r="200" spans="1:10">
      <c r="A200" s="25">
        <f>Subsurface_Live_Data!A200</f>
        <v>39</v>
      </c>
      <c r="B200" s="25">
        <f>Subsurface_Live_Data!K200</f>
        <v>14759.992307171666</v>
      </c>
      <c r="C200" s="25">
        <f>MAX(0,B200-Subsurface_Inputs!$C$44)</f>
        <v>13259.992307171666</v>
      </c>
      <c r="D200" s="25">
        <f>B200+Subsurface_Inputs!$C$44</f>
        <v>16259.992307171666</v>
      </c>
      <c r="E200" s="25">
        <f>B200*Subsurface_Inputs!$C$45</f>
        <v>8117.9957689444173</v>
      </c>
      <c r="F200" s="25">
        <f t="shared" si="3"/>
        <v>14759.992307171666</v>
      </c>
      <c r="G200" s="25">
        <f>B200*Subsurface_Inputs!$C$46</f>
        <v>25829.986537550416</v>
      </c>
      <c r="H200" s="25">
        <f>Subsurface_Live_Data!Y200</f>
        <v>11.212778363095218</v>
      </c>
      <c r="I200" s="25">
        <f>Subsurface_Inputs!$C$47-Subsurface_Inputs!$C$43+2*SIN(2*PI()*A200/42)</f>
        <v>-15.867767478235116</v>
      </c>
      <c r="J200" s="25">
        <v>0</v>
      </c>
    </row>
    <row r="201" spans="1:10">
      <c r="A201" s="25">
        <f>Subsurface_Live_Data!A201</f>
        <v>39.5</v>
      </c>
      <c r="B201" s="25">
        <f>Subsurface_Live_Data!K201</f>
        <v>14743.375119644179</v>
      </c>
      <c r="C201" s="25">
        <f>MAX(0,B201-Subsurface_Inputs!$C$44)</f>
        <v>13243.375119644179</v>
      </c>
      <c r="D201" s="25">
        <f>B201+Subsurface_Inputs!$C$44</f>
        <v>16243.375119644179</v>
      </c>
      <c r="E201" s="25">
        <f>B201*Subsurface_Inputs!$C$45</f>
        <v>8108.8563158042989</v>
      </c>
      <c r="F201" s="25">
        <f t="shared" si="3"/>
        <v>14743.375119644179</v>
      </c>
      <c r="G201" s="25">
        <f>B201*Subsurface_Inputs!$C$46</f>
        <v>25800.906459377315</v>
      </c>
      <c r="H201" s="25">
        <f>Subsurface_Live_Data!Y201</f>
        <v>11.191877129614703</v>
      </c>
      <c r="I201" s="25">
        <f>Subsurface_Inputs!$C$47-Subsurface_Inputs!$C$43+2*SIN(2*PI()*A201/42)</f>
        <v>-15.73068204873279</v>
      </c>
      <c r="J201" s="25">
        <v>0</v>
      </c>
    </row>
    <row r="202" spans="1:10">
      <c r="A202" s="25">
        <f>Subsurface_Live_Data!A202</f>
        <v>40</v>
      </c>
      <c r="B202" s="25">
        <f>Subsurface_Live_Data!K202</f>
        <v>14726.192868523873</v>
      </c>
      <c r="C202" s="25">
        <f>MAX(0,B202-Subsurface_Inputs!$C$44)</f>
        <v>13226.192868523873</v>
      </c>
      <c r="D202" s="25">
        <f>B202+Subsurface_Inputs!$C$44</f>
        <v>16226.192868523873</v>
      </c>
      <c r="E202" s="25">
        <f>B202*Subsurface_Inputs!$C$45</f>
        <v>8099.4060776881306</v>
      </c>
      <c r="F202" s="25">
        <f t="shared" si="3"/>
        <v>14726.192868523873</v>
      </c>
      <c r="G202" s="25">
        <f>B202*Subsurface_Inputs!$C$46</f>
        <v>25770.837519916779</v>
      </c>
      <c r="H202" s="25">
        <f>Subsurface_Live_Data!Y202</f>
        <v>11.130509105532113</v>
      </c>
      <c r="I202" s="25">
        <f>Subsurface_Inputs!$C$47-Subsurface_Inputs!$C$43+2*SIN(2*PI()*A202/42)</f>
        <v>-15.589510348821809</v>
      </c>
      <c r="J202" s="25">
        <v>0</v>
      </c>
    </row>
    <row r="203" spans="1:10">
      <c r="A203" s="25">
        <f>Subsurface_Live_Data!A203</f>
        <v>40.5</v>
      </c>
      <c r="B203" s="25">
        <f>Subsurface_Live_Data!K203</f>
        <v>14711.226828791272</v>
      </c>
      <c r="C203" s="25">
        <f>MAX(0,B203-Subsurface_Inputs!$C$44)</f>
        <v>13211.226828791272</v>
      </c>
      <c r="D203" s="25">
        <f>B203+Subsurface_Inputs!$C$44</f>
        <v>16211.226828791272</v>
      </c>
      <c r="E203" s="25">
        <f>B203*Subsurface_Inputs!$C$45</f>
        <v>8091.1747558351999</v>
      </c>
      <c r="F203" s="25">
        <f t="shared" si="3"/>
        <v>14711.226828791272</v>
      </c>
      <c r="G203" s="25">
        <f>B203*Subsurface_Inputs!$C$46</f>
        <v>25744.646950384726</v>
      </c>
      <c r="H203" s="25">
        <f>Subsurface_Live_Data!Y203</f>
        <v>11.114078485308958</v>
      </c>
      <c r="I203" s="25">
        <f>Subsurface_Inputs!$C$47-Subsurface_Inputs!$C$43+2*SIN(2*PI()*A203/42)</f>
        <v>-15.445041867912629</v>
      </c>
      <c r="J203" s="25">
        <v>0</v>
      </c>
    </row>
    <row r="204" spans="1:10">
      <c r="A204" s="25">
        <f>Subsurface_Live_Data!A204</f>
        <v>41</v>
      </c>
      <c r="B204" s="25">
        <f>Subsurface_Live_Data!K204</f>
        <v>14699.88132053898</v>
      </c>
      <c r="C204" s="25">
        <f>MAX(0,B204-Subsurface_Inputs!$C$44)</f>
        <v>13199.88132053898</v>
      </c>
      <c r="D204" s="25">
        <f>B204+Subsurface_Inputs!$C$44</f>
        <v>16199.88132053898</v>
      </c>
      <c r="E204" s="25">
        <f>B204*Subsurface_Inputs!$C$45</f>
        <v>8084.9347262964393</v>
      </c>
      <c r="F204" s="25">
        <f t="shared" si="3"/>
        <v>14699.88132053898</v>
      </c>
      <c r="G204" s="25">
        <f>B204*Subsurface_Inputs!$C$46</f>
        <v>25724.792310943216</v>
      </c>
      <c r="H204" s="25">
        <f>Subsurface_Live_Data!Y204</f>
        <v>11.185679960261361</v>
      </c>
      <c r="I204" s="25">
        <f>Subsurface_Inputs!$C$47-Subsurface_Inputs!$C$43+2*SIN(2*PI()*A204/42)</f>
        <v>-15.29808453235235</v>
      </c>
      <c r="J204" s="25">
        <v>0</v>
      </c>
    </row>
    <row r="205" spans="1:10">
      <c r="A205" s="25">
        <f>Subsurface_Live_Data!A205</f>
        <v>41.5</v>
      </c>
      <c r="B205" s="25">
        <f>Subsurface_Live_Data!K205</f>
        <v>14687.004164423177</v>
      </c>
      <c r="C205" s="25">
        <f>MAX(0,B205-Subsurface_Inputs!$C$44)</f>
        <v>13187.004164423177</v>
      </c>
      <c r="D205" s="25">
        <f>B205+Subsurface_Inputs!$C$44</f>
        <v>16187.004164423177</v>
      </c>
      <c r="E205" s="25">
        <f>B205*Subsurface_Inputs!$C$45</f>
        <v>8077.8522904327483</v>
      </c>
      <c r="F205" s="25">
        <f t="shared" si="3"/>
        <v>14687.004164423177</v>
      </c>
      <c r="G205" s="25">
        <f>B205*Subsurface_Inputs!$C$46</f>
        <v>25702.257287740558</v>
      </c>
      <c r="H205" s="25">
        <f>Subsurface_Live_Data!Y205</f>
        <v>11.186716483692386</v>
      </c>
      <c r="I205" s="25">
        <f>Subsurface_Inputs!$C$47-Subsurface_Inputs!$C$43+2*SIN(2*PI()*A205/42)</f>
        <v>-15.149460187172847</v>
      </c>
      <c r="J205" s="25">
        <v>0</v>
      </c>
    </row>
    <row r="206" spans="1:10">
      <c r="A206" s="25">
        <f>Subsurface_Live_Data!A206</f>
        <v>42</v>
      </c>
      <c r="B206" s="25">
        <f>Subsurface_Live_Data!K206</f>
        <v>14673.651759639273</v>
      </c>
      <c r="C206" s="25">
        <f>MAX(0,B206-Subsurface_Inputs!$C$44)</f>
        <v>13173.651759639273</v>
      </c>
      <c r="D206" s="25">
        <f>B206+Subsurface_Inputs!$C$44</f>
        <v>16173.651759639273</v>
      </c>
      <c r="E206" s="25">
        <f>B206*Subsurface_Inputs!$C$45</f>
        <v>8070.508467801601</v>
      </c>
      <c r="F206" s="25">
        <f t="shared" si="3"/>
        <v>14673.651759639273</v>
      </c>
      <c r="G206" s="25">
        <f>B206*Subsurface_Inputs!$C$46</f>
        <v>25678.89057936873</v>
      </c>
      <c r="H206" s="25">
        <f>Subsurface_Live_Data!Y206</f>
        <v>11.149698548783455</v>
      </c>
      <c r="I206" s="25">
        <f>Subsurface_Inputs!$C$47-Subsurface_Inputs!$C$43+2*SIN(2*PI()*A206/42)</f>
        <v>-15</v>
      </c>
      <c r="J206" s="25">
        <v>0</v>
      </c>
    </row>
    <row r="207" spans="1:10">
      <c r="A207" s="25">
        <f>Subsurface_Live_Data!A207</f>
        <v>42.5</v>
      </c>
      <c r="B207" s="25">
        <f>Subsurface_Live_Data!K207</f>
        <v>14662.973588793413</v>
      </c>
      <c r="C207" s="25">
        <f>MAX(0,B207-Subsurface_Inputs!$C$44)</f>
        <v>13162.973588793413</v>
      </c>
      <c r="D207" s="25">
        <f>B207+Subsurface_Inputs!$C$44</f>
        <v>16162.973588793413</v>
      </c>
      <c r="E207" s="25">
        <f>B207*Subsurface_Inputs!$C$45</f>
        <v>8064.635473836378</v>
      </c>
      <c r="F207" s="25">
        <f t="shared" si="3"/>
        <v>14662.973588793413</v>
      </c>
      <c r="G207" s="25">
        <f>B207*Subsurface_Inputs!$C$46</f>
        <v>25660.203780388474</v>
      </c>
      <c r="H207" s="25">
        <f>Subsurface_Live_Data!Y207</f>
        <v>11.171603960827248</v>
      </c>
      <c r="I207" s="25">
        <f>Subsurface_Inputs!$C$47-Subsurface_Inputs!$C$43+2*SIN(2*PI()*A207/42)</f>
        <v>-14.850539812827151</v>
      </c>
      <c r="J207" s="25">
        <v>0</v>
      </c>
    </row>
    <row r="208" spans="1:10">
      <c r="A208" s="25">
        <f>Subsurface_Live_Data!A208</f>
        <v>43</v>
      </c>
      <c r="B208" s="25">
        <f>Subsurface_Live_Data!K208</f>
        <v>14653.271975733256</v>
      </c>
      <c r="C208" s="25">
        <f>MAX(0,B208-Subsurface_Inputs!$C$44)</f>
        <v>13153.271975733256</v>
      </c>
      <c r="D208" s="25">
        <f>B208+Subsurface_Inputs!$C$44</f>
        <v>16153.271975733256</v>
      </c>
      <c r="E208" s="25">
        <f>B208*Subsurface_Inputs!$C$45</f>
        <v>8059.299586653292</v>
      </c>
      <c r="F208" s="25">
        <f t="shared" si="3"/>
        <v>14653.271975733256</v>
      </c>
      <c r="G208" s="25">
        <f>B208*Subsurface_Inputs!$C$46</f>
        <v>25643.225957533199</v>
      </c>
      <c r="H208" s="25">
        <f>Subsurface_Live_Data!Y208</f>
        <v>11.200315953272934</v>
      </c>
      <c r="I208" s="25">
        <f>Subsurface_Inputs!$C$47-Subsurface_Inputs!$C$43+2*SIN(2*PI()*A208/42)</f>
        <v>-14.701915467647652</v>
      </c>
      <c r="J208" s="25">
        <v>0</v>
      </c>
    </row>
    <row r="209" spans="1:10">
      <c r="A209" s="25">
        <f>Subsurface_Live_Data!A209</f>
        <v>43.5</v>
      </c>
      <c r="B209" s="25">
        <f>Subsurface_Live_Data!K209</f>
        <v>14645.692657462256</v>
      </c>
      <c r="C209" s="25">
        <f>MAX(0,B209-Subsurface_Inputs!$C$44)</f>
        <v>13145.692657462256</v>
      </c>
      <c r="D209" s="25">
        <f>B209+Subsurface_Inputs!$C$44</f>
        <v>16145.692657462256</v>
      </c>
      <c r="E209" s="25">
        <f>B209*Subsurface_Inputs!$C$45</f>
        <v>8055.1309616042417</v>
      </c>
      <c r="F209" s="25">
        <f t="shared" si="3"/>
        <v>14645.692657462256</v>
      </c>
      <c r="G209" s="25">
        <f>B209*Subsurface_Inputs!$C$46</f>
        <v>25629.962150558946</v>
      </c>
      <c r="H209" s="25">
        <f>Subsurface_Live_Data!Y209</f>
        <v>11.271272202033046</v>
      </c>
      <c r="I209" s="25">
        <f>Subsurface_Inputs!$C$47-Subsurface_Inputs!$C$43+2*SIN(2*PI()*A209/42)</f>
        <v>-14.554958132087371</v>
      </c>
      <c r="J209" s="25">
        <v>0</v>
      </c>
    </row>
    <row r="210" spans="1:10">
      <c r="A210" s="25">
        <f>Subsurface_Live_Data!A210</f>
        <v>44</v>
      </c>
      <c r="B210" s="25">
        <f>Subsurface_Live_Data!K210</f>
        <v>14638.157168949725</v>
      </c>
      <c r="C210" s="25">
        <f>MAX(0,B210-Subsurface_Inputs!$C$44)</f>
        <v>13138.157168949725</v>
      </c>
      <c r="D210" s="25">
        <f>B210+Subsurface_Inputs!$C$44</f>
        <v>16138.157168949725</v>
      </c>
      <c r="E210" s="25">
        <f>B210*Subsurface_Inputs!$C$45</f>
        <v>8050.9864429223499</v>
      </c>
      <c r="F210" s="25">
        <f t="shared" si="3"/>
        <v>14638.157168949725</v>
      </c>
      <c r="G210" s="25">
        <f>B210*Subsurface_Inputs!$C$46</f>
        <v>25616.77504566202</v>
      </c>
      <c r="H210" s="25">
        <f>Subsurface_Live_Data!Y210</f>
        <v>11.320754618324742</v>
      </c>
      <c r="I210" s="25">
        <f>Subsurface_Inputs!$C$47-Subsurface_Inputs!$C$43+2*SIN(2*PI()*A210/42)</f>
        <v>-14.410489651178192</v>
      </c>
      <c r="J210" s="25">
        <v>0</v>
      </c>
    </row>
    <row r="211" spans="1:10">
      <c r="A211" s="25">
        <f>Subsurface_Live_Data!A211</f>
        <v>44.5</v>
      </c>
      <c r="B211" s="25">
        <f>Subsurface_Live_Data!K211</f>
        <v>14633.280812812143</v>
      </c>
      <c r="C211" s="25">
        <f>MAX(0,B211-Subsurface_Inputs!$C$44)</f>
        <v>13133.280812812143</v>
      </c>
      <c r="D211" s="25">
        <f>B211+Subsurface_Inputs!$C$44</f>
        <v>16133.280812812143</v>
      </c>
      <c r="E211" s="25">
        <f>B211*Subsurface_Inputs!$C$45</f>
        <v>8048.3044470466793</v>
      </c>
      <c r="F211" s="25">
        <f t="shared" si="3"/>
        <v>14633.280812812143</v>
      </c>
      <c r="G211" s="25">
        <f>B211*Subsurface_Inputs!$C$46</f>
        <v>25608.241422421252</v>
      </c>
      <c r="H211" s="25">
        <f>Subsurface_Live_Data!Y211</f>
        <v>11.429535420606278</v>
      </c>
      <c r="I211" s="25">
        <f>Subsurface_Inputs!$C$47-Subsurface_Inputs!$C$43+2*SIN(2*PI()*A211/42)</f>
        <v>-14.26931795126721</v>
      </c>
      <c r="J211" s="25">
        <v>0</v>
      </c>
    </row>
    <row r="212" spans="1:10">
      <c r="A212" s="25">
        <f>Subsurface_Live_Data!A212</f>
        <v>45</v>
      </c>
      <c r="B212" s="25">
        <f>Subsurface_Live_Data!K212</f>
        <v>14626.915429680796</v>
      </c>
      <c r="C212" s="25">
        <f>MAX(0,B212-Subsurface_Inputs!$C$44)</f>
        <v>13126.915429680796</v>
      </c>
      <c r="D212" s="25">
        <f>B212+Subsurface_Inputs!$C$44</f>
        <v>16126.915429680796</v>
      </c>
      <c r="E212" s="25">
        <f>B212*Subsurface_Inputs!$C$45</f>
        <v>8044.8034863244384</v>
      </c>
      <c r="F212" s="25">
        <f t="shared" si="3"/>
        <v>14626.915429680796</v>
      </c>
      <c r="G212" s="25">
        <f>B212*Subsurface_Inputs!$C$46</f>
        <v>25597.102001941392</v>
      </c>
      <c r="H212" s="25">
        <f>Subsurface_Live_Data!Y212</f>
        <v>11.47032050127067</v>
      </c>
      <c r="I212" s="25">
        <f>Subsurface_Inputs!$C$47-Subsurface_Inputs!$C$43+2*SIN(2*PI()*A212/42)</f>
        <v>-14.132232521764884</v>
      </c>
      <c r="J212" s="25">
        <v>0</v>
      </c>
    </row>
    <row r="213" spans="1:10">
      <c r="A213" s="25">
        <f>Subsurface_Live_Data!A213</f>
        <v>45.5</v>
      </c>
      <c r="B213" s="25">
        <f>Subsurface_Live_Data!K213</f>
        <v>14618.902191505122</v>
      </c>
      <c r="C213" s="25">
        <f>MAX(0,B213-Subsurface_Inputs!$C$44)</f>
        <v>13118.902191505122</v>
      </c>
      <c r="D213" s="25">
        <f>B213+Subsurface_Inputs!$C$44</f>
        <v>16118.902191505122</v>
      </c>
      <c r="E213" s="25">
        <f>B213*Subsurface_Inputs!$C$45</f>
        <v>8040.3962053278174</v>
      </c>
      <c r="F213" s="25">
        <f t="shared" si="3"/>
        <v>14618.902191505122</v>
      </c>
      <c r="G213" s="25">
        <f>B213*Subsurface_Inputs!$C$46</f>
        <v>25583.078835133962</v>
      </c>
      <c r="H213" s="25">
        <f>Subsurface_Live_Data!Y213</f>
        <v>11.438626787830394</v>
      </c>
      <c r="I213" s="25">
        <f>Subsurface_Inputs!$C$47-Subsurface_Inputs!$C$43+2*SIN(2*PI()*A213/42)</f>
        <v>-14</v>
      </c>
      <c r="J213" s="25">
        <v>0</v>
      </c>
    </row>
    <row r="214" spans="1:10">
      <c r="A214" s="25">
        <f>Subsurface_Live_Data!A214</f>
        <v>46</v>
      </c>
      <c r="B214" s="25">
        <f>Subsurface_Live_Data!K214</f>
        <v>14615.145412726704</v>
      </c>
      <c r="C214" s="25">
        <f>MAX(0,B214-Subsurface_Inputs!$C$44)</f>
        <v>13115.145412726704</v>
      </c>
      <c r="D214" s="25">
        <f>B214+Subsurface_Inputs!$C$44</f>
        <v>16115.145412726704</v>
      </c>
      <c r="E214" s="25">
        <f>B214*Subsurface_Inputs!$C$45</f>
        <v>8038.3299769996884</v>
      </c>
      <c r="F214" s="25">
        <f t="shared" si="3"/>
        <v>14615.145412726704</v>
      </c>
      <c r="G214" s="25">
        <f>B214*Subsurface_Inputs!$C$46</f>
        <v>25576.504472271732</v>
      </c>
      <c r="H214" s="25">
        <f>Subsurface_Live_Data!Y214</f>
        <v>11.516594789611489</v>
      </c>
      <c r="I214" s="25">
        <f>Subsurface_Inputs!$C$47-Subsurface_Inputs!$C$43+2*SIN(2*PI()*A214/42)</f>
        <v>-13.873359883872757</v>
      </c>
      <c r="J214" s="25">
        <v>0</v>
      </c>
    </row>
    <row r="215" spans="1:10">
      <c r="A215" s="25">
        <f>Subsurface_Live_Data!A215</f>
        <v>46.5</v>
      </c>
      <c r="B215" s="25">
        <f>Subsurface_Live_Data!K215</f>
        <v>14612.173134210097</v>
      </c>
      <c r="C215" s="25">
        <f>MAX(0,B215-Subsurface_Inputs!$C$44)</f>
        <v>13112.173134210097</v>
      </c>
      <c r="D215" s="25">
        <f>B215+Subsurface_Inputs!$C$44</f>
        <v>16112.173134210097</v>
      </c>
      <c r="E215" s="25">
        <f>B215*Subsurface_Inputs!$C$45</f>
        <v>8036.6952238155545</v>
      </c>
      <c r="F215" s="25">
        <f t="shared" si="3"/>
        <v>14612.173134210097</v>
      </c>
      <c r="G215" s="25">
        <f>B215*Subsurface_Inputs!$C$46</f>
        <v>25571.302984867671</v>
      </c>
      <c r="H215" s="25">
        <f>Subsurface_Live_Data!Y215</f>
        <v>11.597893991821827</v>
      </c>
      <c r="I215" s="25">
        <f>Subsurface_Inputs!$C$47-Subsurface_Inputs!$C$43+2*SIN(2*PI()*A215/42)</f>
        <v>-13.753020396282535</v>
      </c>
      <c r="J215" s="25">
        <v>0</v>
      </c>
    </row>
    <row r="216" spans="1:10">
      <c r="A216" s="25">
        <f>Subsurface_Live_Data!A216</f>
        <v>47</v>
      </c>
      <c r="B216" s="25">
        <f>Subsurface_Live_Data!K216</f>
        <v>14607.701900076449</v>
      </c>
      <c r="C216" s="25">
        <f>MAX(0,B216-Subsurface_Inputs!$C$44)</f>
        <v>13107.701900076449</v>
      </c>
      <c r="D216" s="25">
        <f>B216+Subsurface_Inputs!$C$44</f>
        <v>16107.701900076449</v>
      </c>
      <c r="E216" s="25">
        <f>B216*Subsurface_Inputs!$C$45</f>
        <v>8034.2360450420474</v>
      </c>
      <c r="F216" s="25">
        <f t="shared" si="3"/>
        <v>14607.701900076449</v>
      </c>
      <c r="G216" s="25">
        <f>B216*Subsurface_Inputs!$C$46</f>
        <v>25563.478325133787</v>
      </c>
      <c r="H216" s="25">
        <f>Subsurface_Live_Data!Y216</f>
        <v>11.612814287331013</v>
      </c>
      <c r="I216" s="25">
        <f>Subsurface_Inputs!$C$47-Subsurface_Inputs!$C$43+2*SIN(2*PI()*A216/42)</f>
        <v>-13.639654524458161</v>
      </c>
      <c r="J216" s="25">
        <v>0</v>
      </c>
    </row>
    <row r="217" spans="1:10">
      <c r="A217" s="25">
        <f>Subsurface_Live_Data!A217</f>
        <v>47.5</v>
      </c>
      <c r="B217" s="25">
        <f>Subsurface_Live_Data!K217</f>
        <v>14604.637100240307</v>
      </c>
      <c r="C217" s="25">
        <f>MAX(0,B217-Subsurface_Inputs!$C$44)</f>
        <v>13104.637100240307</v>
      </c>
      <c r="D217" s="25">
        <f>B217+Subsurface_Inputs!$C$44</f>
        <v>16104.637100240307</v>
      </c>
      <c r="E217" s="25">
        <f>B217*Subsurface_Inputs!$C$45</f>
        <v>8032.5504051321695</v>
      </c>
      <c r="F217" s="25">
        <f t="shared" si="3"/>
        <v>14604.637100240307</v>
      </c>
      <c r="G217" s="25">
        <f>B217*Subsurface_Inputs!$C$46</f>
        <v>25558.114925420537</v>
      </c>
      <c r="H217" s="25">
        <f>Subsurface_Live_Data!Y217</f>
        <v>11.651360265648208</v>
      </c>
      <c r="I217" s="25">
        <f>Subsurface_Inputs!$C$47-Subsurface_Inputs!$C$43+2*SIN(2*PI()*A217/42)</f>
        <v>-13.533896256340347</v>
      </c>
      <c r="J217" s="25">
        <v>0</v>
      </c>
    </row>
    <row r="218" spans="1:10">
      <c r="A218" s="25">
        <f>Subsurface_Live_Data!A218</f>
        <v>48</v>
      </c>
      <c r="B218" s="25">
        <f>Subsurface_Live_Data!K218</f>
        <v>14598.238200038542</v>
      </c>
      <c r="C218" s="25">
        <f>MAX(0,B218-Subsurface_Inputs!$C$44)</f>
        <v>13098.238200038542</v>
      </c>
      <c r="D218" s="25">
        <f>B218+Subsurface_Inputs!$C$44</f>
        <v>16098.238200038542</v>
      </c>
      <c r="E218" s="25">
        <f>B218*Subsurface_Inputs!$C$45</f>
        <v>8029.0310100211991</v>
      </c>
      <c r="F218" s="25">
        <f t="shared" si="3"/>
        <v>14598.238200038542</v>
      </c>
      <c r="G218" s="25">
        <f>B218*Subsurface_Inputs!$C$46</f>
        <v>25546.91685006745</v>
      </c>
      <c r="H218" s="25">
        <f>Subsurface_Live_Data!Y218</f>
        <v>11.568304911174522</v>
      </c>
      <c r="I218" s="25">
        <f>Subsurface_Inputs!$C$47-Subsurface_Inputs!$C$43+2*SIN(2*PI()*A218/42)</f>
        <v>-13.436337035063941</v>
      </c>
      <c r="J218" s="25">
        <v>0</v>
      </c>
    </row>
    <row r="219" spans="1:10">
      <c r="A219" s="25">
        <f>Subsurface_Live_Data!A219</f>
        <v>48.5</v>
      </c>
      <c r="B219" s="25">
        <f>Subsurface_Live_Data!K219</f>
        <v>14596.397177031589</v>
      </c>
      <c r="C219" s="25">
        <f>MAX(0,B219-Subsurface_Inputs!$C$44)</f>
        <v>13096.397177031589</v>
      </c>
      <c r="D219" s="25">
        <f>B219+Subsurface_Inputs!$C$44</f>
        <v>16096.397177031589</v>
      </c>
      <c r="E219" s="25">
        <f>B219*Subsurface_Inputs!$C$45</f>
        <v>8028.0184473673744</v>
      </c>
      <c r="F219" s="25">
        <f t="shared" si="3"/>
        <v>14596.397177031589</v>
      </c>
      <c r="G219" s="25">
        <f>B219*Subsurface_Inputs!$C$46</f>
        <v>25543.695059805283</v>
      </c>
      <c r="H219" s="25">
        <f>Subsurface_Live_Data!Y219</f>
        <v>11.607183879977917</v>
      </c>
      <c r="I219" s="25">
        <f>Subsurface_Inputs!$C$47-Subsurface_Inputs!$C$43+2*SIN(2*PI()*A219/42)</f>
        <v>-13.347522451368011</v>
      </c>
      <c r="J219" s="25">
        <v>0</v>
      </c>
    </row>
    <row r="220" spans="1:10">
      <c r="A220" s="25">
        <f>Subsurface_Live_Data!A220</f>
        <v>49</v>
      </c>
      <c r="B220" s="25">
        <f>Subsurface_Live_Data!K220</f>
        <v>14594.33019373929</v>
      </c>
      <c r="C220" s="25">
        <f>MAX(0,B220-Subsurface_Inputs!$C$44)</f>
        <v>13094.33019373929</v>
      </c>
      <c r="D220" s="25">
        <f>B220+Subsurface_Inputs!$C$44</f>
        <v>16094.33019373929</v>
      </c>
      <c r="E220" s="25">
        <f>B220*Subsurface_Inputs!$C$45</f>
        <v>8026.8816065566098</v>
      </c>
      <c r="F220" s="25">
        <f t="shared" si="3"/>
        <v>14594.33019373929</v>
      </c>
      <c r="G220" s="25">
        <f>B220*Subsurface_Inputs!$C$46</f>
        <v>25540.077839043755</v>
      </c>
      <c r="H220" s="25">
        <f>Subsurface_Live_Data!Y220</f>
        <v>11.621519817492725</v>
      </c>
      <c r="I220" s="25">
        <f>Subsurface_Inputs!$C$47-Subsurface_Inputs!$C$43+2*SIN(2*PI()*A220/42)</f>
        <v>-13.267949192431123</v>
      </c>
      <c r="J220" s="25">
        <v>0</v>
      </c>
    </row>
    <row r="221" spans="1:10">
      <c r="A221" s="25">
        <f>Subsurface_Live_Data!A221</f>
        <v>49.5</v>
      </c>
      <c r="B221" s="25">
        <f>Subsurface_Live_Data!K221</f>
        <v>14591.31268234764</v>
      </c>
      <c r="C221" s="25">
        <f>MAX(0,B221-Subsurface_Inputs!$C$44)</f>
        <v>13091.31268234764</v>
      </c>
      <c r="D221" s="25">
        <f>B221+Subsurface_Inputs!$C$44</f>
        <v>16091.31268234764</v>
      </c>
      <c r="E221" s="25">
        <f>B221*Subsurface_Inputs!$C$45</f>
        <v>8025.2219752912024</v>
      </c>
      <c r="F221" s="25">
        <f t="shared" si="3"/>
        <v>14591.31268234764</v>
      </c>
      <c r="G221" s="25">
        <f>B221*Subsurface_Inputs!$C$46</f>
        <v>25534.797194108371</v>
      </c>
      <c r="H221" s="25">
        <f>Subsurface_Live_Data!Y221</f>
        <v>11.589782425933826</v>
      </c>
      <c r="I221" s="25">
        <f>Subsurface_Inputs!$C$47-Subsurface_Inputs!$C$43+2*SIN(2*PI()*A221/42)</f>
        <v>-13.198062264195162</v>
      </c>
      <c r="J221" s="25">
        <v>0</v>
      </c>
    </row>
    <row r="222" spans="1:10">
      <c r="A222" s="25">
        <f>Subsurface_Live_Data!A222</f>
        <v>50</v>
      </c>
      <c r="B222" s="25">
        <f>Subsurface_Live_Data!K222</f>
        <v>14589.816141882691</v>
      </c>
      <c r="C222" s="25">
        <f>MAX(0,B222-Subsurface_Inputs!$C$44)</f>
        <v>13089.816141882691</v>
      </c>
      <c r="D222" s="25">
        <f>B222+Subsurface_Inputs!$C$44</f>
        <v>16089.816141882691</v>
      </c>
      <c r="E222" s="25">
        <f>B222*Subsurface_Inputs!$C$45</f>
        <v>8024.3988780354812</v>
      </c>
      <c r="F222" s="25">
        <f t="shared" si="3"/>
        <v>14589.816141882691</v>
      </c>
      <c r="G222" s="25">
        <f>B222*Subsurface_Inputs!$C$46</f>
        <v>25532.178248294709</v>
      </c>
      <c r="H222" s="25">
        <f>Subsurface_Live_Data!Y222</f>
        <v>11.588823991701787</v>
      </c>
      <c r="I222" s="25">
        <f>Subsurface_Inputs!$C$47-Subsurface_Inputs!$C$43+2*SIN(2*PI()*A222/42)</f>
        <v>-13.138252502711591</v>
      </c>
      <c r="J222" s="25">
        <v>0</v>
      </c>
    </row>
    <row r="223" spans="1:10">
      <c r="A223" s="25">
        <f>Subsurface_Live_Data!A223</f>
        <v>50.5</v>
      </c>
      <c r="B223" s="25">
        <f>Subsurface_Live_Data!K223</f>
        <v>14585.724440359641</v>
      </c>
      <c r="C223" s="25">
        <f>MAX(0,B223-Subsurface_Inputs!$C$44)</f>
        <v>13085.724440359641</v>
      </c>
      <c r="D223" s="25">
        <f>B223+Subsurface_Inputs!$C$44</f>
        <v>16085.724440359641</v>
      </c>
      <c r="E223" s="25">
        <f>B223*Subsurface_Inputs!$C$45</f>
        <v>8022.1484421978039</v>
      </c>
      <c r="F223" s="25">
        <f t="shared" si="3"/>
        <v>14585.724440359641</v>
      </c>
      <c r="G223" s="25">
        <f>B223*Subsurface_Inputs!$C$46</f>
        <v>25525.017770629373</v>
      </c>
      <c r="H223" s="25">
        <f>Subsurface_Live_Data!Y223</f>
        <v>11.49281845177034</v>
      </c>
      <c r="I223" s="25">
        <f>Subsurface_Inputs!$C$47-Subsurface_Inputs!$C$43+2*SIN(2*PI()*A223/42)</f>
        <v>-13.08885438842772</v>
      </c>
      <c r="J223" s="25">
        <v>0</v>
      </c>
    </row>
    <row r="224" spans="1:10">
      <c r="A224" s="25">
        <f>Subsurface_Live_Data!A224</f>
        <v>51</v>
      </c>
      <c r="B224" s="25">
        <f>Subsurface_Live_Data!K224</f>
        <v>14585.165789111041</v>
      </c>
      <c r="C224" s="25">
        <f>MAX(0,B224-Subsurface_Inputs!$C$44)</f>
        <v>13085.165789111041</v>
      </c>
      <c r="D224" s="25">
        <f>B224+Subsurface_Inputs!$C$44</f>
        <v>16085.165789111041</v>
      </c>
      <c r="E224" s="25">
        <f>B224*Subsurface_Inputs!$C$45</f>
        <v>8021.841184011073</v>
      </c>
      <c r="F224" s="25">
        <f t="shared" si="3"/>
        <v>14585.165789111041</v>
      </c>
      <c r="G224" s="25">
        <f>B224*Subsurface_Inputs!$C$46</f>
        <v>25524.040130944322</v>
      </c>
      <c r="H224" s="25">
        <f>Subsurface_Live_Data!Y224</f>
        <v>11.491202636761784</v>
      </c>
      <c r="I224" s="25">
        <f>Subsurface_Inputs!$C$47-Subsurface_Inputs!$C$43+2*SIN(2*PI()*A224/42)</f>
        <v>-13.050144175636353</v>
      </c>
      <c r="J224" s="25">
        <v>0</v>
      </c>
    </row>
    <row r="225" spans="1:10">
      <c r="A225" s="25">
        <f>Subsurface_Live_Data!A225</f>
        <v>51.5</v>
      </c>
      <c r="B225" s="25">
        <f>Subsurface_Live_Data!K225</f>
        <v>14581.93601801468</v>
      </c>
      <c r="C225" s="25">
        <f>MAX(0,B225-Subsurface_Inputs!$C$44)</f>
        <v>13081.93601801468</v>
      </c>
      <c r="D225" s="25">
        <f>B225+Subsurface_Inputs!$C$44</f>
        <v>16081.93601801468</v>
      </c>
      <c r="E225" s="25">
        <f>B225*Subsurface_Inputs!$C$45</f>
        <v>8020.0648099080745</v>
      </c>
      <c r="F225" s="25">
        <f t="shared" si="3"/>
        <v>14581.93601801468</v>
      </c>
      <c r="G225" s="25">
        <f>B225*Subsurface_Inputs!$C$46</f>
        <v>25518.38803152569</v>
      </c>
      <c r="H225" s="25">
        <f>Subsurface_Live_Data!Y225</f>
        <v>11.393955472999863</v>
      </c>
      <c r="I225" s="25">
        <f>Subsurface_Inputs!$C$47-Subsurface_Inputs!$C$43+2*SIN(2*PI()*A225/42)</f>
        <v>-13.022338347549743</v>
      </c>
      <c r="J225" s="25">
        <v>0</v>
      </c>
    </row>
    <row r="226" spans="1:10">
      <c r="A226" s="25">
        <f>Subsurface_Live_Data!A226</f>
        <v>52</v>
      </c>
      <c r="B226" s="25">
        <f>Subsurface_Live_Data!K226</f>
        <v>14581.267028886517</v>
      </c>
      <c r="C226" s="25">
        <f>MAX(0,B226-Subsurface_Inputs!$C$44)</f>
        <v>13081.267028886517</v>
      </c>
      <c r="D226" s="25">
        <f>B226+Subsurface_Inputs!$C$44</f>
        <v>16081.267028886517</v>
      </c>
      <c r="E226" s="25">
        <f>B226*Subsurface_Inputs!$C$45</f>
        <v>8019.6968658875849</v>
      </c>
      <c r="F226" s="25">
        <f t="shared" si="3"/>
        <v>14581.267028886517</v>
      </c>
      <c r="G226" s="25">
        <f>B226*Subsurface_Inputs!$C$46</f>
        <v>25517.217300551405</v>
      </c>
      <c r="H226" s="25">
        <f>Subsurface_Live_Data!Y226</f>
        <v>11.362984459801673</v>
      </c>
      <c r="I226" s="25">
        <f>Subsurface_Inputs!$C$47-Subsurface_Inputs!$C$43+2*SIN(2*PI()*A226/42)</f>
        <v>-13.005592405637639</v>
      </c>
      <c r="J226" s="25">
        <v>0</v>
      </c>
    </row>
    <row r="227" spans="1:10">
      <c r="A227" s="25">
        <f>Subsurface_Live_Data!A227</f>
        <v>52.5</v>
      </c>
      <c r="B227" s="25">
        <f>Subsurface_Live_Data!K227</f>
        <v>14582.445512559116</v>
      </c>
      <c r="C227" s="25">
        <f>MAX(0,B227-Subsurface_Inputs!$C$44)</f>
        <v>13082.445512559116</v>
      </c>
      <c r="D227" s="25">
        <f>B227+Subsurface_Inputs!$C$44</f>
        <v>16082.445512559116</v>
      </c>
      <c r="E227" s="25">
        <f>B227*Subsurface_Inputs!$C$45</f>
        <v>8020.3450319075146</v>
      </c>
      <c r="F227" s="25">
        <f t="shared" si="3"/>
        <v>14582.445512559116</v>
      </c>
      <c r="G227" s="25">
        <f>B227*Subsurface_Inputs!$C$46</f>
        <v>25519.279646978452</v>
      </c>
      <c r="H227" s="25">
        <f>Subsurface_Live_Data!Y227</f>
        <v>11.377275918171307</v>
      </c>
      <c r="I227" s="25">
        <f>Subsurface_Inputs!$C$47-Subsurface_Inputs!$C$43+2*SIN(2*PI()*A227/42)</f>
        <v>-13</v>
      </c>
      <c r="J227" s="25">
        <v>0</v>
      </c>
    </row>
    <row r="228" spans="1:10">
      <c r="A228" s="25">
        <f>Subsurface_Live_Data!A228</f>
        <v>53</v>
      </c>
      <c r="B228" s="25">
        <f>Subsurface_Live_Data!K228</f>
        <v>14580.862995264828</v>
      </c>
      <c r="C228" s="25">
        <f>MAX(0,B228-Subsurface_Inputs!$C$44)</f>
        <v>13080.862995264828</v>
      </c>
      <c r="D228" s="25">
        <f>B228+Subsurface_Inputs!$C$44</f>
        <v>16080.862995264828</v>
      </c>
      <c r="E228" s="25">
        <f>B228*Subsurface_Inputs!$C$45</f>
        <v>8019.4746473956557</v>
      </c>
      <c r="F228" s="25">
        <f t="shared" si="3"/>
        <v>14580.862995264828</v>
      </c>
      <c r="G228" s="25">
        <f>B228*Subsurface_Inputs!$C$46</f>
        <v>25516.510241713448</v>
      </c>
      <c r="H228" s="25">
        <f>Subsurface_Live_Data!Y228</f>
        <v>11.295974951950519</v>
      </c>
      <c r="I228" s="25">
        <f>Subsurface_Inputs!$C$47-Subsurface_Inputs!$C$43+2*SIN(2*PI()*A228/42)</f>
        <v>-13.005592405637639</v>
      </c>
      <c r="J228" s="25">
        <v>0</v>
      </c>
    </row>
    <row r="229" spans="1:10">
      <c r="A229" s="25">
        <f>Subsurface_Live_Data!A229</f>
        <v>53.5</v>
      </c>
      <c r="B229" s="25">
        <f>Subsurface_Live_Data!K229</f>
        <v>14582.689740911543</v>
      </c>
      <c r="C229" s="25">
        <f>MAX(0,B229-Subsurface_Inputs!$C$44)</f>
        <v>13082.689740911543</v>
      </c>
      <c r="D229" s="25">
        <f>B229+Subsurface_Inputs!$C$44</f>
        <v>16082.689740911543</v>
      </c>
      <c r="E229" s="25">
        <f>B229*Subsurface_Inputs!$C$45</f>
        <v>8020.4793575013491</v>
      </c>
      <c r="F229" s="25">
        <f t="shared" si="3"/>
        <v>14582.689740911543</v>
      </c>
      <c r="G229" s="25">
        <f>B229*Subsurface_Inputs!$C$46</f>
        <v>25519.707046595198</v>
      </c>
      <c r="H229" s="25">
        <f>Subsurface_Live_Data!Y229</f>
        <v>11.309919447269834</v>
      </c>
      <c r="I229" s="25">
        <f>Subsurface_Inputs!$C$47-Subsurface_Inputs!$C$43+2*SIN(2*PI()*A229/42)</f>
        <v>-13.022338347549743</v>
      </c>
      <c r="J229" s="25">
        <v>0</v>
      </c>
    </row>
    <row r="230" spans="1:10">
      <c r="A230" s="25">
        <f>Subsurface_Live_Data!A230</f>
        <v>54</v>
      </c>
      <c r="B230" s="25">
        <f>Subsurface_Live_Data!K230</f>
        <v>14584.40288243893</v>
      </c>
      <c r="C230" s="25">
        <f>MAX(0,B230-Subsurface_Inputs!$C$44)</f>
        <v>13084.40288243893</v>
      </c>
      <c r="D230" s="25">
        <f>B230+Subsurface_Inputs!$C$44</f>
        <v>16084.40288243893</v>
      </c>
      <c r="E230" s="25">
        <f>B230*Subsurface_Inputs!$C$45</f>
        <v>8021.4215853414116</v>
      </c>
      <c r="F230" s="25">
        <f t="shared" si="3"/>
        <v>14584.40288243893</v>
      </c>
      <c r="G230" s="25">
        <f>B230*Subsurface_Inputs!$C$46</f>
        <v>25522.705044268128</v>
      </c>
      <c r="H230" s="25">
        <f>Subsurface_Live_Data!Y230</f>
        <v>11.311688458769702</v>
      </c>
      <c r="I230" s="25">
        <f>Subsurface_Inputs!$C$47-Subsurface_Inputs!$C$43+2*SIN(2*PI()*A230/42)</f>
        <v>-13.050144175636353</v>
      </c>
      <c r="J230" s="25">
        <v>0</v>
      </c>
    </row>
    <row r="231" spans="1:10">
      <c r="A231" s="25">
        <f>Subsurface_Live_Data!A231</f>
        <v>54.5</v>
      </c>
      <c r="B231" s="25">
        <f>Subsurface_Live_Data!K231</f>
        <v>14587.135802631939</v>
      </c>
      <c r="C231" s="25">
        <f>MAX(0,B231-Subsurface_Inputs!$C$44)</f>
        <v>13087.135802631939</v>
      </c>
      <c r="D231" s="25">
        <f>B231+Subsurface_Inputs!$C$44</f>
        <v>16087.135802631939</v>
      </c>
      <c r="E231" s="25">
        <f>B231*Subsurface_Inputs!$C$45</f>
        <v>8022.9246914475671</v>
      </c>
      <c r="F231" s="25">
        <f t="shared" si="3"/>
        <v>14587.135802631939</v>
      </c>
      <c r="G231" s="25">
        <f>B231*Subsurface_Inputs!$C$46</f>
        <v>25527.487654605895</v>
      </c>
      <c r="H231" s="25">
        <f>Subsurface_Live_Data!Y231</f>
        <v>11.337150160354007</v>
      </c>
      <c r="I231" s="25">
        <f>Subsurface_Inputs!$C$47-Subsurface_Inputs!$C$43+2*SIN(2*PI()*A231/42)</f>
        <v>-13.088854388427718</v>
      </c>
      <c r="J231" s="25">
        <v>0</v>
      </c>
    </row>
    <row r="232" spans="1:10">
      <c r="A232" s="25">
        <f>Subsurface_Live_Data!A232</f>
        <v>55</v>
      </c>
      <c r="B232" s="25">
        <f>Subsurface_Live_Data!K232</f>
        <v>14587.76637498494</v>
      </c>
      <c r="C232" s="25">
        <f>MAX(0,B232-Subsurface_Inputs!$C$44)</f>
        <v>13087.76637498494</v>
      </c>
      <c r="D232" s="25">
        <f>B232+Subsurface_Inputs!$C$44</f>
        <v>16087.76637498494</v>
      </c>
      <c r="E232" s="25">
        <f>B232*Subsurface_Inputs!$C$45</f>
        <v>8023.2715062417174</v>
      </c>
      <c r="F232" s="25">
        <f t="shared" si="3"/>
        <v>14587.76637498494</v>
      </c>
      <c r="G232" s="25">
        <f>B232*Subsurface_Inputs!$C$46</f>
        <v>25528.591156223643</v>
      </c>
      <c r="H232" s="25">
        <f>Subsurface_Live_Data!Y232</f>
        <v>11.291231271540212</v>
      </c>
      <c r="I232" s="25">
        <f>Subsurface_Inputs!$C$47-Subsurface_Inputs!$C$43+2*SIN(2*PI()*A232/42)</f>
        <v>-13.138252502711591</v>
      </c>
      <c r="J232" s="25">
        <v>0</v>
      </c>
    </row>
    <row r="233" spans="1:10">
      <c r="A233" s="25">
        <f>Subsurface_Live_Data!A233</f>
        <v>55.5</v>
      </c>
      <c r="B233" s="25">
        <f>Subsurface_Live_Data!K233</f>
        <v>14591.085193045694</v>
      </c>
      <c r="C233" s="25">
        <f>MAX(0,B233-Subsurface_Inputs!$C$44)</f>
        <v>13091.085193045694</v>
      </c>
      <c r="D233" s="25">
        <f>B233+Subsurface_Inputs!$C$44</f>
        <v>16091.085193045694</v>
      </c>
      <c r="E233" s="25">
        <f>B233*Subsurface_Inputs!$C$45</f>
        <v>8025.0968561751324</v>
      </c>
      <c r="F233" s="25">
        <f t="shared" si="3"/>
        <v>14591.085193045694</v>
      </c>
      <c r="G233" s="25">
        <f>B233*Subsurface_Inputs!$C$46</f>
        <v>25534.399087829963</v>
      </c>
      <c r="H233" s="25">
        <f>Subsurface_Live_Data!Y233</f>
        <v>11.322347833630914</v>
      </c>
      <c r="I233" s="25">
        <f>Subsurface_Inputs!$C$47-Subsurface_Inputs!$C$43+2*SIN(2*PI()*A233/42)</f>
        <v>-13.198062264195162</v>
      </c>
      <c r="J233" s="25">
        <v>0</v>
      </c>
    </row>
    <row r="234" spans="1:10">
      <c r="A234" s="25">
        <f>Subsurface_Live_Data!A234</f>
        <v>56</v>
      </c>
      <c r="B234" s="25">
        <f>Subsurface_Live_Data!K234</f>
        <v>14593.125138126092</v>
      </c>
      <c r="C234" s="25">
        <f>MAX(0,B234-Subsurface_Inputs!$C$44)</f>
        <v>13093.125138126092</v>
      </c>
      <c r="D234" s="25">
        <f>B234+Subsurface_Inputs!$C$44</f>
        <v>16093.125138126092</v>
      </c>
      <c r="E234" s="25">
        <f>B234*Subsurface_Inputs!$C$45</f>
        <v>8026.2188259693512</v>
      </c>
      <c r="F234" s="25">
        <f t="shared" si="3"/>
        <v>14593.125138126092</v>
      </c>
      <c r="G234" s="25">
        <f>B234*Subsurface_Inputs!$C$46</f>
        <v>25537.96899172066</v>
      </c>
      <c r="H234" s="25">
        <f>Subsurface_Live_Data!Y234</f>
        <v>11.309429167380699</v>
      </c>
      <c r="I234" s="25">
        <f>Subsurface_Inputs!$C$47-Subsurface_Inputs!$C$43+2*SIN(2*PI()*A234/42)</f>
        <v>-13.267949192431121</v>
      </c>
      <c r="J234" s="25">
        <v>0</v>
      </c>
    </row>
    <row r="235" spans="1:10">
      <c r="A235" s="25">
        <f>Subsurface_Live_Data!A235</f>
        <v>56.5</v>
      </c>
      <c r="B235" s="25">
        <f>Subsurface_Live_Data!K235</f>
        <v>14595.459830179932</v>
      </c>
      <c r="C235" s="25">
        <f>MAX(0,B235-Subsurface_Inputs!$C$44)</f>
        <v>13095.459830179932</v>
      </c>
      <c r="D235" s="25">
        <f>B235+Subsurface_Inputs!$C$44</f>
        <v>16095.459830179932</v>
      </c>
      <c r="E235" s="25">
        <f>B235*Subsurface_Inputs!$C$45</f>
        <v>8027.5029065989638</v>
      </c>
      <c r="F235" s="25">
        <f t="shared" si="3"/>
        <v>14595.459830179932</v>
      </c>
      <c r="G235" s="25">
        <f>B235*Subsurface_Inputs!$C$46</f>
        <v>25542.054702814883</v>
      </c>
      <c r="H235" s="25">
        <f>Subsurface_Live_Data!Y235</f>
        <v>11.30189861302636</v>
      </c>
      <c r="I235" s="25">
        <f>Subsurface_Inputs!$C$47-Subsurface_Inputs!$C$43+2*SIN(2*PI()*A235/42)</f>
        <v>-13.347522451368011</v>
      </c>
      <c r="J235" s="25">
        <v>0</v>
      </c>
    </row>
    <row r="236" spans="1:10">
      <c r="A236" s="25">
        <f>Subsurface_Live_Data!A236</f>
        <v>57</v>
      </c>
      <c r="B236" s="25">
        <f>Subsurface_Live_Data!K236</f>
        <v>14596.84593445949</v>
      </c>
      <c r="C236" s="25">
        <f>MAX(0,B236-Subsurface_Inputs!$C$44)</f>
        <v>13096.84593445949</v>
      </c>
      <c r="D236" s="25">
        <f>B236+Subsurface_Inputs!$C$44</f>
        <v>16096.84593445949</v>
      </c>
      <c r="E236" s="25">
        <f>B236*Subsurface_Inputs!$C$45</f>
        <v>8028.2652639527205</v>
      </c>
      <c r="F236" s="25">
        <f t="shared" si="3"/>
        <v>14596.84593445949</v>
      </c>
      <c r="G236" s="25">
        <f>B236*Subsurface_Inputs!$C$46</f>
        <v>25544.480385304108</v>
      </c>
      <c r="H236" s="25">
        <f>Subsurface_Live_Data!Y236</f>
        <v>11.262492360753193</v>
      </c>
      <c r="I236" s="25">
        <f>Subsurface_Inputs!$C$47-Subsurface_Inputs!$C$43+2*SIN(2*PI()*A236/42)</f>
        <v>-13.436337035063939</v>
      </c>
      <c r="J236" s="25">
        <v>0</v>
      </c>
    </row>
    <row r="237" spans="1:10">
      <c r="A237" s="25">
        <f>Subsurface_Live_Data!A237</f>
        <v>57.5</v>
      </c>
      <c r="B237" s="25">
        <f>Subsurface_Live_Data!K237</f>
        <v>14602.914420845136</v>
      </c>
      <c r="C237" s="25">
        <f>MAX(0,B237-Subsurface_Inputs!$C$44)</f>
        <v>13102.914420845136</v>
      </c>
      <c r="D237" s="25">
        <f>B237+Subsurface_Inputs!$C$44</f>
        <v>16102.914420845136</v>
      </c>
      <c r="E237" s="25">
        <f>B237*Subsurface_Inputs!$C$45</f>
        <v>8031.6029314648258</v>
      </c>
      <c r="F237" s="25">
        <f t="shared" si="3"/>
        <v>14602.914420845136</v>
      </c>
      <c r="G237" s="25">
        <f>B237*Subsurface_Inputs!$C$46</f>
        <v>25555.100236478989</v>
      </c>
      <c r="H237" s="25">
        <f>Subsurface_Live_Data!Y237</f>
        <v>11.365470361125283</v>
      </c>
      <c r="I237" s="25">
        <f>Subsurface_Inputs!$C$47-Subsurface_Inputs!$C$43+2*SIN(2*PI()*A237/42)</f>
        <v>-13.533896256340348</v>
      </c>
      <c r="J237" s="25">
        <v>0</v>
      </c>
    </row>
    <row r="238" spans="1:10">
      <c r="A238" s="25">
        <f>Subsurface_Live_Data!A238</f>
        <v>58</v>
      </c>
      <c r="B238" s="25">
        <f>Subsurface_Live_Data!K238</f>
        <v>14603.596271830193</v>
      </c>
      <c r="C238" s="25">
        <f>MAX(0,B238-Subsurface_Inputs!$C$44)</f>
        <v>13103.596271830193</v>
      </c>
      <c r="D238" s="25">
        <f>B238+Subsurface_Inputs!$C$44</f>
        <v>16103.596271830193</v>
      </c>
      <c r="E238" s="25">
        <f>B238*Subsurface_Inputs!$C$45</f>
        <v>8031.9779495066068</v>
      </c>
      <c r="F238" s="25">
        <f t="shared" si="3"/>
        <v>14603.596271830193</v>
      </c>
      <c r="G238" s="25">
        <f>B238*Subsurface_Inputs!$C$46</f>
        <v>25556.293475702838</v>
      </c>
      <c r="H238" s="25">
        <f>Subsurface_Live_Data!Y238</f>
        <v>11.301970156879662</v>
      </c>
      <c r="I238" s="25">
        <f>Subsurface_Inputs!$C$47-Subsurface_Inputs!$C$43+2*SIN(2*PI()*A238/42)</f>
        <v>-13.639654524458162</v>
      </c>
      <c r="J238" s="25">
        <v>0</v>
      </c>
    </row>
    <row r="239" spans="1:10">
      <c r="A239" s="25">
        <f>Subsurface_Live_Data!A239</f>
        <v>58.5</v>
      </c>
      <c r="B239" s="25">
        <f>Subsurface_Live_Data!K239</f>
        <v>14607.412196224737</v>
      </c>
      <c r="C239" s="25">
        <f>MAX(0,B239-Subsurface_Inputs!$C$44)</f>
        <v>13107.412196224737</v>
      </c>
      <c r="D239" s="25">
        <f>B239+Subsurface_Inputs!$C$44</f>
        <v>16107.412196224737</v>
      </c>
      <c r="E239" s="25">
        <f>B239*Subsurface_Inputs!$C$45</f>
        <v>8034.0767079236066</v>
      </c>
      <c r="F239" s="25">
        <f t="shared" si="3"/>
        <v>14607.412196224737</v>
      </c>
      <c r="G239" s="25">
        <f>B239*Subsurface_Inputs!$C$46</f>
        <v>25562.971343393292</v>
      </c>
      <c r="H239" s="25">
        <f>Subsurface_Live_Data!Y239</f>
        <v>11.335147442685013</v>
      </c>
      <c r="I239" s="25">
        <f>Subsurface_Inputs!$C$47-Subsurface_Inputs!$C$43+2*SIN(2*PI()*A239/42)</f>
        <v>-13.753020396282533</v>
      </c>
      <c r="J239" s="25">
        <v>0</v>
      </c>
    </row>
    <row r="240" spans="1:10">
      <c r="A240" s="25">
        <f>Subsurface_Live_Data!A240</f>
        <v>59</v>
      </c>
      <c r="B240" s="25">
        <f>Subsurface_Live_Data!K240</f>
        <v>14609.562196914057</v>
      </c>
      <c r="C240" s="25">
        <f>MAX(0,B240-Subsurface_Inputs!$C$44)</f>
        <v>13109.562196914057</v>
      </c>
      <c r="D240" s="25">
        <f>B240+Subsurface_Inputs!$C$44</f>
        <v>16109.562196914057</v>
      </c>
      <c r="E240" s="25">
        <f>B240*Subsurface_Inputs!$C$45</f>
        <v>8035.2592083027321</v>
      </c>
      <c r="F240" s="25">
        <f t="shared" si="3"/>
        <v>14609.562196914057</v>
      </c>
      <c r="G240" s="25">
        <f>B240*Subsurface_Inputs!$C$46</f>
        <v>25566.733844599599</v>
      </c>
      <c r="H240" s="25">
        <f>Subsurface_Live_Data!Y240</f>
        <v>11.318243607930341</v>
      </c>
      <c r="I240" s="25">
        <f>Subsurface_Inputs!$C$47-Subsurface_Inputs!$C$43+2*SIN(2*PI()*A240/42)</f>
        <v>-13.873359883872755</v>
      </c>
      <c r="J240" s="25">
        <v>0</v>
      </c>
    </row>
    <row r="241" spans="1:10">
      <c r="A241" s="25">
        <f>Subsurface_Live_Data!A241</f>
        <v>59.5</v>
      </c>
      <c r="B241" s="25">
        <f>Subsurface_Live_Data!K241</f>
        <v>14615.862307364549</v>
      </c>
      <c r="C241" s="25">
        <f>MAX(0,B241-Subsurface_Inputs!$C$44)</f>
        <v>13115.862307364549</v>
      </c>
      <c r="D241" s="25">
        <f>B241+Subsurface_Inputs!$C$44</f>
        <v>16115.862307364549</v>
      </c>
      <c r="E241" s="25">
        <f>B241*Subsurface_Inputs!$C$45</f>
        <v>8038.7242690505027</v>
      </c>
      <c r="F241" s="25">
        <f t="shared" si="3"/>
        <v>14615.862307364549</v>
      </c>
      <c r="G241" s="25">
        <f>B241*Subsurface_Inputs!$C$46</f>
        <v>25577.759037887961</v>
      </c>
      <c r="H241" s="25">
        <f>Subsurface_Live_Data!Y241</f>
        <v>11.431150496537335</v>
      </c>
      <c r="I241" s="25">
        <f>Subsurface_Inputs!$C$47-Subsurface_Inputs!$C$43+2*SIN(2*PI()*A241/42)</f>
        <v>-13.999999999999996</v>
      </c>
      <c r="J241" s="25">
        <v>0</v>
      </c>
    </row>
    <row r="242" spans="1:10">
      <c r="A242" s="25">
        <f>Subsurface_Live_Data!A242</f>
        <v>60</v>
      </c>
      <c r="B242" s="25">
        <f>Subsurface_Live_Data!K242</f>
        <v>14617.138727886957</v>
      </c>
      <c r="C242" s="25">
        <f>MAX(0,B242-Subsurface_Inputs!$C$44)</f>
        <v>13117.138727886957</v>
      </c>
      <c r="D242" s="25">
        <f>B242+Subsurface_Inputs!$C$44</f>
        <v>16117.138727886957</v>
      </c>
      <c r="E242" s="25">
        <f>B242*Subsurface_Inputs!$C$45</f>
        <v>8039.4263003378273</v>
      </c>
      <c r="F242" s="25">
        <f t="shared" si="3"/>
        <v>14617.138727886957</v>
      </c>
      <c r="G242" s="25">
        <f>B242*Subsurface_Inputs!$C$46</f>
        <v>25579.992773802176</v>
      </c>
      <c r="H242" s="25">
        <f>Subsurface_Live_Data!Y242</f>
        <v>11.392478642603386</v>
      </c>
      <c r="I242" s="25">
        <f>Subsurface_Inputs!$C$47-Subsurface_Inputs!$C$43+2*SIN(2*PI()*A242/42)</f>
        <v>-14.132232521764884</v>
      </c>
      <c r="J242" s="25">
        <v>0</v>
      </c>
    </row>
  </sheetData>
  <autoFilter ref="A1:J24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
  <sheetViews>
    <sheetView workbookViewId="0"/>
  </sheetViews>
  <sheetFormatPr defaultRowHeight="13.8"/>
  <cols>
    <col min="1" max="1" width="30" customWidth="1"/>
    <col min="2" max="2" width="22" customWidth="1"/>
    <col min="3" max="3" width="16" customWidth="1"/>
    <col min="4" max="4" width="22" customWidth="1"/>
    <col min="5" max="5" width="56" customWidth="1"/>
    <col min="7" max="7" width="16" customWidth="1"/>
    <col min="8" max="8" width="26" customWidth="1"/>
    <col min="9" max="9" width="16" customWidth="1"/>
    <col min="10" max="10" width="24" customWidth="1"/>
  </cols>
  <sheetData>
    <row r="1" spans="1:10" ht="41.4">
      <c r="A1" s="23" t="s">
        <v>483</v>
      </c>
      <c r="B1" s="23" t="s">
        <v>484</v>
      </c>
      <c r="C1" s="23" t="s">
        <v>485</v>
      </c>
      <c r="D1" s="23" t="s">
        <v>486</v>
      </c>
      <c r="G1" s="31" t="s">
        <v>487</v>
      </c>
      <c r="H1" s="31" t="s">
        <v>488</v>
      </c>
      <c r="I1" s="31" t="s">
        <v>489</v>
      </c>
      <c r="J1" s="31" t="s">
        <v>490</v>
      </c>
    </row>
    <row r="2" spans="1:10" ht="27.6">
      <c r="A2" s="25" t="s">
        <v>491</v>
      </c>
      <c r="B2" s="25">
        <v>-18</v>
      </c>
      <c r="C2" s="25">
        <v>0.5</v>
      </c>
      <c r="D2" s="25" t="s">
        <v>492</v>
      </c>
      <c r="G2">
        <v>1</v>
      </c>
      <c r="H2">
        <f>B2</f>
        <v>-18</v>
      </c>
    </row>
    <row r="3" spans="1:10" ht="41.4">
      <c r="A3" s="25" t="s">
        <v>493</v>
      </c>
      <c r="B3" s="25">
        <v>-14</v>
      </c>
      <c r="C3" s="25">
        <v>0.8</v>
      </c>
      <c r="D3" s="25" t="s">
        <v>494</v>
      </c>
      <c r="G3">
        <v>2</v>
      </c>
      <c r="H3">
        <f>B3</f>
        <v>-14</v>
      </c>
    </row>
    <row r="4" spans="1:10" ht="41.4">
      <c r="A4" s="25" t="s">
        <v>495</v>
      </c>
      <c r="B4" s="25">
        <v>-10</v>
      </c>
      <c r="C4" s="25">
        <v>1.2</v>
      </c>
      <c r="D4" s="25" t="s">
        <v>496</v>
      </c>
      <c r="G4">
        <v>3</v>
      </c>
      <c r="H4">
        <f>B4</f>
        <v>-10</v>
      </c>
    </row>
    <row r="5" spans="1:10" ht="27.6">
      <c r="A5" s="25" t="s">
        <v>497</v>
      </c>
      <c r="B5" s="25">
        <v>-6</v>
      </c>
      <c r="C5" s="25">
        <v>2</v>
      </c>
      <c r="D5" s="25" t="s">
        <v>498</v>
      </c>
      <c r="G5">
        <v>4</v>
      </c>
      <c r="H5">
        <f>B5</f>
        <v>-6</v>
      </c>
    </row>
    <row r="6" spans="1:10" ht="27.6">
      <c r="A6" s="25" t="s">
        <v>499</v>
      </c>
      <c r="B6" s="25">
        <v>-2</v>
      </c>
      <c r="C6" s="25">
        <v>0</v>
      </c>
      <c r="D6" s="25" t="s">
        <v>500</v>
      </c>
      <c r="G6">
        <v>5</v>
      </c>
      <c r="H6">
        <f>B6</f>
        <v>-2</v>
      </c>
    </row>
    <row r="9" spans="1:10">
      <c r="A9" s="23" t="s">
        <v>501</v>
      </c>
      <c r="B9" s="23" t="s">
        <v>502</v>
      </c>
      <c r="C9" s="23" t="s">
        <v>503</v>
      </c>
      <c r="D9" s="23" t="s">
        <v>504</v>
      </c>
      <c r="E9" s="23" t="s">
        <v>141</v>
      </c>
    </row>
    <row r="10" spans="1:10">
      <c r="A10" s="25" t="s">
        <v>505</v>
      </c>
      <c r="B10" s="25">
        <f>Subsurface_Inputs!$C$48</f>
        <v>55</v>
      </c>
      <c r="C10" s="25">
        <f>Subsurface_Inputs!$C$52</f>
        <v>40</v>
      </c>
      <c r="D10" s="25">
        <f>B10*C10/100</f>
        <v>22</v>
      </c>
      <c r="E10" s="25" t="s">
        <v>506</v>
      </c>
      <c r="I10">
        <v>1</v>
      </c>
      <c r="J10">
        <f>B10</f>
        <v>55</v>
      </c>
    </row>
    <row r="11" spans="1:10">
      <c r="A11" s="25" t="s">
        <v>507</v>
      </c>
      <c r="B11" s="25">
        <f>Subsurface_Inputs!$C$49</f>
        <v>35</v>
      </c>
      <c r="C11" s="25">
        <f>Subsurface_Inputs!$C$53</f>
        <v>20</v>
      </c>
      <c r="D11" s="25">
        <f>B11*C11/100</f>
        <v>7</v>
      </c>
      <c r="E11" s="25" t="s">
        <v>508</v>
      </c>
      <c r="I11">
        <v>2</v>
      </c>
      <c r="J11">
        <f>B11</f>
        <v>35</v>
      </c>
    </row>
    <row r="12" spans="1:10">
      <c r="A12" s="25" t="s">
        <v>509</v>
      </c>
      <c r="B12" s="25">
        <f>Subsurface_Inputs!$C$50</f>
        <v>40</v>
      </c>
      <c r="C12" s="25">
        <f>Subsurface_Inputs!$C$54</f>
        <v>20</v>
      </c>
      <c r="D12" s="25">
        <f>B12*C12/100</f>
        <v>8</v>
      </c>
      <c r="E12" s="25" t="s">
        <v>510</v>
      </c>
      <c r="I12">
        <v>3</v>
      </c>
      <c r="J12">
        <f>B12</f>
        <v>40</v>
      </c>
    </row>
    <row r="13" spans="1:10">
      <c r="A13" s="25" t="s">
        <v>511</v>
      </c>
      <c r="B13" s="25">
        <f>Subsurface_Inputs!$C$51</f>
        <v>50</v>
      </c>
      <c r="C13" s="25">
        <f>Subsurface_Inputs!$C$55</f>
        <v>20</v>
      </c>
      <c r="D13" s="25">
        <f>B13*C13/100</f>
        <v>10</v>
      </c>
      <c r="E13" s="25" t="s">
        <v>512</v>
      </c>
      <c r="I13">
        <v>4</v>
      </c>
      <c r="J13">
        <f>B13</f>
        <v>50</v>
      </c>
    </row>
    <row r="14" spans="1:10">
      <c r="A14" s="25" t="s">
        <v>513</v>
      </c>
      <c r="B14" s="25"/>
      <c r="C14" s="25">
        <f>SUM(C10:C13)</f>
        <v>100</v>
      </c>
      <c r="D14" s="25">
        <f>SUM(D10:D13)/MAX(1,C14)*100</f>
        <v>47</v>
      </c>
      <c r="E14" s="25" t="s">
        <v>514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2"/>
  <sheetViews>
    <sheetView workbookViewId="0">
      <pane ySplit="1" topLeftCell="A2" activePane="bottomLeft" state="frozen"/>
      <selection pane="bottomLeft"/>
    </sheetView>
  </sheetViews>
  <sheetFormatPr defaultRowHeight="13.8"/>
  <cols>
    <col min="1" max="7" width="22" customWidth="1"/>
  </cols>
  <sheetData>
    <row r="1" spans="1:7" ht="27.6">
      <c r="A1" s="23" t="s">
        <v>404</v>
      </c>
      <c r="B1" s="23" t="s">
        <v>515</v>
      </c>
      <c r="C1" s="23" t="s">
        <v>516</v>
      </c>
      <c r="D1" s="23" t="s">
        <v>517</v>
      </c>
      <c r="E1" s="23" t="s">
        <v>518</v>
      </c>
      <c r="F1" s="23" t="s">
        <v>519</v>
      </c>
      <c r="G1" s="23" t="s">
        <v>520</v>
      </c>
    </row>
    <row r="2" spans="1:7">
      <c r="A2" s="25">
        <f>Subsurface_Live_Data!A2</f>
        <v>-60</v>
      </c>
      <c r="B2" s="25">
        <v>0</v>
      </c>
      <c r="C2" s="25">
        <f>Subsurface_Inputs!$C$57+1.5*SIN(2*PI()*A2/35)</f>
        <v>13.462391868272736</v>
      </c>
      <c r="D2" s="25">
        <f>Subsurface_Live_Data!M2+Subsurface_Inputs!$C$56*SIN(2*PI()*A2/31)</f>
        <v>11.833217134323281</v>
      </c>
      <c r="E2" s="25" t="e">
        <f>IF(Subsurface_Live_Data!H2&gt;=Subsurface_Inputs!$C$42,Subsurface_Live_Data!N2+Subsurface_Inputs!$C$56*SIN(2*PI()*A2/27),NA())</f>
        <v>#N/A</v>
      </c>
      <c r="F2" s="25">
        <f>Subsurface_Live_Data!O2+Subsurface_Inputs!$C$56*SIN(2*PI()*A2/47)</f>
        <v>171.16200481596744</v>
      </c>
      <c r="G2" s="25">
        <f t="shared" ref="G2:G65" si="0">-55+3*SIN(2*PI()*A2/19)</f>
        <v>-57.511499434787581</v>
      </c>
    </row>
    <row r="3" spans="1:7">
      <c r="A3" s="25">
        <f>Subsurface_Live_Data!A3</f>
        <v>-59.5</v>
      </c>
      <c r="B3" s="25">
        <v>0</v>
      </c>
      <c r="C3" s="25">
        <f>Subsurface_Inputs!$C$57+1.5*SIN(2*PI()*A3/35)</f>
        <v>13.42658477444273</v>
      </c>
      <c r="D3" s="25">
        <f>Subsurface_Live_Data!M3+Subsurface_Inputs!$C$56*SIN(2*PI()*A3/31)</f>
        <v>11.966229169299067</v>
      </c>
      <c r="E3" s="25" t="e">
        <f>IF(Subsurface_Live_Data!H3&gt;=Subsurface_Inputs!$C$42,Subsurface_Live_Data!N3+Subsurface_Inputs!$C$56*SIN(2*PI()*A3/27),NA())</f>
        <v>#N/A</v>
      </c>
      <c r="F3" s="25">
        <f>Subsurface_Live_Data!O3+Subsurface_Inputs!$C$56*SIN(2*PI()*A3/47)</f>
        <v>171.27241434932014</v>
      </c>
      <c r="G3" s="25">
        <f t="shared" si="0"/>
        <v>-57.207171732019397</v>
      </c>
    </row>
    <row r="4" spans="1:7">
      <c r="A4" s="25">
        <f>Subsurface_Live_Data!A4</f>
        <v>-59</v>
      </c>
      <c r="B4" s="25">
        <v>0</v>
      </c>
      <c r="C4" s="25">
        <f>Subsurface_Inputs!$C$57+1.5*SIN(2*PI()*A4/35)</f>
        <v>13.379291658827176</v>
      </c>
      <c r="D4" s="25">
        <f>Subsurface_Live_Data!M4+Subsurface_Inputs!$C$56*SIN(2*PI()*A4/31)</f>
        <v>12.11792233840066</v>
      </c>
      <c r="E4" s="25" t="e">
        <f>IF(Subsurface_Live_Data!H4&gt;=Subsurface_Inputs!$C$42,Subsurface_Live_Data!N4+Subsurface_Inputs!$C$56*SIN(2*PI()*A4/27),NA())</f>
        <v>#N/A</v>
      </c>
      <c r="F4" s="25">
        <f>Subsurface_Live_Data!O4+Subsurface_Inputs!$C$56*SIN(2*PI()*A4/47)</f>
        <v>171.36750838193723</v>
      </c>
      <c r="G4" s="25">
        <f t="shared" si="0"/>
        <v>-56.842638138068999</v>
      </c>
    </row>
    <row r="5" spans="1:7">
      <c r="A5" s="25">
        <f>Subsurface_Live_Data!A5</f>
        <v>-58.5</v>
      </c>
      <c r="B5" s="25">
        <v>0</v>
      </c>
      <c r="C5" s="25">
        <f>Subsurface_Inputs!$C$57+1.5*SIN(2*PI()*A5/35)</f>
        <v>13.320893297785107</v>
      </c>
      <c r="D5" s="25">
        <f>Subsurface_Live_Data!M5+Subsurface_Inputs!$C$56*SIN(2*PI()*A5/31)</f>
        <v>12.291269268907243</v>
      </c>
      <c r="E5" s="25" t="e">
        <f>IF(Subsurface_Live_Data!H5&gt;=Subsurface_Inputs!$C$42,Subsurface_Live_Data!N5+Subsurface_Inputs!$C$56*SIN(2*PI()*A5/27),NA())</f>
        <v>#N/A</v>
      </c>
      <c r="F5" s="25">
        <f>Subsurface_Live_Data!O5+Subsurface_Inputs!$C$56*SIN(2*PI()*A5/47)</f>
        <v>171.43363762532118</v>
      </c>
      <c r="G5" s="25">
        <f t="shared" si="0"/>
        <v>-56.427842179111217</v>
      </c>
    </row>
    <row r="6" spans="1:7">
      <c r="A6" s="25">
        <f>Subsurface_Live_Data!A6</f>
        <v>-58</v>
      </c>
      <c r="B6" s="25">
        <v>0</v>
      </c>
      <c r="C6" s="25">
        <f>Subsurface_Inputs!$C$57+1.5*SIN(2*PI()*A6/35)</f>
        <v>13.251859880581954</v>
      </c>
      <c r="D6" s="25">
        <f>Subsurface_Live_Data!M6+Subsurface_Inputs!$C$56*SIN(2*PI()*A6/31)</f>
        <v>12.459187592157058</v>
      </c>
      <c r="E6" s="25" t="e">
        <f>IF(Subsurface_Live_Data!H6&gt;=Subsurface_Inputs!$C$42,Subsurface_Live_Data!N6+Subsurface_Inputs!$C$56*SIN(2*PI()*A6/27),NA())</f>
        <v>#N/A</v>
      </c>
      <c r="F6" s="25">
        <f>Subsurface_Live_Data!O6+Subsurface_Inputs!$C$56*SIN(2*PI()*A6/47)</f>
        <v>171.56167729103731</v>
      </c>
      <c r="G6" s="25">
        <f t="shared" si="0"/>
        <v>-55.974098407614051</v>
      </c>
    </row>
    <row r="7" spans="1:7">
      <c r="A7" s="25">
        <f>Subsurface_Live_Data!A7</f>
        <v>-57.5</v>
      </c>
      <c r="B7" s="25">
        <v>0</v>
      </c>
      <c r="C7" s="25">
        <f>Subsurface_Inputs!$C$57+1.5*SIN(2*PI()*A7/35)</f>
        <v>13.172747223702045</v>
      </c>
      <c r="D7" s="25">
        <f>Subsurface_Live_Data!M7+Subsurface_Inputs!$C$56*SIN(2*PI()*A7/31)</f>
        <v>12.653151260857147</v>
      </c>
      <c r="E7" s="25" t="e">
        <f>IF(Subsurface_Live_Data!H7&gt;=Subsurface_Inputs!$C$42,Subsurface_Live_Data!N7+Subsurface_Inputs!$C$56*SIN(2*PI()*A7/27),NA())</f>
        <v>#N/A</v>
      </c>
      <c r="F7" s="25">
        <f>Subsurface_Live_Data!O7+Subsurface_Inputs!$C$56*SIN(2*PI()*A7/47)</f>
        <v>171.63690109395728</v>
      </c>
      <c r="G7" s="25">
        <f t="shared" si="0"/>
        <v>-55.493783770842207</v>
      </c>
    </row>
    <row r="8" spans="1:7">
      <c r="A8" s="25">
        <f>Subsurface_Live_Data!A8</f>
        <v>-57</v>
      </c>
      <c r="B8" s="25">
        <v>0</v>
      </c>
      <c r="C8" s="25">
        <f>Subsurface_Inputs!$C$57+1.5*SIN(2*PI()*A8/35)</f>
        <v>13.084192295741087</v>
      </c>
      <c r="D8" s="25">
        <f>Subsurface_Live_Data!M8+Subsurface_Inputs!$C$56*SIN(2*PI()*A8/31)</f>
        <v>12.846377753612281</v>
      </c>
      <c r="E8" s="25" t="e">
        <f>IF(Subsurface_Live_Data!H8&gt;=Subsurface_Inputs!$C$42,Subsurface_Live_Data!N8+Subsurface_Inputs!$C$56*SIN(2*PI()*A8/27),NA())</f>
        <v>#N/A</v>
      </c>
      <c r="F8" s="25">
        <f>Subsurface_Live_Data!O8+Subsurface_Inputs!$C$56*SIN(2*PI()*A8/47)</f>
        <v>171.74785251366751</v>
      </c>
      <c r="G8" s="25">
        <f t="shared" si="0"/>
        <v>-55</v>
      </c>
    </row>
    <row r="9" spans="1:7">
      <c r="A9" s="25">
        <f>Subsurface_Live_Data!A9</f>
        <v>-56.5</v>
      </c>
      <c r="B9" s="25">
        <v>0</v>
      </c>
      <c r="C9" s="25">
        <f>Subsurface_Inputs!$C$57+1.5*SIN(2*PI()*A9/35)</f>
        <v>12.986908088909569</v>
      </c>
      <c r="D9" s="25">
        <f>Subsurface_Live_Data!M9+Subsurface_Inputs!$C$56*SIN(2*PI()*A9/31)</f>
        <v>13.049494780557712</v>
      </c>
      <c r="E9" s="25" t="e">
        <f>IF(Subsurface_Live_Data!H9&gt;=Subsurface_Inputs!$C$42,Subsurface_Live_Data!N9+Subsurface_Inputs!$C$56*SIN(2*PI()*A9/27),NA())</f>
        <v>#N/A</v>
      </c>
      <c r="F9" s="25">
        <f>Subsurface_Live_Data!O9+Subsurface_Inputs!$C$56*SIN(2*PI()*A9/47)</f>
        <v>171.85155064294074</v>
      </c>
      <c r="G9" s="25">
        <f t="shared" si="0"/>
        <v>-54.506216229157786</v>
      </c>
    </row>
    <row r="10" spans="1:7">
      <c r="A10" s="25">
        <f>Subsurface_Live_Data!A10</f>
        <v>-56</v>
      </c>
      <c r="B10" s="25">
        <v>0</v>
      </c>
      <c r="C10" s="25">
        <f>Subsurface_Inputs!$C$57+1.5*SIN(2*PI()*A10/35)</f>
        <v>12.881677878438708</v>
      </c>
      <c r="D10" s="25">
        <f>Subsurface_Live_Data!M10+Subsurface_Inputs!$C$56*SIN(2*PI()*A10/31)</f>
        <v>13.26849083586356</v>
      </c>
      <c r="E10" s="25" t="e">
        <f>IF(Subsurface_Live_Data!H10&gt;=Subsurface_Inputs!$C$42,Subsurface_Live_Data!N10+Subsurface_Inputs!$C$56*SIN(2*PI()*A10/27),NA())</f>
        <v>#N/A</v>
      </c>
      <c r="F10" s="25">
        <f>Subsurface_Live_Data!O10+Subsurface_Inputs!$C$56*SIN(2*PI()*A10/47)</f>
        <v>171.92071512976034</v>
      </c>
      <c r="G10" s="25">
        <f t="shared" si="0"/>
        <v>-54.025901592385942</v>
      </c>
    </row>
    <row r="11" spans="1:7">
      <c r="A11" s="25">
        <f>Subsurface_Live_Data!A11</f>
        <v>-55.5</v>
      </c>
      <c r="B11" s="25">
        <v>0</v>
      </c>
      <c r="C11" s="25">
        <f>Subsurface_Inputs!$C$57+1.5*SIN(2*PI()*A11/35)</f>
        <v>12.769348916108859</v>
      </c>
      <c r="D11" s="25">
        <f>Subsurface_Live_Data!M11+Subsurface_Inputs!$C$56*SIN(2*PI()*A11/31)</f>
        <v>13.475919532016679</v>
      </c>
      <c r="E11" s="25" t="e">
        <f>IF(Subsurface_Live_Data!H11&gt;=Subsurface_Inputs!$C$42,Subsurface_Live_Data!N11+Subsurface_Inputs!$C$56*SIN(2*PI()*A11/27),NA())</f>
        <v>#N/A</v>
      </c>
      <c r="F11" s="25">
        <f>Subsurface_Live_Data!O11+Subsurface_Inputs!$C$56*SIN(2*PI()*A11/47)</f>
        <v>172.04461489795784</v>
      </c>
      <c r="G11" s="25">
        <f t="shared" si="0"/>
        <v>-53.572157820888776</v>
      </c>
    </row>
    <row r="12" spans="1:7">
      <c r="A12" s="25">
        <f>Subsurface_Live_Data!A12</f>
        <v>-55</v>
      </c>
      <c r="B12" s="25">
        <v>0</v>
      </c>
      <c r="C12" s="25">
        <f>Subsurface_Inputs!$C$57+1.5*SIN(2*PI()*A12/35)</f>
        <v>12.650825608676337</v>
      </c>
      <c r="D12" s="25">
        <f>Subsurface_Live_Data!M12+Subsurface_Inputs!$C$56*SIN(2*PI()*A12/31)</f>
        <v>13.695581792774236</v>
      </c>
      <c r="E12" s="25" t="e">
        <f>IF(Subsurface_Live_Data!H12&gt;=Subsurface_Inputs!$C$42,Subsurface_Live_Data!N12+Subsurface_Inputs!$C$56*SIN(2*PI()*A12/27),NA())</f>
        <v>#N/A</v>
      </c>
      <c r="F12" s="25">
        <f>Subsurface_Live_Data!O12+Subsurface_Inputs!$C$56*SIN(2*PI()*A12/47)</f>
        <v>172.13275558163735</v>
      </c>
      <c r="G12" s="25">
        <f t="shared" si="0"/>
        <v>-53.157361861931001</v>
      </c>
    </row>
    <row r="13" spans="1:7">
      <c r="A13" s="25">
        <f>Subsurface_Live_Data!A13</f>
        <v>-54.5</v>
      </c>
      <c r="B13" s="25">
        <v>0</v>
      </c>
      <c r="C13" s="25">
        <f>Subsurface_Inputs!$C$57+1.5*SIN(2*PI()*A13/35)</f>
        <v>12.527062236122013</v>
      </c>
      <c r="D13" s="25">
        <f>Subsurface_Live_Data!M13+Subsurface_Inputs!$C$56*SIN(2*PI()*A13/31)</f>
        <v>13.916250753283116</v>
      </c>
      <c r="E13" s="25" t="e">
        <f>IF(Subsurface_Live_Data!H13&gt;=Subsurface_Inputs!$C$42,Subsurface_Live_Data!N13+Subsurface_Inputs!$C$56*SIN(2*PI()*A13/27),NA())</f>
        <v>#N/A</v>
      </c>
      <c r="F13" s="25">
        <f>Subsurface_Live_Data!O13+Subsurface_Inputs!$C$56*SIN(2*PI()*A13/47)</f>
        <v>172.21692766661533</v>
      </c>
      <c r="G13" s="25">
        <f t="shared" si="0"/>
        <v>-52.792828267980603</v>
      </c>
    </row>
    <row r="14" spans="1:7">
      <c r="A14" s="25">
        <f>Subsurface_Live_Data!A14</f>
        <v>-54</v>
      </c>
      <c r="B14" s="25">
        <v>0</v>
      </c>
      <c r="C14" s="25">
        <f>Subsurface_Inputs!$C$57+1.5*SIN(2*PI()*A14/35)</f>
        <v>12.399055268350011</v>
      </c>
      <c r="D14" s="25">
        <f>Subsurface_Live_Data!M14+Subsurface_Inputs!$C$56*SIN(2*PI()*A14/31)</f>
        <v>14.126739869660424</v>
      </c>
      <c r="E14" s="25" t="e">
        <f>IF(Subsurface_Live_Data!H14&gt;=Subsurface_Inputs!$C$42,Subsurface_Live_Data!N14+Subsurface_Inputs!$C$56*SIN(2*PI()*A14/27),NA())</f>
        <v>#N/A</v>
      </c>
      <c r="F14" s="25">
        <f>Subsurface_Live_Data!O14+Subsurface_Inputs!$C$56*SIN(2*PI()*A14/47)</f>
        <v>172.32856231891094</v>
      </c>
      <c r="G14" s="25">
        <f t="shared" si="0"/>
        <v>-52.488500565212412</v>
      </c>
    </row>
    <row r="15" spans="1:7">
      <c r="A15" s="25">
        <f>Subsurface_Live_Data!A15</f>
        <v>-53.5</v>
      </c>
      <c r="B15" s="25">
        <v>0</v>
      </c>
      <c r="C15" s="25">
        <f>Subsurface_Inputs!$C$57+1.5*SIN(2*PI()*A15/35)</f>
        <v>12.267835342197955</v>
      </c>
      <c r="D15" s="25">
        <f>Subsurface_Live_Data!M15+Subsurface_Inputs!$C$56*SIN(2*PI()*A15/31)</f>
        <v>14.340556915942718</v>
      </c>
      <c r="E15" s="25" t="e">
        <f>IF(Subsurface_Live_Data!H15&gt;=Subsurface_Inputs!$C$42,Subsurface_Live_Data!N15+Subsurface_Inputs!$C$56*SIN(2*PI()*A15/27),NA())</f>
        <v>#N/A</v>
      </c>
      <c r="F15" s="25">
        <f>Subsurface_Live_Data!O15+Subsurface_Inputs!$C$56*SIN(2*PI()*A15/47)</f>
        <v>172.41254406183737</v>
      </c>
      <c r="G15" s="25">
        <f t="shared" si="0"/>
        <v>-52.252680020034823</v>
      </c>
    </row>
    <row r="16" spans="1:7">
      <c r="A16" s="25">
        <f>Subsurface_Live_Data!A16</f>
        <v>-53</v>
      </c>
      <c r="B16" s="25">
        <v>0</v>
      </c>
      <c r="C16" s="25">
        <f>Subsurface_Inputs!$C$57+1.5*SIN(2*PI()*A16/35)</f>
        <v>12.134458963355149</v>
      </c>
      <c r="D16" s="25">
        <f>Subsurface_Live_Data!M16+Subsurface_Inputs!$C$56*SIN(2*PI()*A16/31)</f>
        <v>14.541257845901676</v>
      </c>
      <c r="E16" s="25" t="e">
        <f>IF(Subsurface_Live_Data!H16&gt;=Subsurface_Inputs!$C$42,Subsurface_Live_Data!N16+Subsurface_Inputs!$C$56*SIN(2*PI()*A16/27),NA())</f>
        <v>#N/A</v>
      </c>
      <c r="F16" s="25">
        <f>Subsurface_Live_Data!O16+Subsurface_Inputs!$C$56*SIN(2*PI()*A16/47)</f>
        <v>172.51857973611146</v>
      </c>
      <c r="G16" s="25">
        <f t="shared" si="0"/>
        <v>-52.09179920218201</v>
      </c>
    </row>
    <row r="17" spans="1:7">
      <c r="A17" s="25">
        <f>Subsurface_Live_Data!A17</f>
        <v>-52.5</v>
      </c>
      <c r="B17" s="25">
        <v>0</v>
      </c>
      <c r="C17" s="25">
        <f>Subsurface_Inputs!$C$57+1.5*SIN(2*PI()*A17/35)</f>
        <v>12</v>
      </c>
      <c r="D17" s="25">
        <f>Subsurface_Live_Data!M17+Subsurface_Inputs!$C$56*SIN(2*PI()*A17/31)</f>
        <v>14.734498792358925</v>
      </c>
      <c r="E17" s="25" t="e">
        <f>IF(Subsurface_Live_Data!H17&gt;=Subsurface_Inputs!$C$42,Subsurface_Live_Data!N17+Subsurface_Inputs!$C$56*SIN(2*PI()*A17/27),NA())</f>
        <v>#N/A</v>
      </c>
      <c r="F17" s="25">
        <f>Subsurface_Live_Data!O17+Subsurface_Inputs!$C$56*SIN(2*PI()*A17/47)</f>
        <v>172.61912799489085</v>
      </c>
      <c r="G17" s="25">
        <f t="shared" si="0"/>
        <v>-52.01024652097999</v>
      </c>
    </row>
    <row r="18" spans="1:7">
      <c r="A18" s="25">
        <f>Subsurface_Live_Data!A18</f>
        <v>-52</v>
      </c>
      <c r="B18" s="25">
        <v>0</v>
      </c>
      <c r="C18" s="25">
        <f>Subsurface_Inputs!$C$57+1.5*SIN(2*PI()*A18/35)</f>
        <v>11.865541036644849</v>
      </c>
      <c r="D18" s="25">
        <f>Subsurface_Live_Data!M18+Subsurface_Inputs!$C$56*SIN(2*PI()*A18/31)</f>
        <v>14.918961988730628</v>
      </c>
      <c r="E18" s="25" t="e">
        <f>IF(Subsurface_Live_Data!H18&gt;=Subsurface_Inputs!$C$42,Subsurface_Live_Data!N18+Subsurface_Inputs!$C$56*SIN(2*PI()*A18/27),NA())</f>
        <v>#N/A</v>
      </c>
      <c r="F18" s="25">
        <f>Subsurface_Live_Data!O18+Subsurface_Inputs!$C$56*SIN(2*PI()*A18/47)</f>
        <v>172.71127217604629</v>
      </c>
      <c r="G18" s="25">
        <f t="shared" si="0"/>
        <v>-52.01024652097999</v>
      </c>
    </row>
    <row r="19" spans="1:7">
      <c r="A19" s="25">
        <f>Subsurface_Live_Data!A19</f>
        <v>-51.5</v>
      </c>
      <c r="B19" s="25">
        <v>0</v>
      </c>
      <c r="C19" s="25">
        <f>Subsurface_Inputs!$C$57+1.5*SIN(2*PI()*A19/35)</f>
        <v>11.732164657802045</v>
      </c>
      <c r="D19" s="25">
        <f>Subsurface_Live_Data!M19+Subsurface_Inputs!$C$56*SIN(2*PI()*A19/31)</f>
        <v>15.094024012147955</v>
      </c>
      <c r="E19" s="25" t="e">
        <f>IF(Subsurface_Live_Data!H19&gt;=Subsurface_Inputs!$C$42,Subsurface_Live_Data!N19+Subsurface_Inputs!$C$56*SIN(2*PI()*A19/27),NA())</f>
        <v>#N/A</v>
      </c>
      <c r="F19" s="25">
        <f>Subsurface_Live_Data!O19+Subsurface_Inputs!$C$56*SIN(2*PI()*A19/47)</f>
        <v>172.78999516047736</v>
      </c>
      <c r="G19" s="25">
        <f t="shared" si="0"/>
        <v>-52.09179920218201</v>
      </c>
    </row>
    <row r="20" spans="1:7">
      <c r="A20" s="25">
        <f>Subsurface_Live_Data!A20</f>
        <v>-51</v>
      </c>
      <c r="B20" s="25">
        <v>0</v>
      </c>
      <c r="C20" s="25">
        <f>Subsurface_Inputs!$C$57+1.5*SIN(2*PI()*A20/35)</f>
        <v>11.600944731649987</v>
      </c>
      <c r="D20" s="25">
        <f>Subsurface_Live_Data!M20+Subsurface_Inputs!$C$56*SIN(2*PI()*A20/31)</f>
        <v>15.240273039994134</v>
      </c>
      <c r="E20" s="25" t="e">
        <f>IF(Subsurface_Live_Data!H20&gt;=Subsurface_Inputs!$C$42,Subsurface_Live_Data!N20+Subsurface_Inputs!$C$56*SIN(2*PI()*A20/27),NA())</f>
        <v>#N/A</v>
      </c>
      <c r="F20" s="25">
        <f>Subsurface_Live_Data!O20+Subsurface_Inputs!$C$56*SIN(2*PI()*A20/47)</f>
        <v>172.91648075611019</v>
      </c>
      <c r="G20" s="25">
        <f t="shared" si="0"/>
        <v>-52.25268002003483</v>
      </c>
    </row>
    <row r="21" spans="1:7">
      <c r="A21" s="25">
        <f>Subsurface_Live_Data!A21</f>
        <v>-50.5</v>
      </c>
      <c r="B21" s="25">
        <v>0</v>
      </c>
      <c r="C21" s="25">
        <f>Subsurface_Inputs!$C$57+1.5*SIN(2*PI()*A21/35)</f>
        <v>11.472937763877985</v>
      </c>
      <c r="D21" s="25">
        <f>Subsurface_Live_Data!M21+Subsurface_Inputs!$C$56*SIN(2*PI()*A21/31)</f>
        <v>15.373481343704492</v>
      </c>
      <c r="E21" s="25" t="e">
        <f>IF(Subsurface_Live_Data!H21&gt;=Subsurface_Inputs!$C$42,Subsurface_Live_Data!N21+Subsurface_Inputs!$C$56*SIN(2*PI()*A21/27),NA())</f>
        <v>#N/A</v>
      </c>
      <c r="F21" s="25">
        <f>Subsurface_Live_Data!O21+Subsurface_Inputs!$C$56*SIN(2*PI()*A21/47)</f>
        <v>173.02931777796832</v>
      </c>
      <c r="G21" s="25">
        <f t="shared" si="0"/>
        <v>-52.488500565212419</v>
      </c>
    </row>
    <row r="22" spans="1:7">
      <c r="A22" s="25">
        <f>Subsurface_Live_Data!A22</f>
        <v>-50</v>
      </c>
      <c r="B22" s="25">
        <v>0</v>
      </c>
      <c r="C22" s="25">
        <f>Subsurface_Inputs!$C$57+1.5*SIN(2*PI()*A22/35)</f>
        <v>11.349174391323663</v>
      </c>
      <c r="D22" s="25">
        <f>Subsurface_Live_Data!M22+Subsurface_Inputs!$C$56*SIN(2*PI()*A22/31)</f>
        <v>15.501182099089991</v>
      </c>
      <c r="E22" s="25" t="e">
        <f>IF(Subsurface_Live_Data!H22&gt;=Subsurface_Inputs!$C$42,Subsurface_Live_Data!N22+Subsurface_Inputs!$C$56*SIN(2*PI()*A22/27),NA())</f>
        <v>#N/A</v>
      </c>
      <c r="F22" s="25">
        <f>Subsurface_Live_Data!O22+Subsurface_Inputs!$C$56*SIN(2*PI()*A22/47)</f>
        <v>173.09658303232197</v>
      </c>
      <c r="G22" s="25">
        <f t="shared" si="0"/>
        <v>-52.792828267980603</v>
      </c>
    </row>
    <row r="23" spans="1:7">
      <c r="A23" s="25">
        <f>Subsurface_Live_Data!A23</f>
        <v>-49.5</v>
      </c>
      <c r="B23" s="25">
        <v>0</v>
      </c>
      <c r="C23" s="25">
        <f>Subsurface_Inputs!$C$57+1.5*SIN(2*PI()*A23/35)</f>
        <v>11.230651083891141</v>
      </c>
      <c r="D23" s="25">
        <f>Subsurface_Live_Data!M23+Subsurface_Inputs!$C$56*SIN(2*PI()*A23/31)</f>
        <v>15.591196271052898</v>
      </c>
      <c r="E23" s="25" t="e">
        <f>IF(Subsurface_Live_Data!H23&gt;=Subsurface_Inputs!$C$42,Subsurface_Live_Data!N23+Subsurface_Inputs!$C$56*SIN(2*PI()*A23/27),NA())</f>
        <v>#N/A</v>
      </c>
      <c r="F23" s="25">
        <f>Subsurface_Live_Data!O23+Subsurface_Inputs!$C$56*SIN(2*PI()*A23/47)</f>
        <v>173.22609110799192</v>
      </c>
      <c r="G23" s="25">
        <f t="shared" si="0"/>
        <v>-53.157361861930994</v>
      </c>
    </row>
    <row r="24" spans="1:7">
      <c r="A24" s="25">
        <f>Subsurface_Live_Data!A24</f>
        <v>-49</v>
      </c>
      <c r="B24" s="25">
        <v>0</v>
      </c>
      <c r="C24" s="25">
        <f>Subsurface_Inputs!$C$57+1.5*SIN(2*PI()*A24/35)</f>
        <v>11.11832212156129</v>
      </c>
      <c r="D24" s="25">
        <f>Subsurface_Live_Data!M24+Subsurface_Inputs!$C$56*SIN(2*PI()*A24/31)</f>
        <v>15.672601114629899</v>
      </c>
      <c r="E24" s="25" t="e">
        <f>IF(Subsurface_Live_Data!H24&gt;=Subsurface_Inputs!$C$42,Subsurface_Live_Data!N24+Subsurface_Inputs!$C$56*SIN(2*PI()*A24/27),NA())</f>
        <v>#N/A</v>
      </c>
      <c r="F24" s="25">
        <f>Subsurface_Live_Data!O24+Subsurface_Inputs!$C$56*SIN(2*PI()*A24/47)</f>
        <v>173.31208874160279</v>
      </c>
      <c r="G24" s="25">
        <f t="shared" si="0"/>
        <v>-53.572157820888783</v>
      </c>
    </row>
    <row r="25" spans="1:7">
      <c r="A25" s="25">
        <f>Subsurface_Live_Data!A25</f>
        <v>-48.5</v>
      </c>
      <c r="B25" s="25">
        <v>0</v>
      </c>
      <c r="C25" s="25">
        <f>Subsurface_Inputs!$C$57+1.5*SIN(2*PI()*A25/35)</f>
        <v>11.013091911090431</v>
      </c>
      <c r="D25" s="25">
        <f>Subsurface_Live_Data!M25+Subsurface_Inputs!$C$56*SIN(2*PI()*A25/31)</f>
        <v>15.726603724107139</v>
      </c>
      <c r="E25" s="25" t="e">
        <f>IF(Subsurface_Live_Data!H25&gt;=Subsurface_Inputs!$C$42,Subsurface_Live_Data!N25+Subsurface_Inputs!$C$56*SIN(2*PI()*A25/27),NA())</f>
        <v>#N/A</v>
      </c>
      <c r="F25" s="25">
        <f>Subsurface_Live_Data!O25+Subsurface_Inputs!$C$56*SIN(2*PI()*A25/47)</f>
        <v>173.41727005332922</v>
      </c>
      <c r="G25" s="25">
        <f t="shared" si="0"/>
        <v>-54.025901592385949</v>
      </c>
    </row>
    <row r="26" spans="1:7">
      <c r="A26" s="25">
        <f>Subsurface_Live_Data!A26</f>
        <v>-48</v>
      </c>
      <c r="B26" s="25">
        <v>0</v>
      </c>
      <c r="C26" s="25">
        <f>Subsurface_Inputs!$C$57+1.5*SIN(2*PI()*A26/35)</f>
        <v>10.915807704258912</v>
      </c>
      <c r="D26" s="25">
        <f>Subsurface_Live_Data!M26+Subsurface_Inputs!$C$56*SIN(2*PI()*A26/31)</f>
        <v>15.754873984447931</v>
      </c>
      <c r="E26" s="25" t="e">
        <f>IF(Subsurface_Live_Data!H26&gt;=Subsurface_Inputs!$C$42,Subsurface_Live_Data!N26+Subsurface_Inputs!$C$56*SIN(2*PI()*A26/27),NA())</f>
        <v>#N/A</v>
      </c>
      <c r="F26" s="25">
        <f>Subsurface_Live_Data!O26+Subsurface_Inputs!$C$56*SIN(2*PI()*A26/47)</f>
        <v>173.53367089884264</v>
      </c>
      <c r="G26" s="25">
        <f t="shared" si="0"/>
        <v>-54.506216229157801</v>
      </c>
    </row>
    <row r="27" spans="1:7">
      <c r="A27" s="25">
        <f>Subsurface_Live_Data!A27</f>
        <v>-47.5</v>
      </c>
      <c r="B27" s="25">
        <v>0</v>
      </c>
      <c r="C27" s="25">
        <f>Subsurface_Inputs!$C$57+1.5*SIN(2*PI()*A27/35)</f>
        <v>10.827252776297955</v>
      </c>
      <c r="D27" s="25">
        <f>Subsurface_Live_Data!M27+Subsurface_Inputs!$C$56*SIN(2*PI()*A27/31)</f>
        <v>15.771168158252815</v>
      </c>
      <c r="E27" s="25" t="e">
        <f>IF(Subsurface_Live_Data!H27&gt;=Subsurface_Inputs!$C$42,Subsurface_Live_Data!N27+Subsurface_Inputs!$C$56*SIN(2*PI()*A27/27),NA())</f>
        <v>#N/A</v>
      </c>
      <c r="F27" s="25">
        <f>Subsurface_Live_Data!O27+Subsurface_Inputs!$C$56*SIN(2*PI()*A27/47)</f>
        <v>173.61203171549167</v>
      </c>
      <c r="G27" s="25">
        <f t="shared" si="0"/>
        <v>-55</v>
      </c>
    </row>
    <row r="28" spans="1:7">
      <c r="A28" s="25">
        <f>Subsurface_Live_Data!A28</f>
        <v>-47</v>
      </c>
      <c r="B28" s="25">
        <v>0</v>
      </c>
      <c r="C28" s="25">
        <f>Subsurface_Inputs!$C$57+1.5*SIN(2*PI()*A28/35)</f>
        <v>10.748140119418046</v>
      </c>
      <c r="D28" s="25">
        <f>Subsurface_Live_Data!M28+Subsurface_Inputs!$C$56*SIN(2*PI()*A28/31)</f>
        <v>15.757035583970847</v>
      </c>
      <c r="E28" s="25" t="e">
        <f>IF(Subsurface_Live_Data!H28&gt;=Subsurface_Inputs!$C$42,Subsurface_Live_Data!N28+Subsurface_Inputs!$C$56*SIN(2*PI()*A28/27),NA())</f>
        <v>#N/A</v>
      </c>
      <c r="F28" s="25">
        <f>Subsurface_Live_Data!O28+Subsurface_Inputs!$C$56*SIN(2*PI()*A28/47)</f>
        <v>173.71685412801619</v>
      </c>
      <c r="G28" s="25">
        <f t="shared" si="0"/>
        <v>-55.493783770842199</v>
      </c>
    </row>
    <row r="29" spans="1:7">
      <c r="A29" s="25">
        <f>Subsurface_Live_Data!A29</f>
        <v>-46.5</v>
      </c>
      <c r="B29" s="25">
        <v>0</v>
      </c>
      <c r="C29" s="25">
        <f>Subsurface_Inputs!$C$57+1.5*SIN(2*PI()*A29/35)</f>
        <v>10.679106702214893</v>
      </c>
      <c r="D29" s="25">
        <f>Subsurface_Live_Data!M29+Subsurface_Inputs!$C$56*SIN(2*PI()*A29/31)</f>
        <v>15.725458307066775</v>
      </c>
      <c r="E29" s="25" t="e">
        <f>IF(Subsurface_Live_Data!H29&gt;=Subsurface_Inputs!$C$42,Subsurface_Live_Data!N29+Subsurface_Inputs!$C$56*SIN(2*PI()*A29/27),NA())</f>
        <v>#N/A</v>
      </c>
      <c r="F29" s="25">
        <f>Subsurface_Live_Data!O29+Subsurface_Inputs!$C$56*SIN(2*PI()*A29/47)</f>
        <v>173.80367612730618</v>
      </c>
      <c r="G29" s="25">
        <f t="shared" si="0"/>
        <v>-55.974098407614058</v>
      </c>
    </row>
    <row r="30" spans="1:7">
      <c r="A30" s="25">
        <f>Subsurface_Live_Data!A30</f>
        <v>-46</v>
      </c>
      <c r="B30" s="25">
        <v>0</v>
      </c>
      <c r="C30" s="25">
        <f>Subsurface_Inputs!$C$57+1.5*SIN(2*PI()*A30/35)</f>
        <v>10.620708341172824</v>
      </c>
      <c r="D30" s="25">
        <f>Subsurface_Live_Data!M30+Subsurface_Inputs!$C$56*SIN(2*PI()*A30/31)</f>
        <v>15.665259253335098</v>
      </c>
      <c r="E30" s="25" t="e">
        <f>IF(Subsurface_Live_Data!H30&gt;=Subsurface_Inputs!$C$42,Subsurface_Live_Data!N30+Subsurface_Inputs!$C$56*SIN(2*PI()*A30/27),NA())</f>
        <v>#N/A</v>
      </c>
      <c r="F30" s="25">
        <f>Subsurface_Live_Data!O30+Subsurface_Inputs!$C$56*SIN(2*PI()*A30/47)</f>
        <v>173.91364065722678</v>
      </c>
      <c r="G30" s="25">
        <f t="shared" si="0"/>
        <v>-56.427842179111224</v>
      </c>
    </row>
    <row r="31" spans="1:7">
      <c r="A31" s="25">
        <f>Subsurface_Live_Data!A31</f>
        <v>-45.5</v>
      </c>
      <c r="B31" s="25">
        <v>0</v>
      </c>
      <c r="C31" s="25">
        <f>Subsurface_Inputs!$C$57+1.5*SIN(2*PI()*A31/35)</f>
        <v>10.57341522555727</v>
      </c>
      <c r="D31" s="25">
        <f>Subsurface_Live_Data!M31+Subsurface_Inputs!$C$56*SIN(2*PI()*A31/31)</f>
        <v>15.589300365519971</v>
      </c>
      <c r="E31" s="25" t="e">
        <f>IF(Subsurface_Live_Data!H31&gt;=Subsurface_Inputs!$C$42,Subsurface_Live_Data!N31+Subsurface_Inputs!$C$56*SIN(2*PI()*A31/27),NA())</f>
        <v>#N/A</v>
      </c>
      <c r="F31" s="25">
        <f>Subsurface_Live_Data!O31+Subsurface_Inputs!$C$56*SIN(2*PI()*A31/47)</f>
        <v>174.00478239392751</v>
      </c>
      <c r="G31" s="25">
        <f t="shared" si="0"/>
        <v>-56.842638138069006</v>
      </c>
    </row>
    <row r="32" spans="1:7">
      <c r="A32" s="25">
        <f>Subsurface_Live_Data!A32</f>
        <v>-45</v>
      </c>
      <c r="B32" s="25">
        <v>0</v>
      </c>
      <c r="C32" s="25">
        <f>Subsurface_Inputs!$C$57+1.5*SIN(2*PI()*A32/35)</f>
        <v>10.537608131727264</v>
      </c>
      <c r="D32" s="25">
        <f>Subsurface_Live_Data!M32+Subsurface_Inputs!$C$56*SIN(2*PI()*A32/31)</f>
        <v>15.487936108104268</v>
      </c>
      <c r="E32" s="25" t="e">
        <f>IF(Subsurface_Live_Data!H32&gt;=Subsurface_Inputs!$C$42,Subsurface_Live_Data!N32+Subsurface_Inputs!$C$56*SIN(2*PI()*A32/27),NA())</f>
        <v>#N/A</v>
      </c>
      <c r="F32" s="25">
        <f>Subsurface_Live_Data!O32+Subsurface_Inputs!$C$56*SIN(2*PI()*A32/47)</f>
        <v>174.11490385867228</v>
      </c>
      <c r="G32" s="25">
        <f t="shared" si="0"/>
        <v>-57.20717173201939</v>
      </c>
    </row>
    <row r="33" spans="1:7">
      <c r="A33" s="25">
        <f>Subsurface_Live_Data!A33</f>
        <v>-44.5</v>
      </c>
      <c r="B33" s="25">
        <v>0</v>
      </c>
      <c r="C33" s="25">
        <f>Subsurface_Inputs!$C$57+1.5*SIN(2*PI()*A33/35)</f>
        <v>10.513575357348097</v>
      </c>
      <c r="D33" s="25">
        <f>Subsurface_Live_Data!M33+Subsurface_Inputs!$C$56*SIN(2*PI()*A33/31)</f>
        <v>15.375873820031194</v>
      </c>
      <c r="E33" s="25" t="e">
        <f>IF(Subsurface_Live_Data!H33&gt;=Subsurface_Inputs!$C$42,Subsurface_Live_Data!N33+Subsurface_Inputs!$C$56*SIN(2*PI()*A33/27),NA())</f>
        <v>#N/A</v>
      </c>
      <c r="F33" s="25">
        <f>Subsurface_Live_Data!O33+Subsurface_Inputs!$C$56*SIN(2*PI()*A33/47)</f>
        <v>174.19751104549064</v>
      </c>
      <c r="G33" s="25">
        <f t="shared" si="0"/>
        <v>-57.511499434787588</v>
      </c>
    </row>
    <row r="34" spans="1:7">
      <c r="A34" s="25">
        <f>Subsurface_Live_Data!A34</f>
        <v>-44</v>
      </c>
      <c r="B34" s="25">
        <v>0</v>
      </c>
      <c r="C34" s="25">
        <f>Subsurface_Inputs!$C$57+1.5*SIN(2*PI()*A34/35)</f>
        <v>10.501510400188028</v>
      </c>
      <c r="D34" s="25">
        <f>Subsurface_Live_Data!M34+Subsurface_Inputs!$C$56*SIN(2*PI()*A34/31)</f>
        <v>15.250799526961734</v>
      </c>
      <c r="E34" s="25" t="e">
        <f>IF(Subsurface_Live_Data!H34&gt;=Subsurface_Inputs!$C$42,Subsurface_Live_Data!N34+Subsurface_Inputs!$C$56*SIN(2*PI()*A34/27),NA())</f>
        <v>#N/A</v>
      </c>
      <c r="F34" s="25">
        <f>Subsurface_Live_Data!O34+Subsurface_Inputs!$C$56*SIN(2*PI()*A34/47)</f>
        <v>174.26655408317814</v>
      </c>
      <c r="G34" s="25">
        <f t="shared" si="0"/>
        <v>-57.747319979965177</v>
      </c>
    </row>
    <row r="35" spans="1:7">
      <c r="A35" s="25">
        <f>Subsurface_Live_Data!A35</f>
        <v>-43.5</v>
      </c>
      <c r="B35" s="25">
        <v>0</v>
      </c>
      <c r="C35" s="25">
        <f>Subsurface_Inputs!$C$57+1.5*SIN(2*PI()*A35/35)</f>
        <v>10.501510400188028</v>
      </c>
      <c r="D35" s="25">
        <f>Subsurface_Live_Data!M35+Subsurface_Inputs!$C$56*SIN(2*PI()*A35/31)</f>
        <v>15.117796410487783</v>
      </c>
      <c r="E35" s="25" t="e">
        <f>IF(Subsurface_Live_Data!H35&gt;=Subsurface_Inputs!$C$42,Subsurface_Live_Data!N35+Subsurface_Inputs!$C$56*SIN(2*PI()*A35/27),NA())</f>
        <v>#N/A</v>
      </c>
      <c r="F35" s="25">
        <f>Subsurface_Live_Data!O35+Subsurface_Inputs!$C$56*SIN(2*PI()*A35/47)</f>
        <v>174.31087869218689</v>
      </c>
      <c r="G35" s="25">
        <f t="shared" si="0"/>
        <v>-57.90820079781799</v>
      </c>
    </row>
    <row r="36" spans="1:7">
      <c r="A36" s="25">
        <f>Subsurface_Live_Data!A36</f>
        <v>-43</v>
      </c>
      <c r="B36" s="25">
        <v>0</v>
      </c>
      <c r="C36" s="25">
        <f>Subsurface_Inputs!$C$57+1.5*SIN(2*PI()*A36/35)</f>
        <v>10.513575357348097</v>
      </c>
      <c r="D36" s="25">
        <f>Subsurface_Live_Data!M36+Subsurface_Inputs!$C$56*SIN(2*PI()*A36/31)</f>
        <v>14.953652118705836</v>
      </c>
      <c r="E36" s="25" t="e">
        <f>IF(Subsurface_Live_Data!H36&gt;=Subsurface_Inputs!$C$42,Subsurface_Live_Data!N36+Subsurface_Inputs!$C$56*SIN(2*PI()*A36/27),NA())</f>
        <v>#N/A</v>
      </c>
      <c r="F36" s="25">
        <f>Subsurface_Live_Data!O36+Subsurface_Inputs!$C$56*SIN(2*PI()*A36/47)</f>
        <v>174.41905302011025</v>
      </c>
      <c r="G36" s="25">
        <f t="shared" si="0"/>
        <v>-57.98975347902001</v>
      </c>
    </row>
    <row r="37" spans="1:7">
      <c r="A37" s="25">
        <f>Subsurface_Live_Data!A37</f>
        <v>-42.5</v>
      </c>
      <c r="B37" s="25">
        <v>0</v>
      </c>
      <c r="C37" s="25">
        <f>Subsurface_Inputs!$C$57+1.5*SIN(2*PI()*A37/35)</f>
        <v>10.537608131727264</v>
      </c>
      <c r="D37" s="25">
        <f>Subsurface_Live_Data!M37+Subsurface_Inputs!$C$56*SIN(2*PI()*A37/31)</f>
        <v>14.795059516896803</v>
      </c>
      <c r="E37" s="25" t="e">
        <f>IF(Subsurface_Live_Data!H37&gt;=Subsurface_Inputs!$C$42,Subsurface_Live_Data!N37+Subsurface_Inputs!$C$56*SIN(2*PI()*A37/27),NA())</f>
        <v>#N/A</v>
      </c>
      <c r="F37" s="25">
        <f>Subsurface_Live_Data!O37+Subsurface_Inputs!$C$56*SIN(2*PI()*A37/47)</f>
        <v>174.47055524788931</v>
      </c>
      <c r="G37" s="25">
        <f t="shared" si="0"/>
        <v>-57.98975347902001</v>
      </c>
    </row>
    <row r="38" spans="1:7">
      <c r="A38" s="25">
        <f>Subsurface_Live_Data!A38</f>
        <v>-42</v>
      </c>
      <c r="B38" s="25">
        <v>0</v>
      </c>
      <c r="C38" s="25">
        <f>Subsurface_Inputs!$C$57+1.5*SIN(2*PI()*A38/35)</f>
        <v>10.57341522555727</v>
      </c>
      <c r="D38" s="25">
        <f>Subsurface_Live_Data!M38+Subsurface_Inputs!$C$56*SIN(2*PI()*A38/31)</f>
        <v>14.623633092067998</v>
      </c>
      <c r="E38" s="25">
        <f>IF(Subsurface_Live_Data!H38&gt;=Subsurface_Inputs!$C$42,Subsurface_Live_Data!N38+Subsurface_Inputs!$C$56*SIN(2*PI()*A38/27),NA())</f>
        <v>63.694630878605942</v>
      </c>
      <c r="F38" s="25">
        <f>Subsurface_Live_Data!O38+Subsurface_Inputs!$C$56*SIN(2*PI()*A38/47)</f>
        <v>174.53809594102572</v>
      </c>
      <c r="G38" s="25">
        <f t="shared" si="0"/>
        <v>-57.90820079781799</v>
      </c>
    </row>
    <row r="39" spans="1:7">
      <c r="A39" s="25">
        <f>Subsurface_Live_Data!A39</f>
        <v>-41.5</v>
      </c>
      <c r="B39" s="25">
        <v>0</v>
      </c>
      <c r="C39" s="25">
        <f>Subsurface_Inputs!$C$57+1.5*SIN(2*PI()*A39/35)</f>
        <v>10.620708341172824</v>
      </c>
      <c r="D39" s="25">
        <f>Subsurface_Live_Data!M39+Subsurface_Inputs!$C$56*SIN(2*PI()*A39/31)</f>
        <v>14.453309080222452</v>
      </c>
      <c r="E39" s="25">
        <f>IF(Subsurface_Live_Data!H39&gt;=Subsurface_Inputs!$C$42,Subsurface_Live_Data!N39+Subsurface_Inputs!$C$56*SIN(2*PI()*A39/27),NA())</f>
        <v>63.272179333920896</v>
      </c>
      <c r="F39" s="25">
        <f>Subsurface_Live_Data!O39+Subsurface_Inputs!$C$56*SIN(2*PI()*A39/47)</f>
        <v>174.58158883344754</v>
      </c>
      <c r="G39" s="25">
        <f t="shared" si="0"/>
        <v>-57.747319979965177</v>
      </c>
    </row>
    <row r="40" spans="1:7">
      <c r="A40" s="25">
        <f>Subsurface_Live_Data!A40</f>
        <v>-41</v>
      </c>
      <c r="B40" s="25">
        <v>0</v>
      </c>
      <c r="C40" s="25">
        <f>Subsurface_Inputs!$C$57+1.5*SIN(2*PI()*A40/35)</f>
        <v>10.679106702214893</v>
      </c>
      <c r="D40" s="25">
        <f>Subsurface_Live_Data!M40+Subsurface_Inputs!$C$56*SIN(2*PI()*A40/31)</f>
        <v>14.283125832266194</v>
      </c>
      <c r="E40" s="25">
        <f>IF(Subsurface_Live_Data!H40&gt;=Subsurface_Inputs!$C$42,Subsurface_Live_Data!N40+Subsurface_Inputs!$C$56*SIN(2*PI()*A40/27),NA())</f>
        <v>62.837703070446928</v>
      </c>
      <c r="F40" s="25">
        <f>Subsurface_Live_Data!O40+Subsurface_Inputs!$C$56*SIN(2*PI()*A40/47)</f>
        <v>174.61328434077456</v>
      </c>
      <c r="G40" s="25">
        <f t="shared" si="0"/>
        <v>-57.511499434787581</v>
      </c>
    </row>
    <row r="41" spans="1:7">
      <c r="A41" s="25">
        <f>Subsurface_Live_Data!A41</f>
        <v>-40.5</v>
      </c>
      <c r="B41" s="25">
        <v>0</v>
      </c>
      <c r="C41" s="25">
        <f>Subsurface_Inputs!$C$57+1.5*SIN(2*PI()*A41/35)</f>
        <v>10.748140119418046</v>
      </c>
      <c r="D41" s="25">
        <f>Subsurface_Live_Data!M41+Subsurface_Inputs!$C$56*SIN(2*PI()*A41/31)</f>
        <v>14.117882788334356</v>
      </c>
      <c r="E41" s="25">
        <f>IF(Subsurface_Live_Data!H41&gt;=Subsurface_Inputs!$C$42,Subsurface_Live_Data!N41+Subsurface_Inputs!$C$56*SIN(2*PI()*A41/27),NA())</f>
        <v>62.393836762334416</v>
      </c>
      <c r="F41" s="25">
        <f>Subsurface_Live_Data!O41+Subsurface_Inputs!$C$56*SIN(2*PI()*A41/47)</f>
        <v>174.62532374899931</v>
      </c>
      <c r="G41" s="25">
        <f t="shared" si="0"/>
        <v>-57.20717173201939</v>
      </c>
    </row>
    <row r="42" spans="1:7">
      <c r="A42" s="25">
        <f>Subsurface_Live_Data!A42</f>
        <v>-40</v>
      </c>
      <c r="B42" s="25">
        <v>0</v>
      </c>
      <c r="C42" s="25">
        <f>Subsurface_Inputs!$C$57+1.5*SIN(2*PI()*A42/35)</f>
        <v>10.827252776297955</v>
      </c>
      <c r="D42" s="25">
        <f>Subsurface_Live_Data!M42+Subsurface_Inputs!$C$56*SIN(2*PI()*A42/31)</f>
        <v>13.951784584339601</v>
      </c>
      <c r="E42" s="25">
        <f>IF(Subsurface_Live_Data!H42&gt;=Subsurface_Inputs!$C$42,Subsurface_Live_Data!N42+Subsurface_Inputs!$C$56*SIN(2*PI()*A42/27),NA())</f>
        <v>61.943276695896081</v>
      </c>
      <c r="F42" s="25">
        <f>Subsurface_Live_Data!O42+Subsurface_Inputs!$C$56*SIN(2*PI()*A42/47)</f>
        <v>174.64684358455003</v>
      </c>
      <c r="G42" s="25">
        <f t="shared" si="0"/>
        <v>-56.842638138069006</v>
      </c>
    </row>
    <row r="43" spans="1:7">
      <c r="A43" s="25">
        <f>Subsurface_Live_Data!A43</f>
        <v>-39.5</v>
      </c>
      <c r="B43" s="25">
        <v>0</v>
      </c>
      <c r="C43" s="25">
        <f>Subsurface_Inputs!$C$57+1.5*SIN(2*PI()*A43/35)</f>
        <v>10.915807704258913</v>
      </c>
      <c r="D43" s="25">
        <f>Subsurface_Live_Data!M43+Subsurface_Inputs!$C$56*SIN(2*PI()*A43/31)</f>
        <v>13.78965989546767</v>
      </c>
      <c r="E43" s="25">
        <f>IF(Subsurface_Live_Data!H43&gt;=Subsurface_Inputs!$C$42,Subsurface_Live_Data!N43+Subsurface_Inputs!$C$56*SIN(2*PI()*A43/27),NA())</f>
        <v>61.488750260693941</v>
      </c>
      <c r="F43" s="25">
        <f>Subsurface_Live_Data!O43+Subsurface_Inputs!$C$56*SIN(2*PI()*A43/47)</f>
        <v>174.66956894659648</v>
      </c>
      <c r="G43" s="25">
        <f t="shared" si="0"/>
        <v>-56.427842179111224</v>
      </c>
    </row>
    <row r="44" spans="1:7">
      <c r="A44" s="25">
        <f>Subsurface_Live_Data!A44</f>
        <v>-39</v>
      </c>
      <c r="B44" s="25">
        <v>0</v>
      </c>
      <c r="C44" s="25">
        <f>Subsurface_Inputs!$C$57+1.5*SIN(2*PI()*A44/35)</f>
        <v>11.013091911090431</v>
      </c>
      <c r="D44" s="25">
        <f>Subsurface_Live_Data!M44+Subsurface_Inputs!$C$56*SIN(2*PI()*A44/31)</f>
        <v>13.625913725676963</v>
      </c>
      <c r="E44" s="25">
        <f>IF(Subsurface_Live_Data!H44&gt;=Subsurface_Inputs!$C$42,Subsurface_Live_Data!N44+Subsurface_Inputs!$C$56*SIN(2*PI()*A44/27),NA())</f>
        <v>61.032985253532715</v>
      </c>
      <c r="F44" s="25">
        <f>Subsurface_Live_Data!O44+Subsurface_Inputs!$C$56*SIN(2*PI()*A44/47)</f>
        <v>174.72134273308524</v>
      </c>
      <c r="G44" s="25">
        <f t="shared" si="0"/>
        <v>-55.974098407614044</v>
      </c>
    </row>
    <row r="45" spans="1:7">
      <c r="A45" s="25">
        <f>Subsurface_Live_Data!A45</f>
        <v>-38.5</v>
      </c>
      <c r="B45" s="25">
        <v>0</v>
      </c>
      <c r="C45" s="25">
        <f>Subsurface_Inputs!$C$57+1.5*SIN(2*PI()*A45/35)</f>
        <v>11.11832212156129</v>
      </c>
      <c r="D45" s="25">
        <f>Subsurface_Live_Data!M45+Subsurface_Inputs!$C$56*SIN(2*PI()*A45/31)</f>
        <v>13.492768959798084</v>
      </c>
      <c r="E45" s="25">
        <f>IF(Subsurface_Live_Data!H45&gt;=Subsurface_Inputs!$C$42,Subsurface_Live_Data!N45+Subsurface_Inputs!$C$56*SIN(2*PI()*A45/27),NA())</f>
        <v>60.578679386341655</v>
      </c>
      <c r="F45" s="25">
        <f>Subsurface_Live_Data!O45+Subsurface_Inputs!$C$56*SIN(2*PI()*A45/47)</f>
        <v>174.69714778843633</v>
      </c>
      <c r="G45" s="25">
        <f t="shared" si="0"/>
        <v>-55.493783770842199</v>
      </c>
    </row>
    <row r="46" spans="1:7">
      <c r="A46" s="25">
        <f>Subsurface_Live_Data!A46</f>
        <v>-38</v>
      </c>
      <c r="B46" s="25">
        <v>0</v>
      </c>
      <c r="C46" s="25">
        <f>Subsurface_Inputs!$C$57+1.5*SIN(2*PI()*A46/35)</f>
        <v>11.230651083891141</v>
      </c>
      <c r="D46" s="25">
        <f>Subsurface_Live_Data!M46+Subsurface_Inputs!$C$56*SIN(2*PI()*A46/31)</f>
        <v>13.354530369621418</v>
      </c>
      <c r="E46" s="25">
        <f>IF(Subsurface_Live_Data!H46&gt;=Subsurface_Inputs!$C$42,Subsurface_Live_Data!N46+Subsurface_Inputs!$C$56*SIN(2*PI()*A46/27),NA())</f>
        <v>60.128470383742638</v>
      </c>
      <c r="F46" s="25">
        <f>Subsurface_Live_Data!O46+Subsurface_Inputs!$C$56*SIN(2*PI()*A46/47)</f>
        <v>174.72905811906509</v>
      </c>
      <c r="G46" s="25">
        <f t="shared" si="0"/>
        <v>-55</v>
      </c>
    </row>
    <row r="47" spans="1:7">
      <c r="A47" s="25">
        <f>Subsurface_Live_Data!A47</f>
        <v>-37.5</v>
      </c>
      <c r="B47" s="25">
        <v>0</v>
      </c>
      <c r="C47" s="25">
        <f>Subsurface_Inputs!$C$57+1.5*SIN(2*PI()*A47/35)</f>
        <v>11.349174391323663</v>
      </c>
      <c r="D47" s="25">
        <f>Subsurface_Live_Data!M47+Subsurface_Inputs!$C$56*SIN(2*PI()*A47/31)</f>
        <v>13.25130854879388</v>
      </c>
      <c r="E47" s="25">
        <f>IF(Subsurface_Live_Data!H47&gt;=Subsurface_Inputs!$C$42,Subsurface_Live_Data!N47+Subsurface_Inputs!$C$56*SIN(2*PI()*A47/27),NA())</f>
        <v>59.684907046045694</v>
      </c>
      <c r="F47" s="25">
        <f>Subsurface_Live_Data!O47+Subsurface_Inputs!$C$56*SIN(2*PI()*A47/47)</f>
        <v>174.6830902189844</v>
      </c>
      <c r="G47" s="25">
        <f t="shared" si="0"/>
        <v>-54.506216229157793</v>
      </c>
    </row>
    <row r="48" spans="1:7">
      <c r="A48" s="25">
        <f>Subsurface_Live_Data!A48</f>
        <v>-37</v>
      </c>
      <c r="B48" s="25">
        <v>0</v>
      </c>
      <c r="C48" s="25">
        <f>Subsurface_Inputs!$C$57+1.5*SIN(2*PI()*A48/35)</f>
        <v>11.472937763877987</v>
      </c>
      <c r="D48" s="25">
        <f>Subsurface_Live_Data!M48+Subsurface_Inputs!$C$56*SIN(2*PI()*A48/31)</f>
        <v>13.144624255720579</v>
      </c>
      <c r="E48" s="25">
        <f>IF(Subsurface_Live_Data!H48&gt;=Subsurface_Inputs!$C$42,Subsurface_Live_Data!N48+Subsurface_Inputs!$C$56*SIN(2*PI()*A48/27),NA())</f>
        <v>59.250421638679441</v>
      </c>
      <c r="F48" s="25">
        <f>Subsurface_Live_Data!O48+Subsurface_Inputs!$C$56*SIN(2*PI()*A48/47)</f>
        <v>174.69948488032745</v>
      </c>
      <c r="G48" s="25">
        <f t="shared" si="0"/>
        <v>-54.025901592385949</v>
      </c>
    </row>
    <row r="49" spans="1:7">
      <c r="A49" s="25">
        <f>Subsurface_Live_Data!A49</f>
        <v>-36.5</v>
      </c>
      <c r="B49" s="25">
        <v>0</v>
      </c>
      <c r="C49" s="25">
        <f>Subsurface_Inputs!$C$57+1.5*SIN(2*PI()*A49/35)</f>
        <v>11.600944731649987</v>
      </c>
      <c r="D49" s="25">
        <f>Subsurface_Live_Data!M49+Subsurface_Inputs!$C$56*SIN(2*PI()*A49/31)</f>
        <v>13.069401997832664</v>
      </c>
      <c r="E49" s="25">
        <f>IF(Subsurface_Live_Data!H49&gt;=Subsurface_Inputs!$C$42,Subsurface_Live_Data!N49+Subsurface_Inputs!$C$56*SIN(2*PI()*A49/27),NA())</f>
        <v>58.827303949896141</v>
      </c>
      <c r="F49" s="25">
        <f>Subsurface_Live_Data!O49+Subsurface_Inputs!$C$56*SIN(2*PI()*A49/47)</f>
        <v>174.66064043417279</v>
      </c>
      <c r="G49" s="25">
        <f t="shared" si="0"/>
        <v>-53.572157820888776</v>
      </c>
    </row>
    <row r="50" spans="1:7">
      <c r="A50" s="25">
        <f>Subsurface_Live_Data!A50</f>
        <v>-36</v>
      </c>
      <c r="B50" s="25">
        <v>0</v>
      </c>
      <c r="C50" s="25">
        <f>Subsurface_Inputs!$C$57+1.5*SIN(2*PI()*A50/35)</f>
        <v>11.732164657802045</v>
      </c>
      <c r="D50" s="25">
        <f>Subsurface_Live_Data!M50+Subsurface_Inputs!$C$56*SIN(2*PI()*A50/31)</f>
        <v>13.001920703650947</v>
      </c>
      <c r="E50" s="25">
        <f>IF(Subsurface_Live_Data!H50&gt;=Subsurface_Inputs!$C$42,Subsurface_Live_Data!N50+Subsurface_Inputs!$C$56*SIN(2*PI()*A50/27),NA())</f>
        <v>58.417677335287948</v>
      </c>
      <c r="F50" s="25">
        <f>Subsurface_Live_Data!O50+Subsurface_Inputs!$C$56*SIN(2*PI()*A50/47)</f>
        <v>174.65321159679641</v>
      </c>
      <c r="G50" s="25">
        <f t="shared" si="0"/>
        <v>-53.157361861930994</v>
      </c>
    </row>
    <row r="51" spans="1:7">
      <c r="A51" s="25">
        <f>Subsurface_Live_Data!A51</f>
        <v>-35.5</v>
      </c>
      <c r="B51" s="25">
        <v>0</v>
      </c>
      <c r="C51" s="25">
        <f>Subsurface_Inputs!$C$57+1.5*SIN(2*PI()*A51/35)</f>
        <v>11.865541036644849</v>
      </c>
      <c r="D51" s="25">
        <f>Subsurface_Live_Data!M51+Subsurface_Inputs!$C$56*SIN(2*PI()*A51/31)</f>
        <v>12.954022272277458</v>
      </c>
      <c r="E51" s="25">
        <f>IF(Subsurface_Live_Data!H51&gt;=Subsurface_Inputs!$C$42,Subsurface_Live_Data!N51+Subsurface_Inputs!$C$56*SIN(2*PI()*A51/27),NA())</f>
        <v>58.023477040552073</v>
      </c>
      <c r="F51" s="25">
        <f>Subsurface_Live_Data!O51+Subsurface_Inputs!$C$56*SIN(2*PI()*A51/47)</f>
        <v>174.63832253988519</v>
      </c>
      <c r="G51" s="25">
        <f t="shared" si="0"/>
        <v>-52.79282826798061</v>
      </c>
    </row>
    <row r="52" spans="1:7">
      <c r="A52" s="25">
        <f>Subsurface_Live_Data!A52</f>
        <v>-35</v>
      </c>
      <c r="B52" s="25">
        <v>0</v>
      </c>
      <c r="C52" s="25">
        <f>Subsurface_Inputs!$C$57+1.5*SIN(2*PI()*A52/35)</f>
        <v>12</v>
      </c>
      <c r="D52" s="25">
        <f>Subsurface_Live_Data!M52+Subsurface_Inputs!$C$56*SIN(2*PI()*A52/31)</f>
        <v>12.916876813734845</v>
      </c>
      <c r="E52" s="25">
        <f>IF(Subsurface_Live_Data!H52&gt;=Subsurface_Inputs!$C$42,Subsurface_Live_Data!N52+Subsurface_Inputs!$C$56*SIN(2*PI()*A52/27),NA())</f>
        <v>57.646431063426405</v>
      </c>
      <c r="F52" s="25">
        <f>Subsurface_Live_Data!O52+Subsurface_Inputs!$C$56*SIN(2*PI()*A52/47)</f>
        <v>174.6483494381196</v>
      </c>
      <c r="G52" s="25">
        <f t="shared" si="0"/>
        <v>-52.488500565212412</v>
      </c>
    </row>
    <row r="53" spans="1:7">
      <c r="A53" s="25">
        <f>Subsurface_Live_Data!A53</f>
        <v>-34.5</v>
      </c>
      <c r="B53" s="25">
        <v>0</v>
      </c>
      <c r="C53" s="25">
        <f>Subsurface_Inputs!$C$57+1.5*SIN(2*PI()*A53/35)</f>
        <v>12.134458963355151</v>
      </c>
      <c r="D53" s="25">
        <f>Subsurface_Live_Data!M53+Subsurface_Inputs!$C$56*SIN(2*PI()*A53/31)</f>
        <v>12.916974675122034</v>
      </c>
      <c r="E53" s="25">
        <f>IF(Subsurface_Live_Data!H53&gt;=Subsurface_Inputs!$C$42,Subsurface_Live_Data!N53+Subsurface_Inputs!$C$56*SIN(2*PI()*A53/27),NA())</f>
        <v>57.28804378219413</v>
      </c>
      <c r="F53" s="25">
        <f>Subsurface_Live_Data!O53+Subsurface_Inputs!$C$56*SIN(2*PI()*A53/47)</f>
        <v>174.59092795860994</v>
      </c>
      <c r="G53" s="25">
        <f t="shared" si="0"/>
        <v>-52.25268002003483</v>
      </c>
    </row>
    <row r="54" spans="1:7">
      <c r="A54" s="25">
        <f>Subsurface_Live_Data!A54</f>
        <v>-34</v>
      </c>
      <c r="B54" s="25">
        <v>0</v>
      </c>
      <c r="C54" s="25">
        <f>Subsurface_Inputs!$C$57+1.5*SIN(2*PI()*A54/35)</f>
        <v>12.267835342197955</v>
      </c>
      <c r="D54" s="25">
        <f>Subsurface_Live_Data!M54+Subsurface_Inputs!$C$56*SIN(2*PI()*A54/31)</f>
        <v>12.919620293137497</v>
      </c>
      <c r="E54" s="25">
        <f>IF(Subsurface_Live_Data!H54&gt;=Subsurface_Inputs!$C$42,Subsurface_Live_Data!N54+Subsurface_Inputs!$C$56*SIN(2*PI()*A54/27),NA())</f>
        <v>56.949582542063581</v>
      </c>
      <c r="F54" s="25">
        <f>Subsurface_Live_Data!O54+Subsurface_Inputs!$C$56*SIN(2*PI()*A54/47)</f>
        <v>174.58672352729181</v>
      </c>
      <c r="G54" s="25">
        <f t="shared" si="0"/>
        <v>-52.09179920218201</v>
      </c>
    </row>
    <row r="55" spans="1:7">
      <c r="A55" s="25">
        <f>Subsurface_Live_Data!A55</f>
        <v>-33.5</v>
      </c>
      <c r="B55" s="25">
        <v>0</v>
      </c>
      <c r="C55" s="25">
        <f>Subsurface_Inputs!$C$57+1.5*SIN(2*PI()*A55/35)</f>
        <v>12.399055268350013</v>
      </c>
      <c r="D55" s="25">
        <f>Subsurface_Live_Data!M55+Subsurface_Inputs!$C$56*SIN(2*PI()*A55/31)</f>
        <v>12.942413776663583</v>
      </c>
      <c r="E55" s="25">
        <f>IF(Subsurface_Live_Data!H55&gt;=Subsurface_Inputs!$C$42,Subsurface_Live_Data!N55+Subsurface_Inputs!$C$56*SIN(2*PI()*A55/27),NA())</f>
        <v>56.632067352524317</v>
      </c>
      <c r="F55" s="25">
        <f>Subsurface_Live_Data!O55+Subsurface_Inputs!$C$56*SIN(2*PI()*A55/47)</f>
        <v>174.5722638558172</v>
      </c>
      <c r="G55" s="25">
        <f t="shared" si="0"/>
        <v>-52.01024652097999</v>
      </c>
    </row>
    <row r="56" spans="1:7">
      <c r="A56" s="25">
        <f>Subsurface_Live_Data!A56</f>
        <v>-33</v>
      </c>
      <c r="B56" s="25">
        <v>0</v>
      </c>
      <c r="C56" s="25">
        <f>Subsurface_Inputs!$C$57+1.5*SIN(2*PI()*A56/35)</f>
        <v>12.527062236122013</v>
      </c>
      <c r="D56" s="25">
        <f>Subsurface_Live_Data!M56+Subsurface_Inputs!$C$56*SIN(2*PI()*A56/31)</f>
        <v>12.983752133779676</v>
      </c>
      <c r="E56" s="25">
        <f>IF(Subsurface_Live_Data!H56&gt;=Subsurface_Inputs!$C$42,Subsurface_Live_Data!N56+Subsurface_Inputs!$C$56*SIN(2*PI()*A56/27),NA())</f>
        <v>56.33626380893449</v>
      </c>
      <c r="F56" s="25">
        <f>Subsurface_Live_Data!O56+Subsurface_Inputs!$C$56*SIN(2*PI()*A56/47)</f>
        <v>174.55022183964826</v>
      </c>
      <c r="G56" s="25">
        <f t="shared" si="0"/>
        <v>-52.01024652097999</v>
      </c>
    </row>
    <row r="57" spans="1:7">
      <c r="A57" s="25">
        <f>Subsurface_Live_Data!A57</f>
        <v>-32.5</v>
      </c>
      <c r="B57" s="25">
        <v>0</v>
      </c>
      <c r="C57" s="25">
        <f>Subsurface_Inputs!$C$57+1.5*SIN(2*PI()*A57/35)</f>
        <v>12.650825608676337</v>
      </c>
      <c r="D57" s="25">
        <f>Subsurface_Live_Data!M57+Subsurface_Inputs!$C$56*SIN(2*PI()*A57/31)</f>
        <v>13.037945360527734</v>
      </c>
      <c r="E57" s="25">
        <f>IF(Subsurface_Live_Data!H57&gt;=Subsurface_Inputs!$C$42,Subsurface_Live_Data!N57+Subsurface_Inputs!$C$56*SIN(2*PI()*A57/27),NA())</f>
        <v>56.062679310587555</v>
      </c>
      <c r="F57" s="25">
        <f>Subsurface_Live_Data!O57+Subsurface_Inputs!$C$56*SIN(2*PI()*A57/47)</f>
        <v>174.53656504330402</v>
      </c>
      <c r="G57" s="25">
        <f t="shared" si="0"/>
        <v>-52.09179920218201</v>
      </c>
    </row>
    <row r="58" spans="1:7">
      <c r="A58" s="25">
        <f>Subsurface_Live_Data!A58</f>
        <v>-32</v>
      </c>
      <c r="B58" s="25">
        <v>0</v>
      </c>
      <c r="C58" s="25">
        <f>Subsurface_Inputs!$C$57+1.5*SIN(2*PI()*A58/35)</f>
        <v>12.769348916108859</v>
      </c>
      <c r="D58" s="25">
        <f>Subsurface_Live_Data!M58+Subsurface_Inputs!$C$56*SIN(2*PI()*A58/31)</f>
        <v>13.096762480583589</v>
      </c>
      <c r="E58" s="25">
        <f>IF(Subsurface_Live_Data!H58&gt;=Subsurface_Inputs!$C$42,Subsurface_Live_Data!N58+Subsurface_Inputs!$C$56*SIN(2*PI()*A58/27),NA())</f>
        <v>55.811562605825266</v>
      </c>
      <c r="F58" s="25">
        <f>Subsurface_Live_Data!O58+Subsurface_Inputs!$C$56*SIN(2*PI()*A58/47)</f>
        <v>174.55521810990456</v>
      </c>
      <c r="G58" s="25">
        <f t="shared" si="0"/>
        <v>-52.25268002003483</v>
      </c>
    </row>
    <row r="59" spans="1:7">
      <c r="A59" s="25">
        <f>Subsurface_Live_Data!A59</f>
        <v>-31.5</v>
      </c>
      <c r="B59" s="25">
        <v>0</v>
      </c>
      <c r="C59" s="25">
        <f>Subsurface_Inputs!$C$57+1.5*SIN(2*PI()*A59/35)</f>
        <v>12.88167787843871</v>
      </c>
      <c r="D59" s="25">
        <f>Subsurface_Live_Data!M59+Subsurface_Inputs!$C$56*SIN(2*PI()*A59/31)</f>
        <v>13.17890231562772</v>
      </c>
      <c r="E59" s="25">
        <f>IF(Subsurface_Live_Data!H59&gt;=Subsurface_Inputs!$C$42,Subsurface_Live_Data!N59+Subsurface_Inputs!$C$56*SIN(2*PI()*A59/27),NA())</f>
        <v>55.58290665289033</v>
      </c>
      <c r="F59" s="25">
        <f>Subsurface_Live_Data!O59+Subsurface_Inputs!$C$56*SIN(2*PI()*A59/47)</f>
        <v>174.53500520040316</v>
      </c>
      <c r="G59" s="25">
        <f t="shared" si="0"/>
        <v>-52.488500565212412</v>
      </c>
    </row>
    <row r="60" spans="1:7">
      <c r="A60" s="25">
        <f>Subsurface_Live_Data!A60</f>
        <v>-31</v>
      </c>
      <c r="B60" s="25">
        <v>0</v>
      </c>
      <c r="C60" s="25">
        <f>Subsurface_Inputs!$C$57+1.5*SIN(2*PI()*A60/35)</f>
        <v>12.986908088909569</v>
      </c>
      <c r="D60" s="25">
        <f>Subsurface_Live_Data!M60+Subsurface_Inputs!$C$56*SIN(2*PI()*A60/31)</f>
        <v>13.26320436177126</v>
      </c>
      <c r="E60" s="25">
        <f>IF(Subsurface_Live_Data!H60&gt;=Subsurface_Inputs!$C$42,Subsurface_Live_Data!N60+Subsurface_Inputs!$C$56*SIN(2*PI()*A60/27),NA())</f>
        <v>55.376454743628059</v>
      </c>
      <c r="F60" s="25">
        <f>Subsurface_Live_Data!O60+Subsurface_Inputs!$C$56*SIN(2*PI()*A60/47)</f>
        <v>174.54351718745002</v>
      </c>
      <c r="G60" s="25">
        <f t="shared" si="0"/>
        <v>-52.79282826798061</v>
      </c>
    </row>
    <row r="61" spans="1:7">
      <c r="A61" s="25">
        <f>Subsurface_Live_Data!A61</f>
        <v>-30.5</v>
      </c>
      <c r="B61" s="25">
        <v>0</v>
      </c>
      <c r="C61" s="25">
        <f>Subsurface_Inputs!$C$57+1.5*SIN(2*PI()*A61/35)</f>
        <v>13.084192295741087</v>
      </c>
      <c r="D61" s="25">
        <f>Subsurface_Live_Data!M61+Subsurface_Inputs!$C$56*SIN(2*PI()*A61/31)</f>
        <v>13.349121881344407</v>
      </c>
      <c r="E61" s="25">
        <f>IF(Subsurface_Live_Data!H61&gt;=Subsurface_Inputs!$C$42,Subsurface_Live_Data!N61+Subsurface_Inputs!$C$56*SIN(2*PI()*A61/27),NA())</f>
        <v>55.191709796321177</v>
      </c>
      <c r="F61" s="25">
        <f>Subsurface_Live_Data!O61+Subsurface_Inputs!$C$56*SIN(2*PI()*A61/47)</f>
        <v>174.57557448792252</v>
      </c>
      <c r="G61" s="25">
        <f t="shared" si="0"/>
        <v>-53.157361861930994</v>
      </c>
    </row>
    <row r="62" spans="1:7">
      <c r="A62" s="25">
        <f>Subsurface_Live_Data!A62</f>
        <v>-30</v>
      </c>
      <c r="B62" s="25">
        <v>0</v>
      </c>
      <c r="C62" s="25">
        <f>Subsurface_Inputs!$C$57+1.5*SIN(2*PI()*A62/35)</f>
        <v>13.172747223702045</v>
      </c>
      <c r="D62" s="25">
        <f>Subsurface_Live_Data!M62+Subsurface_Inputs!$C$56*SIN(2*PI()*A62/31)</f>
        <v>13.446520856495681</v>
      </c>
      <c r="E62" s="25">
        <f>IF(Subsurface_Live_Data!H62&gt;=Subsurface_Inputs!$C$42,Subsurface_Live_Data!N62+Subsurface_Inputs!$C$56*SIN(2*PI()*A62/27),NA())</f>
        <v>55.027946684335518</v>
      </c>
      <c r="F62" s="25">
        <f>Subsurface_Live_Data!O62+Subsurface_Inputs!$C$56*SIN(2*PI()*A62/47)</f>
        <v>174.58906079492181</v>
      </c>
      <c r="G62" s="25">
        <f t="shared" si="0"/>
        <v>-53.572157820888783</v>
      </c>
    </row>
    <row r="63" spans="1:7">
      <c r="A63" s="25">
        <f>Subsurface_Live_Data!A63</f>
        <v>-29.5</v>
      </c>
      <c r="B63" s="25">
        <v>0</v>
      </c>
      <c r="C63" s="25">
        <f>Subsurface_Inputs!$C$57+1.5*SIN(2*PI()*A63/35)</f>
        <v>13.251859880581954</v>
      </c>
      <c r="D63" s="25">
        <f>Subsurface_Live_Data!M63+Subsurface_Inputs!$C$56*SIN(2*PI()*A63/31)</f>
        <v>13.542551781168696</v>
      </c>
      <c r="E63" s="25">
        <f>IF(Subsurface_Live_Data!H63&gt;=Subsurface_Inputs!$C$42,Subsurface_Live_Data!N63+Subsurface_Inputs!$C$56*SIN(2*PI()*A63/27),NA())</f>
        <v>54.884227429308957</v>
      </c>
      <c r="F63" s="25">
        <f>Subsurface_Live_Data!O63+Subsurface_Inputs!$C$56*SIN(2*PI()*A63/47)</f>
        <v>174.62101110467466</v>
      </c>
      <c r="G63" s="25">
        <f t="shared" si="0"/>
        <v>-54.025901592385949</v>
      </c>
    </row>
    <row r="64" spans="1:7">
      <c r="A64" s="25">
        <f>Subsurface_Live_Data!A64</f>
        <v>-29</v>
      </c>
      <c r="B64" s="25">
        <v>0</v>
      </c>
      <c r="C64" s="25">
        <f>Subsurface_Inputs!$C$57+1.5*SIN(2*PI()*A64/35)</f>
        <v>13.320893297785107</v>
      </c>
      <c r="D64" s="25">
        <f>Subsurface_Live_Data!M64+Subsurface_Inputs!$C$56*SIN(2*PI()*A64/31)</f>
        <v>13.646810159536212</v>
      </c>
      <c r="E64" s="25">
        <f>IF(Subsurface_Live_Data!H64&gt;=Subsurface_Inputs!$C$42,Subsurface_Live_Data!N64+Subsurface_Inputs!$C$56*SIN(2*PI()*A64/27),NA())</f>
        <v>54.759419051759039</v>
      </c>
      <c r="F64" s="25">
        <f>Subsurface_Live_Data!O64+Subsurface_Inputs!$C$56*SIN(2*PI()*A64/47)</f>
        <v>174.62969614070772</v>
      </c>
      <c r="G64" s="25">
        <f t="shared" si="0"/>
        <v>-54.506216229157801</v>
      </c>
    </row>
    <row r="65" spans="1:7">
      <c r="A65" s="25">
        <f>Subsurface_Live_Data!A65</f>
        <v>-28.5</v>
      </c>
      <c r="B65" s="25">
        <v>0</v>
      </c>
      <c r="C65" s="25">
        <f>Subsurface_Inputs!$C$57+1.5*SIN(2*PI()*A65/35)</f>
        <v>13.379291658827176</v>
      </c>
      <c r="D65" s="25">
        <f>Subsurface_Live_Data!M65+Subsurface_Inputs!$C$56*SIN(2*PI()*A65/31)</f>
        <v>13.736085542531139</v>
      </c>
      <c r="E65" s="25">
        <f>IF(Subsurface_Live_Data!H65&gt;=Subsurface_Inputs!$C$42,Subsurface_Live_Data!N65+Subsurface_Inputs!$C$56*SIN(2*PI()*A65/27),NA())</f>
        <v>54.652213838617811</v>
      </c>
      <c r="F65" s="25">
        <f>Subsurface_Live_Data!O65+Subsurface_Inputs!$C$56*SIN(2*PI()*A65/47)</f>
        <v>174.68815127280999</v>
      </c>
      <c r="G65" s="25">
        <f t="shared" si="0"/>
        <v>-55</v>
      </c>
    </row>
    <row r="66" spans="1:7">
      <c r="A66" s="25">
        <f>Subsurface_Live_Data!A66</f>
        <v>-28</v>
      </c>
      <c r="B66" s="25">
        <v>0</v>
      </c>
      <c r="C66" s="25">
        <f>Subsurface_Inputs!$C$57+1.5*SIN(2*PI()*A66/35)</f>
        <v>13.42658477444273</v>
      </c>
      <c r="D66" s="25">
        <f>Subsurface_Live_Data!M66+Subsurface_Inputs!$C$56*SIN(2*PI()*A66/31)</f>
        <v>13.832588111382917</v>
      </c>
      <c r="E66" s="25">
        <f>IF(Subsurface_Live_Data!H66&gt;=Subsurface_Inputs!$C$42,Subsurface_Live_Data!N66+Subsurface_Inputs!$C$56*SIN(2*PI()*A66/27),NA())</f>
        <v>54.561151756708199</v>
      </c>
      <c r="F66" s="25">
        <f>Subsurface_Live_Data!O66+Subsurface_Inputs!$C$56*SIN(2*PI()*A66/47)</f>
        <v>174.71053581838029</v>
      </c>
      <c r="G66" s="25">
        <f t="shared" ref="G66:G129" si="1">-55+3*SIN(2*PI()*A66/19)</f>
        <v>-55.493783770842207</v>
      </c>
    </row>
    <row r="67" spans="1:7">
      <c r="A67" s="25">
        <f>Subsurface_Live_Data!A67</f>
        <v>-27.5</v>
      </c>
      <c r="B67" s="25">
        <v>0</v>
      </c>
      <c r="C67" s="25">
        <f>Subsurface_Inputs!$C$57+1.5*SIN(2*PI()*A67/35)</f>
        <v>13.462391868272736</v>
      </c>
      <c r="D67" s="25">
        <f>Subsurface_Live_Data!M67+Subsurface_Inputs!$C$56*SIN(2*PI()*A67/31)</f>
        <v>13.912954604461534</v>
      </c>
      <c r="E67" s="25">
        <f>IF(Subsurface_Live_Data!H67&gt;=Subsurface_Inputs!$C$42,Subsurface_Live_Data!N67+Subsurface_Inputs!$C$56*SIN(2*PI()*A67/27),NA())</f>
        <v>54.484644713909276</v>
      </c>
      <c r="F67" s="25">
        <f>Subsurface_Live_Data!O67+Subsurface_Inputs!$C$56*SIN(2*PI()*A67/47)</f>
        <v>174.77076381305241</v>
      </c>
      <c r="G67" s="25">
        <f t="shared" si="1"/>
        <v>-55.974098407614051</v>
      </c>
    </row>
    <row r="68" spans="1:7">
      <c r="A68" s="25">
        <f>Subsurface_Live_Data!A68</f>
        <v>-27</v>
      </c>
      <c r="B68" s="25">
        <v>0</v>
      </c>
      <c r="C68" s="25">
        <f>Subsurface_Inputs!$C$57+1.5*SIN(2*PI()*A68/35)</f>
        <v>13.486424642651903</v>
      </c>
      <c r="D68" s="25">
        <f>Subsurface_Live_Data!M68+Subsurface_Inputs!$C$56*SIN(2*PI()*A68/31)</f>
        <v>13.988408702764412</v>
      </c>
      <c r="E68" s="25">
        <f>IF(Subsurface_Live_Data!H68&gt;=Subsurface_Inputs!$C$42,Subsurface_Live_Data!N68+Subsurface_Inputs!$C$56*SIN(2*PI()*A68/27),NA())</f>
        <v>54.421002346040794</v>
      </c>
      <c r="F68" s="25">
        <f>Subsurface_Live_Data!O68+Subsurface_Inputs!$C$56*SIN(2*PI()*A68/47)</f>
        <v>174.82209072168456</v>
      </c>
      <c r="G68" s="25">
        <f t="shared" si="1"/>
        <v>-56.427842179111224</v>
      </c>
    </row>
    <row r="69" spans="1:7">
      <c r="A69" s="25">
        <f>Subsurface_Live_Data!A69</f>
        <v>-26.5</v>
      </c>
      <c r="B69" s="25">
        <v>0</v>
      </c>
      <c r="C69" s="25">
        <f>Subsurface_Inputs!$C$57+1.5*SIN(2*PI()*A69/35)</f>
        <v>13.498489599811972</v>
      </c>
      <c r="D69" s="25">
        <f>Subsurface_Live_Data!M69+Subsurface_Inputs!$C$56*SIN(2*PI()*A69/31)</f>
        <v>14.056727626625134</v>
      </c>
      <c r="E69" s="25">
        <f>IF(Subsurface_Live_Data!H69&gt;=Subsurface_Inputs!$C$42,Subsurface_Live_Data!N69+Subsurface_Inputs!$C$56*SIN(2*PI()*A69/27),NA())</f>
        <v>54.368458987627214</v>
      </c>
      <c r="F69" s="25">
        <f>Subsurface_Live_Data!O69+Subsurface_Inputs!$C$56*SIN(2*PI()*A69/47)</f>
        <v>174.86537237703436</v>
      </c>
      <c r="G69" s="25">
        <f t="shared" si="1"/>
        <v>-56.842638138069006</v>
      </c>
    </row>
    <row r="70" spans="1:7">
      <c r="A70" s="25">
        <f>Subsurface_Live_Data!A70</f>
        <v>-26</v>
      </c>
      <c r="B70" s="25">
        <v>0</v>
      </c>
      <c r="C70" s="25">
        <f>Subsurface_Inputs!$C$57+1.5*SIN(2*PI()*A70/35)</f>
        <v>13.498489599811972</v>
      </c>
      <c r="D70" s="25">
        <f>Subsurface_Live_Data!M70+Subsurface_Inputs!$C$56*SIN(2*PI()*A70/31)</f>
        <v>14.102329906298417</v>
      </c>
      <c r="E70" s="25">
        <f>IF(Subsurface_Live_Data!H70&gt;=Subsurface_Inputs!$C$42,Subsurface_Live_Data!N70+Subsurface_Inputs!$C$56*SIN(2*PI()*A70/27),NA())</f>
        <v>54.325201468935155</v>
      </c>
      <c r="F70" s="25">
        <f>Subsurface_Live_Data!O70+Subsurface_Inputs!$C$56*SIN(2*PI()*A70/47)</f>
        <v>174.94889128988828</v>
      </c>
      <c r="G70" s="25">
        <f t="shared" si="1"/>
        <v>-57.20717173201939</v>
      </c>
    </row>
    <row r="71" spans="1:7">
      <c r="A71" s="25">
        <f>Subsurface_Live_Data!A71</f>
        <v>-25.5</v>
      </c>
      <c r="B71" s="25">
        <v>0</v>
      </c>
      <c r="C71" s="25">
        <f>Subsurface_Inputs!$C$57+1.5*SIN(2*PI()*A71/35)</f>
        <v>13.486424642651903</v>
      </c>
      <c r="D71" s="25">
        <f>Subsurface_Live_Data!M71+Subsurface_Inputs!$C$56*SIN(2*PI()*A71/31)</f>
        <v>14.141965633770766</v>
      </c>
      <c r="E71" s="25">
        <f>IF(Subsurface_Live_Data!H71&gt;=Subsurface_Inputs!$C$42,Subsurface_Live_Data!N71+Subsurface_Inputs!$C$56*SIN(2*PI()*A71/27),NA())</f>
        <v>54.289397370236586</v>
      </c>
      <c r="F71" s="25">
        <f>Subsurface_Live_Data!O71+Subsurface_Inputs!$C$56*SIN(2*PI()*A71/47)</f>
        <v>175.00856340335335</v>
      </c>
      <c r="G71" s="25">
        <f t="shared" si="1"/>
        <v>-57.511499434787588</v>
      </c>
    </row>
    <row r="72" spans="1:7">
      <c r="A72" s="25">
        <f>Subsurface_Live_Data!A72</f>
        <v>-25</v>
      </c>
      <c r="B72" s="25">
        <v>0</v>
      </c>
      <c r="C72" s="25">
        <f>Subsurface_Inputs!$C$57+1.5*SIN(2*PI()*A72/35)</f>
        <v>13.462391868272736</v>
      </c>
      <c r="D72" s="25">
        <f>Subsurface_Live_Data!M72+Subsurface_Inputs!$C$56*SIN(2*PI()*A72/31)</f>
        <v>14.159846303345025</v>
      </c>
      <c r="E72" s="25">
        <f>IF(Subsurface_Live_Data!H72&gt;=Subsurface_Inputs!$C$42,Subsurface_Live_Data!N72+Subsurface_Inputs!$C$56*SIN(2*PI()*A72/27),NA())</f>
        <v>54.259223357315797</v>
      </c>
      <c r="F72" s="25">
        <f>Subsurface_Live_Data!O72+Subsurface_Inputs!$C$56*SIN(2*PI()*A72/47)</f>
        <v>175.09509324010713</v>
      </c>
      <c r="G72" s="25">
        <f t="shared" si="1"/>
        <v>-57.74731997996517</v>
      </c>
    </row>
    <row r="73" spans="1:7">
      <c r="A73" s="25">
        <f>Subsurface_Live_Data!A73</f>
        <v>-24.5</v>
      </c>
      <c r="B73" s="25">
        <v>0</v>
      </c>
      <c r="C73" s="25">
        <f>Subsurface_Inputs!$C$57+1.5*SIN(2*PI()*A73/35)</f>
        <v>13.42658477444273</v>
      </c>
      <c r="D73" s="25">
        <f>Subsurface_Live_Data!M73+Subsurface_Inputs!$C$56*SIN(2*PI()*A73/31)</f>
        <v>14.173405042636993</v>
      </c>
      <c r="E73" s="25">
        <f>IF(Subsurface_Live_Data!H73&gt;=Subsurface_Inputs!$C$42,Subsurface_Live_Data!N73+Subsurface_Inputs!$C$56*SIN(2*PI()*A73/27),NA())</f>
        <v>54.232893219944636</v>
      </c>
      <c r="F73" s="25">
        <f>Subsurface_Live_Data!O73+Subsurface_Inputs!$C$56*SIN(2*PI()*A73/47)</f>
        <v>175.1439076772993</v>
      </c>
      <c r="G73" s="25">
        <f t="shared" si="1"/>
        <v>-57.90820079781799</v>
      </c>
    </row>
    <row r="74" spans="1:7">
      <c r="A74" s="25">
        <f>Subsurface_Live_Data!A74</f>
        <v>-24</v>
      </c>
      <c r="B74" s="25">
        <v>0</v>
      </c>
      <c r="C74" s="25">
        <f>Subsurface_Inputs!$C$57+1.5*SIN(2*PI()*A74/35)</f>
        <v>13.379291658827176</v>
      </c>
      <c r="D74" s="25">
        <f>Subsurface_Live_Data!M74+Subsurface_Inputs!$C$56*SIN(2*PI()*A74/31)</f>
        <v>14.1572038673417</v>
      </c>
      <c r="E74" s="25">
        <f>IF(Subsurface_Live_Data!H74&gt;=Subsurface_Inputs!$C$42,Subsurface_Live_Data!N74+Subsurface_Inputs!$C$56*SIN(2*PI()*A74/27),NA())</f>
        <v>54.208685237489725</v>
      </c>
      <c r="F74" s="25">
        <f>Subsurface_Live_Data!O74+Subsurface_Inputs!$C$56*SIN(2*PI()*A74/47)</f>
        <v>175.2415584227405</v>
      </c>
      <c r="G74" s="25">
        <f t="shared" si="1"/>
        <v>-57.98975347902001</v>
      </c>
    </row>
    <row r="75" spans="1:7">
      <c r="A75" s="25">
        <f>Subsurface_Live_Data!A75</f>
        <v>-23.5</v>
      </c>
      <c r="B75" s="25">
        <v>0</v>
      </c>
      <c r="C75" s="25">
        <f>Subsurface_Inputs!$C$57+1.5*SIN(2*PI()*A75/35)</f>
        <v>13.320893297785107</v>
      </c>
      <c r="D75" s="25">
        <f>Subsurface_Live_Data!M75+Subsurface_Inputs!$C$56*SIN(2*PI()*A75/31)</f>
        <v>14.128512993594303</v>
      </c>
      <c r="E75" s="25">
        <f>IF(Subsurface_Live_Data!H75&gt;=Subsurface_Inputs!$C$42,Subsurface_Live_Data!N75+Subsurface_Inputs!$C$56*SIN(2*PI()*A75/27),NA())</f>
        <v>54.1849685030232</v>
      </c>
      <c r="F75" s="25">
        <f>Subsurface_Live_Data!O75+Subsurface_Inputs!$C$56*SIN(2*PI()*A75/47)</f>
        <v>175.32625414479432</v>
      </c>
      <c r="G75" s="25">
        <f t="shared" si="1"/>
        <v>-57.98975347902001</v>
      </c>
    </row>
    <row r="76" spans="1:7">
      <c r="A76" s="25">
        <f>Subsurface_Live_Data!A76</f>
        <v>-23</v>
      </c>
      <c r="B76" s="25">
        <v>0</v>
      </c>
      <c r="C76" s="25">
        <f>Subsurface_Inputs!$C$57+1.5*SIN(2*PI()*A76/35)</f>
        <v>13.251859880581954</v>
      </c>
      <c r="D76" s="25">
        <f>Subsurface_Live_Data!M76+Subsurface_Inputs!$C$56*SIN(2*PI()*A76/31)</f>
        <v>14.08100056914749</v>
      </c>
      <c r="E76" s="25">
        <f>IF(Subsurface_Live_Data!H76&gt;=Subsurface_Inputs!$C$42,Subsurface_Live_Data!N76+Subsurface_Inputs!$C$56*SIN(2*PI()*A76/27),NA())</f>
        <v>54.160227849272871</v>
      </c>
      <c r="F76" s="25">
        <f>Subsurface_Live_Data!O76+Subsurface_Inputs!$C$56*SIN(2*PI()*A76/47)</f>
        <v>175.41998686850999</v>
      </c>
      <c r="G76" s="25">
        <f t="shared" si="1"/>
        <v>-57.90820079781799</v>
      </c>
    </row>
    <row r="77" spans="1:7">
      <c r="A77" s="25">
        <f>Subsurface_Live_Data!A77</f>
        <v>-22.5</v>
      </c>
      <c r="B77" s="25">
        <v>0</v>
      </c>
      <c r="C77" s="25">
        <f>Subsurface_Inputs!$C$57+1.5*SIN(2*PI()*A77/35)</f>
        <v>13.172747223702045</v>
      </c>
      <c r="D77" s="25">
        <f>Subsurface_Live_Data!M77+Subsurface_Inputs!$C$56*SIN(2*PI()*A77/31)</f>
        <v>14.015457473244256</v>
      </c>
      <c r="E77" s="25">
        <f>IF(Subsurface_Live_Data!H77&gt;=Subsurface_Inputs!$C$42,Subsurface_Live_Data!N77+Subsurface_Inputs!$C$56*SIN(2*PI()*A77/27),NA())</f>
        <v>54.133087036395693</v>
      </c>
      <c r="F77" s="25">
        <f>Subsurface_Live_Data!O77+Subsurface_Inputs!$C$56*SIN(2*PI()*A77/47)</f>
        <v>175.52101556654085</v>
      </c>
      <c r="G77" s="25">
        <f t="shared" si="1"/>
        <v>-57.74731997996517</v>
      </c>
    </row>
    <row r="78" spans="1:7">
      <c r="A78" s="25">
        <f>Subsurface_Live_Data!A78</f>
        <v>-22</v>
      </c>
      <c r="B78" s="25">
        <v>0</v>
      </c>
      <c r="C78" s="25">
        <f>Subsurface_Inputs!$C$57+1.5*SIN(2*PI()*A78/35)</f>
        <v>13.084192295741087</v>
      </c>
      <c r="D78" s="25">
        <f>Subsurface_Live_Data!M78+Subsurface_Inputs!$C$56*SIN(2*PI()*A78/31)</f>
        <v>13.942517916139623</v>
      </c>
      <c r="E78" s="25">
        <f>IF(Subsurface_Live_Data!H78&gt;=Subsurface_Inputs!$C$42,Subsurface_Live_Data!N78+Subsurface_Inputs!$C$56*SIN(2*PI()*A78/27),NA())</f>
        <v>54.102329882761559</v>
      </c>
      <c r="F78" s="25">
        <f>Subsurface_Live_Data!O78+Subsurface_Inputs!$C$56*SIN(2*PI()*A78/47)</f>
        <v>175.59434393054809</v>
      </c>
      <c r="G78" s="25">
        <f t="shared" si="1"/>
        <v>-57.511499434787581</v>
      </c>
    </row>
    <row r="79" spans="1:7">
      <c r="A79" s="25">
        <f>Subsurface_Live_Data!A79</f>
        <v>-21.5</v>
      </c>
      <c r="B79" s="25">
        <v>0</v>
      </c>
      <c r="C79" s="25">
        <f>Subsurface_Inputs!$C$57+1.5*SIN(2*PI()*A79/35)</f>
        <v>12.986908088909569</v>
      </c>
      <c r="D79" s="25">
        <f>Subsurface_Live_Data!M79+Subsurface_Inputs!$C$56*SIN(2*PI()*A79/31)</f>
        <v>13.845574499669167</v>
      </c>
      <c r="E79" s="25">
        <f>IF(Subsurface_Live_Data!H79&gt;=Subsurface_Inputs!$C$42,Subsurface_Live_Data!N79+Subsurface_Inputs!$C$56*SIN(2*PI()*A79/27),NA())</f>
        <v>54.066919045504612</v>
      </c>
      <c r="F79" s="25">
        <f>Subsurface_Live_Data!O79+Subsurface_Inputs!$C$56*SIN(2*PI()*A79/47)</f>
        <v>175.70149690181847</v>
      </c>
      <c r="G79" s="25">
        <f t="shared" si="1"/>
        <v>-57.207171732019397</v>
      </c>
    </row>
    <row r="80" spans="1:7">
      <c r="A80" s="25">
        <f>Subsurface_Live_Data!A80</f>
        <v>-21</v>
      </c>
      <c r="B80" s="25">
        <v>0</v>
      </c>
      <c r="C80" s="25">
        <f>Subsurface_Inputs!$C$57+1.5*SIN(2*PI()*A80/35)</f>
        <v>12.88167787843871</v>
      </c>
      <c r="D80" s="25">
        <f>Subsurface_Live_Data!M80+Subsurface_Inputs!$C$56*SIN(2*PI()*A80/31)</f>
        <v>13.718103521163068</v>
      </c>
      <c r="E80" s="25">
        <f>IF(Subsurface_Live_Data!H80&gt;=Subsurface_Inputs!$C$42,Subsurface_Live_Data!N80+Subsurface_Inputs!$C$56*SIN(2*PI()*A80/27),NA())</f>
        <v>54.026012187284529</v>
      </c>
      <c r="F80" s="25">
        <f>Subsurface_Live_Data!O80+Subsurface_Inputs!$C$56*SIN(2*PI()*A80/47)</f>
        <v>175.86984096881648</v>
      </c>
      <c r="G80" s="25">
        <f t="shared" si="1"/>
        <v>-56.842638138069006</v>
      </c>
    </row>
    <row r="81" spans="1:7">
      <c r="A81" s="25">
        <f>Subsurface_Live_Data!A81</f>
        <v>-20.5</v>
      </c>
      <c r="B81" s="25">
        <v>0</v>
      </c>
      <c r="C81" s="25">
        <f>Subsurface_Inputs!$C$57+1.5*SIN(2*PI()*A81/35)</f>
        <v>12.769348916108859</v>
      </c>
      <c r="D81" s="25">
        <f>Subsurface_Live_Data!M81+Subsurface_Inputs!$C$56*SIN(2*PI()*A81/31)</f>
        <v>13.595065597432113</v>
      </c>
      <c r="E81" s="25">
        <f>IF(Subsurface_Live_Data!H81&gt;=Subsurface_Inputs!$C$42,Subsurface_Live_Data!N81+Subsurface_Inputs!$C$56*SIN(2*PI()*A81/27),NA())</f>
        <v>53.978975299192534</v>
      </c>
      <c r="F81" s="25">
        <f>Subsurface_Live_Data!O81+Subsurface_Inputs!$C$56*SIN(2*PI()*A81/47)</f>
        <v>175.98262105744848</v>
      </c>
      <c r="G81" s="25">
        <f t="shared" si="1"/>
        <v>-56.427842179111217</v>
      </c>
    </row>
    <row r="82" spans="1:7">
      <c r="A82" s="25">
        <f>Subsurface_Live_Data!A82</f>
        <v>-20</v>
      </c>
      <c r="B82" s="25">
        <v>0</v>
      </c>
      <c r="C82" s="25">
        <f>Subsurface_Inputs!$C$57+1.5*SIN(2*PI()*A82/35)</f>
        <v>12.650825608676337</v>
      </c>
      <c r="D82" s="25">
        <f>Subsurface_Live_Data!M82+Subsurface_Inputs!$C$56*SIN(2*PI()*A82/31)</f>
        <v>13.444720813992983</v>
      </c>
      <c r="E82" s="25">
        <f>IF(Subsurface_Live_Data!H82&gt;=Subsurface_Inputs!$C$42,Subsurface_Live_Data!N82+Subsurface_Inputs!$C$56*SIN(2*PI()*A82/27),NA())</f>
        <v>53.925392986664107</v>
      </c>
      <c r="F82" s="25">
        <f>Subsurface_Live_Data!O82+Subsurface_Inputs!$C$56*SIN(2*PI()*A82/47)</f>
        <v>176.1575277291347</v>
      </c>
      <c r="G82" s="25">
        <f t="shared" si="1"/>
        <v>-55.974098407614051</v>
      </c>
    </row>
    <row r="83" spans="1:7">
      <c r="A83" s="25">
        <f>Subsurface_Live_Data!A83</f>
        <v>-19.5</v>
      </c>
      <c r="B83" s="25">
        <v>0</v>
      </c>
      <c r="C83" s="25">
        <f>Subsurface_Inputs!$C$57+1.5*SIN(2*PI()*A83/35)</f>
        <v>12.527062236122013</v>
      </c>
      <c r="D83" s="25">
        <f>Subsurface_Live_Data!M83+Subsurface_Inputs!$C$56*SIN(2*PI()*A83/31)</f>
        <v>13.298407832188209</v>
      </c>
      <c r="E83" s="25">
        <f>IF(Subsurface_Live_Data!H83&gt;=Subsurface_Inputs!$C$42,Subsurface_Live_Data!N83+Subsurface_Inputs!$C$56*SIN(2*PI()*A83/27),NA())</f>
        <v>53.8650755651949</v>
      </c>
      <c r="F83" s="25">
        <f>Subsurface_Live_Data!O83+Subsurface_Inputs!$C$56*SIN(2*PI()*A83/47)</f>
        <v>176.29237292882263</v>
      </c>
      <c r="G83" s="25">
        <f t="shared" si="1"/>
        <v>-55.493783770842199</v>
      </c>
    </row>
    <row r="84" spans="1:7">
      <c r="A84" s="25">
        <f>Subsurface_Live_Data!A84</f>
        <v>-19</v>
      </c>
      <c r="B84" s="25">
        <v>0</v>
      </c>
      <c r="C84" s="25">
        <f>Subsurface_Inputs!$C$57+1.5*SIN(2*PI()*A84/35)</f>
        <v>12.399055268350013</v>
      </c>
      <c r="D84" s="25">
        <f>Subsurface_Live_Data!M84+Subsurface_Inputs!$C$56*SIN(2*PI()*A84/31)</f>
        <v>13.135106693120745</v>
      </c>
      <c r="E84" s="25">
        <f>IF(Subsurface_Live_Data!H84&gt;=Subsurface_Inputs!$C$42,Subsurface_Live_Data!N84+Subsurface_Inputs!$C$56*SIN(2*PI()*A84/27),NA())</f>
        <v>53.798062855117287</v>
      </c>
      <c r="F84" s="25">
        <f>Subsurface_Live_Data!O84+Subsurface_Inputs!$C$56*SIN(2*PI()*A84/47)</f>
        <v>176.46900675512202</v>
      </c>
      <c r="G84" s="25">
        <f t="shared" si="1"/>
        <v>-55</v>
      </c>
    </row>
    <row r="85" spans="1:7">
      <c r="A85" s="25">
        <f>Subsurface_Live_Data!A85</f>
        <v>-18.5</v>
      </c>
      <c r="B85" s="25">
        <v>0</v>
      </c>
      <c r="C85" s="25">
        <f>Subsurface_Inputs!$C$57+1.5*SIN(2*PI()*A85/35)</f>
        <v>12.267835342197955</v>
      </c>
      <c r="D85" s="25">
        <f>Subsurface_Live_Data!M85+Subsurface_Inputs!$C$56*SIN(2*PI()*A85/31)</f>
        <v>12.959919383975775</v>
      </c>
      <c r="E85" s="25">
        <f>IF(Subsurface_Live_Data!H85&gt;=Subsurface_Inputs!$C$42,Subsurface_Live_Data!N85+Subsurface_Inputs!$C$56*SIN(2*PI()*A85/27),NA())</f>
        <v>53.724624609149153</v>
      </c>
      <c r="F85" s="25">
        <f>Subsurface_Live_Data!O85+Subsurface_Inputs!$C$56*SIN(2*PI()*A85/47)</f>
        <v>176.67850785688245</v>
      </c>
      <c r="G85" s="25">
        <f t="shared" si="1"/>
        <v>-54.506216229157801</v>
      </c>
    </row>
    <row r="86" spans="1:7">
      <c r="A86" s="25">
        <f>Subsurface_Live_Data!A86</f>
        <v>-18</v>
      </c>
      <c r="B86" s="25">
        <v>0</v>
      </c>
      <c r="C86" s="25">
        <f>Subsurface_Inputs!$C$57+1.5*SIN(2*PI()*A86/35)</f>
        <v>12.134458963355151</v>
      </c>
      <c r="D86" s="25">
        <f>Subsurface_Live_Data!M86+Subsurface_Inputs!$C$56*SIN(2*PI()*A86/31)</f>
        <v>12.796767708040639</v>
      </c>
      <c r="E86" s="25">
        <f>IF(Subsurface_Live_Data!H86&gt;=Subsurface_Inputs!$C$42,Subsurface_Live_Data!N86+Subsurface_Inputs!$C$56*SIN(2*PI()*A86/27),NA())</f>
        <v>53.64525755229829</v>
      </c>
      <c r="F86" s="25">
        <f>Subsurface_Live_Data!O86+Subsurface_Inputs!$C$56*SIN(2*PI()*A86/47)</f>
        <v>176.84660113951827</v>
      </c>
      <c r="G86" s="25">
        <f t="shared" si="1"/>
        <v>-54.025901592385949</v>
      </c>
    </row>
    <row r="87" spans="1:7">
      <c r="A87" s="25">
        <f>Subsurface_Live_Data!A87</f>
        <v>-17.5</v>
      </c>
      <c r="B87" s="25">
        <v>0</v>
      </c>
      <c r="C87" s="25">
        <f>Subsurface_Inputs!$C$57+1.5*SIN(2*PI()*A87/35)</f>
        <v>12</v>
      </c>
      <c r="D87" s="25">
        <f>Subsurface_Live_Data!M87+Subsurface_Inputs!$C$56*SIN(2*PI()*A87/31)</f>
        <v>12.623226735380925</v>
      </c>
      <c r="E87" s="25">
        <f>IF(Subsurface_Live_Data!H87&gt;=Subsurface_Inputs!$C$42,Subsurface_Live_Data!N87+Subsurface_Inputs!$C$56*SIN(2*PI()*A87/27),NA())</f>
        <v>53.560679060384096</v>
      </c>
      <c r="F87" s="25">
        <f>Subsurface_Live_Data!O87+Subsurface_Inputs!$C$56*SIN(2*PI()*A87/47)</f>
        <v>177.06159109807575</v>
      </c>
      <c r="G87" s="25">
        <f t="shared" si="1"/>
        <v>-53.572157820888776</v>
      </c>
    </row>
    <row r="88" spans="1:7">
      <c r="A88" s="25">
        <f>Subsurface_Live_Data!A88</f>
        <v>-17</v>
      </c>
      <c r="B88" s="25">
        <v>0</v>
      </c>
      <c r="C88" s="25">
        <f>Subsurface_Inputs!$C$57+1.5*SIN(2*PI()*A88/35)</f>
        <v>11.865541036644849</v>
      </c>
      <c r="D88" s="25">
        <f>Subsurface_Live_Data!M88+Subsurface_Inputs!$C$56*SIN(2*PI()*A88/31)</f>
        <v>12.44242867395597</v>
      </c>
      <c r="E88" s="25">
        <f>IF(Subsurface_Live_Data!H88&gt;=Subsurface_Inputs!$C$42,Subsurface_Live_Data!N88+Subsurface_Inputs!$C$56*SIN(2*PI()*A88/27),NA())</f>
        <v>53.471817550279738</v>
      </c>
      <c r="F88" s="25">
        <f>Subsurface_Live_Data!O88+Subsurface_Inputs!$C$56*SIN(2*PI()*A88/47)</f>
        <v>177.32254129337883</v>
      </c>
      <c r="G88" s="25">
        <f t="shared" si="1"/>
        <v>-53.157361861931001</v>
      </c>
    </row>
    <row r="89" spans="1:7">
      <c r="A89" s="25">
        <f>Subsurface_Live_Data!A89</f>
        <v>-16.5</v>
      </c>
      <c r="B89" s="25">
        <v>0</v>
      </c>
      <c r="C89" s="25">
        <f>Subsurface_Inputs!$C$57+1.5*SIN(2*PI()*A89/35)</f>
        <v>11.732164657802045</v>
      </c>
      <c r="D89" s="25">
        <f>Subsurface_Live_Data!M89+Subsurface_Inputs!$C$56*SIN(2*PI()*A89/31)</f>
        <v>12.277327606681929</v>
      </c>
      <c r="E89" s="25">
        <f>IF(Subsurface_Live_Data!H89&gt;=Subsurface_Inputs!$C$42,Subsurface_Live_Data!N89+Subsurface_Inputs!$C$56*SIN(2*PI()*A89/27),NA())</f>
        <v>53.379799701322554</v>
      </c>
      <c r="F89" s="25">
        <f>Subsurface_Live_Data!O89+Subsurface_Inputs!$C$56*SIN(2*PI()*A89/47)</f>
        <v>177.55918599462146</v>
      </c>
      <c r="G89" s="25">
        <f t="shared" si="1"/>
        <v>-52.792828267980603</v>
      </c>
    </row>
    <row r="90" spans="1:7">
      <c r="A90" s="25">
        <f>Subsurface_Live_Data!A90</f>
        <v>-16</v>
      </c>
      <c r="B90" s="25">
        <v>0</v>
      </c>
      <c r="C90" s="25">
        <f>Subsurface_Inputs!$C$57+1.5*SIN(2*PI()*A90/35)</f>
        <v>11.600944731649987</v>
      </c>
      <c r="D90" s="25">
        <f>Subsurface_Live_Data!M90+Subsurface_Inputs!$C$56*SIN(2*PI()*A90/31)</f>
        <v>12.130289260016369</v>
      </c>
      <c r="E90" s="25">
        <f>IF(Subsurface_Live_Data!H90&gt;=Subsurface_Inputs!$C$42,Subsurface_Live_Data!N90+Subsurface_Inputs!$C$56*SIN(2*PI()*A90/27),NA())</f>
        <v>53.285934672518344</v>
      </c>
      <c r="F90" s="25">
        <f>Subsurface_Live_Data!O90+Subsurface_Inputs!$C$56*SIN(2*PI()*A90/47)</f>
        <v>177.77320207428289</v>
      </c>
      <c r="G90" s="25">
        <f t="shared" si="1"/>
        <v>-52.488500565212412</v>
      </c>
    </row>
    <row r="91" spans="1:7">
      <c r="A91" s="25">
        <f>Subsurface_Live_Data!A91</f>
        <v>-15.5</v>
      </c>
      <c r="B91" s="25">
        <v>0</v>
      </c>
      <c r="C91" s="25">
        <f>Subsurface_Inputs!$C$57+1.5*SIN(2*PI()*A91/35)</f>
        <v>11.472937763877987</v>
      </c>
      <c r="D91" s="25">
        <f>Subsurface_Live_Data!M91+Subsurface_Inputs!$C$56*SIN(2*PI()*A91/31)</f>
        <v>11.978168198667127</v>
      </c>
      <c r="E91" s="25">
        <f>IF(Subsurface_Live_Data!H91&gt;=Subsurface_Inputs!$C$42,Subsurface_Live_Data!N91+Subsurface_Inputs!$C$56*SIN(2*PI()*A91/27),NA())</f>
        <v>53.191695523504883</v>
      </c>
      <c r="F91" s="25">
        <f>Subsurface_Live_Data!O91+Subsurface_Inputs!$C$56*SIN(2*PI()*A91/47)</f>
        <v>178.05527547665494</v>
      </c>
      <c r="G91" s="25">
        <f t="shared" si="1"/>
        <v>-52.25268002003483</v>
      </c>
    </row>
    <row r="92" spans="1:7">
      <c r="A92" s="25">
        <f>Subsurface_Live_Data!A92</f>
        <v>-15</v>
      </c>
      <c r="B92" s="25">
        <v>0</v>
      </c>
      <c r="C92" s="25">
        <f>Subsurface_Inputs!$C$57+1.5*SIN(2*PI()*A92/35)</f>
        <v>11.349174391323663</v>
      </c>
      <c r="D92" s="25">
        <f>Subsurface_Live_Data!M92+Subsurface_Inputs!$C$56*SIN(2*PI()*A92/31)</f>
        <v>11.84923662660562</v>
      </c>
      <c r="E92" s="25">
        <f>IF(Subsurface_Live_Data!H92&gt;=Subsurface_Inputs!$C$42,Subsurface_Live_Data!N92+Subsurface_Inputs!$C$56*SIN(2*PI()*A92/27),NA())</f>
        <v>53.098698088086074</v>
      </c>
      <c r="F92" s="25">
        <f>Subsurface_Live_Data!O92+Subsurface_Inputs!$C$56*SIN(2*PI()*A92/47)</f>
        <v>178.31569032245292</v>
      </c>
      <c r="G92" s="25">
        <f t="shared" si="1"/>
        <v>-52.09179920218201</v>
      </c>
    </row>
    <row r="93" spans="1:7">
      <c r="A93" s="25">
        <f>Subsurface_Live_Data!A93</f>
        <v>-14.5</v>
      </c>
      <c r="B93" s="25">
        <v>0</v>
      </c>
      <c r="C93" s="25">
        <f>Subsurface_Inputs!$C$57+1.5*SIN(2*PI()*A93/35)</f>
        <v>11.230651083891141</v>
      </c>
      <c r="D93" s="25">
        <f>Subsurface_Live_Data!M93+Subsurface_Inputs!$C$56*SIN(2*PI()*A93/31)</f>
        <v>11.73542882172482</v>
      </c>
      <c r="E93" s="25">
        <f>IF(Subsurface_Live_Data!H93&gt;=Subsurface_Inputs!$C$42,Subsurface_Live_Data!N93+Subsurface_Inputs!$C$56*SIN(2*PI()*A93/27),NA())</f>
        <v>53.008677586865588</v>
      </c>
      <c r="F93" s="25">
        <f>Subsurface_Live_Data!O93+Subsurface_Inputs!$C$56*SIN(2*PI()*A93/47)</f>
        <v>178.59131919155789</v>
      </c>
      <c r="G93" s="25">
        <f t="shared" si="1"/>
        <v>-52.01024652097999</v>
      </c>
    </row>
    <row r="94" spans="1:7">
      <c r="A94" s="25">
        <f>Subsurface_Live_Data!A94</f>
        <v>-14</v>
      </c>
      <c r="B94" s="25">
        <v>0</v>
      </c>
      <c r="C94" s="25">
        <f>Subsurface_Inputs!$C$57+1.5*SIN(2*PI()*A94/35)</f>
        <v>11.11832212156129</v>
      </c>
      <c r="D94" s="25">
        <f>Subsurface_Live_Data!M94+Subsurface_Inputs!$C$56*SIN(2*PI()*A94/31)</f>
        <v>11.634209625118213</v>
      </c>
      <c r="E94" s="25">
        <f>IF(Subsurface_Live_Data!H94&gt;=Subsurface_Inputs!$C$42,Subsurface_Live_Data!N94+Subsurface_Inputs!$C$56*SIN(2*PI()*A94/27),NA())</f>
        <v>52.923463299499616</v>
      </c>
      <c r="F94" s="25">
        <f>Subsurface_Live_Data!O94+Subsurface_Inputs!$C$56*SIN(2*PI()*A94/47)</f>
        <v>178.89893764782522</v>
      </c>
      <c r="G94" s="25">
        <f t="shared" si="1"/>
        <v>-52.01024652097999</v>
      </c>
    </row>
    <row r="95" spans="1:7">
      <c r="A95" s="25">
        <f>Subsurface_Live_Data!A95</f>
        <v>-13.5</v>
      </c>
      <c r="B95" s="25">
        <v>0</v>
      </c>
      <c r="C95" s="25">
        <f>Subsurface_Inputs!$C$57+1.5*SIN(2*PI()*A95/35)</f>
        <v>11.013091911090431</v>
      </c>
      <c r="D95" s="25">
        <f>Subsurface_Live_Data!M95+Subsurface_Inputs!$C$56*SIN(2*PI()*A95/31)</f>
        <v>11.554909378968979</v>
      </c>
      <c r="E95" s="25">
        <f>IF(Subsurface_Live_Data!H95&gt;=Subsurface_Inputs!$C$42,Subsurface_Live_Data!N95+Subsurface_Inputs!$C$56*SIN(2*PI()*A95/27),NA())</f>
        <v>52.84495164679894</v>
      </c>
      <c r="F95" s="25">
        <f>Subsurface_Live_Data!O95+Subsurface_Inputs!$C$56*SIN(2*PI()*A95/47)</f>
        <v>179.21291702078796</v>
      </c>
      <c r="G95" s="25">
        <f t="shared" si="1"/>
        <v>-52.09179920218201</v>
      </c>
    </row>
    <row r="96" spans="1:7">
      <c r="A96" s="25">
        <f>Subsurface_Live_Data!A96</f>
        <v>-13</v>
      </c>
      <c r="B96" s="25">
        <v>0</v>
      </c>
      <c r="C96" s="25">
        <f>Subsurface_Inputs!$C$57+1.5*SIN(2*PI()*A96/35)</f>
        <v>10.915807704258913</v>
      </c>
      <c r="D96" s="25">
        <f>Subsurface_Live_Data!M96+Subsurface_Inputs!$C$56*SIN(2*PI()*A96/31)</f>
        <v>11.5060753683172</v>
      </c>
      <c r="E96" s="25">
        <f>IF(Subsurface_Live_Data!H96&gt;=Subsurface_Inputs!$C$42,Subsurface_Live_Data!N96+Subsurface_Inputs!$C$56*SIN(2*PI()*A96/27),NA())</f>
        <v>52.77507805784559</v>
      </c>
      <c r="F96" s="25">
        <f>Subsurface_Live_Data!O96+Subsurface_Inputs!$C$56*SIN(2*PI()*A96/47)</f>
        <v>179.50937246047235</v>
      </c>
      <c r="G96" s="25">
        <f t="shared" si="1"/>
        <v>-52.25268002003483</v>
      </c>
    </row>
    <row r="97" spans="1:7">
      <c r="A97" s="25">
        <f>Subsurface_Live_Data!A97</f>
        <v>-12.5</v>
      </c>
      <c r="B97" s="25">
        <v>0</v>
      </c>
      <c r="C97" s="25">
        <f>Subsurface_Inputs!$C$57+1.5*SIN(2*PI()*A97/35)</f>
        <v>10.827252776297955</v>
      </c>
      <c r="D97" s="25">
        <f>Subsurface_Live_Data!M97+Subsurface_Inputs!$C$56*SIN(2*PI()*A97/31)</f>
        <v>11.482382923177182</v>
      </c>
      <c r="E97" s="25">
        <f>IF(Subsurface_Live_Data!H97&gt;=Subsurface_Inputs!$C$42,Subsurface_Live_Data!N97+Subsurface_Inputs!$C$56*SIN(2*PI()*A97/27),NA())</f>
        <v>52.71578801701763</v>
      </c>
      <c r="F97" s="25">
        <f>Subsurface_Live_Data!O97+Subsurface_Inputs!$C$56*SIN(2*PI()*A97/47)</f>
        <v>179.81186720593229</v>
      </c>
      <c r="G97" s="25">
        <f t="shared" si="1"/>
        <v>-52.488500565212412</v>
      </c>
    </row>
    <row r="98" spans="1:7">
      <c r="A98" s="25">
        <f>Subsurface_Live_Data!A98</f>
        <v>-12</v>
      </c>
      <c r="B98" s="25">
        <v>0</v>
      </c>
      <c r="C98" s="25">
        <f>Subsurface_Inputs!$C$57+1.5*SIN(2*PI()*A98/35)</f>
        <v>10.748140119418046</v>
      </c>
      <c r="D98" s="25">
        <f>Subsurface_Live_Data!M98+Subsurface_Inputs!$C$56*SIN(2*PI()*A98/31)</f>
        <v>11.471387082687297</v>
      </c>
      <c r="E98" s="25">
        <f>IF(Subsurface_Live_Data!H98&gt;=Subsurface_Inputs!$C$42,Subsurface_Live_Data!N98+Subsurface_Inputs!$C$56*SIN(2*PI()*A98/27),NA())</f>
        <v>52.66900769998341</v>
      </c>
      <c r="F98" s="25">
        <f>Subsurface_Live_Data!O98+Subsurface_Inputs!$C$56*SIN(2*PI()*A98/47)</f>
        <v>180.16769164518217</v>
      </c>
      <c r="G98" s="25">
        <f t="shared" si="1"/>
        <v>-52.792828267980603</v>
      </c>
    </row>
    <row r="99" spans="1:7">
      <c r="A99" s="25">
        <f>Subsurface_Live_Data!A99</f>
        <v>-11.5</v>
      </c>
      <c r="B99" s="25">
        <v>0</v>
      </c>
      <c r="C99" s="25">
        <f>Subsurface_Inputs!$C$57+1.5*SIN(2*PI()*A99/35)</f>
        <v>10.679106702214893</v>
      </c>
      <c r="D99" s="25">
        <f>Subsurface_Live_Data!M99+Subsurface_Inputs!$C$56*SIN(2*PI()*A99/31)</f>
        <v>11.501800541545633</v>
      </c>
      <c r="E99" s="25">
        <f>IF(Subsurface_Live_Data!H99&gt;=Subsurface_Inputs!$C$42,Subsurface_Live_Data!N99+Subsurface_Inputs!$C$56*SIN(2*PI()*A99/27),NA())</f>
        <v>52.636614616059525</v>
      </c>
      <c r="F99" s="25">
        <f>Subsurface_Live_Data!O99+Subsurface_Inputs!$C$56*SIN(2*PI()*A99/47)</f>
        <v>180.47881859576071</v>
      </c>
      <c r="G99" s="25">
        <f t="shared" si="1"/>
        <v>-53.157361861931001</v>
      </c>
    </row>
    <row r="100" spans="1:7">
      <c r="A100" s="25">
        <f>Subsurface_Live_Data!A100</f>
        <v>-11</v>
      </c>
      <c r="B100" s="25">
        <v>0</v>
      </c>
      <c r="C100" s="25">
        <f>Subsurface_Inputs!$C$57+1.5*SIN(2*PI()*A100/35)</f>
        <v>10.620708341172824</v>
      </c>
      <c r="D100" s="25">
        <f>Subsurface_Live_Data!M100+Subsurface_Inputs!$C$56*SIN(2*PI()*A100/31)</f>
        <v>11.550794796189141</v>
      </c>
      <c r="E100" s="25">
        <f>IF(Subsurface_Live_Data!H100&gt;=Subsurface_Inputs!$C$42,Subsurface_Live_Data!N100+Subsurface_Inputs!$C$56*SIN(2*PI()*A100/27),NA())</f>
        <v>52.620408676641993</v>
      </c>
      <c r="F100" s="25">
        <f>Subsurface_Live_Data!O100+Subsurface_Inputs!$C$56*SIN(2*PI()*A100/47)</f>
        <v>180.82629673777689</v>
      </c>
      <c r="G100" s="25">
        <f t="shared" si="1"/>
        <v>-53.572157820888783</v>
      </c>
    </row>
    <row r="101" spans="1:7">
      <c r="A101" s="25">
        <f>Subsurface_Live_Data!A101</f>
        <v>-10.5</v>
      </c>
      <c r="B101" s="25">
        <v>0</v>
      </c>
      <c r="C101" s="25">
        <f>Subsurface_Inputs!$C$57+1.5*SIN(2*PI()*A101/35)</f>
        <v>10.57341522555727</v>
      </c>
      <c r="D101" s="25">
        <f>Subsurface_Live_Data!M101+Subsurface_Inputs!$C$56*SIN(2*PI()*A101/31)</f>
        <v>11.628559856131703</v>
      </c>
      <c r="E101" s="25">
        <f>IF(Subsurface_Live_Data!H101&gt;=Subsurface_Inputs!$C$42,Subsurface_Live_Data!N101+Subsurface_Inputs!$C$56*SIN(2*PI()*A101/27),NA())</f>
        <v>52.622084105624189</v>
      </c>
      <c r="F101" s="25">
        <f>Subsurface_Live_Data!O101+Subsurface_Inputs!$C$56*SIN(2*PI()*A101/47)</f>
        <v>181.17425923799036</v>
      </c>
      <c r="G101" s="25">
        <f t="shared" si="1"/>
        <v>-54.025901592385949</v>
      </c>
    </row>
    <row r="102" spans="1:7">
      <c r="A102" s="25">
        <f>Subsurface_Live_Data!A102</f>
        <v>-10</v>
      </c>
      <c r="B102" s="25">
        <v>0</v>
      </c>
      <c r="C102" s="25">
        <f>Subsurface_Inputs!$C$57+1.5*SIN(2*PI()*A102/35)</f>
        <v>10.537608131727264</v>
      </c>
      <c r="D102" s="25">
        <f>Subsurface_Live_Data!M102+Subsurface_Inputs!$C$56*SIN(2*PI()*A102/31)</f>
        <v>11.730041486604748</v>
      </c>
      <c r="E102" s="25">
        <f>IF(Subsurface_Live_Data!H102&gt;=Subsurface_Inputs!$C$42,Subsurface_Live_Data!N102+Subsurface_Inputs!$C$56*SIN(2*PI()*A102/27),NA())</f>
        <v>52.643202597813215</v>
      </c>
      <c r="F102" s="25">
        <f>Subsurface_Live_Data!O102+Subsurface_Inputs!$C$56*SIN(2*PI()*A102/47)</f>
        <v>181.53883166294443</v>
      </c>
      <c r="G102" s="25">
        <f t="shared" si="1"/>
        <v>-54.506216229157801</v>
      </c>
    </row>
    <row r="103" spans="1:7">
      <c r="A103" s="25">
        <f>Subsurface_Live_Data!A103</f>
        <v>-9.5</v>
      </c>
      <c r="B103" s="25">
        <v>0</v>
      </c>
      <c r="C103" s="25">
        <f>Subsurface_Inputs!$C$57+1.5*SIN(2*PI()*A103/35)</f>
        <v>10.513575357348097</v>
      </c>
      <c r="D103" s="25">
        <f>Subsurface_Live_Data!M103+Subsurface_Inputs!$C$56*SIN(2*PI()*A103/31)</f>
        <v>11.856401515004762</v>
      </c>
      <c r="E103" s="25">
        <f>IF(Subsurface_Live_Data!H103&gt;=Subsurface_Inputs!$C$42,Subsurface_Live_Data!N103+Subsurface_Inputs!$C$56*SIN(2*PI()*A103/27),NA())</f>
        <v>52.68516811544707</v>
      </c>
      <c r="F103" s="25">
        <f>Subsurface_Live_Data!O103+Subsurface_Inputs!$C$56*SIN(2*PI()*A103/47)</f>
        <v>181.91302995233184</v>
      </c>
      <c r="G103" s="25">
        <f t="shared" si="1"/>
        <v>-55</v>
      </c>
    </row>
    <row r="104" spans="1:7">
      <c r="A104" s="25">
        <f>Subsurface_Live_Data!A104</f>
        <v>-9</v>
      </c>
      <c r="B104" s="25">
        <v>0</v>
      </c>
      <c r="C104" s="25">
        <f>Subsurface_Inputs!$C$57+1.5*SIN(2*PI()*A104/35)</f>
        <v>10.501510400188028</v>
      </c>
      <c r="D104" s="25">
        <f>Subsurface_Live_Data!M104+Subsurface_Inputs!$C$56*SIN(2*PI()*A104/31)</f>
        <v>12.012952120862145</v>
      </c>
      <c r="E104" s="25">
        <f>IF(Subsurface_Live_Data!H104&gt;=Subsurface_Inputs!$C$42,Subsurface_Live_Data!N104+Subsurface_Inputs!$C$56*SIN(2*PI()*A104/27),NA())</f>
        <v>52.749203691195362</v>
      </c>
      <c r="F104" s="25">
        <f>Subsurface_Live_Data!O104+Subsurface_Inputs!$C$56*SIN(2*PI()*A104/47)</f>
        <v>182.27402002340526</v>
      </c>
      <c r="G104" s="25">
        <f t="shared" si="1"/>
        <v>-55.493783770842199</v>
      </c>
    </row>
    <row r="105" spans="1:7">
      <c r="A105" s="25">
        <f>Subsurface_Live_Data!A105</f>
        <v>-8.5</v>
      </c>
      <c r="B105" s="25">
        <v>0</v>
      </c>
      <c r="C105" s="25">
        <f>Subsurface_Inputs!$C$57+1.5*SIN(2*PI()*A105/35)</f>
        <v>10.501510400188028</v>
      </c>
      <c r="D105" s="25">
        <f>Subsurface_Live_Data!M105+Subsurface_Inputs!$C$56*SIN(2*PI()*A105/31)</f>
        <v>12.178849110026638</v>
      </c>
      <c r="E105" s="25">
        <f>IF(Subsurface_Live_Data!H105&gt;=Subsurface_Inputs!$C$42,Subsurface_Live_Data!N105+Subsurface_Inputs!$C$56*SIN(2*PI()*A105/27),NA())</f>
        <v>52.836330578783517</v>
      </c>
      <c r="F105" s="25">
        <f>Subsurface_Live_Data!O105+Subsurface_Inputs!$C$56*SIN(2*PI()*A105/47)</f>
        <v>182.6892409541461</v>
      </c>
      <c r="G105" s="25">
        <f t="shared" si="1"/>
        <v>-55.974098407614051</v>
      </c>
    </row>
    <row r="106" spans="1:7">
      <c r="A106" s="25">
        <f>Subsurface_Live_Data!A106</f>
        <v>-8</v>
      </c>
      <c r="B106" s="25">
        <v>0</v>
      </c>
      <c r="C106" s="25">
        <f>Subsurface_Inputs!$C$57+1.5*SIN(2*PI()*A106/35)</f>
        <v>10.513575357348097</v>
      </c>
      <c r="D106" s="25">
        <f>Subsurface_Live_Data!M106+Subsurface_Inputs!$C$56*SIN(2*PI()*A106/31)</f>
        <v>12.383300612394327</v>
      </c>
      <c r="E106" s="25">
        <f>IF(Subsurface_Live_Data!H106&gt;=Subsurface_Inputs!$C$42,Subsurface_Live_Data!N106+Subsurface_Inputs!$C$56*SIN(2*PI()*A106/27),NA())</f>
        <v>52.947350059991933</v>
      </c>
      <c r="F106" s="25">
        <f>Subsurface_Live_Data!O106+Subsurface_Inputs!$C$56*SIN(2*PI()*A106/47)</f>
        <v>183.04974332940324</v>
      </c>
      <c r="G106" s="25">
        <f t="shared" si="1"/>
        <v>-56.427842179111224</v>
      </c>
    </row>
    <row r="107" spans="1:7">
      <c r="A107" s="25">
        <f>Subsurface_Live_Data!A107</f>
        <v>-7.5</v>
      </c>
      <c r="B107" s="25">
        <v>0</v>
      </c>
      <c r="C107" s="25">
        <f>Subsurface_Inputs!$C$57+1.5*SIN(2*PI()*A107/35)</f>
        <v>10.537608131727264</v>
      </c>
      <c r="D107" s="25">
        <f>Subsurface_Live_Data!M107+Subsurface_Inputs!$C$56*SIN(2*PI()*A107/31)</f>
        <v>12.597934112875077</v>
      </c>
      <c r="E107" s="25">
        <f>IF(Subsurface_Live_Data!H107&gt;=Subsurface_Inputs!$C$42,Subsurface_Live_Data!N107+Subsurface_Inputs!$C$56*SIN(2*PI()*A107/27),NA())</f>
        <v>53.082828179708457</v>
      </c>
      <c r="F107" s="25">
        <f>Subsurface_Live_Data!O107+Subsurface_Inputs!$C$56*SIN(2*PI()*A107/47)</f>
        <v>183.44699137663568</v>
      </c>
      <c r="G107" s="25">
        <f t="shared" si="1"/>
        <v>-56.842638138069006</v>
      </c>
    </row>
    <row r="108" spans="1:7">
      <c r="A108" s="25">
        <f>Subsurface_Live_Data!A108</f>
        <v>-7</v>
      </c>
      <c r="B108" s="25">
        <v>0</v>
      </c>
      <c r="C108" s="25">
        <f>Subsurface_Inputs!$C$57+1.5*SIN(2*PI()*A108/35)</f>
        <v>10.57341522555727</v>
      </c>
      <c r="D108" s="25">
        <f>Subsurface_Live_Data!M108+Subsurface_Inputs!$C$56*SIN(2*PI()*A108/31)</f>
        <v>12.81975927419813</v>
      </c>
      <c r="E108" s="25">
        <f>IF(Subsurface_Live_Data!H108&gt;=Subsurface_Inputs!$C$42,Subsurface_Live_Data!N108+Subsurface_Inputs!$C$56*SIN(2*PI()*A108/27),NA())</f>
        <v>53.243083639488049</v>
      </c>
      <c r="F108" s="25">
        <f>Subsurface_Live_Data!O108+Subsurface_Inputs!$C$56*SIN(2*PI()*A108/47)</f>
        <v>183.88259630786069</v>
      </c>
      <c r="G108" s="25">
        <f t="shared" si="1"/>
        <v>-57.207171732019397</v>
      </c>
    </row>
    <row r="109" spans="1:7">
      <c r="A109" s="25">
        <f>Subsurface_Live_Data!A109</f>
        <v>-6.5</v>
      </c>
      <c r="B109" s="25">
        <v>0</v>
      </c>
      <c r="C109" s="25">
        <f>Subsurface_Inputs!$C$57+1.5*SIN(2*PI()*A109/35)</f>
        <v>10.620708341172824</v>
      </c>
      <c r="D109" s="25">
        <f>Subsurface_Live_Data!M109+Subsurface_Inputs!$C$56*SIN(2*PI()*A109/31)</f>
        <v>13.075709208052771</v>
      </c>
      <c r="E109" s="25">
        <f>IF(Subsurface_Live_Data!H109&gt;=Subsurface_Inputs!$C$42,Subsurface_Live_Data!N109+Subsurface_Inputs!$C$56*SIN(2*PI()*A109/27),NA())</f>
        <v>53.428179035301774</v>
      </c>
      <c r="F109" s="25">
        <f>Subsurface_Live_Data!O109+Subsurface_Inputs!$C$56*SIN(2*PI()*A109/47)</f>
        <v>184.25253983015571</v>
      </c>
      <c r="G109" s="25">
        <f t="shared" si="1"/>
        <v>-57.511499434787588</v>
      </c>
    </row>
    <row r="110" spans="1:7">
      <c r="A110" s="25">
        <f>Subsurface_Live_Data!A110</f>
        <v>-6</v>
      </c>
      <c r="B110" s="25">
        <v>0</v>
      </c>
      <c r="C110" s="25">
        <f>Subsurface_Inputs!$C$57+1.5*SIN(2*PI()*A110/35)</f>
        <v>10.679106702214893</v>
      </c>
      <c r="D110" s="25">
        <f>Subsurface_Live_Data!M110+Subsurface_Inputs!$C$56*SIN(2*PI()*A110/31)</f>
        <v>13.334015482247093</v>
      </c>
      <c r="E110" s="25">
        <f>IF(Subsurface_Live_Data!H110&gt;=Subsurface_Inputs!$C$42,Subsurface_Live_Data!N110+Subsurface_Inputs!$C$56*SIN(2*PI()*A110/27),NA())</f>
        <v>53.637915577495612</v>
      </c>
      <c r="F110" s="25">
        <f>Subsurface_Live_Data!O110+Subsurface_Inputs!$C$56*SIN(2*PI()*A110/47)</f>
        <v>184.6574923480014</v>
      </c>
      <c r="G110" s="25">
        <f t="shared" si="1"/>
        <v>-57.74731997996517</v>
      </c>
    </row>
    <row r="111" spans="1:7">
      <c r="A111" s="25">
        <f>Subsurface_Live_Data!A111</f>
        <v>-5.5</v>
      </c>
      <c r="B111" s="25">
        <v>0</v>
      </c>
      <c r="C111" s="25">
        <f>Subsurface_Inputs!$C$57+1.5*SIN(2*PI()*A111/35)</f>
        <v>10.748140119418046</v>
      </c>
      <c r="D111" s="25">
        <f>Subsurface_Live_Data!M111+Subsurface_Inputs!$C$56*SIN(2*PI()*A111/31)</f>
        <v>13.600505097028599</v>
      </c>
      <c r="E111" s="25" t="e">
        <f>IF(Subsurface_Live_Data!H111&gt;=Subsurface_Inputs!$C$42,Subsurface_Live_Data!N111+Subsurface_Inputs!$C$56*SIN(2*PI()*A111/27),NA())</f>
        <v>#N/A</v>
      </c>
      <c r="F111" s="25">
        <f>Subsurface_Live_Data!O111+Subsurface_Inputs!$C$56*SIN(2*PI()*A111/47)</f>
        <v>185.06591487723395</v>
      </c>
      <c r="G111" s="25">
        <f t="shared" si="1"/>
        <v>-57.90820079781799</v>
      </c>
    </row>
    <row r="112" spans="1:7">
      <c r="A112" s="25">
        <f>Subsurface_Live_Data!A112</f>
        <v>-5</v>
      </c>
      <c r="B112" s="25">
        <v>0</v>
      </c>
      <c r="C112" s="25">
        <f>Subsurface_Inputs!$C$57+1.5*SIN(2*PI()*A112/35)</f>
        <v>10.827252776297955</v>
      </c>
      <c r="D112" s="25">
        <f>Subsurface_Live_Data!M112+Subsurface_Inputs!$C$56*SIN(2*PI()*A112/31)</f>
        <v>13.87318076473001</v>
      </c>
      <c r="E112" s="25" t="e">
        <f>IF(Subsurface_Live_Data!H112&gt;=Subsurface_Inputs!$C$42,Subsurface_Live_Data!N112+Subsurface_Inputs!$C$56*SIN(2*PI()*A112/27),NA())</f>
        <v>#N/A</v>
      </c>
      <c r="F112" s="25">
        <f>Subsurface_Live_Data!O112+Subsurface_Inputs!$C$56*SIN(2*PI()*A112/47)</f>
        <v>185.47317768106456</v>
      </c>
      <c r="G112" s="25">
        <f t="shared" si="1"/>
        <v>-57.98975347902001</v>
      </c>
    </row>
    <row r="113" spans="1:7">
      <c r="A113" s="25">
        <f>Subsurface_Live_Data!A113</f>
        <v>-4.5</v>
      </c>
      <c r="B113" s="25">
        <v>0</v>
      </c>
      <c r="C113" s="25">
        <f>Subsurface_Inputs!$C$57+1.5*SIN(2*PI()*A113/35)</f>
        <v>10.915807704258913</v>
      </c>
      <c r="D113" s="25">
        <f>Subsurface_Live_Data!M113+Subsurface_Inputs!$C$56*SIN(2*PI()*A113/31)</f>
        <v>14.152576323434078</v>
      </c>
      <c r="E113" s="25" t="e">
        <f>IF(Subsurface_Live_Data!H113&gt;=Subsurface_Inputs!$C$42,Subsurface_Live_Data!N113+Subsurface_Inputs!$C$56*SIN(2*PI()*A113/27),NA())</f>
        <v>#N/A</v>
      </c>
      <c r="F113" s="25">
        <f>Subsurface_Live_Data!O113+Subsurface_Inputs!$C$56*SIN(2*PI()*A113/47)</f>
        <v>185.86547178613759</v>
      </c>
      <c r="G113" s="25">
        <f t="shared" si="1"/>
        <v>-57.98975347902001</v>
      </c>
    </row>
    <row r="114" spans="1:7">
      <c r="A114" s="25">
        <f>Subsurface_Live_Data!A114</f>
        <v>-4</v>
      </c>
      <c r="B114" s="25">
        <v>0</v>
      </c>
      <c r="C114" s="25">
        <f>Subsurface_Inputs!$C$57+1.5*SIN(2*PI()*A114/35)</f>
        <v>11.013091911090431</v>
      </c>
      <c r="D114" s="25">
        <f>Subsurface_Live_Data!M114+Subsurface_Inputs!$C$56*SIN(2*PI()*A114/31)</f>
        <v>14.434711607130424</v>
      </c>
      <c r="E114" s="25" t="e">
        <f>IF(Subsurface_Live_Data!H114&gt;=Subsurface_Inputs!$C$42,Subsurface_Live_Data!N114+Subsurface_Inputs!$C$56*SIN(2*PI()*A114/27),NA())</f>
        <v>#N/A</v>
      </c>
      <c r="F114" s="25">
        <f>Subsurface_Live_Data!O114+Subsurface_Inputs!$C$56*SIN(2*PI()*A114/47)</f>
        <v>186.2446257435596</v>
      </c>
      <c r="G114" s="25">
        <f t="shared" si="1"/>
        <v>-57.90820079781799</v>
      </c>
    </row>
    <row r="115" spans="1:7">
      <c r="A115" s="25">
        <f>Subsurface_Live_Data!A115</f>
        <v>-3.5</v>
      </c>
      <c r="B115" s="25">
        <v>0</v>
      </c>
      <c r="C115" s="25">
        <f>Subsurface_Inputs!$C$57+1.5*SIN(2*PI()*A115/35)</f>
        <v>11.11832212156129</v>
      </c>
      <c r="D115" s="25">
        <f>Subsurface_Live_Data!M115+Subsurface_Inputs!$C$56*SIN(2*PI()*A115/31)</f>
        <v>14.702304134518208</v>
      </c>
      <c r="E115" s="25" t="e">
        <f>IF(Subsurface_Live_Data!H115&gt;=Subsurface_Inputs!$C$42,Subsurface_Live_Data!N115+Subsurface_Inputs!$C$56*SIN(2*PI()*A115/27),NA())</f>
        <v>#N/A</v>
      </c>
      <c r="F115" s="25">
        <f>Subsurface_Live_Data!O115+Subsurface_Inputs!$C$56*SIN(2*PI()*A115/47)</f>
        <v>186.65902433286868</v>
      </c>
      <c r="G115" s="25">
        <f t="shared" si="1"/>
        <v>-57.74731997996517</v>
      </c>
    </row>
    <row r="116" spans="1:7">
      <c r="A116" s="25">
        <f>Subsurface_Live_Data!A116</f>
        <v>-3</v>
      </c>
      <c r="B116" s="25">
        <v>0</v>
      </c>
      <c r="C116" s="25">
        <f>Subsurface_Inputs!$C$57+1.5*SIN(2*PI()*A116/35)</f>
        <v>11.230651083891141</v>
      </c>
      <c r="D116" s="25">
        <f>Subsurface_Live_Data!M116+Subsurface_Inputs!$C$56*SIN(2*PI()*A116/31)</f>
        <v>14.980699567576403</v>
      </c>
      <c r="E116" s="25" t="e">
        <f>IF(Subsurface_Live_Data!H116&gt;=Subsurface_Inputs!$C$42,Subsurface_Live_Data!N116+Subsurface_Inputs!$C$56*SIN(2*PI()*A116/27),NA())</f>
        <v>#N/A</v>
      </c>
      <c r="F116" s="25">
        <f>Subsurface_Live_Data!O116+Subsurface_Inputs!$C$56*SIN(2*PI()*A116/47)</f>
        <v>187.00800986132319</v>
      </c>
      <c r="G116" s="25">
        <f t="shared" si="1"/>
        <v>-57.511499434787588</v>
      </c>
    </row>
    <row r="117" spans="1:7">
      <c r="A117" s="25">
        <f>Subsurface_Live_Data!A117</f>
        <v>-2.5</v>
      </c>
      <c r="B117" s="25">
        <v>0</v>
      </c>
      <c r="C117" s="25">
        <f>Subsurface_Inputs!$C$57+1.5*SIN(2*PI()*A117/35)</f>
        <v>11.349174391323663</v>
      </c>
      <c r="D117" s="25">
        <f>Subsurface_Live_Data!M117+Subsurface_Inputs!$C$56*SIN(2*PI()*A117/31)</f>
        <v>15.242809073752332</v>
      </c>
      <c r="E117" s="25" t="e">
        <f>IF(Subsurface_Live_Data!H117&gt;=Subsurface_Inputs!$C$42,Subsurface_Live_Data!N117+Subsurface_Inputs!$C$56*SIN(2*PI()*A117/27),NA())</f>
        <v>#N/A</v>
      </c>
      <c r="F117" s="25">
        <f>Subsurface_Live_Data!O117+Subsurface_Inputs!$C$56*SIN(2*PI()*A117/47)</f>
        <v>187.37475513034281</v>
      </c>
      <c r="G117" s="25">
        <f t="shared" si="1"/>
        <v>-57.207171732019397</v>
      </c>
    </row>
    <row r="118" spans="1:7">
      <c r="A118" s="25">
        <f>Subsurface_Live_Data!A118</f>
        <v>-2</v>
      </c>
      <c r="B118" s="25">
        <v>0</v>
      </c>
      <c r="C118" s="25">
        <f>Subsurface_Inputs!$C$57+1.5*SIN(2*PI()*A118/35)</f>
        <v>11.472937763877987</v>
      </c>
      <c r="D118" s="25">
        <f>Subsurface_Live_Data!M118+Subsurface_Inputs!$C$56*SIN(2*PI()*A118/31)</f>
        <v>15.499254058509585</v>
      </c>
      <c r="E118" s="25" t="e">
        <f>IF(Subsurface_Live_Data!H118&gt;=Subsurface_Inputs!$C$42,Subsurface_Live_Data!N118+Subsurface_Inputs!$C$56*SIN(2*PI()*A118/27),NA())</f>
        <v>#N/A</v>
      </c>
      <c r="F118" s="25">
        <f>Subsurface_Live_Data!O118+Subsurface_Inputs!$C$56*SIN(2*PI()*A118/47)</f>
        <v>187.71090407662348</v>
      </c>
      <c r="G118" s="25">
        <f t="shared" si="1"/>
        <v>-56.842638138069006</v>
      </c>
    </row>
    <row r="119" spans="1:7">
      <c r="A119" s="25">
        <f>Subsurface_Live_Data!A119</f>
        <v>-1.5</v>
      </c>
      <c r="B119" s="25">
        <v>0</v>
      </c>
      <c r="C119" s="25">
        <f>Subsurface_Inputs!$C$57+1.5*SIN(2*PI()*A119/35)</f>
        <v>11.600944731649987</v>
      </c>
      <c r="D119" s="25">
        <f>Subsurface_Live_Data!M119+Subsurface_Inputs!$C$56*SIN(2*PI()*A119/31)</f>
        <v>15.731093031687315</v>
      </c>
      <c r="E119" s="25" t="e">
        <f>IF(Subsurface_Live_Data!H119&gt;=Subsurface_Inputs!$C$42,Subsurface_Live_Data!N119+Subsurface_Inputs!$C$56*SIN(2*PI()*A119/27),NA())</f>
        <v>#N/A</v>
      </c>
      <c r="F119" s="25">
        <f>Subsurface_Live_Data!O119+Subsurface_Inputs!$C$56*SIN(2*PI()*A119/47)</f>
        <v>188.07216619737875</v>
      </c>
      <c r="G119" s="25">
        <f t="shared" si="1"/>
        <v>-56.427842179111224</v>
      </c>
    </row>
    <row r="120" spans="1:7">
      <c r="A120" s="25">
        <f>Subsurface_Live_Data!A120</f>
        <v>-1</v>
      </c>
      <c r="B120" s="25">
        <v>0</v>
      </c>
      <c r="C120" s="25">
        <f>Subsurface_Inputs!$C$57+1.5*SIN(2*PI()*A120/35)</f>
        <v>11.732164657802045</v>
      </c>
      <c r="D120" s="25">
        <f>Subsurface_Live_Data!M120+Subsurface_Inputs!$C$56*SIN(2*PI()*A120/31)</f>
        <v>15.952226502738212</v>
      </c>
      <c r="E120" s="25" t="e">
        <f>IF(Subsurface_Live_Data!H120&gt;=Subsurface_Inputs!$C$42,Subsurface_Live_Data!N120+Subsurface_Inputs!$C$56*SIN(2*PI()*A120/27),NA())</f>
        <v>#N/A</v>
      </c>
      <c r="F120" s="25">
        <f>Subsurface_Live_Data!O120+Subsurface_Inputs!$C$56*SIN(2*PI()*A120/47)</f>
        <v>188.40002708568704</v>
      </c>
      <c r="G120" s="25">
        <f t="shared" si="1"/>
        <v>-55.974098407614051</v>
      </c>
    </row>
    <row r="121" spans="1:7">
      <c r="A121" s="25">
        <f>Subsurface_Live_Data!A121</f>
        <v>-0.5</v>
      </c>
      <c r="B121" s="25">
        <v>0</v>
      </c>
      <c r="C121" s="25">
        <f>Subsurface_Inputs!$C$57+1.5*SIN(2*PI()*A121/35)</f>
        <v>11.865541036644849</v>
      </c>
      <c r="D121" s="25">
        <f>Subsurface_Live_Data!M121+Subsurface_Inputs!$C$56*SIN(2*PI()*A121/31)</f>
        <v>16.164410117616658</v>
      </c>
      <c r="E121" s="25" t="e">
        <f>IF(Subsurface_Live_Data!H121&gt;=Subsurface_Inputs!$C$42,Subsurface_Live_Data!N121+Subsurface_Inputs!$C$56*SIN(2*PI()*A121/27),NA())</f>
        <v>#N/A</v>
      </c>
      <c r="F121" s="25">
        <f>Subsurface_Live_Data!O121+Subsurface_Inputs!$C$56*SIN(2*PI()*A121/47)</f>
        <v>188.67931750038861</v>
      </c>
      <c r="G121" s="25">
        <f t="shared" si="1"/>
        <v>-55.493783770842199</v>
      </c>
    </row>
    <row r="122" spans="1:7">
      <c r="A122" s="25">
        <f>Subsurface_Live_Data!A122</f>
        <v>0</v>
      </c>
      <c r="B122" s="25">
        <v>0</v>
      </c>
      <c r="C122" s="25">
        <f>Subsurface_Inputs!$C$57+1.5*SIN(2*PI()*A122/35)</f>
        <v>12</v>
      </c>
      <c r="D122" s="25">
        <f>Subsurface_Live_Data!M122+Subsurface_Inputs!$C$56*SIN(2*PI()*A122/31)</f>
        <v>16.341659494960119</v>
      </c>
      <c r="E122" s="25" t="e">
        <f>IF(Subsurface_Live_Data!H122&gt;=Subsurface_Inputs!$C$42,Subsurface_Live_Data!N122+Subsurface_Inputs!$C$56*SIN(2*PI()*A122/27),NA())</f>
        <v>#N/A</v>
      </c>
      <c r="F122" s="25">
        <f>Subsurface_Live_Data!O122+Subsurface_Inputs!$C$56*SIN(2*PI()*A122/47)</f>
        <v>188.99289727752256</v>
      </c>
      <c r="G122" s="25">
        <f t="shared" si="1"/>
        <v>-55</v>
      </c>
    </row>
    <row r="123" spans="1:7">
      <c r="A123" s="25">
        <f>Subsurface_Live_Data!A123</f>
        <v>0.5</v>
      </c>
      <c r="B123" s="25">
        <v>0</v>
      </c>
      <c r="C123" s="25">
        <f>Subsurface_Inputs!$C$57+1.5*SIN(2*PI()*A123/35)</f>
        <v>12.134458963355151</v>
      </c>
      <c r="D123" s="25">
        <f>Subsurface_Live_Data!M123+Subsurface_Inputs!$C$56*SIN(2*PI()*A123/31)</f>
        <v>16.493179649616593</v>
      </c>
      <c r="E123" s="25" t="e">
        <f>IF(Subsurface_Live_Data!H123&gt;=Subsurface_Inputs!$C$42,Subsurface_Live_Data!N123+Subsurface_Inputs!$C$56*SIN(2*PI()*A123/27),NA())</f>
        <v>#N/A</v>
      </c>
      <c r="F123" s="25">
        <f>Subsurface_Live_Data!O123+Subsurface_Inputs!$C$56*SIN(2*PI()*A123/47)</f>
        <v>189.30148764804642</v>
      </c>
      <c r="G123" s="25">
        <f t="shared" si="1"/>
        <v>-54.506216229157801</v>
      </c>
    </row>
    <row r="124" spans="1:7">
      <c r="A124" s="25">
        <f>Subsurface_Live_Data!A124</f>
        <v>1</v>
      </c>
      <c r="B124" s="25">
        <v>0</v>
      </c>
      <c r="C124" s="25">
        <f>Subsurface_Inputs!$C$57+1.5*SIN(2*PI()*A124/35)</f>
        <v>12.267835342197955</v>
      </c>
      <c r="D124" s="25">
        <f>Subsurface_Live_Data!M124+Subsurface_Inputs!$C$56*SIN(2*PI()*A124/31)</f>
        <v>16.62532449599302</v>
      </c>
      <c r="E124" s="25" t="e">
        <f>IF(Subsurface_Live_Data!H124&gt;=Subsurface_Inputs!$C$42,Subsurface_Live_Data!N124+Subsurface_Inputs!$C$56*SIN(2*PI()*A124/27),NA())</f>
        <v>#N/A</v>
      </c>
      <c r="F124" s="25">
        <f>Subsurface_Live_Data!O124+Subsurface_Inputs!$C$56*SIN(2*PI()*A124/47)</f>
        <v>189.57688169489833</v>
      </c>
      <c r="G124" s="25">
        <f t="shared" si="1"/>
        <v>-54.025901592385949</v>
      </c>
    </row>
    <row r="125" spans="1:7">
      <c r="A125" s="25">
        <f>Subsurface_Live_Data!A125</f>
        <v>1.5</v>
      </c>
      <c r="B125" s="25">
        <v>0</v>
      </c>
      <c r="C125" s="25">
        <f>Subsurface_Inputs!$C$57+1.5*SIN(2*PI()*A125/35)</f>
        <v>12.399055268350013</v>
      </c>
      <c r="D125" s="25">
        <f>Subsurface_Live_Data!M125+Subsurface_Inputs!$C$56*SIN(2*PI()*A125/31)</f>
        <v>16.733106801480393</v>
      </c>
      <c r="E125" s="25" t="e">
        <f>IF(Subsurface_Live_Data!H125&gt;=Subsurface_Inputs!$C$42,Subsurface_Live_Data!N125+Subsurface_Inputs!$C$56*SIN(2*PI()*A125/27),NA())</f>
        <v>#N/A</v>
      </c>
      <c r="F125" s="25">
        <f>Subsurface_Live_Data!O125+Subsurface_Inputs!$C$56*SIN(2*PI()*A125/47)</f>
        <v>189.83171090832272</v>
      </c>
      <c r="G125" s="25">
        <f t="shared" si="1"/>
        <v>-53.572157820888776</v>
      </c>
    </row>
    <row r="126" spans="1:7">
      <c r="A126" s="25">
        <f>Subsurface_Live_Data!A126</f>
        <v>2</v>
      </c>
      <c r="B126" s="25">
        <v>0</v>
      </c>
      <c r="C126" s="25">
        <f>Subsurface_Inputs!$C$57+1.5*SIN(2*PI()*A126/35)</f>
        <v>12.527062236122013</v>
      </c>
      <c r="D126" s="25">
        <f>Subsurface_Live_Data!M126+Subsurface_Inputs!$C$56*SIN(2*PI()*A126/31)</f>
        <v>16.812821886486894</v>
      </c>
      <c r="E126" s="25" t="e">
        <f>IF(Subsurface_Live_Data!H126&gt;=Subsurface_Inputs!$C$42,Subsurface_Live_Data!N126+Subsurface_Inputs!$C$56*SIN(2*PI()*A126/27),NA())</f>
        <v>#N/A</v>
      </c>
      <c r="F126" s="25">
        <f>Subsurface_Live_Data!O126+Subsurface_Inputs!$C$56*SIN(2*PI()*A126/47)</f>
        <v>190.07529586329969</v>
      </c>
      <c r="G126" s="25">
        <f t="shared" si="1"/>
        <v>-53.157361861930994</v>
      </c>
    </row>
    <row r="127" spans="1:7">
      <c r="A127" s="25">
        <f>Subsurface_Live_Data!A127</f>
        <v>2.5</v>
      </c>
      <c r="B127" s="25">
        <v>0</v>
      </c>
      <c r="C127" s="25">
        <f>Subsurface_Inputs!$C$57+1.5*SIN(2*PI()*A127/35)</f>
        <v>12.650825608676337</v>
      </c>
      <c r="D127" s="25">
        <f>Subsurface_Live_Data!M127+Subsurface_Inputs!$C$56*SIN(2*PI()*A127/31)</f>
        <v>16.863619223817771</v>
      </c>
      <c r="E127" s="25" t="e">
        <f>IF(Subsurface_Live_Data!H127&gt;=Subsurface_Inputs!$C$42,Subsurface_Live_Data!N127+Subsurface_Inputs!$C$56*SIN(2*PI()*A127/27),NA())</f>
        <v>#N/A</v>
      </c>
      <c r="F127" s="25">
        <f>Subsurface_Live_Data!O127+Subsurface_Inputs!$C$56*SIN(2*PI()*A127/47)</f>
        <v>190.30816135623022</v>
      </c>
      <c r="G127" s="25">
        <f t="shared" si="1"/>
        <v>-52.792828267980603</v>
      </c>
    </row>
    <row r="128" spans="1:7">
      <c r="A128" s="25">
        <f>Subsurface_Live_Data!A128</f>
        <v>3</v>
      </c>
      <c r="B128" s="25">
        <v>0</v>
      </c>
      <c r="C128" s="25">
        <f>Subsurface_Inputs!$C$57+1.5*SIN(2*PI()*A128/35)</f>
        <v>12.769348916108859</v>
      </c>
      <c r="D128" s="25">
        <f>Subsurface_Live_Data!M128+Subsurface_Inputs!$C$56*SIN(2*PI()*A128/31)</f>
        <v>16.873144740225253</v>
      </c>
      <c r="E128" s="25" t="e">
        <f>IF(Subsurface_Live_Data!H128&gt;=Subsurface_Inputs!$C$42,Subsurface_Live_Data!N128+Subsurface_Inputs!$C$56*SIN(2*PI()*A128/27),NA())</f>
        <v>#N/A</v>
      </c>
      <c r="F128" s="25">
        <f>Subsurface_Live_Data!O128+Subsurface_Inputs!$C$56*SIN(2*PI()*A128/47)</f>
        <v>190.57228637028877</v>
      </c>
      <c r="G128" s="25">
        <f t="shared" si="1"/>
        <v>-52.488500565212412</v>
      </c>
    </row>
    <row r="129" spans="1:7">
      <c r="A129" s="25">
        <f>Subsurface_Live_Data!A129</f>
        <v>3.5</v>
      </c>
      <c r="B129" s="25">
        <v>0</v>
      </c>
      <c r="C129" s="25">
        <f>Subsurface_Inputs!$C$57+1.5*SIN(2*PI()*A129/35)</f>
        <v>12.88167787843871</v>
      </c>
      <c r="D129" s="25">
        <f>Subsurface_Live_Data!M129+Subsurface_Inputs!$C$56*SIN(2*PI()*A129/31)</f>
        <v>16.873434736351939</v>
      </c>
      <c r="E129" s="25" t="e">
        <f>IF(Subsurface_Live_Data!H129&gt;=Subsurface_Inputs!$C$42,Subsurface_Live_Data!N129+Subsurface_Inputs!$C$56*SIN(2*PI()*A129/27),NA())</f>
        <v>#N/A</v>
      </c>
      <c r="F129" s="25">
        <f>Subsurface_Live_Data!O129+Subsurface_Inputs!$C$56*SIN(2*PI()*A129/47)</f>
        <v>190.75545614148365</v>
      </c>
      <c r="G129" s="25">
        <f t="shared" si="1"/>
        <v>-52.25268002003483</v>
      </c>
    </row>
    <row r="130" spans="1:7">
      <c r="A130" s="25">
        <f>Subsurface_Live_Data!A130</f>
        <v>4</v>
      </c>
      <c r="B130" s="25">
        <v>0</v>
      </c>
      <c r="C130" s="25">
        <f>Subsurface_Inputs!$C$57+1.5*SIN(2*PI()*A130/35)</f>
        <v>12.986908088909569</v>
      </c>
      <c r="D130" s="25">
        <f>Subsurface_Live_Data!M130+Subsurface_Inputs!$C$56*SIN(2*PI()*A130/31)</f>
        <v>16.833492321052752</v>
      </c>
      <c r="E130" s="25" t="e">
        <f>IF(Subsurface_Live_Data!H130&gt;=Subsurface_Inputs!$C$42,Subsurface_Live_Data!N130+Subsurface_Inputs!$C$56*SIN(2*PI()*A130/27),NA())</f>
        <v>#N/A</v>
      </c>
      <c r="F130" s="25">
        <f>Subsurface_Live_Data!O130+Subsurface_Inputs!$C$56*SIN(2*PI()*A130/47)</f>
        <v>190.96720895445895</v>
      </c>
      <c r="G130" s="25">
        <f t="shared" ref="G130:G193" si="2">-55+3*SIN(2*PI()*A130/19)</f>
        <v>-52.09179920218201</v>
      </c>
    </row>
    <row r="131" spans="1:7">
      <c r="A131" s="25">
        <f>Subsurface_Live_Data!A131</f>
        <v>4.5</v>
      </c>
      <c r="B131" s="25">
        <v>0</v>
      </c>
      <c r="C131" s="25">
        <f>Subsurface_Inputs!$C$57+1.5*SIN(2*PI()*A131/35)</f>
        <v>13.084192295741087</v>
      </c>
      <c r="D131" s="25">
        <f>Subsurface_Live_Data!M131+Subsurface_Inputs!$C$56*SIN(2*PI()*A131/31)</f>
        <v>16.770991729204628</v>
      </c>
      <c r="E131" s="25" t="e">
        <f>IF(Subsurface_Live_Data!H131&gt;=Subsurface_Inputs!$C$42,Subsurface_Live_Data!N131+Subsurface_Inputs!$C$56*SIN(2*PI()*A131/27),NA())</f>
        <v>#N/A</v>
      </c>
      <c r="F131" s="25">
        <f>Subsurface_Live_Data!O131+Subsurface_Inputs!$C$56*SIN(2*PI()*A131/47)</f>
        <v>191.1478199088678</v>
      </c>
      <c r="G131" s="25">
        <f t="shared" si="2"/>
        <v>-52.01024652097999</v>
      </c>
    </row>
    <row r="132" spans="1:7">
      <c r="A132" s="25">
        <f>Subsurface_Live_Data!A132</f>
        <v>5</v>
      </c>
      <c r="B132" s="25">
        <v>0</v>
      </c>
      <c r="C132" s="25">
        <f>Subsurface_Inputs!$C$57+1.5*SIN(2*PI()*A132/35)</f>
        <v>13.172747223702045</v>
      </c>
      <c r="D132" s="25">
        <f>Subsurface_Live_Data!M132+Subsurface_Inputs!$C$56*SIN(2*PI()*A132/31)</f>
        <v>16.670364457554257</v>
      </c>
      <c r="E132" s="25" t="e">
        <f>IF(Subsurface_Live_Data!H132&gt;=Subsurface_Inputs!$C$42,Subsurface_Live_Data!N132+Subsurface_Inputs!$C$56*SIN(2*PI()*A132/27),NA())</f>
        <v>#N/A</v>
      </c>
      <c r="F132" s="25">
        <f>Subsurface_Live_Data!O132+Subsurface_Inputs!$C$56*SIN(2*PI()*A132/47)</f>
        <v>191.35493416275077</v>
      </c>
      <c r="G132" s="25">
        <f t="shared" si="2"/>
        <v>-52.01024652097999</v>
      </c>
    </row>
    <row r="133" spans="1:7">
      <c r="A133" s="25">
        <f>Subsurface_Live_Data!A133</f>
        <v>5.5</v>
      </c>
      <c r="B133" s="25">
        <v>0</v>
      </c>
      <c r="C133" s="25">
        <f>Subsurface_Inputs!$C$57+1.5*SIN(2*PI()*A133/35)</f>
        <v>13.251859880581954</v>
      </c>
      <c r="D133" s="25">
        <f>Subsurface_Live_Data!M133+Subsurface_Inputs!$C$56*SIN(2*PI()*A133/31)</f>
        <v>16.550671488032744</v>
      </c>
      <c r="E133" s="25" t="e">
        <f>IF(Subsurface_Live_Data!H133&gt;=Subsurface_Inputs!$C$42,Subsurface_Live_Data!N133+Subsurface_Inputs!$C$56*SIN(2*PI()*A133/27),NA())</f>
        <v>#N/A</v>
      </c>
      <c r="F133" s="25">
        <f>Subsurface_Live_Data!O133+Subsurface_Inputs!$C$56*SIN(2*PI()*A133/47)</f>
        <v>191.52593620463924</v>
      </c>
      <c r="G133" s="25">
        <f t="shared" si="2"/>
        <v>-52.09179920218201</v>
      </c>
    </row>
    <row r="134" spans="1:7">
      <c r="A134" s="25">
        <f>Subsurface_Live_Data!A134</f>
        <v>6</v>
      </c>
      <c r="B134" s="25">
        <v>0</v>
      </c>
      <c r="C134" s="25">
        <f>Subsurface_Inputs!$C$57+1.5*SIN(2*PI()*A134/35)</f>
        <v>13.320893297785107</v>
      </c>
      <c r="D134" s="25">
        <f>Subsurface_Live_Data!M134+Subsurface_Inputs!$C$56*SIN(2*PI()*A134/31)</f>
        <v>16.410110197857577</v>
      </c>
      <c r="E134" s="25" t="e">
        <f>IF(Subsurface_Live_Data!H134&gt;=Subsurface_Inputs!$C$42,Subsurface_Live_Data!N134+Subsurface_Inputs!$C$56*SIN(2*PI()*A134/27),NA())</f>
        <v>#N/A</v>
      </c>
      <c r="F134" s="25">
        <f>Subsurface_Live_Data!O134+Subsurface_Inputs!$C$56*SIN(2*PI()*A134/47)</f>
        <v>191.67208673791311</v>
      </c>
      <c r="G134" s="25">
        <f t="shared" si="2"/>
        <v>-52.25268002003483</v>
      </c>
    </row>
    <row r="135" spans="1:7">
      <c r="A135" s="25">
        <f>Subsurface_Live_Data!A135</f>
        <v>6.5</v>
      </c>
      <c r="B135" s="25">
        <v>0</v>
      </c>
      <c r="C135" s="25">
        <f>Subsurface_Inputs!$C$57+1.5*SIN(2*PI()*A135/35)</f>
        <v>13.379291658827176</v>
      </c>
      <c r="D135" s="25">
        <f>Subsurface_Live_Data!M135+Subsurface_Inputs!$C$56*SIN(2*PI()*A135/31)</f>
        <v>16.247161288138262</v>
      </c>
      <c r="E135" s="25" t="e">
        <f>IF(Subsurface_Live_Data!H135&gt;=Subsurface_Inputs!$C$42,Subsurface_Live_Data!N135+Subsurface_Inputs!$C$56*SIN(2*PI()*A135/27),NA())</f>
        <v>#N/A</v>
      </c>
      <c r="F135" s="25">
        <f>Subsurface_Live_Data!O135+Subsurface_Inputs!$C$56*SIN(2*PI()*A135/47)</f>
        <v>191.80441035001559</v>
      </c>
      <c r="G135" s="25">
        <f t="shared" si="2"/>
        <v>-52.488500565212412</v>
      </c>
    </row>
    <row r="136" spans="1:7">
      <c r="A136" s="25">
        <f>Subsurface_Live_Data!A136</f>
        <v>7</v>
      </c>
      <c r="B136" s="25">
        <v>0</v>
      </c>
      <c r="C136" s="25">
        <f>Subsurface_Inputs!$C$57+1.5*SIN(2*PI()*A136/35)</f>
        <v>13.42658477444273</v>
      </c>
      <c r="D136" s="25">
        <f>Subsurface_Live_Data!M136+Subsurface_Inputs!$C$56*SIN(2*PI()*A136/31)</f>
        <v>16.074529479086266</v>
      </c>
      <c r="E136" s="25" t="e">
        <f>IF(Subsurface_Live_Data!H136&gt;=Subsurface_Inputs!$C$42,Subsurface_Live_Data!N136+Subsurface_Inputs!$C$56*SIN(2*PI()*A136/27),NA())</f>
        <v>#N/A</v>
      </c>
      <c r="F136" s="25">
        <f>Subsurface_Live_Data!O136+Subsurface_Inputs!$C$56*SIN(2*PI()*A136/47)</f>
        <v>191.88479779788977</v>
      </c>
      <c r="G136" s="25">
        <f t="shared" si="2"/>
        <v>-52.792828267980603</v>
      </c>
    </row>
    <row r="137" spans="1:7">
      <c r="A137" s="25">
        <f>Subsurface_Live_Data!A137</f>
        <v>7.5</v>
      </c>
      <c r="B137" s="25">
        <v>0</v>
      </c>
      <c r="C137" s="25">
        <f>Subsurface_Inputs!$C$57+1.5*SIN(2*PI()*A137/35)</f>
        <v>13.462391868272736</v>
      </c>
      <c r="D137" s="25">
        <f>Subsurface_Live_Data!M137+Subsurface_Inputs!$C$56*SIN(2*PI()*A137/31)</f>
        <v>15.865712344983017</v>
      </c>
      <c r="E137" s="25" t="e">
        <f>IF(Subsurface_Live_Data!H137&gt;=Subsurface_Inputs!$C$42,Subsurface_Live_Data!N137+Subsurface_Inputs!$C$56*SIN(2*PI()*A137/27),NA())</f>
        <v>#N/A</v>
      </c>
      <c r="F137" s="25">
        <f>Subsurface_Live_Data!O137+Subsurface_Inputs!$C$56*SIN(2*PI()*A137/47)</f>
        <v>192.01290463140373</v>
      </c>
      <c r="G137" s="25">
        <f t="shared" si="2"/>
        <v>-53.157361861930994</v>
      </c>
    </row>
    <row r="138" spans="1:7">
      <c r="A138" s="25">
        <f>Subsurface_Live_Data!A138</f>
        <v>8</v>
      </c>
      <c r="B138" s="25">
        <v>0</v>
      </c>
      <c r="C138" s="25">
        <f>Subsurface_Inputs!$C$57+1.5*SIN(2*PI()*A138/35)</f>
        <v>13.486424642651903</v>
      </c>
      <c r="D138" s="25">
        <f>Subsurface_Live_Data!M138+Subsurface_Inputs!$C$56*SIN(2*PI()*A138/31)</f>
        <v>15.654032925709604</v>
      </c>
      <c r="E138" s="25" t="e">
        <f>IF(Subsurface_Live_Data!H138&gt;=Subsurface_Inputs!$C$42,Subsurface_Live_Data!N138+Subsurface_Inputs!$C$56*SIN(2*PI()*A138/27),NA())</f>
        <v>#N/A</v>
      </c>
      <c r="F138" s="25">
        <f>Subsurface_Live_Data!O138+Subsurface_Inputs!$C$56*SIN(2*PI()*A138/47)</f>
        <v>192.07942349286569</v>
      </c>
      <c r="G138" s="25">
        <f t="shared" si="2"/>
        <v>-53.572157820888776</v>
      </c>
    </row>
    <row r="139" spans="1:7">
      <c r="A139" s="25">
        <f>Subsurface_Live_Data!A139</f>
        <v>8.5</v>
      </c>
      <c r="B139" s="25">
        <v>0</v>
      </c>
      <c r="C139" s="25">
        <f>Subsurface_Inputs!$C$57+1.5*SIN(2*PI()*A139/35)</f>
        <v>13.498489599811972</v>
      </c>
      <c r="D139" s="25">
        <f>Subsurface_Live_Data!M139+Subsurface_Inputs!$C$56*SIN(2*PI()*A139/31)</f>
        <v>15.424625610414004</v>
      </c>
      <c r="E139" s="25" t="e">
        <f>IF(Subsurface_Live_Data!H139&gt;=Subsurface_Inputs!$C$42,Subsurface_Live_Data!N139+Subsurface_Inputs!$C$56*SIN(2*PI()*A139/27),NA())</f>
        <v>#N/A</v>
      </c>
      <c r="F139" s="25">
        <f>Subsurface_Live_Data!O139+Subsurface_Inputs!$C$56*SIN(2*PI()*A139/47)</f>
        <v>192.1440189249669</v>
      </c>
      <c r="G139" s="25">
        <f t="shared" si="2"/>
        <v>-54.025901592385949</v>
      </c>
    </row>
    <row r="140" spans="1:7">
      <c r="A140" s="25">
        <f>Subsurface_Live_Data!A140</f>
        <v>9</v>
      </c>
      <c r="B140" s="25">
        <v>0</v>
      </c>
      <c r="C140" s="25">
        <f>Subsurface_Inputs!$C$57+1.5*SIN(2*PI()*A140/35)</f>
        <v>13.498489599811972</v>
      </c>
      <c r="D140" s="25">
        <f>Subsurface_Live_Data!M140+Subsurface_Inputs!$C$56*SIN(2*PI()*A140/31)</f>
        <v>15.194323851358178</v>
      </c>
      <c r="E140" s="25" t="e">
        <f>IF(Subsurface_Live_Data!H140&gt;=Subsurface_Inputs!$C$42,Subsurface_Live_Data!N140+Subsurface_Inputs!$C$56*SIN(2*PI()*A140/27),NA())</f>
        <v>#N/A</v>
      </c>
      <c r="F140" s="25">
        <f>Subsurface_Live_Data!O140+Subsurface_Inputs!$C$56*SIN(2*PI()*A140/47)</f>
        <v>192.15560676214918</v>
      </c>
      <c r="G140" s="25">
        <f t="shared" si="2"/>
        <v>-54.506216229157801</v>
      </c>
    </row>
    <row r="141" spans="1:7">
      <c r="A141" s="25">
        <f>Subsurface_Live_Data!A141</f>
        <v>9.5</v>
      </c>
      <c r="B141" s="25">
        <v>0</v>
      </c>
      <c r="C141" s="25">
        <f>Subsurface_Inputs!$C$57+1.5*SIN(2*PI()*A141/35)</f>
        <v>13.486424642651903</v>
      </c>
      <c r="D141" s="25">
        <f>Subsurface_Live_Data!M141+Subsurface_Inputs!$C$56*SIN(2*PI()*A141/31)</f>
        <v>14.954114131424316</v>
      </c>
      <c r="E141" s="25" t="e">
        <f>IF(Subsurface_Live_Data!H141&gt;=Subsurface_Inputs!$C$42,Subsurface_Live_Data!N141+Subsurface_Inputs!$C$56*SIN(2*PI()*A141/27),NA())</f>
        <v>#N/A</v>
      </c>
      <c r="F141" s="25">
        <f>Subsurface_Live_Data!O141+Subsurface_Inputs!$C$56*SIN(2*PI()*A141/47)</f>
        <v>192.15365457527682</v>
      </c>
      <c r="G141" s="25">
        <f t="shared" si="2"/>
        <v>-55</v>
      </c>
    </row>
    <row r="142" spans="1:7">
      <c r="A142" s="25">
        <f>Subsurface_Live_Data!A142</f>
        <v>10</v>
      </c>
      <c r="B142" s="25">
        <v>0</v>
      </c>
      <c r="C142" s="25">
        <f>Subsurface_Inputs!$C$57+1.5*SIN(2*PI()*A142/35)</f>
        <v>13.462391868272736</v>
      </c>
      <c r="D142" s="25">
        <f>Subsurface_Live_Data!M142+Subsurface_Inputs!$C$56*SIN(2*PI()*A142/31)</f>
        <v>14.698409339009219</v>
      </c>
      <c r="E142" s="25" t="e">
        <f>IF(Subsurface_Live_Data!H142&gt;=Subsurface_Inputs!$C$42,Subsurface_Live_Data!N142+Subsurface_Inputs!$C$56*SIN(2*PI()*A142/27),NA())</f>
        <v>#N/A</v>
      </c>
      <c r="F142" s="25">
        <f>Subsurface_Live_Data!O142+Subsurface_Inputs!$C$56*SIN(2*PI()*A142/47)</f>
        <v>192.16561897210309</v>
      </c>
      <c r="G142" s="25">
        <f t="shared" si="2"/>
        <v>-55.493783770842199</v>
      </c>
    </row>
    <row r="143" spans="1:7">
      <c r="A143" s="25">
        <f>Subsurface_Live_Data!A143</f>
        <v>10.5</v>
      </c>
      <c r="B143" s="25">
        <v>0</v>
      </c>
      <c r="C143" s="25">
        <f>Subsurface_Inputs!$C$57+1.5*SIN(2*PI()*A143/35)</f>
        <v>13.42658477444273</v>
      </c>
      <c r="D143" s="25">
        <f>Subsurface_Live_Data!M143+Subsurface_Inputs!$C$56*SIN(2*PI()*A143/31)</f>
        <v>14.443186632903958</v>
      </c>
      <c r="E143" s="25" t="e">
        <f>IF(Subsurface_Live_Data!H143&gt;=Subsurface_Inputs!$C$42,Subsurface_Live_Data!N143+Subsurface_Inputs!$C$56*SIN(2*PI()*A143/27),NA())</f>
        <v>#N/A</v>
      </c>
      <c r="F143" s="25">
        <f>Subsurface_Live_Data!O143+Subsurface_Inputs!$C$56*SIN(2*PI()*A143/47)</f>
        <v>192.14336366065237</v>
      </c>
      <c r="G143" s="25">
        <f t="shared" si="2"/>
        <v>-55.974098407614051</v>
      </c>
    </row>
    <row r="144" spans="1:7">
      <c r="A144" s="25">
        <f>Subsurface_Live_Data!A144</f>
        <v>11</v>
      </c>
      <c r="B144" s="25">
        <v>0</v>
      </c>
      <c r="C144" s="25">
        <f>Subsurface_Inputs!$C$57+1.5*SIN(2*PI()*A144/35)</f>
        <v>13.379291658827176</v>
      </c>
      <c r="D144" s="25">
        <f>Subsurface_Live_Data!M144+Subsurface_Inputs!$C$56*SIN(2*PI()*A144/31)</f>
        <v>14.197938322271632</v>
      </c>
      <c r="E144" s="25" t="e">
        <f>IF(Subsurface_Live_Data!H144&gt;=Subsurface_Inputs!$C$42,Subsurface_Live_Data!N144+Subsurface_Inputs!$C$56*SIN(2*PI()*A144/27),NA())</f>
        <v>#N/A</v>
      </c>
      <c r="F144" s="25">
        <f>Subsurface_Live_Data!O144+Subsurface_Inputs!$C$56*SIN(2*PI()*A144/47)</f>
        <v>192.06123995989702</v>
      </c>
      <c r="G144" s="25">
        <f t="shared" si="2"/>
        <v>-56.427842179111217</v>
      </c>
    </row>
    <row r="145" spans="1:7">
      <c r="A145" s="25">
        <f>Subsurface_Live_Data!A145</f>
        <v>11.5</v>
      </c>
      <c r="B145" s="25">
        <v>0</v>
      </c>
      <c r="C145" s="25">
        <f>Subsurface_Inputs!$C$57+1.5*SIN(2*PI()*A145/35)</f>
        <v>13.320893297785107</v>
      </c>
      <c r="D145" s="25">
        <f>Subsurface_Live_Data!M145+Subsurface_Inputs!$C$56*SIN(2*PI()*A145/31)</f>
        <v>13.945357369397955</v>
      </c>
      <c r="E145" s="25" t="e">
        <f>IF(Subsurface_Live_Data!H145&gt;=Subsurface_Inputs!$C$42,Subsurface_Live_Data!N145+Subsurface_Inputs!$C$56*SIN(2*PI()*A145/27),NA())</f>
        <v>#N/A</v>
      </c>
      <c r="F145" s="25">
        <f>Subsurface_Live_Data!O145+Subsurface_Inputs!$C$56*SIN(2*PI()*A145/47)</f>
        <v>191.98710545335027</v>
      </c>
      <c r="G145" s="25">
        <f t="shared" si="2"/>
        <v>-56.842638138068999</v>
      </c>
    </row>
    <row r="146" spans="1:7">
      <c r="A146" s="25">
        <f>Subsurface_Live_Data!A146</f>
        <v>12</v>
      </c>
      <c r="B146" s="25">
        <v>0</v>
      </c>
      <c r="C146" s="25">
        <f>Subsurface_Inputs!$C$57+1.5*SIN(2*PI()*A146/35)</f>
        <v>13.251859880581954</v>
      </c>
      <c r="D146" s="25">
        <f>Subsurface_Live_Data!M146+Subsurface_Inputs!$C$56*SIN(2*PI()*A146/31)</f>
        <v>13.69515861135228</v>
      </c>
      <c r="E146" s="25" t="e">
        <f>IF(Subsurface_Live_Data!H146&gt;=Subsurface_Inputs!$C$42,Subsurface_Live_Data!N146+Subsurface_Inputs!$C$56*SIN(2*PI()*A146/27),NA())</f>
        <v>#N/A</v>
      </c>
      <c r="F146" s="25">
        <f>Subsurface_Live_Data!O146+Subsurface_Inputs!$C$56*SIN(2*PI()*A146/47)</f>
        <v>191.89387805013342</v>
      </c>
      <c r="G146" s="25">
        <f t="shared" si="2"/>
        <v>-57.207171732019397</v>
      </c>
    </row>
    <row r="147" spans="1:7">
      <c r="A147" s="25">
        <f>Subsurface_Live_Data!A147</f>
        <v>12.5</v>
      </c>
      <c r="B147" s="25">
        <v>0</v>
      </c>
      <c r="C147" s="25">
        <f>Subsurface_Inputs!$C$57+1.5*SIN(2*PI()*A147/35)</f>
        <v>13.172747223702045</v>
      </c>
      <c r="D147" s="25">
        <f>Subsurface_Live_Data!M147+Subsurface_Inputs!$C$56*SIN(2*PI()*A147/31)</f>
        <v>13.460539670139086</v>
      </c>
      <c r="E147" s="25" t="e">
        <f>IF(Subsurface_Live_Data!H147&gt;=Subsurface_Inputs!$C$42,Subsurface_Live_Data!N147+Subsurface_Inputs!$C$56*SIN(2*PI()*A147/27),NA())</f>
        <v>#N/A</v>
      </c>
      <c r="F147" s="25">
        <f>Subsurface_Live_Data!O147+Subsurface_Inputs!$C$56*SIN(2*PI()*A147/47)</f>
        <v>191.74186242252117</v>
      </c>
      <c r="G147" s="25">
        <f t="shared" si="2"/>
        <v>-57.511499434787588</v>
      </c>
    </row>
    <row r="148" spans="1:7">
      <c r="A148" s="25">
        <f>Subsurface_Live_Data!A148</f>
        <v>13</v>
      </c>
      <c r="B148" s="25">
        <v>0</v>
      </c>
      <c r="C148" s="25">
        <f>Subsurface_Inputs!$C$57+1.5*SIN(2*PI()*A148/35)</f>
        <v>13.084192295741087</v>
      </c>
      <c r="D148" s="25">
        <f>Subsurface_Live_Data!M148+Subsurface_Inputs!$C$56*SIN(2*PI()*A148/31)</f>
        <v>13.224399524395647</v>
      </c>
      <c r="E148" s="25" t="e">
        <f>IF(Subsurface_Live_Data!H148&gt;=Subsurface_Inputs!$C$42,Subsurface_Live_Data!N148+Subsurface_Inputs!$C$56*SIN(2*PI()*A148/27),NA())</f>
        <v>#N/A</v>
      </c>
      <c r="F148" s="25">
        <f>Subsurface_Live_Data!O148+Subsurface_Inputs!$C$56*SIN(2*PI()*A148/47)</f>
        <v>191.59693652610935</v>
      </c>
      <c r="G148" s="25">
        <f t="shared" si="2"/>
        <v>-57.74731997996517</v>
      </c>
    </row>
    <row r="149" spans="1:7">
      <c r="A149" s="25">
        <f>Subsurface_Live_Data!A149</f>
        <v>13.5</v>
      </c>
      <c r="B149" s="25">
        <v>0</v>
      </c>
      <c r="C149" s="25">
        <f>Subsurface_Inputs!$C$57+1.5*SIN(2*PI()*A149/35)</f>
        <v>12.986908088909569</v>
      </c>
      <c r="D149" s="25">
        <f>Subsurface_Live_Data!M149+Subsurface_Inputs!$C$56*SIN(2*PI()*A149/31)</f>
        <v>12.989112680923649</v>
      </c>
      <c r="E149" s="25" t="e">
        <f>IF(Subsurface_Live_Data!H149&gt;=Subsurface_Inputs!$C$42,Subsurface_Live_Data!N149+Subsurface_Inputs!$C$56*SIN(2*PI()*A149/27),NA())</f>
        <v>#N/A</v>
      </c>
      <c r="F149" s="25">
        <f>Subsurface_Live_Data!O149+Subsurface_Inputs!$C$56*SIN(2*PI()*A149/47)</f>
        <v>191.4563057726188</v>
      </c>
      <c r="G149" s="25">
        <f t="shared" si="2"/>
        <v>-57.90820079781799</v>
      </c>
    </row>
    <row r="150" spans="1:7">
      <c r="A150" s="25">
        <f>Subsurface_Live_Data!A150</f>
        <v>14</v>
      </c>
      <c r="B150" s="25">
        <v>0</v>
      </c>
      <c r="C150" s="25">
        <f>Subsurface_Inputs!$C$57+1.5*SIN(2*PI()*A150/35)</f>
        <v>12.88167787843871</v>
      </c>
      <c r="D150" s="25">
        <f>Subsurface_Live_Data!M150+Subsurface_Inputs!$C$56*SIN(2*PI()*A150/31)</f>
        <v>12.774232460360315</v>
      </c>
      <c r="E150" s="25" t="e">
        <f>IF(Subsurface_Live_Data!H150&gt;=Subsurface_Inputs!$C$42,Subsurface_Live_Data!N150+Subsurface_Inputs!$C$56*SIN(2*PI()*A150/27),NA())</f>
        <v>#N/A</v>
      </c>
      <c r="F150" s="25">
        <f>Subsurface_Live_Data!O150+Subsurface_Inputs!$C$56*SIN(2*PI()*A150/47)</f>
        <v>191.25651764950226</v>
      </c>
      <c r="G150" s="25">
        <f t="shared" si="2"/>
        <v>-57.98975347902001</v>
      </c>
    </row>
    <row r="151" spans="1:7">
      <c r="A151" s="25">
        <f>Subsurface_Live_Data!A151</f>
        <v>14.5</v>
      </c>
      <c r="B151" s="25">
        <v>0</v>
      </c>
      <c r="C151" s="25">
        <f>Subsurface_Inputs!$C$57+1.5*SIN(2*PI()*A151/35)</f>
        <v>12.769348916108859</v>
      </c>
      <c r="D151" s="25">
        <f>Subsurface_Live_Data!M151+Subsurface_Inputs!$C$56*SIN(2*PI()*A151/31)</f>
        <v>12.569323266312345</v>
      </c>
      <c r="E151" s="25" t="e">
        <f>IF(Subsurface_Live_Data!H151&gt;=Subsurface_Inputs!$C$42,Subsurface_Live_Data!N151+Subsurface_Inputs!$C$56*SIN(2*PI()*A151/27),NA())</f>
        <v>#N/A</v>
      </c>
      <c r="F151" s="25">
        <f>Subsurface_Live_Data!O151+Subsurface_Inputs!$C$56*SIN(2*PI()*A151/47)</f>
        <v>191.03853708137035</v>
      </c>
      <c r="G151" s="25">
        <f t="shared" si="2"/>
        <v>-57.98975347902001</v>
      </c>
    </row>
    <row r="152" spans="1:7">
      <c r="A152" s="25">
        <f>Subsurface_Live_Data!A152</f>
        <v>15</v>
      </c>
      <c r="B152" s="25">
        <v>0</v>
      </c>
      <c r="C152" s="25">
        <f>Subsurface_Inputs!$C$57+1.5*SIN(2*PI()*A152/35)</f>
        <v>12.650825608676337</v>
      </c>
      <c r="D152" s="25">
        <f>Subsurface_Live_Data!M152+Subsurface_Inputs!$C$56*SIN(2*PI()*A152/31)</f>
        <v>12.366549509147946</v>
      </c>
      <c r="E152" s="25" t="e">
        <f>IF(Subsurface_Live_Data!H152&gt;=Subsurface_Inputs!$C$42,Subsurface_Live_Data!N152+Subsurface_Inputs!$C$56*SIN(2*PI()*A152/27),NA())</f>
        <v>#N/A</v>
      </c>
      <c r="F152" s="25">
        <f>Subsurface_Live_Data!O152+Subsurface_Inputs!$C$56*SIN(2*PI()*A152/47)</f>
        <v>190.83368527335122</v>
      </c>
      <c r="G152" s="25">
        <f t="shared" si="2"/>
        <v>-57.90820079781799</v>
      </c>
    </row>
    <row r="153" spans="1:7">
      <c r="A153" s="25">
        <f>Subsurface_Live_Data!A153</f>
        <v>15.5</v>
      </c>
      <c r="B153" s="25">
        <v>0</v>
      </c>
      <c r="C153" s="25">
        <f>Subsurface_Inputs!$C$57+1.5*SIN(2*PI()*A153/35)</f>
        <v>12.527062236122013</v>
      </c>
      <c r="D153" s="25">
        <f>Subsurface_Live_Data!M153+Subsurface_Inputs!$C$56*SIN(2*PI()*A153/31)</f>
        <v>12.181791685570879</v>
      </c>
      <c r="E153" s="25" t="e">
        <f>IF(Subsurface_Live_Data!H153&gt;=Subsurface_Inputs!$C$42,Subsurface_Live_Data!N153+Subsurface_Inputs!$C$56*SIN(2*PI()*A153/27),NA())</f>
        <v>#N/A</v>
      </c>
      <c r="F153" s="25">
        <f>Subsurface_Live_Data!O153+Subsurface_Inputs!$C$56*SIN(2*PI()*A153/47)</f>
        <v>190.58974463648593</v>
      </c>
      <c r="G153" s="25">
        <f t="shared" si="2"/>
        <v>-57.74731997996517</v>
      </c>
    </row>
    <row r="154" spans="1:7">
      <c r="A154" s="25">
        <f>Subsurface_Live_Data!A154</f>
        <v>16</v>
      </c>
      <c r="B154" s="25">
        <v>0</v>
      </c>
      <c r="C154" s="25">
        <f>Subsurface_Inputs!$C$57+1.5*SIN(2*PI()*A154/35)</f>
        <v>12.399055268350013</v>
      </c>
      <c r="D154" s="25">
        <f>Subsurface_Live_Data!M154+Subsurface_Inputs!$C$56*SIN(2*PI()*A154/31)</f>
        <v>12.013765366416624</v>
      </c>
      <c r="E154" s="25" t="e">
        <f>IF(Subsurface_Live_Data!H154&gt;=Subsurface_Inputs!$C$42,Subsurface_Live_Data!N154+Subsurface_Inputs!$C$56*SIN(2*PI()*A154/27),NA())</f>
        <v>#N/A</v>
      </c>
      <c r="F154" s="25">
        <f>Subsurface_Live_Data!O154+Subsurface_Inputs!$C$56*SIN(2*PI()*A154/47)</f>
        <v>190.31406379804369</v>
      </c>
      <c r="G154" s="25">
        <f t="shared" si="2"/>
        <v>-57.511499434787588</v>
      </c>
    </row>
    <row r="155" spans="1:7">
      <c r="A155" s="25">
        <f>Subsurface_Live_Data!A155</f>
        <v>16.5</v>
      </c>
      <c r="B155" s="25">
        <v>0</v>
      </c>
      <c r="C155" s="25">
        <f>Subsurface_Inputs!$C$57+1.5*SIN(2*PI()*A155/35)</f>
        <v>12.267835342197955</v>
      </c>
      <c r="D155" s="25">
        <f>Subsurface_Live_Data!M155+Subsurface_Inputs!$C$56*SIN(2*PI()*A155/31)</f>
        <v>11.859538180366837</v>
      </c>
      <c r="E155" s="25" t="e">
        <f>IF(Subsurface_Live_Data!H155&gt;=Subsurface_Inputs!$C$42,Subsurface_Live_Data!N155+Subsurface_Inputs!$C$56*SIN(2*PI()*A155/27),NA())</f>
        <v>#N/A</v>
      </c>
      <c r="F155" s="25">
        <f>Subsurface_Live_Data!O155+Subsurface_Inputs!$C$56*SIN(2*PI()*A155/47)</f>
        <v>190.0192788304422</v>
      </c>
      <c r="G155" s="25">
        <f t="shared" si="2"/>
        <v>-57.207171732019397</v>
      </c>
    </row>
    <row r="156" spans="1:7">
      <c r="A156" s="25">
        <f>Subsurface_Live_Data!A156</f>
        <v>17</v>
      </c>
      <c r="B156" s="25">
        <v>0</v>
      </c>
      <c r="C156" s="25">
        <f>Subsurface_Inputs!$C$57+1.5*SIN(2*PI()*A156/35)</f>
        <v>12.134458963355151</v>
      </c>
      <c r="D156" s="25">
        <f>Subsurface_Live_Data!M156+Subsurface_Inputs!$C$56*SIN(2*PI()*A156/31)</f>
        <v>11.714530082976879</v>
      </c>
      <c r="E156" s="25">
        <f>IF(Subsurface_Live_Data!H156&gt;=Subsurface_Inputs!$C$42,Subsurface_Live_Data!N156+Subsurface_Inputs!$C$56*SIN(2*PI()*A156/27),NA())</f>
        <v>63.547388021391306</v>
      </c>
      <c r="F156" s="25">
        <f>Subsurface_Live_Data!O156+Subsurface_Inputs!$C$56*SIN(2*PI()*A156/47)</f>
        <v>189.72335095624649</v>
      </c>
      <c r="G156" s="25">
        <f t="shared" si="2"/>
        <v>-56.842638138068999</v>
      </c>
    </row>
    <row r="157" spans="1:7">
      <c r="A157" s="25">
        <f>Subsurface_Live_Data!A157</f>
        <v>17.5</v>
      </c>
      <c r="B157" s="25">
        <v>0</v>
      </c>
      <c r="C157" s="25">
        <f>Subsurface_Inputs!$C$57+1.5*SIN(2*PI()*A157/35)</f>
        <v>12</v>
      </c>
      <c r="D157" s="25">
        <f>Subsurface_Live_Data!M157+Subsurface_Inputs!$C$56*SIN(2*PI()*A157/31)</f>
        <v>11.58951960079883</v>
      </c>
      <c r="E157" s="25">
        <f>IF(Subsurface_Live_Data!H157&gt;=Subsurface_Inputs!$C$42,Subsurface_Live_Data!N157+Subsurface_Inputs!$C$56*SIN(2*PI()*A157/27),NA())</f>
        <v>63.53355337195066</v>
      </c>
      <c r="F157" s="25">
        <f>Subsurface_Live_Data!O157+Subsurface_Inputs!$C$56*SIN(2*PI()*A157/47)</f>
        <v>189.39008994380825</v>
      </c>
      <c r="G157" s="25">
        <f t="shared" si="2"/>
        <v>-56.427842179111224</v>
      </c>
    </row>
    <row r="158" spans="1:7">
      <c r="A158" s="25">
        <f>Subsurface_Live_Data!A158</f>
        <v>18</v>
      </c>
      <c r="B158" s="25">
        <v>0</v>
      </c>
      <c r="C158" s="25">
        <f>Subsurface_Inputs!$C$57+1.5*SIN(2*PI()*A158/35)</f>
        <v>11.865541036644849</v>
      </c>
      <c r="D158" s="25">
        <f>Subsurface_Live_Data!M158+Subsurface_Inputs!$C$56*SIN(2*PI()*A158/31)</f>
        <v>11.47611123789633</v>
      </c>
      <c r="E158" s="25">
        <f>IF(Subsurface_Live_Data!H158&gt;=Subsurface_Inputs!$C$42,Subsurface_Live_Data!N158+Subsurface_Inputs!$C$56*SIN(2*PI()*A158/27),NA())</f>
        <v>63.525668362538269</v>
      </c>
      <c r="F158" s="25">
        <f>Subsurface_Live_Data!O158+Subsurface_Inputs!$C$56*SIN(2*PI()*A158/47)</f>
        <v>189.05006855655759</v>
      </c>
      <c r="G158" s="25">
        <f t="shared" si="2"/>
        <v>-55.974098407614051</v>
      </c>
    </row>
    <row r="159" spans="1:7">
      <c r="A159" s="25">
        <f>Subsurface_Live_Data!A159</f>
        <v>18.5</v>
      </c>
      <c r="B159" s="25">
        <v>0</v>
      </c>
      <c r="C159" s="25">
        <f>Subsurface_Inputs!$C$57+1.5*SIN(2*PI()*A159/35)</f>
        <v>11.732164657802045</v>
      </c>
      <c r="D159" s="25">
        <f>Subsurface_Live_Data!M159+Subsurface_Inputs!$C$56*SIN(2*PI()*A159/31)</f>
        <v>11.372823574048232</v>
      </c>
      <c r="E159" s="25">
        <f>IF(Subsurface_Live_Data!H159&gt;=Subsurface_Inputs!$C$42,Subsurface_Live_Data!N159+Subsurface_Inputs!$C$56*SIN(2*PI()*A159/27),NA())</f>
        <v>63.524968529327012</v>
      </c>
      <c r="F159" s="25">
        <f>Subsurface_Live_Data!O159+Subsurface_Inputs!$C$56*SIN(2*PI()*A159/47)</f>
        <v>188.70936814497301</v>
      </c>
      <c r="G159" s="25">
        <f t="shared" si="2"/>
        <v>-55.493783770842199</v>
      </c>
    </row>
    <row r="160" spans="1:7">
      <c r="A160" s="25">
        <f>Subsurface_Live_Data!A160</f>
        <v>19</v>
      </c>
      <c r="B160" s="25">
        <v>0</v>
      </c>
      <c r="C160" s="25">
        <f>Subsurface_Inputs!$C$57+1.5*SIN(2*PI()*A160/35)</f>
        <v>11.600944731649987</v>
      </c>
      <c r="D160" s="25">
        <f>Subsurface_Live_Data!M160+Subsurface_Inputs!$C$56*SIN(2*PI()*A160/31)</f>
        <v>11.292313648140089</v>
      </c>
      <c r="E160" s="25">
        <f>IF(Subsurface_Live_Data!H160&gt;=Subsurface_Inputs!$C$42,Subsurface_Live_Data!N160+Subsurface_Inputs!$C$56*SIN(2*PI()*A160/27),NA())</f>
        <v>63.53251549462896</v>
      </c>
      <c r="F160" s="25">
        <f>Subsurface_Live_Data!O160+Subsurface_Inputs!$C$56*SIN(2*PI()*A160/47)</f>
        <v>188.32434920310524</v>
      </c>
      <c r="G160" s="25">
        <f t="shared" si="2"/>
        <v>-55</v>
      </c>
    </row>
    <row r="161" spans="1:7">
      <c r="A161" s="25">
        <f>Subsurface_Live_Data!A161</f>
        <v>19.5</v>
      </c>
      <c r="B161" s="25">
        <v>0</v>
      </c>
      <c r="C161" s="25">
        <f>Subsurface_Inputs!$C$57+1.5*SIN(2*PI()*A161/35)</f>
        <v>11.472937763877987</v>
      </c>
      <c r="D161" s="25">
        <f>Subsurface_Live_Data!M161+Subsurface_Inputs!$C$56*SIN(2*PI()*A161/31)</f>
        <v>11.221822348168622</v>
      </c>
      <c r="E161" s="25">
        <f>IF(Subsurface_Live_Data!H161&gt;=Subsurface_Inputs!$C$42,Subsurface_Live_Data!N161+Subsurface_Inputs!$C$56*SIN(2*PI()*A161/27),NA())</f>
        <v>63.549184822205056</v>
      </c>
      <c r="F161" s="25">
        <f>Subsurface_Live_Data!O161+Subsurface_Inputs!$C$56*SIN(2*PI()*A161/47)</f>
        <v>187.94014875647892</v>
      </c>
      <c r="G161" s="25">
        <f t="shared" si="2"/>
        <v>-54.506216229157801</v>
      </c>
    </row>
    <row r="162" spans="1:7">
      <c r="A162" s="25">
        <f>Subsurface_Live_Data!A162</f>
        <v>20</v>
      </c>
      <c r="B162" s="25">
        <v>0</v>
      </c>
      <c r="C162" s="25">
        <f>Subsurface_Inputs!$C$57+1.5*SIN(2*PI()*A162/35)</f>
        <v>11.349174391323663</v>
      </c>
      <c r="D162" s="25">
        <f>Subsurface_Live_Data!M162+Subsurface_Inputs!$C$56*SIN(2*PI()*A162/31)</f>
        <v>11.162622059100606</v>
      </c>
      <c r="E162" s="25">
        <f>IF(Subsurface_Live_Data!H162&gt;=Subsurface_Inputs!$C$42,Subsurface_Live_Data!N162+Subsurface_Inputs!$C$56*SIN(2*PI()*A162/27),NA())</f>
        <v>63.575656294560268</v>
      </c>
      <c r="F162" s="25">
        <f>Subsurface_Live_Data!O162+Subsurface_Inputs!$C$56*SIN(2*PI()*A162/47)</f>
        <v>187.55266862154301</v>
      </c>
      <c r="G162" s="25">
        <f t="shared" si="2"/>
        <v>-54.025901592385949</v>
      </c>
    </row>
    <row r="163" spans="1:7">
      <c r="A163" s="25">
        <f>Subsurface_Live_Data!A163</f>
        <v>20.5</v>
      </c>
      <c r="B163" s="25">
        <v>0</v>
      </c>
      <c r="C163" s="25">
        <f>Subsurface_Inputs!$C$57+1.5*SIN(2*PI()*A163/35)</f>
        <v>11.230651083891141</v>
      </c>
      <c r="D163" s="25">
        <f>Subsurface_Live_Data!M163+Subsurface_Inputs!$C$56*SIN(2*PI()*A163/31)</f>
        <v>11.117085910939821</v>
      </c>
      <c r="E163" s="25">
        <f>IF(Subsurface_Live_Data!H163&gt;=Subsurface_Inputs!$C$42,Subsurface_Live_Data!N163+Subsurface_Inputs!$C$56*SIN(2*PI()*A163/27),NA())</f>
        <v>63.612406651843152</v>
      </c>
      <c r="F163" s="25">
        <f>Subsurface_Live_Data!O163+Subsurface_Inputs!$C$56*SIN(2*PI()*A163/47)</f>
        <v>187.15388531984638</v>
      </c>
      <c r="G163" s="25">
        <f t="shared" si="2"/>
        <v>-53.572157820888783</v>
      </c>
    </row>
    <row r="164" spans="1:7">
      <c r="A164" s="25">
        <f>Subsurface_Live_Data!A164</f>
        <v>21</v>
      </c>
      <c r="B164" s="25">
        <v>0</v>
      </c>
      <c r="C164" s="25">
        <f>Subsurface_Inputs!$C$57+1.5*SIN(2*PI()*A164/35)</f>
        <v>11.11832212156129</v>
      </c>
      <c r="D164" s="25">
        <f>Subsurface_Live_Data!M164+Subsurface_Inputs!$C$56*SIN(2*PI()*A164/31)</f>
        <v>11.083273722392958</v>
      </c>
      <c r="E164" s="25">
        <f>IF(Subsurface_Live_Data!H164&gt;=Subsurface_Inputs!$C$42,Subsurface_Live_Data!N164+Subsurface_Inputs!$C$56*SIN(2*PI()*A164/27),NA())</f>
        <v>63.6597048045248</v>
      </c>
      <c r="F164" s="25">
        <f>Subsurface_Live_Data!O164+Subsurface_Inputs!$C$56*SIN(2*PI()*A164/47)</f>
        <v>186.75084738907421</v>
      </c>
      <c r="G164" s="25">
        <f t="shared" si="2"/>
        <v>-53.157361861930994</v>
      </c>
    </row>
    <row r="165" spans="1:7">
      <c r="A165" s="25">
        <f>Subsurface_Live_Data!A165</f>
        <v>21.5</v>
      </c>
      <c r="B165" s="25">
        <v>0</v>
      </c>
      <c r="C165" s="25">
        <f>Subsurface_Inputs!$C$57+1.5*SIN(2*PI()*A165/35)</f>
        <v>11.013091911090431</v>
      </c>
      <c r="D165" s="25">
        <f>Subsurface_Live_Data!M165+Subsurface_Inputs!$C$56*SIN(2*PI()*A165/31)</f>
        <v>11.064149082000068</v>
      </c>
      <c r="E165" s="25">
        <f>IF(Subsurface_Live_Data!H165&gt;=Subsurface_Inputs!$C$42,Subsurface_Live_Data!N165+Subsurface_Inputs!$C$56*SIN(2*PI()*A165/27),NA())</f>
        <v>63.717609507878983</v>
      </c>
      <c r="F165" s="25">
        <f>Subsurface_Live_Data!O165+Subsurface_Inputs!$C$56*SIN(2*PI()*A165/47)</f>
        <v>186.33345824555371</v>
      </c>
      <c r="G165" s="25">
        <f t="shared" si="2"/>
        <v>-52.792828267980603</v>
      </c>
    </row>
    <row r="166" spans="1:7">
      <c r="A166" s="25">
        <f>Subsurface_Live_Data!A166</f>
        <v>22</v>
      </c>
      <c r="B166" s="25">
        <v>0</v>
      </c>
      <c r="C166" s="25">
        <f>Subsurface_Inputs!$C$57+1.5*SIN(2*PI()*A166/35)</f>
        <v>10.915807704258913</v>
      </c>
      <c r="D166" s="25">
        <f>Subsurface_Live_Data!M166+Subsurface_Inputs!$C$56*SIN(2*PI()*A166/31)</f>
        <v>11.058268520542955</v>
      </c>
      <c r="E166" s="25">
        <f>IF(Subsurface_Live_Data!H166&gt;=Subsurface_Inputs!$C$42,Subsurface_Live_Data!N166+Subsurface_Inputs!$C$56*SIN(2*PI()*A166/27),NA())</f>
        <v>63.785969465577452</v>
      </c>
      <c r="F166" s="25">
        <f>Subsurface_Live_Data!O166+Subsurface_Inputs!$C$56*SIN(2*PI()*A166/47)</f>
        <v>185.90710011393347</v>
      </c>
      <c r="G166" s="25">
        <f t="shared" si="2"/>
        <v>-52.488500565212419</v>
      </c>
    </row>
    <row r="167" spans="1:7">
      <c r="A167" s="25">
        <f>Subsurface_Live_Data!A167</f>
        <v>22.5</v>
      </c>
      <c r="B167" s="25">
        <v>0</v>
      </c>
      <c r="C167" s="25">
        <f>Subsurface_Inputs!$C$57+1.5*SIN(2*PI()*A167/35)</f>
        <v>10.827252776297955</v>
      </c>
      <c r="D167" s="25">
        <f>Subsurface_Live_Data!M167+Subsurface_Inputs!$C$56*SIN(2*PI()*A167/31)</f>
        <v>11.060871859763136</v>
      </c>
      <c r="E167" s="25">
        <f>IF(Subsurface_Live_Data!H167&gt;=Subsurface_Inputs!$C$42,Subsurface_Live_Data!N167+Subsurface_Inputs!$C$56*SIN(2*PI()*A167/27),NA())</f>
        <v>63.864425812391119</v>
      </c>
      <c r="F167" s="25">
        <f>Subsurface_Live_Data!O167+Subsurface_Inputs!$C$56*SIN(2*PI()*A167/47)</f>
        <v>185.4888462578628</v>
      </c>
      <c r="G167" s="25">
        <f t="shared" si="2"/>
        <v>-52.25268002003483</v>
      </c>
    </row>
    <row r="168" spans="1:7">
      <c r="A168" s="25">
        <f>Subsurface_Live_Data!A168</f>
        <v>23</v>
      </c>
      <c r="B168" s="25">
        <v>0</v>
      </c>
      <c r="C168" s="25">
        <f>Subsurface_Inputs!$C$57+1.5*SIN(2*PI()*A168/35)</f>
        <v>10.748140119418046</v>
      </c>
      <c r="D168" s="25">
        <f>Subsurface_Live_Data!M168+Subsurface_Inputs!$C$56*SIN(2*PI()*A168/31)</f>
        <v>11.076470424173415</v>
      </c>
      <c r="E168" s="25">
        <f>IF(Subsurface_Live_Data!H168&gt;=Subsurface_Inputs!$C$42,Subsurface_Live_Data!N168+Subsurface_Inputs!$C$56*SIN(2*PI()*A168/27),NA())</f>
        <v>63.952416911800739</v>
      </c>
      <c r="F168" s="25">
        <f>Subsurface_Live_Data!O168+Subsurface_Inputs!$C$56*SIN(2*PI()*A168/47)</f>
        <v>185.06342233741938</v>
      </c>
      <c r="G168" s="25">
        <f t="shared" si="2"/>
        <v>-52.09179920218201</v>
      </c>
    </row>
    <row r="169" spans="1:7">
      <c r="A169" s="25">
        <f>Subsurface_Live_Data!A169</f>
        <v>23.5</v>
      </c>
      <c r="B169" s="25">
        <v>0</v>
      </c>
      <c r="C169" s="25">
        <f>Subsurface_Inputs!$C$57+1.5*SIN(2*PI()*A169/35)</f>
        <v>10.679106702214893</v>
      </c>
      <c r="D169" s="25">
        <f>Subsurface_Live_Data!M169+Subsurface_Inputs!$C$56*SIN(2*PI()*A169/31)</f>
        <v>11.103323567615265</v>
      </c>
      <c r="E169" s="25">
        <f>IF(Subsurface_Live_Data!H169&gt;=Subsurface_Inputs!$C$42,Subsurface_Live_Data!N169+Subsurface_Inputs!$C$56*SIN(2*PI()*A169/27),NA())</f>
        <v>64.049185392843867</v>
      </c>
      <c r="F169" s="25">
        <f>Subsurface_Live_Data!O169+Subsurface_Inputs!$C$56*SIN(2*PI()*A169/47)</f>
        <v>184.63754975651938</v>
      </c>
      <c r="G169" s="25">
        <f t="shared" si="2"/>
        <v>-52.01024652097999</v>
      </c>
    </row>
    <row r="170" spans="1:7">
      <c r="A170" s="25">
        <f>Subsurface_Live_Data!A170</f>
        <v>24</v>
      </c>
      <c r="B170" s="25">
        <v>0</v>
      </c>
      <c r="C170" s="25">
        <f>Subsurface_Inputs!$C$57+1.5*SIN(2*PI()*A170/35)</f>
        <v>10.620708341172824</v>
      </c>
      <c r="D170" s="25">
        <f>Subsurface_Live_Data!M170+Subsurface_Inputs!$C$56*SIN(2*PI()*A170/31)</f>
        <v>11.150612031479731</v>
      </c>
      <c r="E170" s="25">
        <f>IF(Subsurface_Live_Data!H170&gt;=Subsurface_Inputs!$C$42,Subsurface_Live_Data!N170+Subsurface_Inputs!$C$56*SIN(2*PI()*A170/27),NA())</f>
        <v>64.153787341176994</v>
      </c>
      <c r="F170" s="25">
        <f>Subsurface_Live_Data!O170+Subsurface_Inputs!$C$56*SIN(2*PI()*A170/47)</f>
        <v>184.17984086156616</v>
      </c>
      <c r="G170" s="25">
        <f t="shared" si="2"/>
        <v>-52.01024652097999</v>
      </c>
    </row>
    <row r="171" spans="1:7">
      <c r="A171" s="25">
        <f>Subsurface_Live_Data!A171</f>
        <v>24.5</v>
      </c>
      <c r="B171" s="25">
        <v>0</v>
      </c>
      <c r="C171" s="25">
        <f>Subsurface_Inputs!$C$57+1.5*SIN(2*PI()*A171/35)</f>
        <v>10.57341522555727</v>
      </c>
      <c r="D171" s="25">
        <f>Subsurface_Live_Data!M171+Subsurface_Inputs!$C$56*SIN(2*PI()*A171/31)</f>
        <v>11.193185352141516</v>
      </c>
      <c r="E171" s="25">
        <f>IF(Subsurface_Live_Data!H171&gt;=Subsurface_Inputs!$C$42,Subsurface_Live_Data!N171+Subsurface_Inputs!$C$56*SIN(2*PI()*A171/27),NA())</f>
        <v>64.265103551423479</v>
      </c>
      <c r="F171" s="25">
        <f>Subsurface_Live_Data!O171+Subsurface_Inputs!$C$56*SIN(2*PI()*A171/47)</f>
        <v>183.77917563399308</v>
      </c>
      <c r="G171" s="25">
        <f t="shared" si="2"/>
        <v>-52.09179920218201</v>
      </c>
    </row>
    <row r="172" spans="1:7">
      <c r="A172" s="25">
        <f>Subsurface_Live_Data!A172</f>
        <v>25</v>
      </c>
      <c r="B172" s="25">
        <v>0</v>
      </c>
      <c r="C172" s="25">
        <f>Subsurface_Inputs!$C$57+1.5*SIN(2*PI()*A172/35)</f>
        <v>10.537608131727264</v>
      </c>
      <c r="D172" s="25">
        <f>Subsurface_Live_Data!M172+Subsurface_Inputs!$C$56*SIN(2*PI()*A172/31)</f>
        <v>11.261938627171196</v>
      </c>
      <c r="E172" s="25">
        <f>IF(Subsurface_Live_Data!H172&gt;=Subsurface_Inputs!$C$42,Subsurface_Live_Data!N172+Subsurface_Inputs!$C$56*SIN(2*PI()*A172/27),NA())</f>
        <v>64.38185274064449</v>
      </c>
      <c r="F172" s="25">
        <f>Subsurface_Live_Data!O172+Subsurface_Inputs!$C$56*SIN(2*PI()*A172/47)</f>
        <v>183.32836643315588</v>
      </c>
      <c r="G172" s="25">
        <f t="shared" si="2"/>
        <v>-52.25268002003483</v>
      </c>
    </row>
    <row r="173" spans="1:7">
      <c r="A173" s="25">
        <f>Subsurface_Live_Data!A173</f>
        <v>25.5</v>
      </c>
      <c r="B173" s="25">
        <v>0</v>
      </c>
      <c r="C173" s="25">
        <f>Subsurface_Inputs!$C$57+1.5*SIN(2*PI()*A173/35)</f>
        <v>10.513575357348097</v>
      </c>
      <c r="D173" s="25">
        <f>Subsurface_Live_Data!M173+Subsurface_Inputs!$C$56*SIN(2*PI()*A173/31)</f>
        <v>11.327754319379224</v>
      </c>
      <c r="E173" s="25">
        <f>IF(Subsurface_Live_Data!H173&gt;=Subsurface_Inputs!$C$42,Subsurface_Live_Data!N173+Subsurface_Inputs!$C$56*SIN(2*PI()*A173/27),NA())</f>
        <v>64.502606615428007</v>
      </c>
      <c r="F173" s="25">
        <f>Subsurface_Live_Data!O173+Subsurface_Inputs!$C$56*SIN(2*PI()*A173/47)</f>
        <v>182.93033628595248</v>
      </c>
      <c r="G173" s="25">
        <f t="shared" si="2"/>
        <v>-52.488500565212412</v>
      </c>
    </row>
    <row r="174" spans="1:7">
      <c r="A174" s="25">
        <f>Subsurface_Live_Data!A174</f>
        <v>26</v>
      </c>
      <c r="B174" s="25">
        <v>0</v>
      </c>
      <c r="C174" s="25">
        <f>Subsurface_Inputs!$C$57+1.5*SIN(2*PI()*A174/35)</f>
        <v>10.501510400188028</v>
      </c>
      <c r="D174" s="25">
        <f>Subsurface_Live_Data!M174+Subsurface_Inputs!$C$56*SIN(2*PI()*A174/31)</f>
        <v>11.418171815194224</v>
      </c>
      <c r="E174" s="25">
        <f>IF(Subsurface_Live_Data!H174&gt;=Subsurface_Inputs!$C$42,Subsurface_Live_Data!N174+Subsurface_Inputs!$C$56*SIN(2*PI()*A174/27),NA())</f>
        <v>64.625806676891429</v>
      </c>
      <c r="F174" s="25">
        <f>Subsurface_Live_Data!O174+Subsurface_Inputs!$C$56*SIN(2*PI()*A174/47)</f>
        <v>182.48974181398142</v>
      </c>
      <c r="G174" s="25">
        <f t="shared" si="2"/>
        <v>-52.79282826798061</v>
      </c>
    </row>
    <row r="175" spans="1:7">
      <c r="A175" s="25">
        <f>Subsurface_Live_Data!A175</f>
        <v>26.5</v>
      </c>
      <c r="B175" s="25">
        <v>0</v>
      </c>
      <c r="C175" s="25">
        <f>Subsurface_Inputs!$C$57+1.5*SIN(2*PI()*A175/35)</f>
        <v>10.501510400188028</v>
      </c>
      <c r="D175" s="25">
        <f>Subsurface_Live_Data!M175+Subsurface_Inputs!$C$56*SIN(2*PI()*A175/31)</f>
        <v>11.520374612053962</v>
      </c>
      <c r="E175" s="25">
        <f>IF(Subsurface_Live_Data!H175&gt;=Subsurface_Inputs!$C$42,Subsurface_Live_Data!N175+Subsurface_Inputs!$C$56*SIN(2*PI()*A175/27),NA())</f>
        <v>64.749782638161008</v>
      </c>
      <c r="F175" s="25">
        <f>Subsurface_Live_Data!O175+Subsurface_Inputs!$C$56*SIN(2*PI()*A175/47)</f>
        <v>182.05247704854796</v>
      </c>
      <c r="G175" s="25">
        <f t="shared" si="2"/>
        <v>-53.157361861930994</v>
      </c>
    </row>
    <row r="176" spans="1:7">
      <c r="A176" s="25">
        <f>Subsurface_Live_Data!A176</f>
        <v>27</v>
      </c>
      <c r="B176" s="25">
        <v>0</v>
      </c>
      <c r="C176" s="25">
        <f>Subsurface_Inputs!$C$57+1.5*SIN(2*PI()*A176/35)</f>
        <v>10.513575357348097</v>
      </c>
      <c r="D176" s="25">
        <f>Subsurface_Live_Data!M176+Subsurface_Inputs!$C$56*SIN(2*PI()*A176/31)</f>
        <v>11.61903326132532</v>
      </c>
      <c r="E176" s="25">
        <f>IF(Subsurface_Live_Data!H176&gt;=Subsurface_Inputs!$C$42,Subsurface_Live_Data!N176+Subsurface_Inputs!$C$56*SIN(2*PI()*A176/27),NA())</f>
        <v>64.872772317097855</v>
      </c>
      <c r="F176" s="25">
        <f>Subsurface_Live_Data!O176+Subsurface_Inputs!$C$56*SIN(2*PI()*A176/47)</f>
        <v>181.67317569859486</v>
      </c>
      <c r="G176" s="25">
        <f t="shared" si="2"/>
        <v>-53.572157820888776</v>
      </c>
    </row>
    <row r="177" spans="1:7">
      <c r="A177" s="25">
        <f>Subsurface_Live_Data!A177</f>
        <v>27.5</v>
      </c>
      <c r="B177" s="25">
        <v>0</v>
      </c>
      <c r="C177" s="25">
        <f>Subsurface_Inputs!$C$57+1.5*SIN(2*PI()*A177/35)</f>
        <v>10.537608131727264</v>
      </c>
      <c r="D177" s="25">
        <f>Subsurface_Live_Data!M177+Subsurface_Inputs!$C$56*SIN(2*PI()*A177/31)</f>
        <v>11.743299583366408</v>
      </c>
      <c r="E177" s="25">
        <f>IF(Subsurface_Live_Data!H177&gt;=Subsurface_Inputs!$C$42,Subsurface_Live_Data!N177+Subsurface_Inputs!$C$56*SIN(2*PI()*A177/27),NA())</f>
        <v>64.992942852816739</v>
      </c>
      <c r="F177" s="25">
        <f>Subsurface_Live_Data!O177+Subsurface_Inputs!$C$56*SIN(2*PI()*A177/47)</f>
        <v>181.25067874640155</v>
      </c>
      <c r="G177" s="25">
        <f t="shared" si="2"/>
        <v>-54.025901592385949</v>
      </c>
    </row>
    <row r="178" spans="1:7">
      <c r="A178" s="25">
        <f>Subsurface_Live_Data!A178</f>
        <v>28</v>
      </c>
      <c r="B178" s="25">
        <v>0</v>
      </c>
      <c r="C178" s="25">
        <f>Subsurface_Inputs!$C$57+1.5*SIN(2*PI()*A178/35)</f>
        <v>10.57341522555727</v>
      </c>
      <c r="D178" s="25">
        <f>Subsurface_Live_Data!M178+Subsurface_Inputs!$C$56*SIN(2*PI()*A178/31)</f>
        <v>11.872334660313339</v>
      </c>
      <c r="E178" s="25">
        <f>IF(Subsurface_Live_Data!H178&gt;=Subsurface_Inputs!$C$42,Subsurface_Live_Data!N178+Subsurface_Inputs!$C$56*SIN(2*PI()*A178/27),NA())</f>
        <v>65.108413077748196</v>
      </c>
      <c r="F178" s="25">
        <f>Subsurface_Live_Data!O178+Subsurface_Inputs!$C$56*SIN(2*PI()*A178/47)</f>
        <v>180.85862993473819</v>
      </c>
      <c r="G178" s="25">
        <f t="shared" si="2"/>
        <v>-54.506216229157793</v>
      </c>
    </row>
    <row r="179" spans="1:7">
      <c r="A179" s="25">
        <f>Subsurface_Live_Data!A179</f>
        <v>28.5</v>
      </c>
      <c r="B179" s="25">
        <v>0</v>
      </c>
      <c r="C179" s="25">
        <f>Subsurface_Inputs!$C$57+1.5*SIN(2*PI()*A179/35)</f>
        <v>10.620708341172824</v>
      </c>
      <c r="D179" s="25">
        <f>Subsurface_Live_Data!M179+Subsurface_Inputs!$C$56*SIN(2*PI()*A179/31)</f>
        <v>12.024436316247574</v>
      </c>
      <c r="E179" s="25">
        <f>IF(Subsurface_Live_Data!H179&gt;=Subsurface_Inputs!$C$42,Subsurface_Live_Data!N179+Subsurface_Inputs!$C$56*SIN(2*PI()*A179/27),NA())</f>
        <v>65.217276857702174</v>
      </c>
      <c r="F179" s="25">
        <f>Subsurface_Live_Data!O179+Subsurface_Inputs!$C$56*SIN(2*PI()*A179/47)</f>
        <v>180.43347061698597</v>
      </c>
      <c r="G179" s="25">
        <f t="shared" si="2"/>
        <v>-55</v>
      </c>
    </row>
    <row r="180" spans="1:7">
      <c r="A180" s="25">
        <f>Subsurface_Live_Data!A180</f>
        <v>29</v>
      </c>
      <c r="B180" s="25">
        <v>0</v>
      </c>
      <c r="C180" s="25">
        <f>Subsurface_Inputs!$C$57+1.5*SIN(2*PI()*A180/35)</f>
        <v>10.679106702214893</v>
      </c>
      <c r="D180" s="25">
        <f>Subsurface_Live_Data!M180+Subsurface_Inputs!$C$56*SIN(2*PI()*A180/31)</f>
        <v>12.176650745448329</v>
      </c>
      <c r="E180" s="25">
        <f>IF(Subsurface_Live_Data!H180&gt;=Subsurface_Inputs!$C$42,Subsurface_Live_Data!N180+Subsurface_Inputs!$C$56*SIN(2*PI()*A180/27),NA())</f>
        <v>65.317627190935312</v>
      </c>
      <c r="F180" s="25">
        <f>Subsurface_Live_Data!O180+Subsurface_Inputs!$C$56*SIN(2*PI()*A180/47)</f>
        <v>180.05573920427497</v>
      </c>
      <c r="G180" s="25">
        <f t="shared" si="2"/>
        <v>-55.493783770842199</v>
      </c>
    </row>
    <row r="181" spans="1:7">
      <c r="A181" s="25">
        <f>Subsurface_Live_Data!A181</f>
        <v>29.5</v>
      </c>
      <c r="B181" s="25">
        <v>0</v>
      </c>
      <c r="C181" s="25">
        <f>Subsurface_Inputs!$C$57+1.5*SIN(2*PI()*A181/35)</f>
        <v>10.748140119418046</v>
      </c>
      <c r="D181" s="25">
        <f>Subsurface_Live_Data!M181+Subsurface_Inputs!$C$56*SIN(2*PI()*A181/31)</f>
        <v>12.343313972018912</v>
      </c>
      <c r="E181" s="25">
        <f>IF(Subsurface_Live_Data!H181&gt;=Subsurface_Inputs!$C$42,Subsurface_Live_Data!N181+Subsurface_Inputs!$C$56*SIN(2*PI()*A181/27),NA())</f>
        <v>65.407580834172848</v>
      </c>
      <c r="F181" s="25">
        <f>Subsurface_Live_Data!O181+Subsurface_Inputs!$C$56*SIN(2*PI()*A181/47)</f>
        <v>179.67511692285976</v>
      </c>
      <c r="G181" s="25">
        <f t="shared" si="2"/>
        <v>-55.974098407614051</v>
      </c>
    </row>
    <row r="182" spans="1:7">
      <c r="A182" s="25">
        <f>Subsurface_Live_Data!A182</f>
        <v>30</v>
      </c>
      <c r="B182" s="25">
        <v>0</v>
      </c>
      <c r="C182" s="25">
        <f>Subsurface_Inputs!$C$57+1.5*SIN(2*PI()*A182/35)</f>
        <v>10.827252776297955</v>
      </c>
      <c r="D182" s="25">
        <f>Subsurface_Live_Data!M182+Subsurface_Inputs!$C$56*SIN(2*PI()*A182/31)</f>
        <v>12.52844107703034</v>
      </c>
      <c r="E182" s="25">
        <f>IF(Subsurface_Live_Data!H182&gt;=Subsurface_Inputs!$C$42,Subsurface_Live_Data!N182+Subsurface_Inputs!$C$56*SIN(2*PI()*A182/27),NA())</f>
        <v>65.485303199680658</v>
      </c>
      <c r="F182" s="25">
        <f>Subsurface_Live_Data!O182+Subsurface_Inputs!$C$56*SIN(2*PI()*A182/47)</f>
        <v>179.27700873372723</v>
      </c>
      <c r="G182" s="25">
        <f t="shared" si="2"/>
        <v>-56.427842179111217</v>
      </c>
    </row>
    <row r="183" spans="1:7">
      <c r="A183" s="25">
        <f>Subsurface_Live_Data!A183</f>
        <v>30.5</v>
      </c>
      <c r="B183" s="25">
        <v>0</v>
      </c>
      <c r="C183" s="25">
        <f>Subsurface_Inputs!$C$57+1.5*SIN(2*PI()*A183/35)</f>
        <v>10.915807704258913</v>
      </c>
      <c r="D183" s="25">
        <f>Subsurface_Live_Data!M183+Subsurface_Inputs!$C$56*SIN(2*PI()*A183/31)</f>
        <v>12.717948848418546</v>
      </c>
      <c r="E183" s="25">
        <f>IF(Subsurface_Live_Data!H183&gt;=Subsurface_Inputs!$C$42,Subsurface_Live_Data!N183+Subsurface_Inputs!$C$56*SIN(2*PI()*A183/27),NA())</f>
        <v>65.549033243817291</v>
      </c>
      <c r="F183" s="25">
        <f>Subsurface_Live_Data!O183+Subsurface_Inputs!$C$56*SIN(2*PI()*A183/47)</f>
        <v>178.90971123814651</v>
      </c>
      <c r="G183" s="25">
        <f t="shared" si="2"/>
        <v>-56.842638138069006</v>
      </c>
    </row>
    <row r="184" spans="1:7">
      <c r="A184" s="25">
        <f>Subsurface_Live_Data!A184</f>
        <v>31</v>
      </c>
      <c r="B184" s="25">
        <v>0</v>
      </c>
      <c r="C184" s="25">
        <f>Subsurface_Inputs!$C$57+1.5*SIN(2*PI()*A184/35)</f>
        <v>11.013091911090431</v>
      </c>
      <c r="D184" s="25">
        <f>Subsurface_Live_Data!M184+Subsurface_Inputs!$C$56*SIN(2*PI()*A184/31)</f>
        <v>12.926029181540345</v>
      </c>
      <c r="E184" s="25">
        <f>IF(Subsurface_Live_Data!H184&gt;=Subsurface_Inputs!$C$42,Subsurface_Live_Data!N184+Subsurface_Inputs!$C$56*SIN(2*PI()*A184/27),NA())</f>
        <v>65.597108045152865</v>
      </c>
      <c r="F184" s="25">
        <f>Subsurface_Live_Data!O184+Subsurface_Inputs!$C$56*SIN(2*PI()*A184/47)</f>
        <v>178.52205849177051</v>
      </c>
      <c r="G184" s="25">
        <f t="shared" si="2"/>
        <v>-57.20717173201939</v>
      </c>
    </row>
    <row r="185" spans="1:7">
      <c r="A185" s="25">
        <f>Subsurface_Live_Data!A185</f>
        <v>31.5</v>
      </c>
      <c r="B185" s="25">
        <v>0</v>
      </c>
      <c r="C185" s="25">
        <f>Subsurface_Inputs!$C$57+1.5*SIN(2*PI()*A185/35)</f>
        <v>11.11832212156129</v>
      </c>
      <c r="D185" s="25">
        <f>Subsurface_Live_Data!M185+Subsurface_Inputs!$C$56*SIN(2*PI()*A185/31)</f>
        <v>13.132605861191839</v>
      </c>
      <c r="E185" s="25">
        <f>IF(Subsurface_Live_Data!H185&gt;=Subsurface_Inputs!$C$42,Subsurface_Live_Data!N185+Subsurface_Inputs!$C$56*SIN(2*PI()*A185/27),NA())</f>
        <v>65.627986750464757</v>
      </c>
      <c r="F185" s="25">
        <f>Subsurface_Live_Data!O185+Subsurface_Inputs!$C$56*SIN(2*PI()*A185/47)</f>
        <v>178.18228300833235</v>
      </c>
      <c r="G185" s="25">
        <f t="shared" si="2"/>
        <v>-57.511499434787588</v>
      </c>
    </row>
    <row r="186" spans="1:7">
      <c r="A186" s="25">
        <f>Subsurface_Live_Data!A186</f>
        <v>32</v>
      </c>
      <c r="B186" s="25">
        <v>0</v>
      </c>
      <c r="C186" s="25">
        <f>Subsurface_Inputs!$C$57+1.5*SIN(2*PI()*A186/35)</f>
        <v>11.230651083891141</v>
      </c>
      <c r="D186" s="25">
        <f>Subsurface_Live_Data!M186+Subsurface_Inputs!$C$56*SIN(2*PI()*A186/31)</f>
        <v>13.361203536728567</v>
      </c>
      <c r="E186" s="25">
        <f>IF(Subsurface_Live_Data!H186&gt;=Subsurface_Inputs!$C$42,Subsurface_Live_Data!N186+Subsurface_Inputs!$C$56*SIN(2*PI()*A186/27),NA())</f>
        <v>65.640273550979913</v>
      </c>
      <c r="F186" s="25">
        <f>Subsurface_Live_Data!O186+Subsurface_Inputs!$C$56*SIN(2*PI()*A186/47)</f>
        <v>177.80544248630721</v>
      </c>
      <c r="G186" s="25">
        <f t="shared" si="2"/>
        <v>-57.74731997996517</v>
      </c>
    </row>
    <row r="187" spans="1:7">
      <c r="A187" s="25">
        <f>Subsurface_Live_Data!A187</f>
        <v>32.5</v>
      </c>
      <c r="B187" s="25">
        <v>0</v>
      </c>
      <c r="C187" s="25">
        <f>Subsurface_Inputs!$C$57+1.5*SIN(2*PI()*A187/35)</f>
        <v>11.349174391323663</v>
      </c>
      <c r="D187" s="25">
        <f>Subsurface_Live_Data!M187+Subsurface_Inputs!$C$56*SIN(2*PI()*A187/31)</f>
        <v>13.596835903226532</v>
      </c>
      <c r="E187" s="25">
        <f>IF(Subsurface_Live_Data!H187&gt;=Subsurface_Inputs!$C$42,Subsurface_Live_Data!N187+Subsurface_Inputs!$C$56*SIN(2*PI()*A187/27),NA())</f>
        <v>65.63273934038186</v>
      </c>
      <c r="F187" s="25">
        <f>Subsurface_Live_Data!O187+Subsurface_Inputs!$C$56*SIN(2*PI()*A187/47)</f>
        <v>177.44078894128279</v>
      </c>
      <c r="G187" s="25">
        <f t="shared" si="2"/>
        <v>-57.90820079781799</v>
      </c>
    </row>
    <row r="188" spans="1:7">
      <c r="A188" s="25">
        <f>Subsurface_Live_Data!A188</f>
        <v>33</v>
      </c>
      <c r="B188" s="25">
        <v>0</v>
      </c>
      <c r="C188" s="25">
        <f>Subsurface_Inputs!$C$57+1.5*SIN(2*PI()*A188/35)</f>
        <v>11.472937763877987</v>
      </c>
      <c r="D188" s="25">
        <f>Subsurface_Live_Data!M188+Subsurface_Inputs!$C$56*SIN(2*PI()*A188/31)</f>
        <v>13.834881332153246</v>
      </c>
      <c r="E188" s="25">
        <f>IF(Subsurface_Live_Data!H188&gt;=Subsurface_Inputs!$C$42,Subsurface_Live_Data!N188+Subsurface_Inputs!$C$56*SIN(2*PI()*A188/27),NA())</f>
        <v>65.604341701488707</v>
      </c>
      <c r="F188" s="25">
        <f>Subsurface_Live_Data!O188+Subsurface_Inputs!$C$56*SIN(2*PI()*A188/47)</f>
        <v>177.10069244517524</v>
      </c>
      <c r="G188" s="25">
        <f t="shared" si="2"/>
        <v>-57.98975347902001</v>
      </c>
    </row>
    <row r="189" spans="1:7">
      <c r="A189" s="25">
        <f>Subsurface_Live_Data!A189</f>
        <v>33.5</v>
      </c>
      <c r="B189" s="25">
        <v>0</v>
      </c>
      <c r="C189" s="25">
        <f>Subsurface_Inputs!$C$57+1.5*SIN(2*PI()*A189/35)</f>
        <v>11.600944731649987</v>
      </c>
      <c r="D189" s="25">
        <f>Subsurface_Live_Data!M189+Subsurface_Inputs!$C$56*SIN(2*PI()*A189/31)</f>
        <v>14.078417121114933</v>
      </c>
      <c r="E189" s="25">
        <f>IF(Subsurface_Live_Data!H189&gt;=Subsurface_Inputs!$C$42,Subsurface_Live_Data!N189+Subsurface_Inputs!$C$56*SIN(2*PI()*A189/27),NA())</f>
        <v>65.554242871137077</v>
      </c>
      <c r="F189" s="25">
        <f>Subsurface_Live_Data!O189+Subsurface_Inputs!$C$56*SIN(2*PI()*A189/47)</f>
        <v>176.76997123188775</v>
      </c>
      <c r="G189" s="25">
        <f t="shared" si="2"/>
        <v>-57.98975347902001</v>
      </c>
    </row>
    <row r="190" spans="1:7">
      <c r="A190" s="25">
        <f>Subsurface_Live_Data!A190</f>
        <v>34</v>
      </c>
      <c r="B190" s="25">
        <v>0</v>
      </c>
      <c r="C190" s="25">
        <f>Subsurface_Inputs!$C$57+1.5*SIN(2*PI()*A190/35)</f>
        <v>11.732164657802045</v>
      </c>
      <c r="D190" s="25">
        <f>Subsurface_Live_Data!M190+Subsurface_Inputs!$C$56*SIN(2*PI()*A190/31)</f>
        <v>14.332914863935182</v>
      </c>
      <c r="E190" s="25">
        <f>IF(Subsurface_Live_Data!H190&gt;=Subsurface_Inputs!$C$42,Subsurface_Live_Data!N190+Subsurface_Inputs!$C$56*SIN(2*PI()*A190/27),NA())</f>
        <v>65.481825343457814</v>
      </c>
      <c r="F190" s="25">
        <f>Subsurface_Live_Data!O190+Subsurface_Inputs!$C$56*SIN(2*PI()*A190/47)</f>
        <v>176.42447004621403</v>
      </c>
      <c r="G190" s="25">
        <f t="shared" si="2"/>
        <v>-57.90820079781799</v>
      </c>
    </row>
    <row r="191" spans="1:7">
      <c r="A191" s="25">
        <f>Subsurface_Live_Data!A191</f>
        <v>34.5</v>
      </c>
      <c r="B191" s="25">
        <v>0</v>
      </c>
      <c r="C191" s="25">
        <f>Subsurface_Inputs!$C$57+1.5*SIN(2*PI()*A191/35)</f>
        <v>11.865541036644849</v>
      </c>
      <c r="D191" s="25">
        <f>Subsurface_Live_Data!M191+Subsurface_Inputs!$C$56*SIN(2*PI()*A191/31)</f>
        <v>14.58319305055136</v>
      </c>
      <c r="E191" s="25">
        <f>IF(Subsurface_Live_Data!H191&gt;=Subsurface_Inputs!$C$42,Subsurface_Live_Data!N191+Subsurface_Inputs!$C$56*SIN(2*PI()*A191/27),NA())</f>
        <v>65.38670479092697</v>
      </c>
      <c r="F191" s="25">
        <f>Subsurface_Live_Data!O191+Subsurface_Inputs!$C$56*SIN(2*PI()*A191/47)</f>
        <v>176.11175074463824</v>
      </c>
      <c r="G191" s="25">
        <f t="shared" si="2"/>
        <v>-57.74731997996517</v>
      </c>
    </row>
    <row r="192" spans="1:7">
      <c r="A192" s="25">
        <f>Subsurface_Live_Data!A192</f>
        <v>35</v>
      </c>
      <c r="B192" s="25">
        <v>0</v>
      </c>
      <c r="C192" s="25">
        <f>Subsurface_Inputs!$C$57+1.5*SIN(2*PI()*A192/35)</f>
        <v>12</v>
      </c>
      <c r="D192" s="25">
        <f>Subsurface_Live_Data!M192+Subsurface_Inputs!$C$56*SIN(2*PI()*A192/31)</f>
        <v>14.826944147901509</v>
      </c>
      <c r="E192" s="25">
        <f>IF(Subsurface_Live_Data!H192&gt;=Subsurface_Inputs!$C$42,Subsurface_Live_Data!N192+Subsurface_Inputs!$C$56*SIN(2*PI()*A192/27),NA())</f>
        <v>65.268740010539048</v>
      </c>
      <c r="F192" s="25">
        <f>Subsurface_Live_Data!O192+Subsurface_Inputs!$C$56*SIN(2*PI()*A192/47)</f>
        <v>175.83378490857589</v>
      </c>
      <c r="G192" s="25">
        <f t="shared" si="2"/>
        <v>-57.511499434787588</v>
      </c>
    </row>
    <row r="193" spans="1:7">
      <c r="A193" s="25">
        <f>Subsurface_Live_Data!A193</f>
        <v>35.5</v>
      </c>
      <c r="B193" s="25">
        <v>0</v>
      </c>
      <c r="C193" s="25">
        <f>Subsurface_Inputs!$C$57+1.5*SIN(2*PI()*A193/35)</f>
        <v>12.134458963355151</v>
      </c>
      <c r="D193" s="25">
        <f>Subsurface_Live_Data!M193+Subsurface_Inputs!$C$56*SIN(2*PI()*A193/31)</f>
        <v>15.071621949948153</v>
      </c>
      <c r="E193" s="25">
        <f>IF(Subsurface_Live_Data!H193&gt;=Subsurface_Inputs!$C$42,Subsurface_Live_Data!N193+Subsurface_Inputs!$C$56*SIN(2*PI()*A193/27),NA())</f>
        <v>65.128039639085799</v>
      </c>
      <c r="F193" s="25">
        <f>Subsurface_Live_Data!O193+Subsurface_Inputs!$C$56*SIN(2*PI()*A193/47)</f>
        <v>175.55789809101935</v>
      </c>
      <c r="G193" s="25">
        <f t="shared" si="2"/>
        <v>-57.20717173201939</v>
      </c>
    </row>
    <row r="194" spans="1:7">
      <c r="A194" s="25">
        <f>Subsurface_Live_Data!A194</f>
        <v>36</v>
      </c>
      <c r="B194" s="25">
        <v>0</v>
      </c>
      <c r="C194" s="25">
        <f>Subsurface_Inputs!$C$57+1.5*SIN(2*PI()*A194/35)</f>
        <v>12.267835342197955</v>
      </c>
      <c r="D194" s="25">
        <f>Subsurface_Live_Data!M194+Subsurface_Inputs!$C$56*SIN(2*PI()*A194/31)</f>
        <v>15.315671612082737</v>
      </c>
      <c r="E194" s="25">
        <f>IF(Subsurface_Live_Data!H194&gt;=Subsurface_Inputs!$C$42,Subsurface_Live_Data!N194+Subsurface_Inputs!$C$56*SIN(2*PI()*A194/27),NA())</f>
        <v>64.964965426398678</v>
      </c>
      <c r="F194" s="25">
        <f>Subsurface_Live_Data!O194+Subsurface_Inputs!$C$56*SIN(2*PI()*A194/47)</f>
        <v>175.28252685966419</v>
      </c>
      <c r="G194" s="25">
        <f t="shared" ref="G194:G242" si="3">-55+3*SIN(2*PI()*A194/19)</f>
        <v>-56.842638138069006</v>
      </c>
    </row>
    <row r="195" spans="1:7">
      <c r="A195" s="25">
        <f>Subsurface_Live_Data!A195</f>
        <v>36.5</v>
      </c>
      <c r="B195" s="25">
        <v>0</v>
      </c>
      <c r="C195" s="25">
        <f>Subsurface_Inputs!$C$57+1.5*SIN(2*PI()*A195/35)</f>
        <v>12.399055268350013</v>
      </c>
      <c r="D195" s="25">
        <f>Subsurface_Live_Data!M195+Subsurface_Inputs!$C$56*SIN(2*PI()*A195/31)</f>
        <v>15.559143008800289</v>
      </c>
      <c r="E195" s="25">
        <f>IF(Subsurface_Live_Data!H195&gt;=Subsurface_Inputs!$C$42,Subsurface_Live_Data!N195+Subsurface_Inputs!$C$56*SIN(2*PI()*A195/27),NA())</f>
        <v>64.780131907781083</v>
      </c>
      <c r="F195" s="25">
        <f>Subsurface_Live_Data!O195+Subsurface_Inputs!$C$56*SIN(2*PI()*A195/47)</f>
        <v>175.00014575609637</v>
      </c>
      <c r="G195" s="25">
        <f t="shared" si="3"/>
        <v>-56.427842179111224</v>
      </c>
    </row>
    <row r="196" spans="1:7">
      <c r="A196" s="25">
        <f>Subsurface_Live_Data!A196</f>
        <v>37</v>
      </c>
      <c r="B196" s="25">
        <v>0</v>
      </c>
      <c r="C196" s="25">
        <f>Subsurface_Inputs!$C$57+1.5*SIN(2*PI()*A196/35)</f>
        <v>12.527062236122013</v>
      </c>
      <c r="D196" s="25">
        <f>Subsurface_Live_Data!M196+Subsurface_Inputs!$C$56*SIN(2*PI()*A196/31)</f>
        <v>15.784244332471001</v>
      </c>
      <c r="E196" s="25">
        <f>IF(Subsurface_Live_Data!H196&gt;=Subsurface_Inputs!$C$42,Subsurface_Live_Data!N196+Subsurface_Inputs!$C$56*SIN(2*PI()*A196/27),NA())</f>
        <v>64.574402375664732</v>
      </c>
      <c r="F196" s="25">
        <f>Subsurface_Live_Data!O196+Subsurface_Inputs!$C$56*SIN(2*PI()*A196/47)</f>
        <v>174.76541406111818</v>
      </c>
      <c r="G196" s="25">
        <f t="shared" si="3"/>
        <v>-55.974098407614051</v>
      </c>
    </row>
    <row r="197" spans="1:7">
      <c r="A197" s="25">
        <f>Subsurface_Live_Data!A197</f>
        <v>37.5</v>
      </c>
      <c r="B197" s="25">
        <v>0</v>
      </c>
      <c r="C197" s="25">
        <f>Subsurface_Inputs!$C$57+1.5*SIN(2*PI()*A197/35)</f>
        <v>12.650825608676337</v>
      </c>
      <c r="D197" s="25">
        <f>Subsurface_Live_Data!M197+Subsurface_Inputs!$C$56*SIN(2*PI()*A197/31)</f>
        <v>15.998197497440234</v>
      </c>
      <c r="E197" s="25">
        <f>IF(Subsurface_Live_Data!H197&gt;=Subsurface_Inputs!$C$42,Subsurface_Live_Data!N197+Subsurface_Inputs!$C$56*SIN(2*PI()*A197/27),NA())</f>
        <v>64.34888111445791</v>
      </c>
      <c r="F197" s="25">
        <f>Subsurface_Live_Data!O197+Subsurface_Inputs!$C$56*SIN(2*PI()*A197/47)</f>
        <v>174.54527575325662</v>
      </c>
      <c r="G197" s="25">
        <f t="shared" si="3"/>
        <v>-55.493783770842207</v>
      </c>
    </row>
    <row r="198" spans="1:7">
      <c r="A198" s="25">
        <f>Subsurface_Live_Data!A198</f>
        <v>38</v>
      </c>
      <c r="B198" s="25">
        <v>0</v>
      </c>
      <c r="C198" s="25">
        <f>Subsurface_Inputs!$C$57+1.5*SIN(2*PI()*A198/35)</f>
        <v>12.769348916108859</v>
      </c>
      <c r="D198" s="25">
        <f>Subsurface_Live_Data!M198+Subsurface_Inputs!$C$56*SIN(2*PI()*A198/31)</f>
        <v>16.197699823090598</v>
      </c>
      <c r="E198" s="25">
        <f>IF(Subsurface_Live_Data!H198&gt;=Subsurface_Inputs!$C$42,Subsurface_Live_Data!N198+Subsurface_Inputs!$C$56*SIN(2*PI()*A198/27),NA())</f>
        <v>64.104901930080487</v>
      </c>
      <c r="F198" s="25">
        <f>Subsurface_Live_Data!O198+Subsurface_Inputs!$C$56*SIN(2*PI()*A198/47)</f>
        <v>174.34344564147648</v>
      </c>
      <c r="G198" s="25">
        <f t="shared" si="3"/>
        <v>-55</v>
      </c>
    </row>
    <row r="199" spans="1:7">
      <c r="A199" s="25">
        <f>Subsurface_Live_Data!A199</f>
        <v>38.5</v>
      </c>
      <c r="B199" s="25">
        <v>0</v>
      </c>
      <c r="C199" s="25">
        <f>Subsurface_Inputs!$C$57+1.5*SIN(2*PI()*A199/35)</f>
        <v>12.88167787843871</v>
      </c>
      <c r="D199" s="25">
        <f>Subsurface_Live_Data!M199+Subsurface_Inputs!$C$56*SIN(2*PI()*A199/31)</f>
        <v>16.394217360689062</v>
      </c>
      <c r="E199" s="25">
        <f>IF(Subsurface_Live_Data!H199&gt;=Subsurface_Inputs!$C$42,Subsurface_Live_Data!N199+Subsurface_Inputs!$C$56*SIN(2*PI()*A199/27),NA())</f>
        <v>63.844013075108649</v>
      </c>
      <c r="F199" s="25">
        <f>Subsurface_Live_Data!O199+Subsurface_Inputs!$C$56*SIN(2*PI()*A199/47)</f>
        <v>174.11199133295671</v>
      </c>
      <c r="G199" s="25">
        <f t="shared" si="3"/>
        <v>-54.506216229157801</v>
      </c>
    </row>
    <row r="200" spans="1:7">
      <c r="A200" s="25">
        <f>Subsurface_Live_Data!A200</f>
        <v>39</v>
      </c>
      <c r="B200" s="25">
        <v>0</v>
      </c>
      <c r="C200" s="25">
        <f>Subsurface_Inputs!$C$57+1.5*SIN(2*PI()*A200/35)</f>
        <v>12.986908088909569</v>
      </c>
      <c r="D200" s="25">
        <f>Subsurface_Live_Data!M200+Subsurface_Inputs!$C$56*SIN(2*PI()*A200/31)</f>
        <v>16.555044245818259</v>
      </c>
      <c r="E200" s="25">
        <f>IF(Subsurface_Live_Data!H200&gt;=Subsurface_Inputs!$C$42,Subsurface_Live_Data!N200+Subsurface_Inputs!$C$56*SIN(2*PI()*A200/27),NA())</f>
        <v>63.567958739990964</v>
      </c>
      <c r="F200" s="25">
        <f>Subsurface_Live_Data!O200+Subsurface_Inputs!$C$56*SIN(2*PI()*A200/47)</f>
        <v>173.95773896270308</v>
      </c>
      <c r="G200" s="25">
        <f t="shared" si="3"/>
        <v>-54.025901592385956</v>
      </c>
    </row>
    <row r="201" spans="1:7">
      <c r="A201" s="25">
        <f>Subsurface_Live_Data!A201</f>
        <v>39.5</v>
      </c>
      <c r="B201" s="25">
        <v>0</v>
      </c>
      <c r="C201" s="25">
        <f>Subsurface_Inputs!$C$57+1.5*SIN(2*PI()*A201/35)</f>
        <v>13.084192295741087</v>
      </c>
      <c r="D201" s="25">
        <f>Subsurface_Live_Data!M201+Subsurface_Inputs!$C$56*SIN(2*PI()*A201/31)</f>
        <v>16.697843074437415</v>
      </c>
      <c r="E201" s="25">
        <f>IF(Subsurface_Live_Data!H201&gt;=Subsurface_Inputs!$C$42,Subsurface_Live_Data!N201+Subsurface_Inputs!$C$56*SIN(2*PI()*A201/27),NA())</f>
        <v>63.278657348625295</v>
      </c>
      <c r="F201" s="25">
        <f>Subsurface_Live_Data!O201+Subsurface_Inputs!$C$56*SIN(2*PI()*A201/47)</f>
        <v>173.81149831033247</v>
      </c>
      <c r="G201" s="25">
        <f t="shared" si="3"/>
        <v>-53.572157820888776</v>
      </c>
    </row>
    <row r="202" spans="1:7">
      <c r="A202" s="25">
        <f>Subsurface_Live_Data!A202</f>
        <v>40</v>
      </c>
      <c r="B202" s="25">
        <v>0</v>
      </c>
      <c r="C202" s="25">
        <f>Subsurface_Inputs!$C$57+1.5*SIN(2*PI()*A202/35)</f>
        <v>13.172747223702045</v>
      </c>
      <c r="D202" s="25">
        <f>Subsurface_Live_Data!M202+Subsurface_Inputs!$C$56*SIN(2*PI()*A202/31)</f>
        <v>16.823212266690259</v>
      </c>
      <c r="E202" s="25">
        <f>IF(Subsurface_Live_Data!H202&gt;=Subsurface_Inputs!$C$42,Subsurface_Live_Data!N202+Subsurface_Inputs!$C$56*SIN(2*PI()*A202/27),NA())</f>
        <v>62.978176960915675</v>
      </c>
      <c r="F202" s="25">
        <f>Subsurface_Live_Data!O202+Subsurface_Inputs!$C$56*SIN(2*PI()*A202/47)</f>
        <v>173.66419443684282</v>
      </c>
      <c r="G202" s="25">
        <f t="shared" si="3"/>
        <v>-53.157361861930994</v>
      </c>
    </row>
    <row r="203" spans="1:7">
      <c r="A203" s="25">
        <f>Subsurface_Live_Data!A203</f>
        <v>40.5</v>
      </c>
      <c r="B203" s="25">
        <v>0</v>
      </c>
      <c r="C203" s="25">
        <f>Subsurface_Inputs!$C$57+1.5*SIN(2*PI()*A203/35)</f>
        <v>13.251859880581954</v>
      </c>
      <c r="D203" s="25">
        <f>Subsurface_Live_Data!M203+Subsurface_Inputs!$C$56*SIN(2*PI()*A203/31)</f>
        <v>16.919938276803911</v>
      </c>
      <c r="E203" s="25">
        <f>IF(Subsurface_Live_Data!H203&gt;=Subsurface_Inputs!$C$42,Subsurface_Live_Data!N203+Subsurface_Inputs!$C$56*SIN(2*PI()*A203/27),NA())</f>
        <v>62.668708144072752</v>
      </c>
      <c r="F203" s="25">
        <f>Subsurface_Live_Data!O203+Subsurface_Inputs!$C$56*SIN(2*PI()*A203/47)</f>
        <v>173.54860126903824</v>
      </c>
      <c r="G203" s="25">
        <f t="shared" si="3"/>
        <v>-52.79282826798061</v>
      </c>
    </row>
    <row r="204" spans="1:7">
      <c r="A204" s="25">
        <f>Subsurface_Live_Data!A204</f>
        <v>41</v>
      </c>
      <c r="B204" s="25">
        <v>0</v>
      </c>
      <c r="C204" s="25">
        <f>Subsurface_Inputs!$C$57+1.5*SIN(2*PI()*A204/35)</f>
        <v>13.320893297785107</v>
      </c>
      <c r="D204" s="25">
        <f>Subsurface_Live_Data!M204+Subsurface_Inputs!$C$56*SIN(2*PI()*A204/31)</f>
        <v>16.981663379732428</v>
      </c>
      <c r="E204" s="25">
        <f>IF(Subsurface_Live_Data!H204&gt;=Subsurface_Inputs!$C$42,Subsurface_Live_Data!N204+Subsurface_Inputs!$C$56*SIN(2*PI()*A204/27),NA())</f>
        <v>62.352534726842933</v>
      </c>
      <c r="F204" s="25">
        <f>Subsurface_Live_Data!O204+Subsurface_Inputs!$C$56*SIN(2*PI()*A204/47)</f>
        <v>173.48111746870961</v>
      </c>
      <c r="G204" s="25">
        <f t="shared" si="3"/>
        <v>-52.488500565212419</v>
      </c>
    </row>
    <row r="205" spans="1:7">
      <c r="A205" s="25">
        <f>Subsurface_Live_Data!A205</f>
        <v>41.5</v>
      </c>
      <c r="B205" s="25">
        <v>0</v>
      </c>
      <c r="C205" s="25">
        <f>Subsurface_Inputs!$C$57+1.5*SIN(2*PI()*A205/35)</f>
        <v>13.379291658827176</v>
      </c>
      <c r="D205" s="25">
        <f>Subsurface_Live_Data!M205+Subsurface_Inputs!$C$56*SIN(2*PI()*A205/31)</f>
        <v>17.024489403095259</v>
      </c>
      <c r="E205" s="25">
        <f>IF(Subsurface_Live_Data!H205&gt;=Subsurface_Inputs!$C$42,Subsurface_Live_Data!N205+Subsurface_Inputs!$C$56*SIN(2*PI()*A205/27),NA())</f>
        <v>62.032002895226057</v>
      </c>
      <c r="F205" s="25">
        <f>Subsurface_Live_Data!O205+Subsurface_Inputs!$C$56*SIN(2*PI()*A205/47)</f>
        <v>173.40026119266332</v>
      </c>
      <c r="G205" s="25">
        <f t="shared" si="3"/>
        <v>-52.252680020034823</v>
      </c>
    </row>
    <row r="206" spans="1:7">
      <c r="A206" s="25">
        <f>Subsurface_Live_Data!A206</f>
        <v>42</v>
      </c>
      <c r="B206" s="25">
        <v>0</v>
      </c>
      <c r="C206" s="25">
        <f>Subsurface_Inputs!$C$57+1.5*SIN(2*PI()*A206/35)</f>
        <v>13.42658477444273</v>
      </c>
      <c r="D206" s="25">
        <f>Subsurface_Live_Data!M206+Subsurface_Inputs!$C$56*SIN(2*PI()*A206/31)</f>
        <v>17.043696391512452</v>
      </c>
      <c r="E206" s="25">
        <f>IF(Subsurface_Live_Data!H206&gt;=Subsurface_Inputs!$C$42,Subsurface_Live_Data!N206+Subsurface_Inputs!$C$56*SIN(2*PI()*A206/27),NA())</f>
        <v>61.709489123479372</v>
      </c>
      <c r="F206" s="25">
        <f>Subsurface_Live_Data!O206+Subsurface_Inputs!$C$56*SIN(2*PI()*A206/47)</f>
        <v>173.31825522602335</v>
      </c>
      <c r="G206" s="25">
        <f t="shared" si="3"/>
        <v>-52.09179920218201</v>
      </c>
    </row>
    <row r="207" spans="1:7">
      <c r="A207" s="25">
        <f>Subsurface_Live_Data!A207</f>
        <v>42.5</v>
      </c>
      <c r="B207" s="25">
        <v>0</v>
      </c>
      <c r="C207" s="25">
        <f>Subsurface_Inputs!$C$57+1.5*SIN(2*PI()*A207/35)</f>
        <v>13.462391868272736</v>
      </c>
      <c r="D207" s="25">
        <f>Subsurface_Live_Data!M207+Subsurface_Inputs!$C$56*SIN(2*PI()*A207/31)</f>
        <v>17.027731376280872</v>
      </c>
      <c r="E207" s="25">
        <f>IF(Subsurface_Live_Data!H207&gt;=Subsurface_Inputs!$C$42,Subsurface_Live_Data!N207+Subsurface_Inputs!$C$56*SIN(2*PI()*A207/27),NA())</f>
        <v>61.387367459495643</v>
      </c>
      <c r="F207" s="25">
        <f>Subsurface_Live_Data!O207+Subsurface_Inputs!$C$56*SIN(2*PI()*A207/47)</f>
        <v>173.2721574014499</v>
      </c>
      <c r="G207" s="25">
        <f t="shared" si="3"/>
        <v>-52.01024652097999</v>
      </c>
    </row>
    <row r="208" spans="1:7">
      <c r="A208" s="25">
        <f>Subsurface_Live_Data!A208</f>
        <v>43</v>
      </c>
      <c r="B208" s="25">
        <v>0</v>
      </c>
      <c r="C208" s="25">
        <f>Subsurface_Inputs!$C$57+1.5*SIN(2*PI()*A208/35)</f>
        <v>13.486424642651903</v>
      </c>
      <c r="D208" s="25">
        <f>Subsurface_Live_Data!M208+Subsurface_Inputs!$C$56*SIN(2*PI()*A208/31)</f>
        <v>16.981777784824562</v>
      </c>
      <c r="E208" s="25">
        <f>IF(Subsurface_Live_Data!H208&gt;=Subsurface_Inputs!$C$42,Subsurface_Live_Data!N208+Subsurface_Inputs!$C$56*SIN(2*PI()*A208/27),NA())</f>
        <v>61.067976698462459</v>
      </c>
      <c r="F208" s="25">
        <f>Subsurface_Live_Data!O208+Subsurface_Inputs!$C$56*SIN(2*PI()*A208/47)</f>
        <v>173.24144757080543</v>
      </c>
      <c r="G208" s="25">
        <f t="shared" si="3"/>
        <v>-52.01024652097999</v>
      </c>
    </row>
    <row r="209" spans="1:7">
      <c r="A209" s="25">
        <f>Subsurface_Live_Data!A209</f>
        <v>43.5</v>
      </c>
      <c r="B209" s="25">
        <v>0</v>
      </c>
      <c r="C209" s="25">
        <f>Subsurface_Inputs!$C$57+1.5*SIN(2*PI()*A209/35)</f>
        <v>13.498489599811972</v>
      </c>
      <c r="D209" s="25">
        <f>Subsurface_Live_Data!M209+Subsurface_Inputs!$C$56*SIN(2*PI()*A209/31)</f>
        <v>16.90168136842663</v>
      </c>
      <c r="E209" s="25" t="e">
        <f>IF(Subsurface_Live_Data!H209&gt;=Subsurface_Inputs!$C$42,Subsurface_Live_Data!N209+Subsurface_Inputs!$C$56*SIN(2*PI()*A209/27),NA())</f>
        <v>#N/A</v>
      </c>
      <c r="F209" s="25">
        <f>Subsurface_Live_Data!O209+Subsurface_Inputs!$C$56*SIN(2*PI()*A209/47)</f>
        <v>173.23935384735938</v>
      </c>
      <c r="G209" s="25">
        <f t="shared" si="3"/>
        <v>-52.09179920218201</v>
      </c>
    </row>
    <row r="210" spans="1:7">
      <c r="A210" s="25">
        <f>Subsurface_Live_Data!A210</f>
        <v>44</v>
      </c>
      <c r="B210" s="25">
        <v>0</v>
      </c>
      <c r="C210" s="25">
        <f>Subsurface_Inputs!$C$57+1.5*SIN(2*PI()*A210/35)</f>
        <v>13.498489599811972</v>
      </c>
      <c r="D210" s="25">
        <f>Subsurface_Live_Data!M210+Subsurface_Inputs!$C$56*SIN(2*PI()*A210/31)</f>
        <v>16.794551083500071</v>
      </c>
      <c r="E210" s="25" t="e">
        <f>IF(Subsurface_Live_Data!H210&gt;=Subsurface_Inputs!$C$42,Subsurface_Live_Data!N210+Subsurface_Inputs!$C$56*SIN(2*PI()*A210/27),NA())</f>
        <v>#N/A</v>
      </c>
      <c r="F210" s="25">
        <f>Subsurface_Live_Data!O210+Subsurface_Inputs!$C$56*SIN(2*PI()*A210/47)</f>
        <v>173.24080207812921</v>
      </c>
      <c r="G210" s="25">
        <f t="shared" si="3"/>
        <v>-52.252680020034823</v>
      </c>
    </row>
    <row r="211" spans="1:7">
      <c r="A211" s="25">
        <f>Subsurface_Live_Data!A211</f>
        <v>44.5</v>
      </c>
      <c r="B211" s="25">
        <v>0</v>
      </c>
      <c r="C211" s="25">
        <f>Subsurface_Inputs!$C$57+1.5*SIN(2*PI()*A211/35)</f>
        <v>13.486424642651903</v>
      </c>
      <c r="D211" s="25">
        <f>Subsurface_Live_Data!M211+Subsurface_Inputs!$C$56*SIN(2*PI()*A211/31)</f>
        <v>16.65190484048178</v>
      </c>
      <c r="E211" s="25" t="e">
        <f>IF(Subsurface_Live_Data!H211&gt;=Subsurface_Inputs!$C$42,Subsurface_Live_Data!N211+Subsurface_Inputs!$C$56*SIN(2*PI()*A211/27),NA())</f>
        <v>#N/A</v>
      </c>
      <c r="F211" s="25">
        <f>Subsurface_Live_Data!O211+Subsurface_Inputs!$C$56*SIN(2*PI()*A211/47)</f>
        <v>173.27644255142002</v>
      </c>
      <c r="G211" s="25">
        <f t="shared" si="3"/>
        <v>-52.488500565212412</v>
      </c>
    </row>
    <row r="212" spans="1:7">
      <c r="A212" s="25">
        <f>Subsurface_Live_Data!A212</f>
        <v>45</v>
      </c>
      <c r="B212" s="25">
        <v>0</v>
      </c>
      <c r="C212" s="25">
        <f>Subsurface_Inputs!$C$57+1.5*SIN(2*PI()*A212/35)</f>
        <v>13.462391868272736</v>
      </c>
      <c r="D212" s="25">
        <f>Subsurface_Live_Data!M212+Subsurface_Inputs!$C$56*SIN(2*PI()*A212/31)</f>
        <v>16.48854707168433</v>
      </c>
      <c r="E212" s="25" t="e">
        <f>IF(Subsurface_Live_Data!H212&gt;=Subsurface_Inputs!$C$42,Subsurface_Live_Data!N212+Subsurface_Inputs!$C$56*SIN(2*PI()*A212/27),NA())</f>
        <v>#N/A</v>
      </c>
      <c r="F212" s="25">
        <f>Subsurface_Live_Data!O212+Subsurface_Inputs!$C$56*SIN(2*PI()*A212/47)</f>
        <v>173.29659856314561</v>
      </c>
      <c r="G212" s="25">
        <f t="shared" si="3"/>
        <v>-52.79282826798061</v>
      </c>
    </row>
    <row r="213" spans="1:7">
      <c r="A213" s="25">
        <f>Subsurface_Live_Data!A213</f>
        <v>45.5</v>
      </c>
      <c r="B213" s="25">
        <v>0</v>
      </c>
      <c r="C213" s="25">
        <f>Subsurface_Inputs!$C$57+1.5*SIN(2*PI()*A213/35)</f>
        <v>13.42658477444273</v>
      </c>
      <c r="D213" s="25">
        <f>Subsurface_Live_Data!M213+Subsurface_Inputs!$C$56*SIN(2*PI()*A213/31)</f>
        <v>16.306086585295144</v>
      </c>
      <c r="E213" s="25" t="e">
        <f>IF(Subsurface_Live_Data!H213&gt;=Subsurface_Inputs!$C$42,Subsurface_Live_Data!N213+Subsurface_Inputs!$C$56*SIN(2*PI()*A213/27),NA())</f>
        <v>#N/A</v>
      </c>
      <c r="F213" s="25">
        <f>Subsurface_Live_Data!O213+Subsurface_Inputs!$C$56*SIN(2*PI()*A213/47)</f>
        <v>173.29895643221315</v>
      </c>
      <c r="G213" s="25">
        <f t="shared" si="3"/>
        <v>-53.157361861930994</v>
      </c>
    </row>
    <row r="214" spans="1:7">
      <c r="A214" s="25">
        <f>Subsurface_Live_Data!A214</f>
        <v>46</v>
      </c>
      <c r="B214" s="25">
        <v>0</v>
      </c>
      <c r="C214" s="25">
        <f>Subsurface_Inputs!$C$57+1.5*SIN(2*PI()*A214/35)</f>
        <v>13.379291658827176</v>
      </c>
      <c r="D214" s="25">
        <f>Subsurface_Live_Data!M214+Subsurface_Inputs!$C$56*SIN(2*PI()*A214/31)</f>
        <v>16.085895507888239</v>
      </c>
      <c r="E214" s="25" t="e">
        <f>IF(Subsurface_Live_Data!H214&gt;=Subsurface_Inputs!$C$42,Subsurface_Live_Data!N214+Subsurface_Inputs!$C$56*SIN(2*PI()*A214/27),NA())</f>
        <v>#N/A</v>
      </c>
      <c r="F214" s="25">
        <f>Subsurface_Live_Data!O214+Subsurface_Inputs!$C$56*SIN(2*PI()*A214/47)</f>
        <v>173.35319367290688</v>
      </c>
      <c r="G214" s="25">
        <f t="shared" si="3"/>
        <v>-53.572157820888776</v>
      </c>
    </row>
    <row r="215" spans="1:7">
      <c r="A215" s="25">
        <f>Subsurface_Live_Data!A215</f>
        <v>46.5</v>
      </c>
      <c r="B215" s="25">
        <v>0</v>
      </c>
      <c r="C215" s="25">
        <f>Subsurface_Inputs!$C$57+1.5*SIN(2*PI()*A215/35)</f>
        <v>13.320893297785107</v>
      </c>
      <c r="D215" s="25">
        <f>Subsurface_Live_Data!M215+Subsurface_Inputs!$C$56*SIN(2*PI()*A215/31)</f>
        <v>15.841482299853174</v>
      </c>
      <c r="E215" s="25" t="e">
        <f>IF(Subsurface_Live_Data!H215&gt;=Subsurface_Inputs!$C$42,Subsurface_Live_Data!N215+Subsurface_Inputs!$C$56*SIN(2*PI()*A215/27),NA())</f>
        <v>#N/A</v>
      </c>
      <c r="F215" s="25">
        <f>Subsurface_Live_Data!O215+Subsurface_Inputs!$C$56*SIN(2*PI()*A215/47)</f>
        <v>173.41763969932103</v>
      </c>
      <c r="G215" s="25">
        <f t="shared" si="3"/>
        <v>-54.025901592385942</v>
      </c>
    </row>
    <row r="216" spans="1:7">
      <c r="A216" s="25">
        <f>Subsurface_Live_Data!A216</f>
        <v>47</v>
      </c>
      <c r="B216" s="25">
        <v>0</v>
      </c>
      <c r="C216" s="25">
        <f>Subsurface_Inputs!$C$57+1.5*SIN(2*PI()*A216/35)</f>
        <v>13.251859880581954</v>
      </c>
      <c r="D216" s="25">
        <f>Subsurface_Live_Data!M216+Subsurface_Inputs!$C$56*SIN(2*PI()*A216/31)</f>
        <v>15.582631964163717</v>
      </c>
      <c r="E216" s="25" t="e">
        <f>IF(Subsurface_Live_Data!H216&gt;=Subsurface_Inputs!$C$42,Subsurface_Live_Data!N216+Subsurface_Inputs!$C$56*SIN(2*PI()*A216/27),NA())</f>
        <v>#N/A</v>
      </c>
      <c r="F216" s="25">
        <f>Subsurface_Live_Data!O216+Subsurface_Inputs!$C$56*SIN(2*PI()*A216/47)</f>
        <v>173.46473327315044</v>
      </c>
      <c r="G216" s="25">
        <f t="shared" si="3"/>
        <v>-54.506216229157801</v>
      </c>
    </row>
    <row r="217" spans="1:7">
      <c r="A217" s="25">
        <f>Subsurface_Live_Data!A217</f>
        <v>47.5</v>
      </c>
      <c r="B217" s="25">
        <v>0</v>
      </c>
      <c r="C217" s="25">
        <f>Subsurface_Inputs!$C$57+1.5*SIN(2*PI()*A217/35)</f>
        <v>13.172747223702045</v>
      </c>
      <c r="D217" s="25">
        <f>Subsurface_Live_Data!M217+Subsurface_Inputs!$C$56*SIN(2*PI()*A217/31)</f>
        <v>15.301813178322558</v>
      </c>
      <c r="E217" s="25" t="e">
        <f>IF(Subsurface_Live_Data!H217&gt;=Subsurface_Inputs!$C$42,Subsurface_Live_Data!N217+Subsurface_Inputs!$C$56*SIN(2*PI()*A217/27),NA())</f>
        <v>#N/A</v>
      </c>
      <c r="F217" s="25">
        <f>Subsurface_Live_Data!O217+Subsurface_Inputs!$C$56*SIN(2*PI()*A217/47)</f>
        <v>173.52852808800682</v>
      </c>
      <c r="G217" s="25">
        <f t="shared" si="3"/>
        <v>-55</v>
      </c>
    </row>
    <row r="218" spans="1:7">
      <c r="A218" s="25">
        <f>Subsurface_Live_Data!A218</f>
        <v>48</v>
      </c>
      <c r="B218" s="25">
        <v>0</v>
      </c>
      <c r="C218" s="25">
        <f>Subsurface_Inputs!$C$57+1.5*SIN(2*PI()*A218/35)</f>
        <v>13.084192295741088</v>
      </c>
      <c r="D218" s="25">
        <f>Subsurface_Live_Data!M218+Subsurface_Inputs!$C$56*SIN(2*PI()*A218/31)</f>
        <v>15.017699167331253</v>
      </c>
      <c r="E218" s="25" t="e">
        <f>IF(Subsurface_Live_Data!H218&gt;=Subsurface_Inputs!$C$42,Subsurface_Live_Data!N218+Subsurface_Inputs!$C$56*SIN(2*PI()*A218/27),NA())</f>
        <v>#N/A</v>
      </c>
      <c r="F218" s="25">
        <f>Subsurface_Live_Data!O218+Subsurface_Inputs!$C$56*SIN(2*PI()*A218/47)</f>
        <v>173.5522833869739</v>
      </c>
      <c r="G218" s="25">
        <f t="shared" si="3"/>
        <v>-55.493783770842199</v>
      </c>
    </row>
    <row r="219" spans="1:7">
      <c r="A219" s="25">
        <f>Subsurface_Live_Data!A219</f>
        <v>48.5</v>
      </c>
      <c r="B219" s="25">
        <v>0</v>
      </c>
      <c r="C219" s="25">
        <f>Subsurface_Inputs!$C$57+1.5*SIN(2*PI()*A219/35)</f>
        <v>12.986908088909569</v>
      </c>
      <c r="D219" s="25">
        <f>Subsurface_Live_Data!M219+Subsurface_Inputs!$C$56*SIN(2*PI()*A219/31)</f>
        <v>14.706336796053341</v>
      </c>
      <c r="E219" s="25" t="e">
        <f>IF(Subsurface_Live_Data!H219&gt;=Subsurface_Inputs!$C$42,Subsurface_Live_Data!N219+Subsurface_Inputs!$C$56*SIN(2*PI()*A219/27),NA())</f>
        <v>#N/A</v>
      </c>
      <c r="F219" s="25">
        <f>Subsurface_Live_Data!O219+Subsurface_Inputs!$C$56*SIN(2*PI()*A219/47)</f>
        <v>173.62927000099049</v>
      </c>
      <c r="G219" s="25">
        <f t="shared" si="3"/>
        <v>-55.974098407614051</v>
      </c>
    </row>
    <row r="220" spans="1:7">
      <c r="A220" s="25">
        <f>Subsurface_Live_Data!A220</f>
        <v>49</v>
      </c>
      <c r="B220" s="25">
        <v>0</v>
      </c>
      <c r="C220" s="25">
        <f>Subsurface_Inputs!$C$57+1.5*SIN(2*PI()*A220/35)</f>
        <v>12.88167787843871</v>
      </c>
      <c r="D220" s="25">
        <f>Subsurface_Live_Data!M220+Subsurface_Inputs!$C$56*SIN(2*PI()*A220/31)</f>
        <v>14.386979370763845</v>
      </c>
      <c r="E220" s="25" t="e">
        <f>IF(Subsurface_Live_Data!H220&gt;=Subsurface_Inputs!$C$42,Subsurface_Live_Data!N220+Subsurface_Inputs!$C$56*SIN(2*PI()*A220/27),NA())</f>
        <v>#N/A</v>
      </c>
      <c r="F220" s="25">
        <f>Subsurface_Live_Data!O220+Subsurface_Inputs!$C$56*SIN(2*PI()*A220/47)</f>
        <v>173.7022389438857</v>
      </c>
      <c r="G220" s="25">
        <f t="shared" si="3"/>
        <v>-56.427842179111217</v>
      </c>
    </row>
    <row r="221" spans="1:7">
      <c r="A221" s="25">
        <f>Subsurface_Live_Data!A221</f>
        <v>49.5</v>
      </c>
      <c r="B221" s="25">
        <v>0</v>
      </c>
      <c r="C221" s="25">
        <f>Subsurface_Inputs!$C$57+1.5*SIN(2*PI()*A221/35)</f>
        <v>12.769348916108859</v>
      </c>
      <c r="D221" s="25">
        <f>Subsurface_Live_Data!M221+Subsurface_Inputs!$C$56*SIN(2*PI()*A221/31)</f>
        <v>14.065269905827302</v>
      </c>
      <c r="E221" s="25" t="e">
        <f>IF(Subsurface_Live_Data!H221&gt;=Subsurface_Inputs!$C$42,Subsurface_Live_Data!N221+Subsurface_Inputs!$C$56*SIN(2*PI()*A221/27),NA())</f>
        <v>#N/A</v>
      </c>
      <c r="F221" s="25">
        <f>Subsurface_Live_Data!O221+Subsurface_Inputs!$C$56*SIN(2*PI()*A221/47)</f>
        <v>173.76215053676512</v>
      </c>
      <c r="G221" s="25">
        <f t="shared" si="3"/>
        <v>-56.842638138069006</v>
      </c>
    </row>
    <row r="222" spans="1:7">
      <c r="A222" s="25">
        <f>Subsurface_Live_Data!A222</f>
        <v>50</v>
      </c>
      <c r="B222" s="25">
        <v>0</v>
      </c>
      <c r="C222" s="25">
        <f>Subsurface_Inputs!$C$57+1.5*SIN(2*PI()*A222/35)</f>
        <v>12.650825608676337</v>
      </c>
      <c r="D222" s="25">
        <f>Subsurface_Live_Data!M222+Subsurface_Inputs!$C$56*SIN(2*PI()*A222/31)</f>
        <v>13.736129141832397</v>
      </c>
      <c r="E222" s="25" t="e">
        <f>IF(Subsurface_Live_Data!H222&gt;=Subsurface_Inputs!$C$42,Subsurface_Live_Data!N222+Subsurface_Inputs!$C$56*SIN(2*PI()*A222/27),NA())</f>
        <v>#N/A</v>
      </c>
      <c r="F222" s="25">
        <f>Subsurface_Live_Data!O222+Subsurface_Inputs!$C$56*SIN(2*PI()*A222/47)</f>
        <v>173.83792592163721</v>
      </c>
      <c r="G222" s="25">
        <f t="shared" si="3"/>
        <v>-57.207171732019397</v>
      </c>
    </row>
    <row r="223" spans="1:7">
      <c r="A223" s="25">
        <f>Subsurface_Live_Data!A223</f>
        <v>50.5</v>
      </c>
      <c r="B223" s="25">
        <v>0</v>
      </c>
      <c r="C223" s="25">
        <f>Subsurface_Inputs!$C$57+1.5*SIN(2*PI()*A223/35)</f>
        <v>12.527062236122015</v>
      </c>
      <c r="D223" s="25">
        <f>Subsurface_Live_Data!M223+Subsurface_Inputs!$C$56*SIN(2*PI()*A223/31)</f>
        <v>13.416906693626288</v>
      </c>
      <c r="E223" s="25" t="e">
        <f>IF(Subsurface_Live_Data!H223&gt;=Subsurface_Inputs!$C$42,Subsurface_Live_Data!N223+Subsurface_Inputs!$C$56*SIN(2*PI()*A223/27),NA())</f>
        <v>#N/A</v>
      </c>
      <c r="F223" s="25">
        <f>Subsurface_Live_Data!O223+Subsurface_Inputs!$C$56*SIN(2*PI()*A223/47)</f>
        <v>173.8802687158138</v>
      </c>
      <c r="G223" s="25">
        <f t="shared" si="3"/>
        <v>-57.511499434787581</v>
      </c>
    </row>
    <row r="224" spans="1:7">
      <c r="A224" s="25">
        <f>Subsurface_Live_Data!A224</f>
        <v>51</v>
      </c>
      <c r="B224" s="25">
        <v>0</v>
      </c>
      <c r="C224" s="25">
        <f>Subsurface_Inputs!$C$57+1.5*SIN(2*PI()*A224/35)</f>
        <v>12.399055268350013</v>
      </c>
      <c r="D224" s="25">
        <f>Subsurface_Live_Data!M224+Subsurface_Inputs!$C$56*SIN(2*PI()*A224/31)</f>
        <v>13.090228036898202</v>
      </c>
      <c r="E224" s="25" t="e">
        <f>IF(Subsurface_Live_Data!H224&gt;=Subsurface_Inputs!$C$42,Subsurface_Live_Data!N224+Subsurface_Inputs!$C$56*SIN(2*PI()*A224/27),NA())</f>
        <v>#N/A</v>
      </c>
      <c r="F224" s="25">
        <f>Subsurface_Live_Data!O224+Subsurface_Inputs!$C$56*SIN(2*PI()*A224/47)</f>
        <v>173.96154458333908</v>
      </c>
      <c r="G224" s="25">
        <f t="shared" si="3"/>
        <v>-57.74731997996517</v>
      </c>
    </row>
    <row r="225" spans="1:7">
      <c r="A225" s="25">
        <f>Subsurface_Live_Data!A225</f>
        <v>51.5</v>
      </c>
      <c r="B225" s="25">
        <v>0</v>
      </c>
      <c r="C225" s="25">
        <f>Subsurface_Inputs!$C$57+1.5*SIN(2*PI()*A225/35)</f>
        <v>12.267835342197955</v>
      </c>
      <c r="D225" s="25">
        <f>Subsurface_Live_Data!M225+Subsurface_Inputs!$C$56*SIN(2*PI()*A225/31)</f>
        <v>12.780547051105831</v>
      </c>
      <c r="E225" s="25" t="e">
        <f>IF(Subsurface_Live_Data!H225&gt;=Subsurface_Inputs!$C$42,Subsurface_Live_Data!N225+Subsurface_Inputs!$C$56*SIN(2*PI()*A225/27),NA())</f>
        <v>#N/A</v>
      </c>
      <c r="F225" s="25">
        <f>Subsurface_Live_Data!O225+Subsurface_Inputs!$C$56*SIN(2*PI()*A225/47)</f>
        <v>174.00768711097211</v>
      </c>
      <c r="G225" s="25">
        <f t="shared" si="3"/>
        <v>-57.90820079781799</v>
      </c>
    </row>
    <row r="226" spans="1:7">
      <c r="A226" s="25">
        <f>Subsurface_Live_Data!A226</f>
        <v>52</v>
      </c>
      <c r="B226" s="25">
        <v>0</v>
      </c>
      <c r="C226" s="25">
        <f>Subsurface_Inputs!$C$57+1.5*SIN(2*PI()*A226/35)</f>
        <v>12.134458963355151</v>
      </c>
      <c r="D226" s="25">
        <f>Subsurface_Live_Data!M226+Subsurface_Inputs!$C$56*SIN(2*PI()*A226/31)</f>
        <v>12.473457077498423</v>
      </c>
      <c r="E226" s="25" t="e">
        <f>IF(Subsurface_Live_Data!H226&gt;=Subsurface_Inputs!$C$42,Subsurface_Live_Data!N226+Subsurface_Inputs!$C$56*SIN(2*PI()*A226/27),NA())</f>
        <v>#N/A</v>
      </c>
      <c r="F226" s="25">
        <f>Subsurface_Live_Data!O226+Subsurface_Inputs!$C$56*SIN(2*PI()*A226/47)</f>
        <v>174.0804471361015</v>
      </c>
      <c r="G226" s="25">
        <f t="shared" si="3"/>
        <v>-57.98975347902001</v>
      </c>
    </row>
    <row r="227" spans="1:7">
      <c r="A227" s="25">
        <f>Subsurface_Live_Data!A227</f>
        <v>52.5</v>
      </c>
      <c r="B227" s="25">
        <v>0</v>
      </c>
      <c r="C227" s="25">
        <f>Subsurface_Inputs!$C$57+1.5*SIN(2*PI()*A227/35)</f>
        <v>12</v>
      </c>
      <c r="D227" s="25">
        <f>Subsurface_Live_Data!M227+Subsurface_Inputs!$C$56*SIN(2*PI()*A227/31)</f>
        <v>12.174616017488649</v>
      </c>
      <c r="E227" s="25" t="e">
        <f>IF(Subsurface_Live_Data!H227&gt;=Subsurface_Inputs!$C$42,Subsurface_Live_Data!N227+Subsurface_Inputs!$C$56*SIN(2*PI()*A227/27),NA())</f>
        <v>#N/A</v>
      </c>
      <c r="F227" s="25">
        <f>Subsurface_Live_Data!O227+Subsurface_Inputs!$C$56*SIN(2*PI()*A227/47)</f>
        <v>174.17099375217242</v>
      </c>
      <c r="G227" s="25">
        <f t="shared" si="3"/>
        <v>-57.98975347902001</v>
      </c>
    </row>
    <row r="228" spans="1:7">
      <c r="A228" s="25">
        <f>Subsurface_Live_Data!A228</f>
        <v>53</v>
      </c>
      <c r="B228" s="25">
        <v>0</v>
      </c>
      <c r="C228" s="25">
        <f>Subsurface_Inputs!$C$57+1.5*SIN(2*PI()*A228/35)</f>
        <v>11.865541036644851</v>
      </c>
      <c r="D228" s="25">
        <f>Subsurface_Live_Data!M228+Subsurface_Inputs!$C$56*SIN(2*PI()*A228/31)</f>
        <v>11.902745355897315</v>
      </c>
      <c r="E228" s="25" t="e">
        <f>IF(Subsurface_Live_Data!H228&gt;=Subsurface_Inputs!$C$42,Subsurface_Live_Data!N228+Subsurface_Inputs!$C$56*SIN(2*PI()*A228/27),NA())</f>
        <v>#N/A</v>
      </c>
      <c r="F228" s="25">
        <f>Subsurface_Live_Data!O228+Subsurface_Inputs!$C$56*SIN(2*PI()*A228/47)</f>
        <v>174.22425997698167</v>
      </c>
      <c r="G228" s="25">
        <f t="shared" si="3"/>
        <v>-57.90820079781799</v>
      </c>
    </row>
    <row r="229" spans="1:7">
      <c r="A229" s="25">
        <f>Subsurface_Live_Data!A229</f>
        <v>53.5</v>
      </c>
      <c r="B229" s="25">
        <v>0</v>
      </c>
      <c r="C229" s="25">
        <f>Subsurface_Inputs!$C$57+1.5*SIN(2*PI()*A229/35)</f>
        <v>11.732164657802045</v>
      </c>
      <c r="D229" s="25">
        <f>Subsurface_Live_Data!M229+Subsurface_Inputs!$C$56*SIN(2*PI()*A229/31)</f>
        <v>11.639800395716538</v>
      </c>
      <c r="E229" s="25" t="e">
        <f>IF(Subsurface_Live_Data!H229&gt;=Subsurface_Inputs!$C$42,Subsurface_Live_Data!N229+Subsurface_Inputs!$C$56*SIN(2*PI()*A229/27),NA())</f>
        <v>#N/A</v>
      </c>
      <c r="F229" s="25">
        <f>Subsurface_Live_Data!O229+Subsurface_Inputs!$C$56*SIN(2*PI()*A229/47)</f>
        <v>174.3131951345992</v>
      </c>
      <c r="G229" s="25">
        <f t="shared" si="3"/>
        <v>-57.747319979965177</v>
      </c>
    </row>
    <row r="230" spans="1:7">
      <c r="A230" s="25">
        <f>Subsurface_Live_Data!A230</f>
        <v>54</v>
      </c>
      <c r="B230" s="25">
        <v>0</v>
      </c>
      <c r="C230" s="25">
        <f>Subsurface_Inputs!$C$57+1.5*SIN(2*PI()*A230/35)</f>
        <v>11.600944731649989</v>
      </c>
      <c r="D230" s="25">
        <f>Subsurface_Live_Data!M230+Subsurface_Inputs!$C$56*SIN(2*PI()*A230/31)</f>
        <v>11.400386321786659</v>
      </c>
      <c r="E230" s="25" t="e">
        <f>IF(Subsurface_Live_Data!H230&gt;=Subsurface_Inputs!$C$42,Subsurface_Live_Data!N230+Subsurface_Inputs!$C$56*SIN(2*PI()*A230/27),NA())</f>
        <v>#N/A</v>
      </c>
      <c r="F230" s="25">
        <f>Subsurface_Live_Data!O230+Subsurface_Inputs!$C$56*SIN(2*PI()*A230/47)</f>
        <v>174.39566527259515</v>
      </c>
      <c r="G230" s="25">
        <f t="shared" si="3"/>
        <v>-57.511499434787588</v>
      </c>
    </row>
    <row r="231" spans="1:7">
      <c r="A231" s="25">
        <f>Subsurface_Live_Data!A231</f>
        <v>54.5</v>
      </c>
      <c r="B231" s="25">
        <v>0</v>
      </c>
      <c r="C231" s="25">
        <f>Subsurface_Inputs!$C$57+1.5*SIN(2*PI()*A231/35)</f>
        <v>11.472937763877987</v>
      </c>
      <c r="D231" s="25">
        <f>Subsurface_Live_Data!M231+Subsurface_Inputs!$C$56*SIN(2*PI()*A231/31)</f>
        <v>11.183035029973237</v>
      </c>
      <c r="E231" s="25" t="e">
        <f>IF(Subsurface_Live_Data!H231&gt;=Subsurface_Inputs!$C$42,Subsurface_Live_Data!N231+Subsurface_Inputs!$C$56*SIN(2*PI()*A231/27),NA())</f>
        <v>#N/A</v>
      </c>
      <c r="F231" s="25">
        <f>Subsurface_Live_Data!O231+Subsurface_Inputs!$C$56*SIN(2*PI()*A231/47)</f>
        <v>174.48485170425991</v>
      </c>
      <c r="G231" s="25">
        <f t="shared" si="3"/>
        <v>-57.207171732019397</v>
      </c>
    </row>
    <row r="232" spans="1:7">
      <c r="A232" s="25">
        <f>Subsurface_Live_Data!A232</f>
        <v>55</v>
      </c>
      <c r="B232" s="25">
        <v>0</v>
      </c>
      <c r="C232" s="25">
        <f>Subsurface_Inputs!$C$57+1.5*SIN(2*PI()*A232/35)</f>
        <v>11.349174391323663</v>
      </c>
      <c r="D232" s="25">
        <f>Subsurface_Live_Data!M232+Subsurface_Inputs!$C$56*SIN(2*PI()*A232/31)</f>
        <v>11.000406643402359</v>
      </c>
      <c r="E232" s="25" t="e">
        <f>IF(Subsurface_Live_Data!H232&gt;=Subsurface_Inputs!$C$42,Subsurface_Live_Data!N232+Subsurface_Inputs!$C$56*SIN(2*PI()*A232/27),NA())</f>
        <v>#N/A</v>
      </c>
      <c r="F232" s="25">
        <f>Subsurface_Live_Data!O232+Subsurface_Inputs!$C$56*SIN(2*PI()*A232/47)</f>
        <v>174.54342616159605</v>
      </c>
      <c r="G232" s="25">
        <f t="shared" si="3"/>
        <v>-56.842638138068999</v>
      </c>
    </row>
    <row r="233" spans="1:7">
      <c r="A233" s="25">
        <f>Subsurface_Live_Data!A233</f>
        <v>55.5</v>
      </c>
      <c r="B233" s="25">
        <v>0</v>
      </c>
      <c r="C233" s="25">
        <f>Subsurface_Inputs!$C$57+1.5*SIN(2*PI()*A233/35)</f>
        <v>11.230651083891141</v>
      </c>
      <c r="D233" s="25">
        <f>Subsurface_Live_Data!M233+Subsurface_Inputs!$C$56*SIN(2*PI()*A233/31)</f>
        <v>10.837974676482386</v>
      </c>
      <c r="E233" s="25" t="e">
        <f>IF(Subsurface_Live_Data!H233&gt;=Subsurface_Inputs!$C$42,Subsurface_Live_Data!N233+Subsurface_Inputs!$C$56*SIN(2*PI()*A233/27),NA())</f>
        <v>#N/A</v>
      </c>
      <c r="F233" s="25">
        <f>Subsurface_Live_Data!O233+Subsurface_Inputs!$C$56*SIN(2*PI()*A233/47)</f>
        <v>174.62804821203838</v>
      </c>
      <c r="G233" s="25">
        <f t="shared" si="3"/>
        <v>-56.427842179111224</v>
      </c>
    </row>
    <row r="234" spans="1:7">
      <c r="A234" s="25">
        <f>Subsurface_Live_Data!A234</f>
        <v>56</v>
      </c>
      <c r="B234" s="25">
        <v>0</v>
      </c>
      <c r="C234" s="25">
        <f>Subsurface_Inputs!$C$57+1.5*SIN(2*PI()*A234/35)</f>
        <v>11.118322121561292</v>
      </c>
      <c r="D234" s="25">
        <f>Subsurface_Live_Data!M234+Subsurface_Inputs!$C$56*SIN(2*PI()*A234/31)</f>
        <v>10.710560520404862</v>
      </c>
      <c r="E234" s="25" t="e">
        <f>IF(Subsurface_Live_Data!H234&gt;=Subsurface_Inputs!$C$42,Subsurface_Live_Data!N234+Subsurface_Inputs!$C$56*SIN(2*PI()*A234/27),NA())</f>
        <v>#N/A</v>
      </c>
      <c r="F234" s="25">
        <f>Subsurface_Live_Data!O234+Subsurface_Inputs!$C$56*SIN(2*PI()*A234/47)</f>
        <v>174.69140686468515</v>
      </c>
      <c r="G234" s="25">
        <f t="shared" si="3"/>
        <v>-55.974098407614058</v>
      </c>
    </row>
    <row r="235" spans="1:7">
      <c r="A235" s="25">
        <f>Subsurface_Live_Data!A235</f>
        <v>56.5</v>
      </c>
      <c r="B235" s="25">
        <v>0</v>
      </c>
      <c r="C235" s="25">
        <f>Subsurface_Inputs!$C$57+1.5*SIN(2*PI()*A235/35)</f>
        <v>11.013091911090431</v>
      </c>
      <c r="D235" s="25">
        <f>Subsurface_Live_Data!M235+Subsurface_Inputs!$C$56*SIN(2*PI()*A235/31)</f>
        <v>10.613801250018454</v>
      </c>
      <c r="E235" s="25" t="e">
        <f>IF(Subsurface_Live_Data!H235&gt;=Subsurface_Inputs!$C$42,Subsurface_Live_Data!N235+Subsurface_Inputs!$C$56*SIN(2*PI()*A235/27),NA())</f>
        <v>#N/A</v>
      </c>
      <c r="F235" s="25">
        <f>Subsurface_Live_Data!O235+Subsurface_Inputs!$C$56*SIN(2*PI()*A235/47)</f>
        <v>174.75201388608633</v>
      </c>
      <c r="G235" s="25">
        <f t="shared" si="3"/>
        <v>-55.493783770842214</v>
      </c>
    </row>
    <row r="236" spans="1:7">
      <c r="A236" s="25">
        <f>Subsurface_Live_Data!A236</f>
        <v>57</v>
      </c>
      <c r="B236" s="25">
        <v>0</v>
      </c>
      <c r="C236" s="25">
        <f>Subsurface_Inputs!$C$57+1.5*SIN(2*PI()*A236/35)</f>
        <v>10.915807704258913</v>
      </c>
      <c r="D236" s="25">
        <f>Subsurface_Live_Data!M236+Subsurface_Inputs!$C$56*SIN(2*PI()*A236/31)</f>
        <v>10.552491350082583</v>
      </c>
      <c r="E236" s="25" t="e">
        <f>IF(Subsurface_Live_Data!H236&gt;=Subsurface_Inputs!$C$42,Subsurface_Live_Data!N236+Subsurface_Inputs!$C$56*SIN(2*PI()*A236/27),NA())</f>
        <v>#N/A</v>
      </c>
      <c r="F236" s="25">
        <f>Subsurface_Live_Data!O236+Subsurface_Inputs!$C$56*SIN(2*PI()*A236/47)</f>
        <v>174.7949579603906</v>
      </c>
      <c r="G236" s="25">
        <f t="shared" si="3"/>
        <v>-55</v>
      </c>
    </row>
    <row r="237" spans="1:7">
      <c r="A237" s="25">
        <f>Subsurface_Live_Data!A237</f>
        <v>57.5</v>
      </c>
      <c r="B237" s="25">
        <v>0</v>
      </c>
      <c r="C237" s="25">
        <f>Subsurface_Inputs!$C$57+1.5*SIN(2*PI()*A237/35)</f>
        <v>10.827252776297955</v>
      </c>
      <c r="D237" s="25">
        <f>Subsurface_Live_Data!M237+Subsurface_Inputs!$C$56*SIN(2*PI()*A237/31)</f>
        <v>10.507693418828675</v>
      </c>
      <c r="E237" s="25" t="e">
        <f>IF(Subsurface_Live_Data!H237&gt;=Subsurface_Inputs!$C$42,Subsurface_Live_Data!N237+Subsurface_Inputs!$C$56*SIN(2*PI()*A237/27),NA())</f>
        <v>#N/A</v>
      </c>
      <c r="F237" s="25">
        <f>Subsurface_Live_Data!O237+Subsurface_Inputs!$C$56*SIN(2*PI()*A237/47)</f>
        <v>174.8869879041961</v>
      </c>
      <c r="G237" s="25">
        <f t="shared" si="3"/>
        <v>-54.506216229157793</v>
      </c>
    </row>
    <row r="238" spans="1:7">
      <c r="A238" s="25">
        <f>Subsurface_Live_Data!A238</f>
        <v>58</v>
      </c>
      <c r="B238" s="25">
        <v>0</v>
      </c>
      <c r="C238" s="25">
        <f>Subsurface_Inputs!$C$57+1.5*SIN(2*PI()*A238/35)</f>
        <v>10.748140119418046</v>
      </c>
      <c r="D238" s="25">
        <f>Subsurface_Live_Data!M238+Subsurface_Inputs!$C$56*SIN(2*PI()*A238/31)</f>
        <v>10.513326240619643</v>
      </c>
      <c r="E238" s="25" t="e">
        <f>IF(Subsurface_Live_Data!H238&gt;=Subsurface_Inputs!$C$42,Subsurface_Live_Data!N238+Subsurface_Inputs!$C$56*SIN(2*PI()*A238/27),NA())</f>
        <v>#N/A</v>
      </c>
      <c r="F238" s="25">
        <f>Subsurface_Live_Data!O238+Subsurface_Inputs!$C$56*SIN(2*PI()*A238/47)</f>
        <v>174.90844614568911</v>
      </c>
      <c r="G238" s="25">
        <f t="shared" si="3"/>
        <v>-54.025901592385949</v>
      </c>
    </row>
    <row r="239" spans="1:7">
      <c r="A239" s="25">
        <f>Subsurface_Live_Data!A239</f>
        <v>58.5</v>
      </c>
      <c r="B239" s="25">
        <v>0</v>
      </c>
      <c r="C239" s="25">
        <f>Subsurface_Inputs!$C$57+1.5*SIN(2*PI()*A239/35)</f>
        <v>10.679106702214893</v>
      </c>
      <c r="D239" s="25">
        <f>Subsurface_Live_Data!M239+Subsurface_Inputs!$C$56*SIN(2*PI()*A239/31)</f>
        <v>10.539829452026897</v>
      </c>
      <c r="E239" s="25" t="e">
        <f>IF(Subsurface_Live_Data!H239&gt;=Subsurface_Inputs!$C$42,Subsurface_Live_Data!N239+Subsurface_Inputs!$C$56*SIN(2*PI()*A239/27),NA())</f>
        <v>#N/A</v>
      </c>
      <c r="F239" s="25">
        <f>Subsurface_Live_Data!O239+Subsurface_Inputs!$C$56*SIN(2*PI()*A239/47)</f>
        <v>174.96045541975292</v>
      </c>
      <c r="G239" s="25">
        <f t="shared" si="3"/>
        <v>-53.572157820888783</v>
      </c>
    </row>
    <row r="240" spans="1:7">
      <c r="A240" s="25">
        <f>Subsurface_Live_Data!A240</f>
        <v>59</v>
      </c>
      <c r="B240" s="25">
        <v>0</v>
      </c>
      <c r="C240" s="25">
        <f>Subsurface_Inputs!$C$57+1.5*SIN(2*PI()*A240/35)</f>
        <v>10.620708341172824</v>
      </c>
      <c r="D240" s="25">
        <f>Subsurface_Live_Data!M240+Subsurface_Inputs!$C$56*SIN(2*PI()*A240/31)</f>
        <v>10.602439699080321</v>
      </c>
      <c r="E240" s="25" t="e">
        <f>IF(Subsurface_Live_Data!H240&gt;=Subsurface_Inputs!$C$42,Subsurface_Live_Data!N240+Subsurface_Inputs!$C$56*SIN(2*PI()*A240/27),NA())</f>
        <v>#N/A</v>
      </c>
      <c r="F240" s="25">
        <f>Subsurface_Live_Data!O240+Subsurface_Inputs!$C$56*SIN(2*PI()*A240/47)</f>
        <v>174.98598642378496</v>
      </c>
      <c r="G240" s="25">
        <f t="shared" si="3"/>
        <v>-53.157361861931001</v>
      </c>
    </row>
    <row r="241" spans="1:7">
      <c r="A241" s="25">
        <f>Subsurface_Live_Data!A241</f>
        <v>59.5</v>
      </c>
      <c r="B241" s="25">
        <v>0</v>
      </c>
      <c r="C241" s="25">
        <f>Subsurface_Inputs!$C$57+1.5*SIN(2*PI()*A241/35)</f>
        <v>10.57341522555727</v>
      </c>
      <c r="D241" s="25">
        <f>Subsurface_Live_Data!M241+Subsurface_Inputs!$C$56*SIN(2*PI()*A241/31)</f>
        <v>10.679993172462208</v>
      </c>
      <c r="E241" s="25" t="e">
        <f>IF(Subsurface_Live_Data!H241&gt;=Subsurface_Inputs!$C$42,Subsurface_Live_Data!N241+Subsurface_Inputs!$C$56*SIN(2*PI()*A241/27),NA())</f>
        <v>#N/A</v>
      </c>
      <c r="F241" s="25">
        <f>Subsurface_Live_Data!O241+Subsurface_Inputs!$C$56*SIN(2*PI()*A241/47)</f>
        <v>175.05410386767994</v>
      </c>
      <c r="G241" s="25">
        <f t="shared" si="3"/>
        <v>-52.792828267980603</v>
      </c>
    </row>
    <row r="242" spans="1:7">
      <c r="A242" s="25">
        <f>Subsurface_Live_Data!A242</f>
        <v>60</v>
      </c>
      <c r="B242" s="25">
        <v>0</v>
      </c>
      <c r="C242" s="25">
        <f>Subsurface_Inputs!$C$57+1.5*SIN(2*PI()*A242/35)</f>
        <v>10.537608131727264</v>
      </c>
      <c r="D242" s="25">
        <f>Subsurface_Live_Data!M242+Subsurface_Inputs!$C$56*SIN(2*PI()*A242/31)</f>
        <v>10.801823161458323</v>
      </c>
      <c r="E242" s="25" t="e">
        <f>IF(Subsurface_Live_Data!H242&gt;=Subsurface_Inputs!$C$42,Subsurface_Live_Data!N242+Subsurface_Inputs!$C$56*SIN(2*PI()*A242/27),NA())</f>
        <v>#N/A</v>
      </c>
      <c r="F242" s="25">
        <f>Subsurface_Live_Data!O242+Subsurface_Inputs!$C$56*SIN(2*PI()*A242/47)</f>
        <v>175.05589986884891</v>
      </c>
      <c r="G242" s="25">
        <f t="shared" si="3"/>
        <v>-52.488500565212419</v>
      </c>
    </row>
  </sheetData>
  <autoFilter ref="A1:G24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242"/>
  <sheetViews>
    <sheetView showGridLines="0" workbookViewId="0"/>
  </sheetViews>
  <sheetFormatPr defaultRowHeight="13.8"/>
  <cols>
    <col min="1" max="1" width="12" customWidth="1"/>
    <col min="2" max="2" width="24" customWidth="1"/>
    <col min="3" max="3" width="36" customWidth="1"/>
    <col min="4" max="4" width="32" customWidth="1"/>
    <col min="5" max="5" width="38" customWidth="1"/>
    <col min="6" max="6" width="4" customWidth="1"/>
    <col min="7" max="7" width="12" customWidth="1"/>
    <col min="8" max="8" width="24" customWidth="1"/>
    <col min="9" max="10" width="30" customWidth="1"/>
    <col min="11" max="11" width="12" customWidth="1"/>
    <col min="12" max="13" width="32" customWidth="1"/>
    <col min="14" max="14" width="44" customWidth="1"/>
    <col min="15" max="15" width="4" customWidth="1"/>
    <col min="16" max="16" width="12" customWidth="1"/>
    <col min="17" max="17" width="20" customWidth="1"/>
    <col min="18" max="18" width="28" customWidth="1"/>
    <col min="19" max="19" width="20" customWidth="1"/>
    <col min="20" max="20" width="28" customWidth="1"/>
    <col min="21" max="21" width="4" customWidth="1"/>
    <col min="22" max="22" width="12" customWidth="1"/>
    <col min="23" max="23" width="22" customWidth="1"/>
    <col min="24" max="24" width="4" customWidth="1"/>
    <col min="25" max="25" width="12" customWidth="1"/>
    <col min="26" max="26" width="24" customWidth="1"/>
    <col min="27" max="27" width="36" customWidth="1"/>
    <col min="28" max="28" width="32" customWidth="1"/>
  </cols>
  <sheetData>
    <row r="1" spans="1:28" ht="26.25" customHeight="1">
      <c r="A1" s="2" t="s">
        <v>521</v>
      </c>
      <c r="B1" s="2" t="s">
        <v>522</v>
      </c>
      <c r="C1" s="2" t="s">
        <v>523</v>
      </c>
      <c r="D1" s="2" t="s">
        <v>524</v>
      </c>
      <c r="E1" s="2" t="s">
        <v>525</v>
      </c>
      <c r="G1" s="2" t="s">
        <v>521</v>
      </c>
      <c r="H1" s="2" t="s">
        <v>526</v>
      </c>
      <c r="I1" s="2" t="s">
        <v>527</v>
      </c>
      <c r="J1" s="2" t="s">
        <v>528</v>
      </c>
      <c r="K1" s="2" t="s">
        <v>521</v>
      </c>
      <c r="L1" s="2" t="s">
        <v>529</v>
      </c>
      <c r="M1" s="2" t="s">
        <v>530</v>
      </c>
      <c r="N1" s="2" t="s">
        <v>531</v>
      </c>
      <c r="P1" s="2" t="s">
        <v>521</v>
      </c>
      <c r="Q1" s="2" t="s">
        <v>532</v>
      </c>
      <c r="R1" s="2" t="s">
        <v>533</v>
      </c>
      <c r="S1" s="2" t="s">
        <v>534</v>
      </c>
      <c r="T1" s="2" t="s">
        <v>535</v>
      </c>
      <c r="V1" s="2" t="s">
        <v>521</v>
      </c>
      <c r="W1" s="2" t="s">
        <v>536</v>
      </c>
      <c r="Y1" s="2" t="s">
        <v>521</v>
      </c>
      <c r="Z1" s="2" t="s">
        <v>522</v>
      </c>
      <c r="AA1" s="2" t="s">
        <v>537</v>
      </c>
      <c r="AB1" s="2" t="s">
        <v>538</v>
      </c>
    </row>
    <row r="2" spans="1:28">
      <c r="A2" s="9">
        <f>Model_Data!A2</f>
        <v>-60</v>
      </c>
      <c r="B2" s="9">
        <f>0</f>
        <v>0</v>
      </c>
      <c r="C2" s="9">
        <f>((SQRT((Inputs!$C$52+Inputs!$C$5)^2+Inputs!$C$52^2-2*(Inputs!$C$52+Inputs!$C$5)*Inputs!$C$52*COS(SQRT((Model_Data!A2)^2+Inputs!$C$6^2)/Inputs!$C$52))-Inputs!$C$5)*1000/Inputs!$C$12)</f>
        <v>3696.4320260658292</v>
      </c>
      <c r="D2" s="9">
        <f>Model_Data!F2</f>
        <v>3667.825190313778</v>
      </c>
      <c r="E2" s="9">
        <f>Model_Data!AC2</f>
        <v>3603.6304870608187</v>
      </c>
      <c r="F2" s="10"/>
      <c r="G2" s="9">
        <f>Model_Data!A2</f>
        <v>-60</v>
      </c>
      <c r="H2" s="9">
        <f>Model_Data!Y2</f>
        <v>119.42638570504096</v>
      </c>
      <c r="I2" s="9">
        <f>Model_Data!Y2</f>
        <v>119.42638570504096</v>
      </c>
      <c r="J2" s="9">
        <f>Model_Data!X2</f>
        <v>2.7642790376893132</v>
      </c>
      <c r="K2" s="9">
        <f>Model_Data!A2</f>
        <v>-60</v>
      </c>
      <c r="L2" s="9">
        <f>Model_Data!Y2</f>
        <v>119.42638570504096</v>
      </c>
      <c r="M2" s="9">
        <f>Model_Data!X2</f>
        <v>2.7642790376893132</v>
      </c>
      <c r="N2" s="9">
        <f>-(Model_Data!AC2-Model_Data!F2)*Inputs!$C$12</f>
        <v>114.26657179026745</v>
      </c>
      <c r="O2" s="10"/>
      <c r="P2" s="9">
        <f>Model_Data!A2</f>
        <v>-60</v>
      </c>
      <c r="Q2" s="9">
        <f>Model_Data!P2</f>
        <v>502.89823360690207</v>
      </c>
      <c r="R2" s="9">
        <f>Model_Data!AM2</f>
        <v>475.61823144969821</v>
      </c>
      <c r="S2" s="9">
        <f>Model_Data!Q2</f>
        <v>75.510245286321634</v>
      </c>
      <c r="T2" s="9">
        <f>Model_Data!AN2</f>
        <v>71.414148866321057</v>
      </c>
      <c r="U2" s="10"/>
      <c r="V2" s="9">
        <f>Model_Data!A2</f>
        <v>-60</v>
      </c>
      <c r="W2" s="9">
        <f>Model_Data!B2-Inputs!$C$5</f>
        <v>4</v>
      </c>
      <c r="X2" s="10"/>
      <c r="Y2" s="9">
        <f>Model_Data!A2</f>
        <v>-60</v>
      </c>
      <c r="Z2" s="9">
        <f>0</f>
        <v>0</v>
      </c>
      <c r="AA2" s="9">
        <f>((SQRT((Inputs!$C$52+Inputs!$C$5)^2+Inputs!$C$52^2-2*(Inputs!$C$52+Inputs!$C$5)*Inputs!$C$52*COS(SQRT((Model_Data!A2)^2+Inputs!$C$6^2)/Inputs!$C$52))-Inputs!$C$5)*1000/Inputs!$C$12)</f>
        <v>3696.4320260658292</v>
      </c>
      <c r="AB2" s="9">
        <f>Model_Data!F2</f>
        <v>3667.825190313778</v>
      </c>
    </row>
    <row r="3" spans="1:28">
      <c r="A3" s="9">
        <f>Model_Data!A3</f>
        <v>-59.5</v>
      </c>
      <c r="B3" s="9">
        <f>0</f>
        <v>0</v>
      </c>
      <c r="C3" s="9">
        <f>((SQRT((Inputs!$C$52+Inputs!$C$5)^2+Inputs!$C$52^2-2*(Inputs!$C$52+Inputs!$C$5)*Inputs!$C$52*COS(SQRT((Model_Data!A3)^2+Inputs!$C$6^2)/Inputs!$C$52))-Inputs!$C$5)*1000/Inputs!$C$12)</f>
        <v>3644.5815249950929</v>
      </c>
      <c r="D3" s="9">
        <f>Model_Data!F3</f>
        <v>3616.8326009242887</v>
      </c>
      <c r="E3" s="9">
        <f>Model_Data!AC3</f>
        <v>3566.9108407290969</v>
      </c>
      <c r="F3" s="10"/>
      <c r="G3" s="9">
        <f>Model_Data!A3</f>
        <v>-59.5</v>
      </c>
      <c r="H3" s="9">
        <f>Model_Data!Y3</f>
        <v>110.69606493723512</v>
      </c>
      <c r="I3" s="9">
        <f>Model_Data!Y3</f>
        <v>110.69606493723512</v>
      </c>
      <c r="J3" s="9">
        <f>Model_Data!X3</f>
        <v>19.645117006409471</v>
      </c>
      <c r="K3" s="9">
        <f>Model_Data!A3</f>
        <v>-59.5</v>
      </c>
      <c r="L3" s="9">
        <f>Model_Data!Y3</f>
        <v>110.69606493723512</v>
      </c>
      <c r="M3" s="9">
        <f>Model_Data!X3</f>
        <v>19.645117006409471</v>
      </c>
      <c r="N3" s="9">
        <f>-(Model_Data!AC3-Model_Data!F3)*Inputs!$C$12</f>
        <v>88.860733147441465</v>
      </c>
      <c r="O3" s="10"/>
      <c r="P3" s="9">
        <f>Model_Data!A3</f>
        <v>-59.5</v>
      </c>
      <c r="Q3" s="9">
        <f>Model_Data!P3</f>
        <v>500.86301291985365</v>
      </c>
      <c r="R3" s="9">
        <f>Model_Data!AM3</f>
        <v>490.87300120690998</v>
      </c>
      <c r="S3" s="9">
        <f>Model_Data!Q3</f>
        <v>75.204656594572626</v>
      </c>
      <c r="T3" s="9">
        <f>Model_Data!AN3</f>
        <v>73.704654835872375</v>
      </c>
      <c r="U3" s="10"/>
      <c r="V3" s="9">
        <f>Model_Data!A3</f>
        <v>-59.5</v>
      </c>
      <c r="W3" s="9">
        <f>Model_Data!B3-Inputs!$C$5</f>
        <v>3.9336111111111336</v>
      </c>
      <c r="X3" s="10"/>
      <c r="Y3" s="9">
        <f>Model_Data!A3</f>
        <v>-59.5</v>
      </c>
      <c r="Z3" s="9">
        <f>0</f>
        <v>0</v>
      </c>
      <c r="AA3" s="9">
        <f>((SQRT((Inputs!$C$52+Inputs!$C$5)^2+Inputs!$C$52^2-2*(Inputs!$C$52+Inputs!$C$5)*Inputs!$C$52*COS(SQRT((Model_Data!A3)^2+Inputs!$C$6^2)/Inputs!$C$52))-Inputs!$C$5)*1000/Inputs!$C$12)</f>
        <v>3644.5815249950929</v>
      </c>
      <c r="AB3" s="9">
        <f>Model_Data!F3</f>
        <v>3616.8326009242887</v>
      </c>
    </row>
    <row r="4" spans="1:28">
      <c r="A4" s="9">
        <f>Model_Data!A4</f>
        <v>-59</v>
      </c>
      <c r="B4" s="9">
        <f>0</f>
        <v>0</v>
      </c>
      <c r="C4" s="9">
        <f>((SQRT((Inputs!$C$52+Inputs!$C$5)^2+Inputs!$C$52^2-2*(Inputs!$C$52+Inputs!$C$5)*Inputs!$C$52*COS(SQRT((Model_Data!A4)^2+Inputs!$C$6^2)/Inputs!$C$52))-Inputs!$C$5)*1000/Inputs!$C$12)</f>
        <v>3593.153081902788</v>
      </c>
      <c r="D4" s="9">
        <f>Model_Data!F4</f>
        <v>3566.2425156774229</v>
      </c>
      <c r="E4" s="9">
        <f>Model_Data!AC4</f>
        <v>3508.4803554787663</v>
      </c>
      <c r="F4" s="10"/>
      <c r="G4" s="9">
        <f>Model_Data!A4</f>
        <v>-59</v>
      </c>
      <c r="H4" s="9">
        <f>Model_Data!Y4</f>
        <v>112.99219424849355</v>
      </c>
      <c r="I4" s="9">
        <f>Model_Data!Y4</f>
        <v>112.99219424849355</v>
      </c>
      <c r="J4" s="9">
        <f>Model_Data!X4</f>
        <v>7.9704483537677238</v>
      </c>
      <c r="K4" s="9">
        <f>Model_Data!A4</f>
        <v>-59</v>
      </c>
      <c r="L4" s="9">
        <f>Model_Data!Y4</f>
        <v>112.99219424849355</v>
      </c>
      <c r="M4" s="9">
        <f>Model_Data!X4</f>
        <v>7.9704483537677238</v>
      </c>
      <c r="N4" s="9">
        <f>-(Model_Data!AC4-Model_Data!F4)*Inputs!$C$12</f>
        <v>102.81664515360875</v>
      </c>
      <c r="O4" s="10"/>
      <c r="P4" s="9">
        <f>Model_Data!A4</f>
        <v>-59</v>
      </c>
      <c r="Q4" s="9">
        <f>Model_Data!P4</f>
        <v>496.79091042789878</v>
      </c>
      <c r="R4" s="9">
        <f>Model_Data!AM4</f>
        <v>534.06021494492961</v>
      </c>
      <c r="S4" s="9">
        <f>Model_Data!Q4</f>
        <v>74.593229793978807</v>
      </c>
      <c r="T4" s="9">
        <f>Model_Data!AN4</f>
        <v>80.189221463202657</v>
      </c>
      <c r="U4" s="10"/>
      <c r="V4" s="9">
        <f>Model_Data!A4</f>
        <v>-59</v>
      </c>
      <c r="W4" s="9">
        <f>Model_Data!B4-Inputs!$C$5</f>
        <v>3.8677777777778033</v>
      </c>
      <c r="X4" s="10"/>
      <c r="Y4" s="9">
        <f>Model_Data!A4</f>
        <v>-59</v>
      </c>
      <c r="Z4" s="9">
        <f>0</f>
        <v>0</v>
      </c>
      <c r="AA4" s="9">
        <f>((SQRT((Inputs!$C$52+Inputs!$C$5)^2+Inputs!$C$52^2-2*(Inputs!$C$52+Inputs!$C$5)*Inputs!$C$52*COS(SQRT((Model_Data!A4)^2+Inputs!$C$6^2)/Inputs!$C$52))-Inputs!$C$5)*1000/Inputs!$C$12)</f>
        <v>3593.153081902788</v>
      </c>
      <c r="AB4" s="9">
        <f>Model_Data!F4</f>
        <v>3566.2425156774229</v>
      </c>
    </row>
    <row r="5" spans="1:28">
      <c r="A5" s="9">
        <f>Model_Data!A5</f>
        <v>-58.5</v>
      </c>
      <c r="B5" s="9">
        <f>0</f>
        <v>0</v>
      </c>
      <c r="C5" s="9">
        <f>((SQRT((Inputs!$C$52+Inputs!$C$5)^2+Inputs!$C$52^2-2*(Inputs!$C$52+Inputs!$C$5)*Inputs!$C$52*COS(SQRT((Model_Data!A5)^2+Inputs!$C$6^2)/Inputs!$C$52))-Inputs!$C$5)*1000/Inputs!$C$12)</f>
        <v>3542.1469873423243</v>
      </c>
      <c r="D5" s="9">
        <f>Model_Data!F5</f>
        <v>3516.055517830855</v>
      </c>
      <c r="E5" s="9">
        <f>Model_Data!AC5</f>
        <v>3454.2286347351655</v>
      </c>
      <c r="F5" s="10"/>
      <c r="G5" s="9">
        <f>Model_Data!A5</f>
        <v>-58.5</v>
      </c>
      <c r="H5" s="9">
        <f>Model_Data!Y5</f>
        <v>134.38583105711319</v>
      </c>
      <c r="I5" s="9">
        <f>Model_Data!Y5</f>
        <v>134.38583105711319</v>
      </c>
      <c r="J5" s="9">
        <f>Model_Data!X5</f>
        <v>21.747313566648423</v>
      </c>
      <c r="K5" s="9">
        <f>Model_Data!A5</f>
        <v>-58.5</v>
      </c>
      <c r="L5" s="9">
        <f>Model_Data!Y5</f>
        <v>134.38583105711319</v>
      </c>
      <c r="M5" s="9">
        <f>Model_Data!X5</f>
        <v>21.747313566648423</v>
      </c>
      <c r="N5" s="9">
        <f>-(Model_Data!AC5-Model_Data!F5)*Inputs!$C$12</f>
        <v>110.05185191032727</v>
      </c>
      <c r="O5" s="10"/>
      <c r="P5" s="9">
        <f>Model_Data!A5</f>
        <v>-58.5</v>
      </c>
      <c r="Q5" s="9">
        <f>Model_Data!P5</f>
        <v>492.71549658133154</v>
      </c>
      <c r="R5" s="9">
        <f>Model_Data!AM5</f>
        <v>503.92094620310672</v>
      </c>
      <c r="S5" s="9">
        <f>Model_Data!Q5</f>
        <v>73.981305792992728</v>
      </c>
      <c r="T5" s="9">
        <f>Model_Data!AN5</f>
        <v>75.663805736202221</v>
      </c>
      <c r="U5" s="10"/>
      <c r="V5" s="9">
        <f>Model_Data!A5</f>
        <v>-58.5</v>
      </c>
      <c r="W5" s="9">
        <f>Model_Data!B5-Inputs!$C$5</f>
        <v>3.8025000000000091</v>
      </c>
      <c r="X5" s="10"/>
      <c r="Y5" s="9">
        <f>Model_Data!A5</f>
        <v>-58.5</v>
      </c>
      <c r="Z5" s="9">
        <f>0</f>
        <v>0</v>
      </c>
      <c r="AA5" s="9">
        <f>((SQRT((Inputs!$C$52+Inputs!$C$5)^2+Inputs!$C$52^2-2*(Inputs!$C$52+Inputs!$C$5)*Inputs!$C$52*COS(SQRT((Model_Data!A5)^2+Inputs!$C$6^2)/Inputs!$C$52))-Inputs!$C$5)*1000/Inputs!$C$12)</f>
        <v>3542.1469873423243</v>
      </c>
      <c r="AB5" s="9">
        <f>Model_Data!F5</f>
        <v>3516.055517830855</v>
      </c>
    </row>
    <row r="6" spans="1:28">
      <c r="A6" s="9">
        <f>Model_Data!A6</f>
        <v>-58</v>
      </c>
      <c r="B6" s="9">
        <f>0</f>
        <v>0</v>
      </c>
      <c r="C6" s="9">
        <f>((SQRT((Inputs!$C$52+Inputs!$C$5)^2+Inputs!$C$52^2-2*(Inputs!$C$52+Inputs!$C$5)*Inputs!$C$52*COS(SQRT((Model_Data!A6)^2+Inputs!$C$6^2)/Inputs!$C$52))-Inputs!$C$5)*1000/Inputs!$C$12)</f>
        <v>3491.5635297411068</v>
      </c>
      <c r="D6" s="9">
        <f>Model_Data!F6</f>
        <v>3466.2721868216477</v>
      </c>
      <c r="E6" s="9">
        <f>Model_Data!AC6</f>
        <v>3418.0005093093141</v>
      </c>
      <c r="F6" s="10"/>
      <c r="G6" s="9">
        <f>Model_Data!A6</f>
        <v>-58</v>
      </c>
      <c r="H6" s="9">
        <f>Model_Data!Y6</f>
        <v>120.06952906780961</v>
      </c>
      <c r="I6" s="9">
        <f>Model_Data!Y6</f>
        <v>120.06952906780961</v>
      </c>
      <c r="J6" s="9">
        <f>Model_Data!X6</f>
        <v>31.866913549015347</v>
      </c>
      <c r="K6" s="9">
        <f>Model_Data!A6</f>
        <v>-58</v>
      </c>
      <c r="L6" s="9">
        <f>Model_Data!Y6</f>
        <v>120.06952906780961</v>
      </c>
      <c r="M6" s="9">
        <f>Model_Data!X6</f>
        <v>31.866913549015347</v>
      </c>
      <c r="N6" s="9">
        <f>-(Model_Data!AC6-Model_Data!F6)*Inputs!$C$12</f>
        <v>85.923585971953727</v>
      </c>
      <c r="O6" s="10"/>
      <c r="P6" s="9">
        <f>Model_Data!A6</f>
        <v>-58</v>
      </c>
      <c r="Q6" s="9">
        <f>Model_Data!P6</f>
        <v>488.63679323794713</v>
      </c>
      <c r="R6" s="9">
        <f>Model_Data!AM6</f>
        <v>495.84077516028628</v>
      </c>
      <c r="S6" s="9">
        <f>Model_Data!Q6</f>
        <v>73.36888787356564</v>
      </c>
      <c r="T6" s="9">
        <f>Model_Data!AN6</f>
        <v>74.450566840883837</v>
      </c>
      <c r="U6" s="10"/>
      <c r="V6" s="9">
        <f>Model_Data!A6</f>
        <v>-58</v>
      </c>
      <c r="W6" s="9">
        <f>Model_Data!B6-Inputs!$C$5</f>
        <v>3.737777777777751</v>
      </c>
      <c r="X6" s="10"/>
      <c r="Y6" s="9">
        <f>Model_Data!A6</f>
        <v>-58</v>
      </c>
      <c r="Z6" s="9">
        <f>0</f>
        <v>0</v>
      </c>
      <c r="AA6" s="9">
        <f>((SQRT((Inputs!$C$52+Inputs!$C$5)^2+Inputs!$C$52^2-2*(Inputs!$C$52+Inputs!$C$5)*Inputs!$C$52*COS(SQRT((Model_Data!A6)^2+Inputs!$C$6^2)/Inputs!$C$52))-Inputs!$C$5)*1000/Inputs!$C$12)</f>
        <v>3491.5635297411068</v>
      </c>
      <c r="AB6" s="9">
        <f>Model_Data!F6</f>
        <v>3466.2721868216477</v>
      </c>
    </row>
    <row r="7" spans="1:28">
      <c r="A7" s="9">
        <f>Model_Data!A7</f>
        <v>-57.5</v>
      </c>
      <c r="B7" s="9">
        <f>0</f>
        <v>0</v>
      </c>
      <c r="C7" s="9">
        <f>((SQRT((Inputs!$C$52+Inputs!$C$5)^2+Inputs!$C$52^2-2*(Inputs!$C$52+Inputs!$C$5)*Inputs!$C$52*COS(SQRT((Model_Data!A7)^2+Inputs!$C$6^2)/Inputs!$C$52))-Inputs!$C$5)*1000/Inputs!$C$12)</f>
        <v>3441.4029953902796</v>
      </c>
      <c r="D7" s="9">
        <f>Model_Data!F7</f>
        <v>3416.8930982326565</v>
      </c>
      <c r="E7" s="9">
        <f>Model_Data!AC7</f>
        <v>3359.74966750766</v>
      </c>
      <c r="F7" s="10"/>
      <c r="G7" s="9">
        <f>Model_Data!A7</f>
        <v>-57.5</v>
      </c>
      <c r="H7" s="9">
        <f>Model_Data!Y7</f>
        <v>138.90151425445745</v>
      </c>
      <c r="I7" s="9">
        <f>Model_Data!Y7</f>
        <v>138.90151425445745</v>
      </c>
      <c r="J7" s="9">
        <f>Model_Data!X7</f>
        <v>34.586347487973264</v>
      </c>
      <c r="K7" s="9">
        <f>Model_Data!A7</f>
        <v>-57.5</v>
      </c>
      <c r="L7" s="9">
        <f>Model_Data!Y7</f>
        <v>138.90151425445745</v>
      </c>
      <c r="M7" s="9">
        <f>Model_Data!X7</f>
        <v>34.586347487973264</v>
      </c>
      <c r="N7" s="9">
        <f>-(Model_Data!AC7-Model_Data!F7)*Inputs!$C$12</f>
        <v>101.71530669049378</v>
      </c>
      <c r="O7" s="10"/>
      <c r="P7" s="9">
        <f>Model_Data!A7</f>
        <v>-57.5</v>
      </c>
      <c r="Q7" s="9">
        <f>Model_Data!P7</f>
        <v>484.55482240278798</v>
      </c>
      <c r="R7" s="9">
        <f>Model_Data!AM7</f>
        <v>511.9766582025477</v>
      </c>
      <c r="S7" s="9">
        <f>Model_Data!Q7</f>
        <v>72.755979339757957</v>
      </c>
      <c r="T7" s="9">
        <f>Model_Data!AN7</f>
        <v>76.873372102484652</v>
      </c>
      <c r="U7" s="10"/>
      <c r="V7" s="9">
        <f>Model_Data!A7</f>
        <v>-57.5</v>
      </c>
      <c r="W7" s="9">
        <f>Model_Data!B7-Inputs!$C$5</f>
        <v>3.6736111111110858</v>
      </c>
      <c r="X7" s="10"/>
      <c r="Y7" s="9">
        <f>Model_Data!A7</f>
        <v>-57.5</v>
      </c>
      <c r="Z7" s="9">
        <f>0</f>
        <v>0</v>
      </c>
      <c r="AA7" s="9">
        <f>((SQRT((Inputs!$C$52+Inputs!$C$5)^2+Inputs!$C$52^2-2*(Inputs!$C$52+Inputs!$C$5)*Inputs!$C$52*COS(SQRT((Model_Data!A7)^2+Inputs!$C$6^2)/Inputs!$C$52))-Inputs!$C$5)*1000/Inputs!$C$12)</f>
        <v>3441.4029953902796</v>
      </c>
      <c r="AB7" s="9">
        <f>Model_Data!F7</f>
        <v>3416.8930982326565</v>
      </c>
    </row>
    <row r="8" spans="1:28">
      <c r="A8" s="9">
        <f>Model_Data!A8</f>
        <v>-57</v>
      </c>
      <c r="B8" s="9">
        <f>0</f>
        <v>0</v>
      </c>
      <c r="C8" s="9">
        <f>((SQRT((Inputs!$C$52+Inputs!$C$5)^2+Inputs!$C$52^2-2*(Inputs!$C$52+Inputs!$C$5)*Inputs!$C$52*COS(SQRT((Model_Data!A8)^2+Inputs!$C$6^2)/Inputs!$C$52))-Inputs!$C$5)*1000/Inputs!$C$12)</f>
        <v>3391.6656684345407</v>
      </c>
      <c r="D8" s="9">
        <f>Model_Data!F8</f>
        <v>3367.9188237744538</v>
      </c>
      <c r="E8" s="9">
        <f>Model_Data!AC8</f>
        <v>3323.2624957644234</v>
      </c>
      <c r="F8" s="10"/>
      <c r="G8" s="9">
        <f>Model_Data!A8</f>
        <v>-57</v>
      </c>
      <c r="H8" s="9">
        <f>Model_Data!Y8</f>
        <v>137.46604725484156</v>
      </c>
      <c r="I8" s="9">
        <f>Model_Data!Y8</f>
        <v>137.46604725484156</v>
      </c>
      <c r="J8" s="9">
        <f>Model_Data!X8</f>
        <v>55.440883037993757</v>
      </c>
      <c r="K8" s="9">
        <f>Model_Data!A8</f>
        <v>-57</v>
      </c>
      <c r="L8" s="9">
        <f>Model_Data!Y8</f>
        <v>137.46604725484156</v>
      </c>
      <c r="M8" s="9">
        <f>Model_Data!X8</f>
        <v>55.440883037993757</v>
      </c>
      <c r="N8" s="9">
        <f>-(Model_Data!AC8-Model_Data!F8)*Inputs!$C$12</f>
        <v>79.488263857854093</v>
      </c>
      <c r="O8" s="10"/>
      <c r="P8" s="9">
        <f>Model_Data!A8</f>
        <v>-57</v>
      </c>
      <c r="Q8" s="9">
        <f>Model_Data!P8</f>
        <v>480.46960621077233</v>
      </c>
      <c r="R8" s="9">
        <f>Model_Data!AM8</f>
        <v>484.59834303475873</v>
      </c>
      <c r="S8" s="9">
        <f>Model_Data!Q8</f>
        <v>72.14258351513098</v>
      </c>
      <c r="T8" s="9">
        <f>Model_Data!AN8</f>
        <v>72.762513969183004</v>
      </c>
      <c r="U8" s="10"/>
      <c r="V8" s="9">
        <f>Model_Data!A8</f>
        <v>-57</v>
      </c>
      <c r="W8" s="9">
        <f>Model_Data!B8-Inputs!$C$5</f>
        <v>3.6100000000000136</v>
      </c>
      <c r="X8" s="10"/>
      <c r="Y8" s="9">
        <f>Model_Data!A8</f>
        <v>-57</v>
      </c>
      <c r="Z8" s="9">
        <f>0</f>
        <v>0</v>
      </c>
      <c r="AA8" s="9">
        <f>((SQRT((Inputs!$C$52+Inputs!$C$5)^2+Inputs!$C$52^2-2*(Inputs!$C$52+Inputs!$C$5)*Inputs!$C$52*COS(SQRT((Model_Data!A8)^2+Inputs!$C$6^2)/Inputs!$C$52))-Inputs!$C$5)*1000/Inputs!$C$12)</f>
        <v>3391.6656684345407</v>
      </c>
      <c r="AB8" s="9">
        <f>Model_Data!F8</f>
        <v>3367.9188237744538</v>
      </c>
    </row>
    <row r="9" spans="1:28">
      <c r="A9" s="9">
        <f>Model_Data!A9</f>
        <v>-56.5</v>
      </c>
      <c r="B9" s="9">
        <f>0</f>
        <v>0</v>
      </c>
      <c r="C9" s="9">
        <f>((SQRT((Inputs!$C$52+Inputs!$C$5)^2+Inputs!$C$52^2-2*(Inputs!$C$52+Inputs!$C$5)*Inputs!$C$52*COS(SQRT((Model_Data!A9)^2+Inputs!$C$6^2)/Inputs!$C$52))-Inputs!$C$5)*1000/Inputs!$C$12)</f>
        <v>3342.3518308690136</v>
      </c>
      <c r="D9" s="9">
        <f>Model_Data!F9</f>
        <v>3319.3499312578997</v>
      </c>
      <c r="E9" s="9">
        <f>Model_Data!AC9</f>
        <v>3273.5316911373689</v>
      </c>
      <c r="F9" s="10"/>
      <c r="G9" s="9">
        <f>Model_Data!A9</f>
        <v>-56.5</v>
      </c>
      <c r="H9" s="9">
        <f>Model_Data!Y9</f>
        <v>141.45582449409375</v>
      </c>
      <c r="I9" s="9">
        <f>Model_Data!Y9</f>
        <v>141.45582449409375</v>
      </c>
      <c r="J9" s="9">
        <f>Model_Data!X9</f>
        <v>57.325647278919931</v>
      </c>
      <c r="K9" s="9">
        <f>Model_Data!A9</f>
        <v>-56.5</v>
      </c>
      <c r="L9" s="9">
        <f>Model_Data!Y9</f>
        <v>141.45582449409375</v>
      </c>
      <c r="M9" s="9">
        <f>Model_Data!X9</f>
        <v>57.325647278919931</v>
      </c>
      <c r="N9" s="9">
        <f>-(Model_Data!AC9-Model_Data!F9)*Inputs!$C$12</f>
        <v>81.556467414544912</v>
      </c>
      <c r="O9" s="10"/>
      <c r="P9" s="9">
        <f>Model_Data!A9</f>
        <v>-56.5</v>
      </c>
      <c r="Q9" s="9">
        <f>Model_Data!P9</f>
        <v>476.38116695534336</v>
      </c>
      <c r="R9" s="9">
        <f>Model_Data!AM9</f>
        <v>523.08281493560571</v>
      </c>
      <c r="S9" s="9">
        <f>Model_Data!Q9</f>
        <v>71.528703747048553</v>
      </c>
      <c r="T9" s="9">
        <f>Model_Data!AN9</f>
        <v>78.540963203544408</v>
      </c>
      <c r="U9" s="10"/>
      <c r="V9" s="9">
        <f>Model_Data!A9</f>
        <v>-56.5</v>
      </c>
      <c r="W9" s="9">
        <f>Model_Data!B9-Inputs!$C$5</f>
        <v>3.5469444444444207</v>
      </c>
      <c r="X9" s="10"/>
      <c r="Y9" s="9">
        <f>Model_Data!A9</f>
        <v>-56.5</v>
      </c>
      <c r="Z9" s="9">
        <f>0</f>
        <v>0</v>
      </c>
      <c r="AA9" s="9">
        <f>((SQRT((Inputs!$C$52+Inputs!$C$5)^2+Inputs!$C$52^2-2*(Inputs!$C$52+Inputs!$C$5)*Inputs!$C$52*COS(SQRT((Model_Data!A9)^2+Inputs!$C$6^2)/Inputs!$C$52))-Inputs!$C$5)*1000/Inputs!$C$12)</f>
        <v>3342.3518308690136</v>
      </c>
      <c r="AB9" s="9">
        <f>Model_Data!F9</f>
        <v>3319.3499312578997</v>
      </c>
    </row>
    <row r="10" spans="1:28">
      <c r="A10" s="9">
        <f>Model_Data!A10</f>
        <v>-56</v>
      </c>
      <c r="B10" s="9">
        <f>0</f>
        <v>0</v>
      </c>
      <c r="C10" s="9">
        <f>((SQRT((Inputs!$C$52+Inputs!$C$5)^2+Inputs!$C$52^2-2*(Inputs!$C$52+Inputs!$C$5)*Inputs!$C$52*COS(SQRT((Model_Data!A10)^2+Inputs!$C$6^2)/Inputs!$C$52))-Inputs!$C$5)*1000/Inputs!$C$12)</f>
        <v>3293.4617625296032</v>
      </c>
      <c r="D10" s="9">
        <f>Model_Data!F10</f>
        <v>3271.1869845657479</v>
      </c>
      <c r="E10" s="9">
        <f>Model_Data!AC10</f>
        <v>3213.5700696603967</v>
      </c>
      <c r="F10" s="10"/>
      <c r="G10" s="9">
        <f>Model_Data!A10</f>
        <v>-56</v>
      </c>
      <c r="H10" s="9">
        <f>Model_Data!Y10</f>
        <v>167.11523893481203</v>
      </c>
      <c r="I10" s="9">
        <f>Model_Data!Y10</f>
        <v>167.11523893481203</v>
      </c>
      <c r="J10" s="9">
        <f>Model_Data!X10</f>
        <v>61.559568351968792</v>
      </c>
      <c r="K10" s="9">
        <f>Model_Data!A10</f>
        <v>-56</v>
      </c>
      <c r="L10" s="9">
        <f>Model_Data!Y10</f>
        <v>167.11523893481203</v>
      </c>
      <c r="M10" s="9">
        <f>Model_Data!X10</f>
        <v>61.559568351968792</v>
      </c>
      <c r="N10" s="9">
        <f>-(Model_Data!AC10-Model_Data!F10)*Inputs!$C$12</f>
        <v>102.55810853152518</v>
      </c>
      <c r="O10" s="10"/>
      <c r="P10" s="9">
        <f>Model_Data!A10</f>
        <v>-56</v>
      </c>
      <c r="Q10" s="9">
        <f>Model_Data!P10</f>
        <v>472.28952705690972</v>
      </c>
      <c r="R10" s="9">
        <f>Model_Data!AM10</f>
        <v>502.46266903932337</v>
      </c>
      <c r="S10" s="9">
        <f>Model_Data!Q10</f>
        <v>70.914343401938396</v>
      </c>
      <c r="T10" s="9">
        <f>Model_Data!AN10</f>
        <v>75.444845201099611</v>
      </c>
      <c r="U10" s="10"/>
      <c r="V10" s="9">
        <f>Model_Data!A10</f>
        <v>-56</v>
      </c>
      <c r="W10" s="9">
        <f>Model_Data!B10-Inputs!$C$5</f>
        <v>3.4844444444444207</v>
      </c>
      <c r="X10" s="10"/>
      <c r="Y10" s="9">
        <f>Model_Data!A10</f>
        <v>-56</v>
      </c>
      <c r="Z10" s="9">
        <f>0</f>
        <v>0</v>
      </c>
      <c r="AA10" s="9">
        <f>((SQRT((Inputs!$C$52+Inputs!$C$5)^2+Inputs!$C$52^2-2*(Inputs!$C$52+Inputs!$C$5)*Inputs!$C$52*COS(SQRT((Model_Data!A10)^2+Inputs!$C$6^2)/Inputs!$C$52))-Inputs!$C$5)*1000/Inputs!$C$12)</f>
        <v>3293.4617625296032</v>
      </c>
      <c r="AB10" s="9">
        <f>Model_Data!F10</f>
        <v>3271.1869845657479</v>
      </c>
    </row>
    <row r="11" spans="1:28">
      <c r="A11" s="9">
        <f>Model_Data!A11</f>
        <v>-55.5</v>
      </c>
      <c r="B11" s="9">
        <f>0</f>
        <v>0</v>
      </c>
      <c r="C11" s="9">
        <f>((SQRT((Inputs!$C$52+Inputs!$C$5)^2+Inputs!$C$52^2-2*(Inputs!$C$52+Inputs!$C$5)*Inputs!$C$52*COS(SQRT((Model_Data!A11)^2+Inputs!$C$6^2)/Inputs!$C$52))-Inputs!$C$5)*1000/Inputs!$C$12)</f>
        <v>3244.9957410837319</v>
      </c>
      <c r="D11" s="9">
        <f>Model_Data!F11</f>
        <v>3223.4305436364602</v>
      </c>
      <c r="E11" s="9">
        <f>Model_Data!AC11</f>
        <v>3156.4396749474286</v>
      </c>
      <c r="F11" s="10"/>
      <c r="G11" s="9">
        <f>Model_Data!A11</f>
        <v>-55.5</v>
      </c>
      <c r="H11" s="9">
        <f>Model_Data!Y11</f>
        <v>160.57943103446084</v>
      </c>
      <c r="I11" s="9">
        <f>Model_Data!Y11</f>
        <v>160.57943103446084</v>
      </c>
      <c r="J11" s="9">
        <f>Model_Data!X11</f>
        <v>38.496582165951239</v>
      </c>
      <c r="K11" s="9">
        <f>Model_Data!A11</f>
        <v>-55.5</v>
      </c>
      <c r="L11" s="9">
        <f>Model_Data!Y11</f>
        <v>160.57943103446084</v>
      </c>
      <c r="M11" s="9">
        <f>Model_Data!X11</f>
        <v>38.496582165951239</v>
      </c>
      <c r="N11" s="9">
        <f>-(Model_Data!AC11-Model_Data!F11)*Inputs!$C$12</f>
        <v>119.24374626647641</v>
      </c>
      <c r="O11" s="10"/>
      <c r="P11" s="9">
        <f>Model_Data!A11</f>
        <v>-55.5</v>
      </c>
      <c r="Q11" s="9">
        <f>Model_Data!P11</f>
        <v>468.1947090801259</v>
      </c>
      <c r="R11" s="9">
        <f>Model_Data!AM11</f>
        <v>482.47165665998182</v>
      </c>
      <c r="S11" s="9">
        <f>Model_Data!Q11</f>
        <v>70.299505867886779</v>
      </c>
      <c r="T11" s="9">
        <f>Model_Data!AN11</f>
        <v>72.443191690687968</v>
      </c>
      <c r="U11" s="10"/>
      <c r="V11" s="9">
        <f>Model_Data!A11</f>
        <v>-55.5</v>
      </c>
      <c r="W11" s="9">
        <f>Model_Data!B11-Inputs!$C$5</f>
        <v>3.4225000000000136</v>
      </c>
      <c r="X11" s="10"/>
      <c r="Y11" s="9">
        <f>Model_Data!A11</f>
        <v>-55.5</v>
      </c>
      <c r="Z11" s="9">
        <f>0</f>
        <v>0</v>
      </c>
      <c r="AA11" s="9">
        <f>((SQRT((Inputs!$C$52+Inputs!$C$5)^2+Inputs!$C$52^2-2*(Inputs!$C$52+Inputs!$C$5)*Inputs!$C$52*COS(SQRT((Model_Data!A11)^2+Inputs!$C$6^2)/Inputs!$C$52))-Inputs!$C$5)*1000/Inputs!$C$12)</f>
        <v>3244.9957410837319</v>
      </c>
      <c r="AB11" s="9">
        <f>Model_Data!F11</f>
        <v>3223.4305436364602</v>
      </c>
    </row>
    <row r="12" spans="1:28">
      <c r="A12" s="9">
        <f>Model_Data!A12</f>
        <v>-55</v>
      </c>
      <c r="B12" s="9">
        <f>0</f>
        <v>0</v>
      </c>
      <c r="C12" s="9">
        <f>((SQRT((Inputs!$C$52+Inputs!$C$5)^2+Inputs!$C$52^2-2*(Inputs!$C$52+Inputs!$C$5)*Inputs!$C$52*COS(SQRT((Model_Data!A12)^2+Inputs!$C$6^2)/Inputs!$C$52))-Inputs!$C$5)*1000/Inputs!$C$12)</f>
        <v>3196.954042025839</v>
      </c>
      <c r="D12" s="9">
        <f>Model_Data!F12</f>
        <v>3176.081164429937</v>
      </c>
      <c r="E12" s="9">
        <f>Model_Data!AC12</f>
        <v>3104.9975615146741</v>
      </c>
      <c r="F12" s="10"/>
      <c r="G12" s="9">
        <f>Model_Data!A12</f>
        <v>-55</v>
      </c>
      <c r="H12" s="9">
        <f>Model_Data!Y12</f>
        <v>176.10976359434375</v>
      </c>
      <c r="I12" s="9">
        <f>Model_Data!Y12</f>
        <v>176.10976359434375</v>
      </c>
      <c r="J12" s="9">
        <f>Model_Data!X12</f>
        <v>46.511955931760568</v>
      </c>
      <c r="K12" s="9">
        <f>Model_Data!A12</f>
        <v>-55</v>
      </c>
      <c r="L12" s="9">
        <f>Model_Data!Y12</f>
        <v>176.10976359434375</v>
      </c>
      <c r="M12" s="9">
        <f>Model_Data!X12</f>
        <v>46.511955931760568</v>
      </c>
      <c r="N12" s="9">
        <f>-(Model_Data!AC12-Model_Data!F12)*Inputs!$C$12</f>
        <v>126.52881318916792</v>
      </c>
      <c r="O12" s="10"/>
      <c r="P12" s="9">
        <f>Model_Data!A12</f>
        <v>-55</v>
      </c>
      <c r="Q12" s="9">
        <f>Model_Data!P12</f>
        <v>464.09673573907639</v>
      </c>
      <c r="R12" s="9">
        <f>Model_Data!AM12</f>
        <v>517.4251021308919</v>
      </c>
      <c r="S12" s="9">
        <f>Model_Data!Q12</f>
        <v>69.68419455541688</v>
      </c>
      <c r="T12" s="9">
        <f>Model_Data!AN12</f>
        <v>77.691456776410206</v>
      </c>
      <c r="U12" s="10"/>
      <c r="V12" s="9">
        <f>Model_Data!A12</f>
        <v>-55</v>
      </c>
      <c r="W12" s="9">
        <f>Model_Data!B12-Inputs!$C$5</f>
        <v>3.3611111111110858</v>
      </c>
      <c r="X12" s="10"/>
      <c r="Y12" s="9">
        <f>Model_Data!A12</f>
        <v>-55</v>
      </c>
      <c r="Z12" s="9">
        <f>0</f>
        <v>0</v>
      </c>
      <c r="AA12" s="9">
        <f>((SQRT((Inputs!$C$52+Inputs!$C$5)^2+Inputs!$C$52^2-2*(Inputs!$C$52+Inputs!$C$5)*Inputs!$C$52*COS(SQRT((Model_Data!A12)^2+Inputs!$C$6^2)/Inputs!$C$52))-Inputs!$C$5)*1000/Inputs!$C$12)</f>
        <v>3196.954042025839</v>
      </c>
      <c r="AB12" s="9">
        <f>Model_Data!F12</f>
        <v>3176.081164429937</v>
      </c>
    </row>
    <row r="13" spans="1:28">
      <c r="A13" s="9">
        <f>Model_Data!A13</f>
        <v>-54.5</v>
      </c>
      <c r="B13" s="9">
        <f>0</f>
        <v>0</v>
      </c>
      <c r="C13" s="9">
        <f>((SQRT((Inputs!$C$52+Inputs!$C$5)^2+Inputs!$C$52^2-2*(Inputs!$C$52+Inputs!$C$5)*Inputs!$C$52*COS(SQRT((Model_Data!A13)^2+Inputs!$C$6^2)/Inputs!$C$52))-Inputs!$C$5)*1000/Inputs!$C$12)</f>
        <v>3149.3369386695581</v>
      </c>
      <c r="D13" s="9">
        <f>Model_Data!F13</f>
        <v>3129.139398909123</v>
      </c>
      <c r="E13" s="9">
        <f>Model_Data!AC13</f>
        <v>3049.759700025837</v>
      </c>
      <c r="F13" s="10"/>
      <c r="G13" s="9">
        <f>Model_Data!A13</f>
        <v>-54.5</v>
      </c>
      <c r="H13" s="9">
        <f>Model_Data!Y13</f>
        <v>194.40953580826846</v>
      </c>
      <c r="I13" s="9">
        <f>Model_Data!Y13</f>
        <v>194.40953580826846</v>
      </c>
      <c r="J13" s="9">
        <f>Model_Data!X13</f>
        <v>49.774693415091853</v>
      </c>
      <c r="K13" s="9">
        <f>Model_Data!A13</f>
        <v>-54.5</v>
      </c>
      <c r="L13" s="9">
        <f>Model_Data!Y13</f>
        <v>194.40953580826846</v>
      </c>
      <c r="M13" s="9">
        <f>Model_Data!X13</f>
        <v>49.774693415091853</v>
      </c>
      <c r="N13" s="9">
        <f>-(Model_Data!AC13-Model_Data!F13)*Inputs!$C$12</f>
        <v>141.29586401224904</v>
      </c>
      <c r="O13" s="10"/>
      <c r="P13" s="9">
        <f>Model_Data!A13</f>
        <v>-54.5</v>
      </c>
      <c r="Q13" s="9">
        <f>Model_Data!P13</f>
        <v>459.99562987453828</v>
      </c>
      <c r="R13" s="9">
        <f>Model_Data!AM13</f>
        <v>492.04615879461926</v>
      </c>
      <c r="S13" s="9">
        <f>Model_Data!Q13</f>
        <v>69.068412894074825</v>
      </c>
      <c r="T13" s="9">
        <f>Model_Data!AN13</f>
        <v>73.880804623816715</v>
      </c>
      <c r="U13" s="10"/>
      <c r="V13" s="9">
        <f>Model_Data!A13</f>
        <v>-54.5</v>
      </c>
      <c r="W13" s="9">
        <f>Model_Data!B13-Inputs!$C$5</f>
        <v>3.300277777777751</v>
      </c>
      <c r="X13" s="10"/>
      <c r="Y13" s="9">
        <f>Model_Data!A13</f>
        <v>-54.5</v>
      </c>
      <c r="Z13" s="9">
        <f>0</f>
        <v>0</v>
      </c>
      <c r="AA13" s="9">
        <f>((SQRT((Inputs!$C$52+Inputs!$C$5)^2+Inputs!$C$52^2-2*(Inputs!$C$52+Inputs!$C$5)*Inputs!$C$52*COS(SQRT((Model_Data!A13)^2+Inputs!$C$6^2)/Inputs!$C$52))-Inputs!$C$5)*1000/Inputs!$C$12)</f>
        <v>3149.3369386695581</v>
      </c>
      <c r="AB13" s="9">
        <f>Model_Data!F13</f>
        <v>3129.139398909123</v>
      </c>
    </row>
    <row r="14" spans="1:28">
      <c r="A14" s="9">
        <f>Model_Data!A14</f>
        <v>-54</v>
      </c>
      <c r="B14" s="9">
        <f>0</f>
        <v>0</v>
      </c>
      <c r="C14" s="9">
        <f>((SQRT((Inputs!$C$52+Inputs!$C$5)^2+Inputs!$C$52^2-2*(Inputs!$C$52+Inputs!$C$5)*Inputs!$C$52*COS(SQRT((Model_Data!A14)^2+Inputs!$C$6^2)/Inputs!$C$52))-Inputs!$C$5)*1000/Inputs!$C$12)</f>
        <v>3102.1447021381323</v>
      </c>
      <c r="D14" s="9">
        <f>Model_Data!F14</f>
        <v>3082.6057950139202</v>
      </c>
      <c r="E14" s="9">
        <f>Model_Data!AC14</f>
        <v>2995.4391289303594</v>
      </c>
      <c r="F14" s="10"/>
      <c r="G14" s="9">
        <f>Model_Data!A14</f>
        <v>-54</v>
      </c>
      <c r="H14" s="9">
        <f>Model_Data!Y14</f>
        <v>196.39629745562698</v>
      </c>
      <c r="I14" s="9">
        <f>Model_Data!Y14</f>
        <v>196.39629745562698</v>
      </c>
      <c r="J14" s="9">
        <f>Model_Data!X14</f>
        <v>37.915684067232107</v>
      </c>
      <c r="K14" s="9">
        <f>Model_Data!A14</f>
        <v>-54</v>
      </c>
      <c r="L14" s="9">
        <f>Model_Data!Y14</f>
        <v>196.39629745562698</v>
      </c>
      <c r="M14" s="9">
        <f>Model_Data!X14</f>
        <v>37.915684067232107</v>
      </c>
      <c r="N14" s="9">
        <f>-(Model_Data!AC14-Model_Data!F14)*Inputs!$C$12</f>
        <v>155.15666562873824</v>
      </c>
      <c r="O14" s="10"/>
      <c r="P14" s="9">
        <f>Model_Data!A14</f>
        <v>-54</v>
      </c>
      <c r="Q14" s="9">
        <f>Model_Data!P14</f>
        <v>455.89141447326256</v>
      </c>
      <c r="R14" s="9">
        <f>Model_Data!AM14</f>
        <v>488.51245490695874</v>
      </c>
      <c r="S14" s="9">
        <f>Model_Data!Q14</f>
        <v>68.45216433532471</v>
      </c>
      <c r="T14" s="9">
        <f>Model_Data!AN14</f>
        <v>73.350218454498318</v>
      </c>
      <c r="U14" s="10"/>
      <c r="V14" s="9">
        <f>Model_Data!A14</f>
        <v>-54</v>
      </c>
      <c r="W14" s="9">
        <f>Model_Data!B14-Inputs!$C$5</f>
        <v>3.2400000000000091</v>
      </c>
      <c r="X14" s="10"/>
      <c r="Y14" s="9">
        <f>Model_Data!A14</f>
        <v>-54</v>
      </c>
      <c r="Z14" s="9">
        <f>0</f>
        <v>0</v>
      </c>
      <c r="AA14" s="9">
        <f>((SQRT((Inputs!$C$52+Inputs!$C$5)^2+Inputs!$C$52^2-2*(Inputs!$C$52+Inputs!$C$5)*Inputs!$C$52*COS(SQRT((Model_Data!A14)^2+Inputs!$C$6^2)/Inputs!$C$52))-Inputs!$C$5)*1000/Inputs!$C$12)</f>
        <v>3102.1447021381323</v>
      </c>
      <c r="AB14" s="9">
        <f>Model_Data!F14</f>
        <v>3082.6057950139202</v>
      </c>
    </row>
    <row r="15" spans="1:28">
      <c r="A15" s="9">
        <f>Model_Data!A15</f>
        <v>-53.5</v>
      </c>
      <c r="B15" s="9">
        <f>0</f>
        <v>0</v>
      </c>
      <c r="C15" s="9">
        <f>((SQRT((Inputs!$C$52+Inputs!$C$5)^2+Inputs!$C$52^2-2*(Inputs!$C$52+Inputs!$C$5)*Inputs!$C$52*COS(SQRT((Model_Data!A15)^2+Inputs!$C$6^2)/Inputs!$C$52))-Inputs!$C$5)*1000/Inputs!$C$12)</f>
        <v>3055.3776013572988</v>
      </c>
      <c r="D15" s="9">
        <f>Model_Data!F15</f>
        <v>3036.4808966361788</v>
      </c>
      <c r="E15" s="9">
        <f>Model_Data!AC15</f>
        <v>2945.3836969930521</v>
      </c>
      <c r="F15" s="10"/>
      <c r="G15" s="9">
        <f>Model_Data!A15</f>
        <v>-53.5</v>
      </c>
      <c r="H15" s="9">
        <f>Model_Data!Y15</f>
        <v>215.04504497494062</v>
      </c>
      <c r="I15" s="9">
        <f>Model_Data!Y15</f>
        <v>215.04504497494062</v>
      </c>
      <c r="J15" s="9">
        <f>Model_Data!X15</f>
        <v>49.305692333608725</v>
      </c>
      <c r="K15" s="9">
        <f>Model_Data!A15</f>
        <v>-53.5</v>
      </c>
      <c r="L15" s="9">
        <f>Model_Data!Y15</f>
        <v>215.04504497494062</v>
      </c>
      <c r="M15" s="9">
        <f>Model_Data!X15</f>
        <v>49.305692333608725</v>
      </c>
      <c r="N15" s="9">
        <f>-(Model_Data!AC15-Model_Data!F15)*Inputs!$C$12</f>
        <v>162.15301536476557</v>
      </c>
      <c r="O15" s="10"/>
      <c r="P15" s="9">
        <f>Model_Data!A15</f>
        <v>-53.5</v>
      </c>
      <c r="Q15" s="9">
        <f>Model_Data!P15</f>
        <v>451.78411265633258</v>
      </c>
      <c r="R15" s="9">
        <f>Model_Data!AM15</f>
        <v>489.52310187305557</v>
      </c>
      <c r="S15" s="9">
        <f>Model_Data!Q15</f>
        <v>67.835452350800693</v>
      </c>
      <c r="T15" s="9">
        <f>Model_Data!AN15</f>
        <v>73.501967248206554</v>
      </c>
      <c r="U15" s="10"/>
      <c r="V15" s="9">
        <f>Model_Data!A15</f>
        <v>-53.5</v>
      </c>
      <c r="W15" s="9">
        <f>Model_Data!B15-Inputs!$C$5</f>
        <v>3.1802777777778033</v>
      </c>
      <c r="X15" s="10"/>
      <c r="Y15" s="9">
        <f>Model_Data!A15</f>
        <v>-53.5</v>
      </c>
      <c r="Z15" s="9">
        <f>0</f>
        <v>0</v>
      </c>
      <c r="AA15" s="9">
        <f>((SQRT((Inputs!$C$52+Inputs!$C$5)^2+Inputs!$C$52^2-2*(Inputs!$C$52+Inputs!$C$5)*Inputs!$C$52*COS(SQRT((Model_Data!A15)^2+Inputs!$C$6^2)/Inputs!$C$52))-Inputs!$C$5)*1000/Inputs!$C$12)</f>
        <v>3055.3776013572988</v>
      </c>
      <c r="AB15" s="9">
        <f>Model_Data!F15</f>
        <v>3036.4808966361788</v>
      </c>
    </row>
    <row r="16" spans="1:28">
      <c r="A16" s="9">
        <f>Model_Data!A16</f>
        <v>-53</v>
      </c>
      <c r="B16" s="9">
        <f>0</f>
        <v>0</v>
      </c>
      <c r="C16" s="9">
        <f>((SQRT((Inputs!$C$52+Inputs!$C$5)^2+Inputs!$C$52^2-2*(Inputs!$C$52+Inputs!$C$5)*Inputs!$C$52*COS(SQRT((Model_Data!A16)^2+Inputs!$C$6^2)/Inputs!$C$52))-Inputs!$C$5)*1000/Inputs!$C$12)</f>
        <v>3009.035903051642</v>
      </c>
      <c r="D16" s="9">
        <f>Model_Data!F16</f>
        <v>2990.7652435974414</v>
      </c>
      <c r="E16" s="9">
        <f>Model_Data!AC16</f>
        <v>2899.9240125451092</v>
      </c>
      <c r="F16" s="10"/>
      <c r="G16" s="9">
        <f>Model_Data!A16</f>
        <v>-53</v>
      </c>
      <c r="H16" s="9">
        <f>Model_Data!Y16</f>
        <v>220.27863667842527</v>
      </c>
      <c r="I16" s="9">
        <f>Model_Data!Y16</f>
        <v>220.27863667842527</v>
      </c>
      <c r="J16" s="9">
        <f>Model_Data!X16</f>
        <v>54.961826683264675</v>
      </c>
      <c r="K16" s="9">
        <f>Model_Data!A16</f>
        <v>-53</v>
      </c>
      <c r="L16" s="9">
        <f>Model_Data!Y16</f>
        <v>220.27863667842527</v>
      </c>
      <c r="M16" s="9">
        <f>Model_Data!X16</f>
        <v>54.961826683264675</v>
      </c>
      <c r="N16" s="9">
        <f>-(Model_Data!AC16-Model_Data!F16)*Inputs!$C$12</f>
        <v>161.69739127315134</v>
      </c>
      <c r="O16" s="10"/>
      <c r="P16" s="9">
        <f>Model_Data!A16</f>
        <v>-53</v>
      </c>
      <c r="Q16" s="9">
        <f>Model_Data!P16</f>
        <v>447.67374769307935</v>
      </c>
      <c r="R16" s="9">
        <f>Model_Data!AM16</f>
        <v>468.99927804070103</v>
      </c>
      <c r="S16" s="9">
        <f>Model_Data!Q16</f>
        <v>67.218280434396306</v>
      </c>
      <c r="T16" s="9">
        <f>Model_Data!AN16</f>
        <v>70.420312018123283</v>
      </c>
      <c r="U16" s="10"/>
      <c r="V16" s="9">
        <f>Model_Data!A16</f>
        <v>-53</v>
      </c>
      <c r="W16" s="9">
        <f>Model_Data!B16-Inputs!$C$5</f>
        <v>3.1211111111111336</v>
      </c>
      <c r="X16" s="10"/>
      <c r="Y16" s="9">
        <f>Model_Data!A16</f>
        <v>-53</v>
      </c>
      <c r="Z16" s="9">
        <f>0</f>
        <v>0</v>
      </c>
      <c r="AA16" s="9">
        <f>((SQRT((Inputs!$C$52+Inputs!$C$5)^2+Inputs!$C$52^2-2*(Inputs!$C$52+Inputs!$C$5)*Inputs!$C$52*COS(SQRT((Model_Data!A16)^2+Inputs!$C$6^2)/Inputs!$C$52))-Inputs!$C$5)*1000/Inputs!$C$12)</f>
        <v>3009.035903051642</v>
      </c>
      <c r="AB16" s="9">
        <f>Model_Data!F16</f>
        <v>2990.7652435974414</v>
      </c>
    </row>
    <row r="17" spans="1:28">
      <c r="A17" s="9">
        <f>Model_Data!A17</f>
        <v>-52.5</v>
      </c>
      <c r="B17" s="9">
        <f>0</f>
        <v>0</v>
      </c>
      <c r="C17" s="9">
        <f>((SQRT((Inputs!$C$52+Inputs!$C$5)^2+Inputs!$C$52^2-2*(Inputs!$C$52+Inputs!$C$5)*Inputs!$C$52*COS(SQRT((Model_Data!A17)^2+Inputs!$C$6^2)/Inputs!$C$52))-Inputs!$C$5)*1000/Inputs!$C$12)</f>
        <v>2963.1198717330712</v>
      </c>
      <c r="D17" s="9">
        <f>Model_Data!F17</f>
        <v>2945.4593716191162</v>
      </c>
      <c r="E17" s="9">
        <f>Model_Data!AC17</f>
        <v>2842.7213801928137</v>
      </c>
      <c r="F17" s="10"/>
      <c r="G17" s="9">
        <f>Model_Data!A17</f>
        <v>-52.5</v>
      </c>
      <c r="H17" s="9">
        <f>Model_Data!Y17</f>
        <v>228.48571186718385</v>
      </c>
      <c r="I17" s="9">
        <f>Model_Data!Y17</f>
        <v>228.48571186718385</v>
      </c>
      <c r="J17" s="9">
        <f>Model_Data!X17</f>
        <v>41.913539426844665</v>
      </c>
      <c r="K17" s="9">
        <f>Model_Data!A17</f>
        <v>-52.5</v>
      </c>
      <c r="L17" s="9">
        <f>Model_Data!Y17</f>
        <v>228.48571186718385</v>
      </c>
      <c r="M17" s="9">
        <f>Model_Data!X17</f>
        <v>41.913539426844665</v>
      </c>
      <c r="N17" s="9">
        <f>-(Model_Data!AC17-Model_Data!F17)*Inputs!$C$12</f>
        <v>182.87362473881831</v>
      </c>
      <c r="O17" s="10"/>
      <c r="P17" s="9">
        <f>Model_Data!A17</f>
        <v>-52.5</v>
      </c>
      <c r="Q17" s="9">
        <f>Model_Data!P17</f>
        <v>443.56034297125007</v>
      </c>
      <c r="R17" s="9">
        <f>Model_Data!AM17</f>
        <v>476.74103321733128</v>
      </c>
      <c r="S17" s="9">
        <f>Model_Data!Q17</f>
        <v>66.6006520977853</v>
      </c>
      <c r="T17" s="9">
        <f>Model_Data!AN17</f>
        <v>71.582737720320011</v>
      </c>
      <c r="U17" s="10"/>
      <c r="V17" s="9">
        <f>Model_Data!A17</f>
        <v>-52.5</v>
      </c>
      <c r="W17" s="9">
        <f>Model_Data!B17-Inputs!$C$5</f>
        <v>3.0625</v>
      </c>
      <c r="X17" s="10"/>
      <c r="Y17" s="9">
        <f>Model_Data!A17</f>
        <v>-52.5</v>
      </c>
      <c r="Z17" s="9">
        <f>0</f>
        <v>0</v>
      </c>
      <c r="AA17" s="9">
        <f>((SQRT((Inputs!$C$52+Inputs!$C$5)^2+Inputs!$C$52^2-2*(Inputs!$C$52+Inputs!$C$5)*Inputs!$C$52*COS(SQRT((Model_Data!A17)^2+Inputs!$C$6^2)/Inputs!$C$52))-Inputs!$C$5)*1000/Inputs!$C$12)</f>
        <v>2963.1198717330712</v>
      </c>
      <c r="AB17" s="9">
        <f>Model_Data!F17</f>
        <v>2945.4593716191162</v>
      </c>
    </row>
    <row r="18" spans="1:28">
      <c r="A18" s="9">
        <f>Model_Data!A18</f>
        <v>-52</v>
      </c>
      <c r="B18" s="9">
        <f>0</f>
        <v>0</v>
      </c>
      <c r="C18" s="9">
        <f>((SQRT((Inputs!$C$52+Inputs!$C$5)^2+Inputs!$C$52^2-2*(Inputs!$C$52+Inputs!$C$5)*Inputs!$C$52*COS(SQRT((Model_Data!A18)^2+Inputs!$C$6^2)/Inputs!$C$52))-Inputs!$C$5)*1000/Inputs!$C$12)</f>
        <v>2917.6297696966649</v>
      </c>
      <c r="D18" s="9">
        <f>Model_Data!F18</f>
        <v>2900.5638123107237</v>
      </c>
      <c r="E18" s="9">
        <f>Model_Data!AC18</f>
        <v>2791.9189216850345</v>
      </c>
      <c r="F18" s="10"/>
      <c r="G18" s="9">
        <f>Model_Data!A18</f>
        <v>-52</v>
      </c>
      <c r="H18" s="9">
        <f>Model_Data!Y18</f>
        <v>241.24392327938918</v>
      </c>
      <c r="I18" s="9">
        <f>Model_Data!Y18</f>
        <v>241.24392327938918</v>
      </c>
      <c r="J18" s="9">
        <f>Model_Data!X18</f>
        <v>44.009244046504797</v>
      </c>
      <c r="K18" s="9">
        <f>Model_Data!A18</f>
        <v>-52</v>
      </c>
      <c r="L18" s="9">
        <f>Model_Data!Y18</f>
        <v>241.24392327938918</v>
      </c>
      <c r="M18" s="9">
        <f>Model_Data!X18</f>
        <v>44.009244046504797</v>
      </c>
      <c r="N18" s="9">
        <f>-(Model_Data!AC18-Model_Data!F18)*Inputs!$C$12</f>
        <v>193.38790531372675</v>
      </c>
      <c r="O18" s="10"/>
      <c r="P18" s="9">
        <f>Model_Data!A18</f>
        <v>-52</v>
      </c>
      <c r="Q18" s="9">
        <f>Model_Data!P18</f>
        <v>439.44392201619848</v>
      </c>
      <c r="R18" s="9">
        <f>Model_Data!AM18</f>
        <v>491.44939474927014</v>
      </c>
      <c r="S18" s="9">
        <f>Model_Data!Q18</f>
        <v>65.982570873303075</v>
      </c>
      <c r="T18" s="9">
        <f>Model_Data!AN18</f>
        <v>73.791200412803335</v>
      </c>
      <c r="U18" s="10"/>
      <c r="V18" s="9">
        <f>Model_Data!A18</f>
        <v>-52</v>
      </c>
      <c r="W18" s="9">
        <f>Model_Data!B18-Inputs!$C$5</f>
        <v>3.0044444444444594</v>
      </c>
      <c r="X18" s="10"/>
      <c r="Y18" s="9">
        <f>Model_Data!A18</f>
        <v>-52</v>
      </c>
      <c r="Z18" s="9">
        <f>0</f>
        <v>0</v>
      </c>
      <c r="AA18" s="9">
        <f>((SQRT((Inputs!$C$52+Inputs!$C$5)^2+Inputs!$C$52^2-2*(Inputs!$C$52+Inputs!$C$5)*Inputs!$C$52*COS(SQRT((Model_Data!A18)^2+Inputs!$C$6^2)/Inputs!$C$52))-Inputs!$C$5)*1000/Inputs!$C$12)</f>
        <v>2917.6297696966649</v>
      </c>
      <c r="AB18" s="9">
        <f>Model_Data!F18</f>
        <v>2900.5638123107237</v>
      </c>
    </row>
    <row r="19" spans="1:28">
      <c r="A19" s="9">
        <f>Model_Data!A19</f>
        <v>-51.5</v>
      </c>
      <c r="B19" s="9">
        <f>0</f>
        <v>0</v>
      </c>
      <c r="C19" s="9">
        <f>((SQRT((Inputs!$C$52+Inputs!$C$5)^2+Inputs!$C$52^2-2*(Inputs!$C$52+Inputs!$C$5)*Inputs!$C$52*COS(SQRT((Model_Data!A19)^2+Inputs!$C$6^2)/Inputs!$C$52))-Inputs!$C$5)*1000/Inputs!$C$12)</f>
        <v>2872.5658570103246</v>
      </c>
      <c r="D19" s="9">
        <f>Model_Data!F19</f>
        <v>2856.0790931333977</v>
      </c>
      <c r="E19" s="9">
        <f>Model_Data!AC19</f>
        <v>2729.7875395712008</v>
      </c>
      <c r="F19" s="10"/>
      <c r="G19" s="9">
        <f>Model_Data!A19</f>
        <v>-51.5</v>
      </c>
      <c r="H19" s="9">
        <f>Model_Data!Y19</f>
        <v>261.3961473371179</v>
      </c>
      <c r="I19" s="9">
        <f>Model_Data!Y19</f>
        <v>261.3961473371179</v>
      </c>
      <c r="J19" s="9">
        <f>Model_Data!X19</f>
        <v>32.491619283106324</v>
      </c>
      <c r="K19" s="9">
        <f>Model_Data!A19</f>
        <v>-51.5</v>
      </c>
      <c r="L19" s="9">
        <f>Model_Data!Y19</f>
        <v>261.3961473371179</v>
      </c>
      <c r="M19" s="9">
        <f>Model_Data!X19</f>
        <v>32.491619283106324</v>
      </c>
      <c r="N19" s="9">
        <f>-(Model_Data!AC19-Model_Data!F19)*Inputs!$C$12</f>
        <v>224.79896534071048</v>
      </c>
      <c r="O19" s="10"/>
      <c r="P19" s="9">
        <f>Model_Data!A19</f>
        <v>-51.5</v>
      </c>
      <c r="Q19" s="9">
        <f>Model_Data!P19</f>
        <v>435.32450851025715</v>
      </c>
      <c r="R19" s="9">
        <f>Model_Data!AM19</f>
        <v>452.40092921339965</v>
      </c>
      <c r="S19" s="9">
        <f>Model_Data!Q19</f>
        <v>65.364040316855437</v>
      </c>
      <c r="T19" s="9">
        <f>Model_Data!AN19</f>
        <v>67.928067449459419</v>
      </c>
      <c r="U19" s="10"/>
      <c r="V19" s="9">
        <f>Model_Data!A19</f>
        <v>-51.5</v>
      </c>
      <c r="W19" s="9">
        <f>Model_Data!B19-Inputs!$C$5</f>
        <v>2.9469444444444548</v>
      </c>
      <c r="X19" s="10"/>
      <c r="Y19" s="9">
        <f>Model_Data!A19</f>
        <v>-51.5</v>
      </c>
      <c r="Z19" s="9">
        <f>0</f>
        <v>0</v>
      </c>
      <c r="AA19" s="9">
        <f>((SQRT((Inputs!$C$52+Inputs!$C$5)^2+Inputs!$C$52^2-2*(Inputs!$C$52+Inputs!$C$5)*Inputs!$C$52*COS(SQRT((Model_Data!A19)^2+Inputs!$C$6^2)/Inputs!$C$52))-Inputs!$C$5)*1000/Inputs!$C$12)</f>
        <v>2872.5658570103246</v>
      </c>
      <c r="AB19" s="9">
        <f>Model_Data!F19</f>
        <v>2856.0790931333977</v>
      </c>
    </row>
    <row r="20" spans="1:28">
      <c r="A20" s="9">
        <f>Model_Data!A20</f>
        <v>-51</v>
      </c>
      <c r="B20" s="9">
        <f>0</f>
        <v>0</v>
      </c>
      <c r="C20" s="9">
        <f>((SQRT((Inputs!$C$52+Inputs!$C$5)^2+Inputs!$C$52^2-2*(Inputs!$C$52+Inputs!$C$5)*Inputs!$C$52*COS(SQRT((Model_Data!A20)^2+Inputs!$C$6^2)/Inputs!$C$52))-Inputs!$C$5)*1000/Inputs!$C$12)</f>
        <v>2827.9283915103379</v>
      </c>
      <c r="D20" s="9">
        <f>Model_Data!F20</f>
        <v>2812.0057373812642</v>
      </c>
      <c r="E20" s="9">
        <f>Model_Data!AC20</f>
        <v>2694.6118633852329</v>
      </c>
      <c r="F20" s="10"/>
      <c r="G20" s="9">
        <f>Model_Data!A20</f>
        <v>-51</v>
      </c>
      <c r="H20" s="9">
        <f>Model_Data!Y20</f>
        <v>251.96732827517536</v>
      </c>
      <c r="I20" s="9">
        <f>Model_Data!Y20</f>
        <v>251.96732827517536</v>
      </c>
      <c r="J20" s="9">
        <f>Model_Data!X20</f>
        <v>39.108816586772562</v>
      </c>
      <c r="K20" s="9">
        <f>Model_Data!A20</f>
        <v>-51</v>
      </c>
      <c r="L20" s="9">
        <f>Model_Data!Y20</f>
        <v>251.96732827517536</v>
      </c>
      <c r="M20" s="9">
        <f>Model_Data!X20</f>
        <v>39.108816586772562</v>
      </c>
      <c r="N20" s="9">
        <f>-(Model_Data!AC20-Model_Data!F20)*Inputs!$C$12</f>
        <v>208.9610957129357</v>
      </c>
      <c r="O20" s="10"/>
      <c r="P20" s="9">
        <f>Model_Data!A20</f>
        <v>-51</v>
      </c>
      <c r="Q20" s="9">
        <f>Model_Data!P20</f>
        <v>431.2021262460803</v>
      </c>
      <c r="R20" s="9">
        <f>Model_Data!AM20</f>
        <v>413.01562584385465</v>
      </c>
      <c r="S20" s="9">
        <f>Model_Data!Q20</f>
        <v>64.745064000912961</v>
      </c>
      <c r="T20" s="9">
        <f>Model_Data!AN20</f>
        <v>62.014358234813017</v>
      </c>
      <c r="U20" s="10"/>
      <c r="V20" s="9">
        <f>Model_Data!A20</f>
        <v>-51</v>
      </c>
      <c r="W20" s="9">
        <f>Model_Data!B20-Inputs!$C$5</f>
        <v>2.8899999999999864</v>
      </c>
      <c r="X20" s="10"/>
      <c r="Y20" s="9">
        <f>Model_Data!A20</f>
        <v>-51</v>
      </c>
      <c r="Z20" s="9">
        <f>0</f>
        <v>0</v>
      </c>
      <c r="AA20" s="9">
        <f>((SQRT((Inputs!$C$52+Inputs!$C$5)^2+Inputs!$C$52^2-2*(Inputs!$C$52+Inputs!$C$5)*Inputs!$C$52*COS(SQRT((Model_Data!A20)^2+Inputs!$C$6^2)/Inputs!$C$52))-Inputs!$C$5)*1000/Inputs!$C$12)</f>
        <v>2827.9283915103379</v>
      </c>
      <c r="AB20" s="9">
        <f>Model_Data!F20</f>
        <v>2812.0057373812642</v>
      </c>
    </row>
    <row r="21" spans="1:28">
      <c r="A21" s="9">
        <f>Model_Data!A21</f>
        <v>-50.5</v>
      </c>
      <c r="B21" s="9">
        <f>0</f>
        <v>0</v>
      </c>
      <c r="C21" s="9">
        <f>((SQRT((Inputs!$C$52+Inputs!$C$5)^2+Inputs!$C$52^2-2*(Inputs!$C$52+Inputs!$C$5)*Inputs!$C$52*COS(SQRT((Model_Data!A21)^2+Inputs!$C$6^2)/Inputs!$C$52))-Inputs!$C$5)*1000/Inputs!$C$12)</f>
        <v>2783.7176287943189</v>
      </c>
      <c r="D21" s="9">
        <f>Model_Data!F21</f>
        <v>2768.3442641612314</v>
      </c>
      <c r="E21" s="9">
        <f>Model_Data!AC21</f>
        <v>2657.1486517060534</v>
      </c>
      <c r="F21" s="10"/>
      <c r="G21" s="9">
        <f>Model_Data!A21</f>
        <v>-50.5</v>
      </c>
      <c r="H21" s="9">
        <f>Model_Data!Y21</f>
        <v>249.72786812719846</v>
      </c>
      <c r="I21" s="9">
        <f>Model_Data!Y21</f>
        <v>249.72786812719846</v>
      </c>
      <c r="J21" s="9">
        <f>Model_Data!X21</f>
        <v>47.995831702209429</v>
      </c>
      <c r="K21" s="9">
        <f>Model_Data!A21</f>
        <v>-50.5</v>
      </c>
      <c r="L21" s="9">
        <f>Model_Data!Y21</f>
        <v>249.72786812719846</v>
      </c>
      <c r="M21" s="9">
        <f>Model_Data!X21</f>
        <v>47.995831702209429</v>
      </c>
      <c r="N21" s="9">
        <f>-(Model_Data!AC21-Model_Data!F21)*Inputs!$C$12</f>
        <v>197.92819017021679</v>
      </c>
      <c r="O21" s="10"/>
      <c r="P21" s="9">
        <f>Model_Data!A21</f>
        <v>-50.5</v>
      </c>
      <c r="Q21" s="9">
        <f>Model_Data!P21</f>
        <v>427.07679916102279</v>
      </c>
      <c r="R21" s="9">
        <f>Model_Data!AM21</f>
        <v>461.54026138738118</v>
      </c>
      <c r="S21" s="9">
        <f>Model_Data!Q21</f>
        <v>64.1256455196731</v>
      </c>
      <c r="T21" s="9">
        <f>Model_Data!AN21</f>
        <v>69.300339547654843</v>
      </c>
      <c r="U21" s="10"/>
      <c r="V21" s="9">
        <f>Model_Data!A21</f>
        <v>-50.5</v>
      </c>
      <c r="W21" s="9">
        <f>Model_Data!B21-Inputs!$C$5</f>
        <v>2.8336111111111109</v>
      </c>
      <c r="X21" s="10"/>
      <c r="Y21" s="9">
        <f>Model_Data!A21</f>
        <v>-50.5</v>
      </c>
      <c r="Z21" s="9">
        <f>0</f>
        <v>0</v>
      </c>
      <c r="AA21" s="9">
        <f>((SQRT((Inputs!$C$52+Inputs!$C$5)^2+Inputs!$C$52^2-2*(Inputs!$C$52+Inputs!$C$5)*Inputs!$C$52*COS(SQRT((Model_Data!A21)^2+Inputs!$C$6^2)/Inputs!$C$52))-Inputs!$C$5)*1000/Inputs!$C$12)</f>
        <v>2783.7176287943189</v>
      </c>
      <c r="AB21" s="9">
        <f>Model_Data!F21</f>
        <v>2768.3442641612314</v>
      </c>
    </row>
    <row r="22" spans="1:28">
      <c r="A22" s="9">
        <f>Model_Data!A22</f>
        <v>-50</v>
      </c>
      <c r="B22" s="9">
        <f>0</f>
        <v>0</v>
      </c>
      <c r="C22" s="9">
        <f>((SQRT((Inputs!$C$52+Inputs!$C$5)^2+Inputs!$C$52^2-2*(Inputs!$C$52+Inputs!$C$5)*Inputs!$C$52*COS(SQRT((Model_Data!A22)^2+Inputs!$C$6^2)/Inputs!$C$52))-Inputs!$C$5)*1000/Inputs!$C$12)</f>
        <v>2739.9338222122688</v>
      </c>
      <c r="D22" s="9">
        <f>Model_Data!F22</f>
        <v>2725.0951883624866</v>
      </c>
      <c r="E22" s="9">
        <f>Model_Data!AC22</f>
        <v>2589.9406060440901</v>
      </c>
      <c r="F22" s="10"/>
      <c r="G22" s="9">
        <f>Model_Data!A22</f>
        <v>-50</v>
      </c>
      <c r="H22" s="9">
        <f>Model_Data!Y22</f>
        <v>273.71504099052385</v>
      </c>
      <c r="I22" s="9">
        <f>Model_Data!Y22</f>
        <v>273.71504099052385</v>
      </c>
      <c r="J22" s="9">
        <f>Model_Data!X22</f>
        <v>29.034419664389077</v>
      </c>
      <c r="K22" s="9">
        <f>Model_Data!A22</f>
        <v>-50</v>
      </c>
      <c r="L22" s="9">
        <f>Model_Data!Y22</f>
        <v>273.71504099052385</v>
      </c>
      <c r="M22" s="9">
        <f>Model_Data!X22</f>
        <v>29.034419664389077</v>
      </c>
      <c r="N22" s="9">
        <f>-(Model_Data!AC22-Model_Data!F22)*Inputs!$C$12</f>
        <v>240.57515652674573</v>
      </c>
      <c r="O22" s="10"/>
      <c r="P22" s="9">
        <f>Model_Data!A22</f>
        <v>-50</v>
      </c>
      <c r="Q22" s="9">
        <f>Model_Data!P22</f>
        <v>422.94855132149678</v>
      </c>
      <c r="R22" s="9">
        <f>Model_Data!AM22</f>
        <v>437.62067462193954</v>
      </c>
      <c r="S22" s="9">
        <f>Model_Data!Q22</f>
        <v>63.505788486711232</v>
      </c>
      <c r="T22" s="9">
        <f>Model_Data!AN22</f>
        <v>65.708810003294232</v>
      </c>
      <c r="U22" s="10"/>
      <c r="V22" s="9">
        <f>Model_Data!A22</f>
        <v>-50</v>
      </c>
      <c r="W22" s="9">
        <f>Model_Data!B22-Inputs!$C$5</f>
        <v>2.7777777777777715</v>
      </c>
      <c r="X22" s="10"/>
      <c r="Y22" s="9">
        <f>Model_Data!A22</f>
        <v>-50</v>
      </c>
      <c r="Z22" s="9">
        <f>0</f>
        <v>0</v>
      </c>
      <c r="AA22" s="9">
        <f>((SQRT((Inputs!$C$52+Inputs!$C$5)^2+Inputs!$C$52^2-2*(Inputs!$C$52+Inputs!$C$5)*Inputs!$C$52*COS(SQRT((Model_Data!A22)^2+Inputs!$C$6^2)/Inputs!$C$52))-Inputs!$C$5)*1000/Inputs!$C$12)</f>
        <v>2739.9338222122688</v>
      </c>
      <c r="AB22" s="9">
        <f>Model_Data!F22</f>
        <v>2725.0951883624866</v>
      </c>
    </row>
    <row r="23" spans="1:28">
      <c r="A23" s="9">
        <f>Model_Data!A23</f>
        <v>-49.5</v>
      </c>
      <c r="B23" s="9">
        <f>0</f>
        <v>0</v>
      </c>
      <c r="C23" s="9">
        <f>((SQRT((Inputs!$C$52+Inputs!$C$5)^2+Inputs!$C$52^2-2*(Inputs!$C$52+Inputs!$C$5)*Inputs!$C$52*COS(SQRT((Model_Data!A23)^2+Inputs!$C$6^2)/Inputs!$C$52))-Inputs!$C$5)*1000/Inputs!$C$12)</f>
        <v>2696.577222862134</v>
      </c>
      <c r="D23" s="9">
        <f>Model_Data!F23</f>
        <v>2682.2590206416526</v>
      </c>
      <c r="E23" s="9">
        <f>Model_Data!AC23</f>
        <v>2568.1076264580238</v>
      </c>
      <c r="F23" s="10"/>
      <c r="G23" s="9">
        <f>Model_Data!A23</f>
        <v>-49.5</v>
      </c>
      <c r="H23" s="9">
        <f>Model_Data!Y23</f>
        <v>258.91748425640003</v>
      </c>
      <c r="I23" s="9">
        <f>Model_Data!Y23</f>
        <v>258.91748425640003</v>
      </c>
      <c r="J23" s="9">
        <f>Model_Data!X23</f>
        <v>51.904617288379008</v>
      </c>
      <c r="K23" s="9">
        <f>Model_Data!A23</f>
        <v>-49.5</v>
      </c>
      <c r="L23" s="9">
        <f>Model_Data!Y23</f>
        <v>258.91748425640003</v>
      </c>
      <c r="M23" s="9">
        <f>Model_Data!X23</f>
        <v>51.904617288379008</v>
      </c>
      <c r="N23" s="9">
        <f>-(Model_Data!AC23-Model_Data!F23)*Inputs!$C$12</f>
        <v>203.18948164685924</v>
      </c>
      <c r="O23" s="10"/>
      <c r="P23" s="9">
        <f>Model_Data!A23</f>
        <v>-49.5</v>
      </c>
      <c r="Q23" s="9">
        <f>Model_Data!P23</f>
        <v>418.81740692178937</v>
      </c>
      <c r="R23" s="9">
        <f>Model_Data!AM23</f>
        <v>411.25840737959152</v>
      </c>
      <c r="S23" s="9">
        <f>Model_Data!Q23</f>
        <v>62.885496534803217</v>
      </c>
      <c r="T23" s="9">
        <f>Model_Data!AN23</f>
        <v>61.75051161855729</v>
      </c>
      <c r="U23" s="10"/>
      <c r="V23" s="9">
        <f>Model_Data!A23</f>
        <v>-49.5</v>
      </c>
      <c r="W23" s="9">
        <f>Model_Data!B23-Inputs!$C$5</f>
        <v>2.722500000000025</v>
      </c>
      <c r="X23" s="10"/>
      <c r="Y23" s="9">
        <f>Model_Data!A23</f>
        <v>-49.5</v>
      </c>
      <c r="Z23" s="9">
        <f>0</f>
        <v>0</v>
      </c>
      <c r="AA23" s="9">
        <f>((SQRT((Inputs!$C$52+Inputs!$C$5)^2+Inputs!$C$52^2-2*(Inputs!$C$52+Inputs!$C$5)*Inputs!$C$52*COS(SQRT((Model_Data!A23)^2+Inputs!$C$6^2)/Inputs!$C$52))-Inputs!$C$5)*1000/Inputs!$C$12)</f>
        <v>2696.577222862134</v>
      </c>
      <c r="AB23" s="9">
        <f>Model_Data!F23</f>
        <v>2682.2590206416526</v>
      </c>
    </row>
    <row r="24" spans="1:28">
      <c r="A24" s="9">
        <f>Model_Data!A24</f>
        <v>-49</v>
      </c>
      <c r="B24" s="9">
        <f>0</f>
        <v>0</v>
      </c>
      <c r="C24" s="9">
        <f>((SQRT((Inputs!$C$52+Inputs!$C$5)^2+Inputs!$C$52^2-2*(Inputs!$C$52+Inputs!$C$5)*Inputs!$C$52*COS(SQRT((Model_Data!A24)^2+Inputs!$C$6^2)/Inputs!$C$52))-Inputs!$C$5)*1000/Inputs!$C$12)</f>
        <v>2653.6480795811526</v>
      </c>
      <c r="D24" s="9">
        <f>Model_Data!F24</f>
        <v>2639.8362673927654</v>
      </c>
      <c r="E24" s="9">
        <f>Model_Data!AC24</f>
        <v>2513.295706475305</v>
      </c>
      <c r="F24" s="10"/>
      <c r="G24" s="9">
        <f>Model_Data!A24</f>
        <v>-49</v>
      </c>
      <c r="H24" s="9">
        <f>Model_Data!Y24</f>
        <v>268.79279662092654</v>
      </c>
      <c r="I24" s="9">
        <f>Model_Data!Y24</f>
        <v>268.79279662092654</v>
      </c>
      <c r="J24" s="9">
        <f>Model_Data!X24</f>
        <v>39.643003044215533</v>
      </c>
      <c r="K24" s="9">
        <f>Model_Data!A24</f>
        <v>-49</v>
      </c>
      <c r="L24" s="9">
        <f>Model_Data!Y24</f>
        <v>268.79279662092654</v>
      </c>
      <c r="M24" s="9">
        <f>Model_Data!X24</f>
        <v>39.643003044215533</v>
      </c>
      <c r="N24" s="9">
        <f>-(Model_Data!AC24-Model_Data!F24)*Inputs!$C$12</f>
        <v>225.24219843307955</v>
      </c>
      <c r="O24" s="10"/>
      <c r="P24" s="9">
        <f>Model_Data!A24</f>
        <v>-49</v>
      </c>
      <c r="Q24" s="9">
        <f>Model_Data!P24</f>
        <v>414.68339030034258</v>
      </c>
      <c r="R24" s="9">
        <f>Model_Data!AM24</f>
        <v>425.2262899123707</v>
      </c>
      <c r="S24" s="9">
        <f>Model_Data!Q24</f>
        <v>62.264773318369762</v>
      </c>
      <c r="T24" s="9">
        <f>Model_Data!AN24</f>
        <v>63.847791278133748</v>
      </c>
      <c r="U24" s="10"/>
      <c r="V24" s="9">
        <f>Model_Data!A24</f>
        <v>-49</v>
      </c>
      <c r="W24" s="9">
        <f>Model_Data!B24-Inputs!$C$5</f>
        <v>2.6677777777777578</v>
      </c>
      <c r="X24" s="10"/>
      <c r="Y24" s="9">
        <f>Model_Data!A24</f>
        <v>-49</v>
      </c>
      <c r="Z24" s="9">
        <f>0</f>
        <v>0</v>
      </c>
      <c r="AA24" s="9">
        <f>((SQRT((Inputs!$C$52+Inputs!$C$5)^2+Inputs!$C$52^2-2*(Inputs!$C$52+Inputs!$C$5)*Inputs!$C$52*COS(SQRT((Model_Data!A24)^2+Inputs!$C$6^2)/Inputs!$C$52))-Inputs!$C$5)*1000/Inputs!$C$12)</f>
        <v>2653.6480795811526</v>
      </c>
      <c r="AB24" s="9">
        <f>Model_Data!F24</f>
        <v>2639.8362673927654</v>
      </c>
    </row>
    <row r="25" spans="1:28">
      <c r="A25" s="9">
        <f>Model_Data!A25</f>
        <v>-48.5</v>
      </c>
      <c r="B25" s="9">
        <f>0</f>
        <v>0</v>
      </c>
      <c r="C25" s="9">
        <f>((SQRT((Inputs!$C$52+Inputs!$C$5)^2+Inputs!$C$52^2-2*(Inputs!$C$52+Inputs!$C$5)*Inputs!$C$52*COS(SQRT((Model_Data!A25)^2+Inputs!$C$6^2)/Inputs!$C$52))-Inputs!$C$5)*1000/Inputs!$C$12)</f>
        <v>2611.1466389368852</v>
      </c>
      <c r="D25" s="9">
        <f>Model_Data!F25</f>
        <v>2597.8274307266115</v>
      </c>
      <c r="E25" s="9">
        <f>Model_Data!AC25</f>
        <v>2473.4712222965845</v>
      </c>
      <c r="F25" s="10"/>
      <c r="G25" s="9">
        <f>Model_Data!A25</f>
        <v>-48.5</v>
      </c>
      <c r="H25" s="9">
        <f>Model_Data!Y25</f>
        <v>265.4824606971452</v>
      </c>
      <c r="I25" s="9">
        <f>Model_Data!Y25</f>
        <v>265.4824606971452</v>
      </c>
      <c r="J25" s="9">
        <f>Model_Data!X25</f>
        <v>40.329360187280464</v>
      </c>
      <c r="K25" s="9">
        <f>Model_Data!A25</f>
        <v>-48.5</v>
      </c>
      <c r="L25" s="9">
        <f>Model_Data!Y25</f>
        <v>265.4824606971452</v>
      </c>
      <c r="M25" s="9">
        <f>Model_Data!X25</f>
        <v>40.329360187280464</v>
      </c>
      <c r="N25" s="9">
        <f>-(Model_Data!AC25-Model_Data!F25)*Inputs!$C$12</f>
        <v>221.35405100544804</v>
      </c>
      <c r="O25" s="10"/>
      <c r="P25" s="9">
        <f>Model_Data!A25</f>
        <v>-48.5</v>
      </c>
      <c r="Q25" s="9">
        <f>Model_Data!P25</f>
        <v>410.54652591110425</v>
      </c>
      <c r="R25" s="9">
        <f>Model_Data!AM25</f>
        <v>386.8337905608314</v>
      </c>
      <c r="S25" s="9">
        <f>Model_Data!Q25</f>
        <v>61.643622509174818</v>
      </c>
      <c r="T25" s="9">
        <f>Model_Data!AN25</f>
        <v>58.083151735860575</v>
      </c>
      <c r="U25" s="10"/>
      <c r="V25" s="9">
        <f>Model_Data!A25</f>
        <v>-48.5</v>
      </c>
      <c r="W25" s="9">
        <f>Model_Data!B25-Inputs!$C$5</f>
        <v>2.6136111111110836</v>
      </c>
      <c r="X25" s="10"/>
      <c r="Y25" s="9">
        <f>Model_Data!A25</f>
        <v>-48.5</v>
      </c>
      <c r="Z25" s="9">
        <f>0</f>
        <v>0</v>
      </c>
      <c r="AA25" s="9">
        <f>((SQRT((Inputs!$C$52+Inputs!$C$5)^2+Inputs!$C$52^2-2*(Inputs!$C$52+Inputs!$C$5)*Inputs!$C$52*COS(SQRT((Model_Data!A25)^2+Inputs!$C$6^2)/Inputs!$C$52))-Inputs!$C$5)*1000/Inputs!$C$12)</f>
        <v>2611.1466389368852</v>
      </c>
      <c r="AB25" s="9">
        <f>Model_Data!F25</f>
        <v>2597.8274307266115</v>
      </c>
    </row>
    <row r="26" spans="1:28">
      <c r="A26" s="9">
        <f>Model_Data!A26</f>
        <v>-48</v>
      </c>
      <c r="B26" s="9">
        <f>0</f>
        <v>0</v>
      </c>
      <c r="C26" s="9">
        <f>((SQRT((Inputs!$C$52+Inputs!$C$5)^2+Inputs!$C$52^2-2*(Inputs!$C$52+Inputs!$C$5)*Inputs!$C$52*COS(SQRT((Model_Data!A26)^2+Inputs!$C$6^2)/Inputs!$C$52))-Inputs!$C$5)*1000/Inputs!$C$12)</f>
        <v>2569.0731452277819</v>
      </c>
      <c r="D26" s="9">
        <f>Model_Data!F26</f>
        <v>2556.2330084508071</v>
      </c>
      <c r="E26" s="9">
        <f>Model_Data!AC26</f>
        <v>2447.0264422273603</v>
      </c>
      <c r="F26" s="10"/>
      <c r="G26" s="9">
        <f>Model_Data!A26</f>
        <v>-48</v>
      </c>
      <c r="H26" s="9">
        <f>Model_Data!Y26</f>
        <v>253.63702275276361</v>
      </c>
      <c r="I26" s="9">
        <f>Model_Data!Y26</f>
        <v>253.63702275276361</v>
      </c>
      <c r="J26" s="9">
        <f>Model_Data!X26</f>
        <v>55.677054005633387</v>
      </c>
      <c r="K26" s="9">
        <f>Model_Data!A26</f>
        <v>-48</v>
      </c>
      <c r="L26" s="9">
        <f>Model_Data!Y26</f>
        <v>253.63702275276361</v>
      </c>
      <c r="M26" s="9">
        <f>Model_Data!X26</f>
        <v>55.677054005633387</v>
      </c>
      <c r="N26" s="9">
        <f>-(Model_Data!AC26-Model_Data!F26)*Inputs!$C$12</f>
        <v>194.38768787773526</v>
      </c>
      <c r="O26" s="10"/>
      <c r="P26" s="9">
        <f>Model_Data!A26</f>
        <v>-48</v>
      </c>
      <c r="Q26" s="9">
        <f>Model_Data!P26</f>
        <v>406.40683834462834</v>
      </c>
      <c r="R26" s="9">
        <f>Model_Data!AM26</f>
        <v>402.29372467574649</v>
      </c>
      <c r="S26" s="9">
        <f>Model_Data!Q26</f>
        <v>61.022047799493748</v>
      </c>
      <c r="T26" s="9">
        <f>Model_Data!AN26</f>
        <v>60.404463164526504</v>
      </c>
      <c r="U26" s="10"/>
      <c r="V26" s="9">
        <f>Model_Data!A26</f>
        <v>-48</v>
      </c>
      <c r="W26" s="9">
        <f>Model_Data!B26-Inputs!$C$5</f>
        <v>2.5600000000000023</v>
      </c>
      <c r="X26" s="10"/>
      <c r="Y26" s="9">
        <f>Model_Data!A26</f>
        <v>-48</v>
      </c>
      <c r="Z26" s="9">
        <f>0</f>
        <v>0</v>
      </c>
      <c r="AA26" s="9">
        <f>((SQRT((Inputs!$C$52+Inputs!$C$5)^2+Inputs!$C$52^2-2*(Inputs!$C$52+Inputs!$C$5)*Inputs!$C$52*COS(SQRT((Model_Data!A26)^2+Inputs!$C$6^2)/Inputs!$C$52))-Inputs!$C$5)*1000/Inputs!$C$12)</f>
        <v>2569.0731452277819</v>
      </c>
      <c r="AB26" s="9">
        <f>Model_Data!F26</f>
        <v>2556.2330084508071</v>
      </c>
    </row>
    <row r="27" spans="1:28">
      <c r="A27" s="9">
        <f>Model_Data!A27</f>
        <v>-47.5</v>
      </c>
      <c r="B27" s="9">
        <f>0</f>
        <v>0</v>
      </c>
      <c r="C27" s="9">
        <f>((SQRT((Inputs!$C$52+Inputs!$C$5)^2+Inputs!$C$52^2-2*(Inputs!$C$52+Inputs!$C$5)*Inputs!$C$52*COS(SQRT((Model_Data!A27)^2+Inputs!$C$6^2)/Inputs!$C$52))-Inputs!$C$5)*1000/Inputs!$C$12)</f>
        <v>2527.4278404684369</v>
      </c>
      <c r="D27" s="9">
        <f>Model_Data!F27</f>
        <v>2515.0534940419116</v>
      </c>
      <c r="E27" s="9">
        <f>Model_Data!AC27</f>
        <v>2399.8075637250163</v>
      </c>
      <c r="F27" s="10"/>
      <c r="G27" s="9">
        <f>Model_Data!A27</f>
        <v>-47.5</v>
      </c>
      <c r="H27" s="9">
        <f>Model_Data!Y27</f>
        <v>262.75484348528926</v>
      </c>
      <c r="I27" s="9">
        <f>Model_Data!Y27</f>
        <v>262.75484348528926</v>
      </c>
      <c r="J27" s="9">
        <f>Model_Data!X27</f>
        <v>53.974959185609514</v>
      </c>
      <c r="K27" s="9">
        <f>Model_Data!A27</f>
        <v>-47.5</v>
      </c>
      <c r="L27" s="9">
        <f>Model_Data!Y27</f>
        <v>262.75484348528926</v>
      </c>
      <c r="M27" s="9">
        <f>Model_Data!X27</f>
        <v>53.974959185609514</v>
      </c>
      <c r="N27" s="9">
        <f>-(Model_Data!AC27-Model_Data!F27)*Inputs!$C$12</f>
        <v>205.13775596407362</v>
      </c>
      <c r="O27" s="10"/>
      <c r="P27" s="9">
        <f>Model_Data!A27</f>
        <v>-47.5</v>
      </c>
      <c r="Q27" s="9">
        <f>Model_Data!P27</f>
        <v>402.26435232361837</v>
      </c>
      <c r="R27" s="9">
        <f>Model_Data!AM27</f>
        <v>402.88305029025651</v>
      </c>
      <c r="S27" s="9">
        <f>Model_Data!Q27</f>
        <v>60.400052901444205</v>
      </c>
      <c r="T27" s="9">
        <f>Model_Data!AN27</f>
        <v>60.492950494032513</v>
      </c>
      <c r="U27" s="10"/>
      <c r="V27" s="9">
        <f>Model_Data!A27</f>
        <v>-47.5</v>
      </c>
      <c r="W27" s="9">
        <f>Model_Data!B27-Inputs!$C$5</f>
        <v>2.5069444444444571</v>
      </c>
      <c r="X27" s="10"/>
      <c r="Y27" s="9">
        <f>Model_Data!A27</f>
        <v>-47.5</v>
      </c>
      <c r="Z27" s="9">
        <f>0</f>
        <v>0</v>
      </c>
      <c r="AA27" s="9">
        <f>((SQRT((Inputs!$C$52+Inputs!$C$5)^2+Inputs!$C$52^2-2*(Inputs!$C$52+Inputs!$C$5)*Inputs!$C$52*COS(SQRT((Model_Data!A27)^2+Inputs!$C$6^2)/Inputs!$C$52))-Inputs!$C$5)*1000/Inputs!$C$12)</f>
        <v>2527.4278404684369</v>
      </c>
      <c r="AB27" s="9">
        <f>Model_Data!F27</f>
        <v>2515.0534940419116</v>
      </c>
    </row>
    <row r="28" spans="1:28">
      <c r="A28" s="9">
        <f>Model_Data!A28</f>
        <v>-47</v>
      </c>
      <c r="B28" s="9">
        <f>0</f>
        <v>0</v>
      </c>
      <c r="C28" s="9">
        <f>((SQRT((Inputs!$C$52+Inputs!$C$5)^2+Inputs!$C$52^2-2*(Inputs!$C$52+Inputs!$C$5)*Inputs!$C$52*COS(SQRT((Model_Data!A28)^2+Inputs!$C$6^2)/Inputs!$C$52))-Inputs!$C$5)*1000/Inputs!$C$12)</f>
        <v>2486.2109643863873</v>
      </c>
      <c r="D28" s="9">
        <f>Model_Data!F28</f>
        <v>2474.2893766268148</v>
      </c>
      <c r="E28" s="9">
        <f>Model_Data!AC28</f>
        <v>2367.9759017028027</v>
      </c>
      <c r="F28" s="10"/>
      <c r="G28" s="9">
        <f>Model_Data!A28</f>
        <v>-47</v>
      </c>
      <c r="H28" s="9">
        <f>Model_Data!Y28</f>
        <v>253.91481019754531</v>
      </c>
      <c r="I28" s="9">
        <f>Model_Data!Y28</f>
        <v>253.91481019754531</v>
      </c>
      <c r="J28" s="9">
        <f>Model_Data!X28</f>
        <v>61.213442747759345</v>
      </c>
      <c r="K28" s="9">
        <f>Model_Data!A28</f>
        <v>-47</v>
      </c>
      <c r="L28" s="9">
        <f>Model_Data!Y28</f>
        <v>253.91481019754531</v>
      </c>
      <c r="M28" s="9">
        <f>Model_Data!X28</f>
        <v>61.213442747759345</v>
      </c>
      <c r="N28" s="9">
        <f>-(Model_Data!AC28-Model_Data!F28)*Inputs!$C$12</f>
        <v>189.23798536474155</v>
      </c>
      <c r="O28" s="10"/>
      <c r="P28" s="9">
        <f>Model_Data!A28</f>
        <v>-47</v>
      </c>
      <c r="Q28" s="9">
        <f>Model_Data!P28</f>
        <v>398.11909268910313</v>
      </c>
      <c r="R28" s="9">
        <f>Model_Data!AM28</f>
        <v>384.08704497660437</v>
      </c>
      <c r="S28" s="9">
        <f>Model_Data!Q28</f>
        <v>59.777641544910388</v>
      </c>
      <c r="T28" s="9">
        <f>Model_Data!AN28</f>
        <v>57.670727473964625</v>
      </c>
      <c r="U28" s="10"/>
      <c r="V28" s="9">
        <f>Model_Data!A28</f>
        <v>-47</v>
      </c>
      <c r="W28" s="9">
        <f>Model_Data!B28-Inputs!$C$5</f>
        <v>2.454444444444448</v>
      </c>
      <c r="X28" s="10"/>
      <c r="Y28" s="9">
        <f>Model_Data!A28</f>
        <v>-47</v>
      </c>
      <c r="Z28" s="9">
        <f>0</f>
        <v>0</v>
      </c>
      <c r="AA28" s="9">
        <f>((SQRT((Inputs!$C$52+Inputs!$C$5)^2+Inputs!$C$52^2-2*(Inputs!$C$52+Inputs!$C$5)*Inputs!$C$52*COS(SQRT((Model_Data!A28)^2+Inputs!$C$6^2)/Inputs!$C$52))-Inputs!$C$5)*1000/Inputs!$C$12)</f>
        <v>2486.2109643863873</v>
      </c>
      <c r="AB28" s="9">
        <f>Model_Data!F28</f>
        <v>2474.2893766268148</v>
      </c>
    </row>
    <row r="29" spans="1:28">
      <c r="A29" s="9">
        <f>Model_Data!A29</f>
        <v>-46.5</v>
      </c>
      <c r="B29" s="9">
        <f>0</f>
        <v>0</v>
      </c>
      <c r="C29" s="9">
        <f>((SQRT((Inputs!$C$52+Inputs!$C$5)^2+Inputs!$C$52^2-2*(Inputs!$C$52+Inputs!$C$5)*Inputs!$C$52*COS(SQRT((Model_Data!A29)^2+Inputs!$C$6^2)/Inputs!$C$52))-Inputs!$C$5)*1000/Inputs!$C$12)</f>
        <v>2445.4227544159553</v>
      </c>
      <c r="D29" s="9">
        <f>Model_Data!F29</f>
        <v>2433.9411409597728</v>
      </c>
      <c r="E29" s="9">
        <f>Model_Data!AC29</f>
        <v>2325.6193069002029</v>
      </c>
      <c r="F29" s="10"/>
      <c r="G29" s="9">
        <f>Model_Data!A29</f>
        <v>-46.5</v>
      </c>
      <c r="H29" s="9">
        <f>Model_Data!Y29</f>
        <v>253.748238320312</v>
      </c>
      <c r="I29" s="9">
        <f>Model_Data!Y29</f>
        <v>253.748238320312</v>
      </c>
      <c r="J29" s="9">
        <f>Model_Data!X29</f>
        <v>57.529820703344001</v>
      </c>
      <c r="K29" s="9">
        <f>Model_Data!A29</f>
        <v>-46.5</v>
      </c>
      <c r="L29" s="9">
        <f>Model_Data!Y29</f>
        <v>253.748238320312</v>
      </c>
      <c r="M29" s="9">
        <f>Model_Data!X29</f>
        <v>57.529820703344001</v>
      </c>
      <c r="N29" s="9">
        <f>-(Model_Data!AC29-Model_Data!F29)*Inputs!$C$12</f>
        <v>192.8128646260345</v>
      </c>
      <c r="O29" s="10"/>
      <c r="P29" s="9">
        <f>Model_Data!A29</f>
        <v>-46.5</v>
      </c>
      <c r="Q29" s="9">
        <f>Model_Data!P29</f>
        <v>393.9710844109868</v>
      </c>
      <c r="R29" s="9">
        <f>Model_Data!AM29</f>
        <v>368.08092998808206</v>
      </c>
      <c r="S29" s="9">
        <f>Model_Data!Q29</f>
        <v>59.154817479127153</v>
      </c>
      <c r="T29" s="9">
        <f>Model_Data!AN29</f>
        <v>55.267406905117433</v>
      </c>
      <c r="U29" s="10"/>
      <c r="V29" s="9">
        <f>Model_Data!A29</f>
        <v>-46.5</v>
      </c>
      <c r="W29" s="9">
        <f>Model_Data!B29-Inputs!$C$5</f>
        <v>2.402499999999975</v>
      </c>
      <c r="X29" s="10"/>
      <c r="Y29" s="9">
        <f>Model_Data!A29</f>
        <v>-46.5</v>
      </c>
      <c r="Z29" s="9">
        <f>0</f>
        <v>0</v>
      </c>
      <c r="AA29" s="9">
        <f>((SQRT((Inputs!$C$52+Inputs!$C$5)^2+Inputs!$C$52^2-2*(Inputs!$C$52+Inputs!$C$5)*Inputs!$C$52*COS(SQRT((Model_Data!A29)^2+Inputs!$C$6^2)/Inputs!$C$52))-Inputs!$C$5)*1000/Inputs!$C$12)</f>
        <v>2445.4227544159553</v>
      </c>
      <c r="AB29" s="9">
        <f>Model_Data!F29</f>
        <v>2433.9411409597728</v>
      </c>
    </row>
    <row r="30" spans="1:28">
      <c r="A30" s="9">
        <f>Model_Data!A30</f>
        <v>-46</v>
      </c>
      <c r="B30" s="9">
        <f>0</f>
        <v>0</v>
      </c>
      <c r="C30" s="9">
        <f>((SQRT((Inputs!$C$52+Inputs!$C$5)^2+Inputs!$C$52^2-2*(Inputs!$C$52+Inputs!$C$5)*Inputs!$C$52*COS(SQRT((Model_Data!A30)^2+Inputs!$C$6^2)/Inputs!$C$52))-Inputs!$C$5)*1000/Inputs!$C$12)</f>
        <v>2405.0634456911571</v>
      </c>
      <c r="D30" s="9">
        <f>Model_Data!F30</f>
        <v>2394.0092674001216</v>
      </c>
      <c r="E30" s="9">
        <f>Model_Data!AC30</f>
        <v>2290.2281095656335</v>
      </c>
      <c r="F30" s="10"/>
      <c r="G30" s="9">
        <f>Model_Data!A30</f>
        <v>-46</v>
      </c>
      <c r="H30" s="9">
        <f>Model_Data!Y30</f>
        <v>237.40469511010875</v>
      </c>
      <c r="I30" s="9">
        <f>Model_Data!Y30</f>
        <v>237.40469511010875</v>
      </c>
      <c r="J30" s="9">
        <f>Model_Data!X30</f>
        <v>49.539620652832568</v>
      </c>
      <c r="K30" s="9">
        <f>Model_Data!A30</f>
        <v>-46</v>
      </c>
      <c r="L30" s="9">
        <f>Model_Data!Y30</f>
        <v>237.40469511010875</v>
      </c>
      <c r="M30" s="9">
        <f>Model_Data!X30</f>
        <v>49.539620652832568</v>
      </c>
      <c r="N30" s="9">
        <f>-(Model_Data!AC30-Model_Data!F30)*Inputs!$C$12</f>
        <v>184.73046094538884</v>
      </c>
      <c r="O30" s="10"/>
      <c r="P30" s="9">
        <f>Model_Data!A30</f>
        <v>-46</v>
      </c>
      <c r="Q30" s="9">
        <f>Model_Data!P30</f>
        <v>389.82035258295582</v>
      </c>
      <c r="R30" s="9">
        <f>Model_Data!AM30</f>
        <v>352.54798840351214</v>
      </c>
      <c r="S30" s="9">
        <f>Model_Data!Q30</f>
        <v>58.531584471915295</v>
      </c>
      <c r="T30" s="9">
        <f>Model_Data!AN30</f>
        <v>52.935133393920744</v>
      </c>
      <c r="U30" s="10"/>
      <c r="V30" s="9">
        <f>Model_Data!A30</f>
        <v>-46</v>
      </c>
      <c r="W30" s="9">
        <f>Model_Data!B30-Inputs!$C$5</f>
        <v>2.3511111111110949</v>
      </c>
      <c r="X30" s="10"/>
      <c r="Y30" s="9">
        <f>Model_Data!A30</f>
        <v>-46</v>
      </c>
      <c r="Z30" s="9">
        <f>0</f>
        <v>0</v>
      </c>
      <c r="AA30" s="9">
        <f>((SQRT((Inputs!$C$52+Inputs!$C$5)^2+Inputs!$C$52^2-2*(Inputs!$C$52+Inputs!$C$5)*Inputs!$C$52*COS(SQRT((Model_Data!A30)^2+Inputs!$C$6^2)/Inputs!$C$52))-Inputs!$C$5)*1000/Inputs!$C$12)</f>
        <v>2405.0634456911571</v>
      </c>
      <c r="AB30" s="9">
        <f>Model_Data!F30</f>
        <v>2394.0092674001216</v>
      </c>
    </row>
    <row r="31" spans="1:28">
      <c r="A31" s="9">
        <f>Model_Data!A31</f>
        <v>-45.5</v>
      </c>
      <c r="B31" s="9">
        <f>0</f>
        <v>0</v>
      </c>
      <c r="C31" s="9">
        <f>((SQRT((Inputs!$C$52+Inputs!$C$5)^2+Inputs!$C$52^2-2*(Inputs!$C$52+Inputs!$C$5)*Inputs!$C$52*COS(SQRT((Model_Data!A31)^2+Inputs!$C$6^2)/Inputs!$C$52))-Inputs!$C$5)*1000/Inputs!$C$12)</f>
        <v>2365.1332710378779</v>
      </c>
      <c r="D31" s="9">
        <f>Model_Data!F31</f>
        <v>2354.494231891164</v>
      </c>
      <c r="E31" s="9">
        <f>Model_Data!AC31</f>
        <v>2247.6602210996029</v>
      </c>
      <c r="F31" s="10"/>
      <c r="G31" s="9">
        <f>Model_Data!A31</f>
        <v>-45.5</v>
      </c>
      <c r="H31" s="9">
        <f>Model_Data!Y31</f>
        <v>230.03534200748854</v>
      </c>
      <c r="I31" s="9">
        <f>Model_Data!Y31</f>
        <v>230.03534200748854</v>
      </c>
      <c r="J31" s="9">
        <f>Model_Data!X31</f>
        <v>36.882918508215923</v>
      </c>
      <c r="K31" s="9">
        <f>Model_Data!A31</f>
        <v>-45.5</v>
      </c>
      <c r="L31" s="9">
        <f>Model_Data!Y31</f>
        <v>230.03534200748854</v>
      </c>
      <c r="M31" s="9">
        <f>Model_Data!X31</f>
        <v>36.882918508215923</v>
      </c>
      <c r="N31" s="9">
        <f>-(Model_Data!AC31-Model_Data!F31)*Inputs!$C$12</f>
        <v>190.1645392089786</v>
      </c>
      <c r="O31" s="10"/>
      <c r="P31" s="9">
        <f>Model_Data!A31</f>
        <v>-45.5</v>
      </c>
      <c r="Q31" s="9">
        <f>Model_Data!P31</f>
        <v>385.66692243821308</v>
      </c>
      <c r="R31" s="9">
        <f>Model_Data!AM31</f>
        <v>340.68148825299431</v>
      </c>
      <c r="S31" s="9">
        <f>Model_Data!Q31</f>
        <v>57.907946312044011</v>
      </c>
      <c r="T31" s="9">
        <f>Model_Data!AN31</f>
        <v>51.153376614563712</v>
      </c>
      <c r="U31" s="10"/>
      <c r="V31" s="9">
        <f>Model_Data!A31</f>
        <v>-45.5</v>
      </c>
      <c r="W31" s="9">
        <f>Model_Data!B31-Inputs!$C$5</f>
        <v>2.300277777777751</v>
      </c>
      <c r="X31" s="10"/>
      <c r="Y31" s="9">
        <f>Model_Data!A31</f>
        <v>-45.5</v>
      </c>
      <c r="Z31" s="9">
        <f>0</f>
        <v>0</v>
      </c>
      <c r="AA31" s="9">
        <f>((SQRT((Inputs!$C$52+Inputs!$C$5)^2+Inputs!$C$52^2-2*(Inputs!$C$52+Inputs!$C$5)*Inputs!$C$52*COS(SQRT((Model_Data!A31)^2+Inputs!$C$6^2)/Inputs!$C$52))-Inputs!$C$5)*1000/Inputs!$C$12)</f>
        <v>2365.1332710378779</v>
      </c>
      <c r="AB31" s="9">
        <f>Model_Data!F31</f>
        <v>2354.494231891164</v>
      </c>
    </row>
    <row r="32" spans="1:28">
      <c r="A32" s="9">
        <f>Model_Data!A32</f>
        <v>-45</v>
      </c>
      <c r="B32" s="9">
        <f>0</f>
        <v>0</v>
      </c>
      <c r="C32" s="9">
        <f>((SQRT((Inputs!$C$52+Inputs!$C$5)^2+Inputs!$C$52^2-2*(Inputs!$C$52+Inputs!$C$5)*Inputs!$C$52*COS(SQRT((Model_Data!A32)^2+Inputs!$C$6^2)/Inputs!$C$52))-Inputs!$C$5)*1000/Inputs!$C$12)</f>
        <v>2325.6324609706467</v>
      </c>
      <c r="D32" s="9">
        <f>Model_Data!F32</f>
        <v>2315.3965059322627</v>
      </c>
      <c r="E32" s="9">
        <f>Model_Data!AC32</f>
        <v>2225.7588616182638</v>
      </c>
      <c r="F32" s="10"/>
      <c r="G32" s="9">
        <f>Model_Data!A32</f>
        <v>-45</v>
      </c>
      <c r="H32" s="9">
        <f>Model_Data!Y32</f>
        <v>208.8220272535724</v>
      </c>
      <c r="I32" s="9">
        <f>Model_Data!Y32</f>
        <v>208.8220272535724</v>
      </c>
      <c r="J32" s="9">
        <f>Model_Data!X32</f>
        <v>46.599178353528217</v>
      </c>
      <c r="K32" s="9">
        <f>Model_Data!A32</f>
        <v>-45</v>
      </c>
      <c r="L32" s="9">
        <f>Model_Data!Y32</f>
        <v>208.8220272535724</v>
      </c>
      <c r="M32" s="9">
        <f>Model_Data!X32</f>
        <v>46.599178353528217</v>
      </c>
      <c r="N32" s="9">
        <f>-(Model_Data!AC32-Model_Data!F32)*Inputs!$C$12</f>
        <v>159.55500687891796</v>
      </c>
      <c r="O32" s="10"/>
      <c r="P32" s="9">
        <f>Model_Data!A32</f>
        <v>-45</v>
      </c>
      <c r="Q32" s="9">
        <f>Model_Data!P32</f>
        <v>381.5108193193737</v>
      </c>
      <c r="R32" s="9">
        <f>Model_Data!AM32</f>
        <v>336.84334510871849</v>
      </c>
      <c r="S32" s="9">
        <f>Model_Data!Q32</f>
        <v>57.283906804710767</v>
      </c>
      <c r="T32" s="9">
        <f>Model_Data!AN32</f>
        <v>50.577078845152933</v>
      </c>
      <c r="U32" s="10"/>
      <c r="V32" s="9">
        <f>Model_Data!A32</f>
        <v>-45</v>
      </c>
      <c r="W32" s="9">
        <f>Model_Data!B32-Inputs!$C$5</f>
        <v>2.25</v>
      </c>
      <c r="X32" s="10"/>
      <c r="Y32" s="9">
        <f>Model_Data!A32</f>
        <v>-45</v>
      </c>
      <c r="Z32" s="9">
        <f>0</f>
        <v>0</v>
      </c>
      <c r="AA32" s="9">
        <f>((SQRT((Inputs!$C$52+Inputs!$C$5)^2+Inputs!$C$52^2-2*(Inputs!$C$52+Inputs!$C$5)*Inputs!$C$52*COS(SQRT((Model_Data!A32)^2+Inputs!$C$6^2)/Inputs!$C$52))-Inputs!$C$5)*1000/Inputs!$C$12)</f>
        <v>2325.6324609706467</v>
      </c>
      <c r="AB32" s="9">
        <f>Model_Data!F32</f>
        <v>2315.3965059322627</v>
      </c>
    </row>
    <row r="33" spans="1:28">
      <c r="A33" s="9">
        <f>Model_Data!A33</f>
        <v>-44.5</v>
      </c>
      <c r="B33" s="9">
        <f>0</f>
        <v>0</v>
      </c>
      <c r="C33" s="9">
        <f>((SQRT((Inputs!$C$52+Inputs!$C$5)^2+Inputs!$C$52^2-2*(Inputs!$C$52+Inputs!$C$5)*Inputs!$C$52*COS(SQRT((Model_Data!A33)^2+Inputs!$C$6^2)/Inputs!$C$52))-Inputs!$C$5)*1000/Inputs!$C$12)</f>
        <v>2286.5612436822921</v>
      </c>
      <c r="D33" s="9">
        <f>Model_Data!F33</f>
        <v>2276.7165565683313</v>
      </c>
      <c r="E33" s="9">
        <f>Model_Data!AC33</f>
        <v>2180.5283722308945</v>
      </c>
      <c r="F33" s="10"/>
      <c r="G33" s="9">
        <f>Model_Data!A33</f>
        <v>-44.5</v>
      </c>
      <c r="H33" s="9">
        <f>Model_Data!Y33</f>
        <v>201.66422960156285</v>
      </c>
      <c r="I33" s="9">
        <f>Model_Data!Y33</f>
        <v>201.66422960156285</v>
      </c>
      <c r="J33" s="9">
        <f>Model_Data!X33</f>
        <v>27.915318214934121</v>
      </c>
      <c r="K33" s="9">
        <f>Model_Data!A33</f>
        <v>-44.5</v>
      </c>
      <c r="L33" s="9">
        <f>Model_Data!Y33</f>
        <v>201.66422960156285</v>
      </c>
      <c r="M33" s="9">
        <f>Model_Data!X33</f>
        <v>27.915318214934121</v>
      </c>
      <c r="N33" s="9">
        <f>-(Model_Data!AC33-Model_Data!F33)*Inputs!$C$12</f>
        <v>171.21496812063737</v>
      </c>
      <c r="O33" s="10"/>
      <c r="P33" s="9">
        <f>Model_Data!A33</f>
        <v>-44.5</v>
      </c>
      <c r="Q33" s="9">
        <f>Model_Data!P33</f>
        <v>377.35206869019748</v>
      </c>
      <c r="R33" s="9">
        <f>Model_Data!AM33</f>
        <v>363.73558277491611</v>
      </c>
      <c r="S33" s="9">
        <f>Model_Data!Q33</f>
        <v>56.659469773302931</v>
      </c>
      <c r="T33" s="9">
        <f>Model_Data!AN33</f>
        <v>54.614952368606026</v>
      </c>
      <c r="U33" s="10"/>
      <c r="V33" s="9">
        <f>Model_Data!A33</f>
        <v>-44.5</v>
      </c>
      <c r="W33" s="9">
        <f>Model_Data!B33-Inputs!$C$5</f>
        <v>2.2002777777777851</v>
      </c>
      <c r="X33" s="10"/>
      <c r="Y33" s="9">
        <f>Model_Data!A33</f>
        <v>-44.5</v>
      </c>
      <c r="Z33" s="9">
        <f>0</f>
        <v>0</v>
      </c>
      <c r="AA33" s="9">
        <f>((SQRT((Inputs!$C$52+Inputs!$C$5)^2+Inputs!$C$52^2-2*(Inputs!$C$52+Inputs!$C$5)*Inputs!$C$52*COS(SQRT((Model_Data!A33)^2+Inputs!$C$6^2)/Inputs!$C$52))-Inputs!$C$5)*1000/Inputs!$C$12)</f>
        <v>2286.5612436822921</v>
      </c>
      <c r="AB33" s="9">
        <f>Model_Data!F33</f>
        <v>2276.7165565683313</v>
      </c>
    </row>
    <row r="34" spans="1:28">
      <c r="A34" s="9">
        <f>Model_Data!A34</f>
        <v>-44</v>
      </c>
      <c r="B34" s="9">
        <f>0</f>
        <v>0</v>
      </c>
      <c r="C34" s="9">
        <f>((SQRT((Inputs!$C$52+Inputs!$C$5)^2+Inputs!$C$52^2-2*(Inputs!$C$52+Inputs!$C$5)*Inputs!$C$52*COS(SQRT((Model_Data!A34)^2+Inputs!$C$6^2)/Inputs!$C$52))-Inputs!$C$5)*1000/Inputs!$C$12)</f>
        <v>2247.9198450390527</v>
      </c>
      <c r="D34" s="9">
        <f>Model_Data!F34</f>
        <v>2238.4548463578362</v>
      </c>
      <c r="E34" s="9">
        <f>Model_Data!AC34</f>
        <v>2137.9950207818738</v>
      </c>
      <c r="F34" s="10"/>
      <c r="G34" s="9">
        <f>Model_Data!A34</f>
        <v>-44</v>
      </c>
      <c r="H34" s="9">
        <f>Model_Data!Y34</f>
        <v>200.11672258234324</v>
      </c>
      <c r="I34" s="9">
        <f>Model_Data!Y34</f>
        <v>200.11672258234324</v>
      </c>
      <c r="J34" s="9">
        <f>Model_Data!X34</f>
        <v>18.825392010190029</v>
      </c>
      <c r="K34" s="9">
        <f>Model_Data!A34</f>
        <v>-44</v>
      </c>
      <c r="L34" s="9">
        <f>Model_Data!Y34</f>
        <v>200.11672258234324</v>
      </c>
      <c r="M34" s="9">
        <f>Model_Data!X34</f>
        <v>18.825392010190029</v>
      </c>
      <c r="N34" s="9">
        <f>-(Model_Data!AC34-Model_Data!F34)*Inputs!$C$12</f>
        <v>178.81848952521315</v>
      </c>
      <c r="O34" s="10"/>
      <c r="P34" s="9">
        <f>Model_Data!A34</f>
        <v>-44</v>
      </c>
      <c r="Q34" s="9">
        <f>Model_Data!P34</f>
        <v>373.19069614577529</v>
      </c>
      <c r="R34" s="9">
        <f>Model_Data!AM34</f>
        <v>387.84031539016723</v>
      </c>
      <c r="S34" s="9">
        <f>Model_Data!Q34</f>
        <v>56.034639060927226</v>
      </c>
      <c r="T34" s="9">
        <f>Model_Data!AN34</f>
        <v>58.234281590115202</v>
      </c>
      <c r="U34" s="10"/>
      <c r="V34" s="9">
        <f>Model_Data!A34</f>
        <v>-44</v>
      </c>
      <c r="W34" s="9">
        <f>Model_Data!B34-Inputs!$C$5</f>
        <v>2.1511111111111063</v>
      </c>
      <c r="X34" s="10"/>
      <c r="Y34" s="9">
        <f>Model_Data!A34</f>
        <v>-44</v>
      </c>
      <c r="Z34" s="9">
        <f>0</f>
        <v>0</v>
      </c>
      <c r="AA34" s="9">
        <f>((SQRT((Inputs!$C$52+Inputs!$C$5)^2+Inputs!$C$52^2-2*(Inputs!$C$52+Inputs!$C$5)*Inputs!$C$52*COS(SQRT((Model_Data!A34)^2+Inputs!$C$6^2)/Inputs!$C$52))-Inputs!$C$5)*1000/Inputs!$C$12)</f>
        <v>2247.9198450390527</v>
      </c>
      <c r="AB34" s="9">
        <f>Model_Data!F34</f>
        <v>2238.4548463578362</v>
      </c>
    </row>
    <row r="35" spans="1:28">
      <c r="A35" s="9">
        <f>Model_Data!A35</f>
        <v>-43.5</v>
      </c>
      <c r="B35" s="9">
        <f>0</f>
        <v>0</v>
      </c>
      <c r="C35" s="9">
        <f>((SQRT((Inputs!$C$52+Inputs!$C$5)^2+Inputs!$C$52^2-2*(Inputs!$C$52+Inputs!$C$5)*Inputs!$C$52*COS(SQRT((Model_Data!A35)^2+Inputs!$C$6^2)/Inputs!$C$52))-Inputs!$C$5)*1000/Inputs!$C$12)</f>
        <v>2209.7084885780559</v>
      </c>
      <c r="D35" s="9">
        <f>Model_Data!F35</f>
        <v>2200.6118333585869</v>
      </c>
      <c r="E35" s="9">
        <f>Model_Data!AC35</f>
        <v>2096.2682991077581</v>
      </c>
      <c r="F35" s="10"/>
      <c r="G35" s="9">
        <f>Model_Data!A35</f>
        <v>-43.5</v>
      </c>
      <c r="H35" s="9">
        <f>Model_Data!Y35</f>
        <v>210.84839534160349</v>
      </c>
      <c r="I35" s="9">
        <f>Model_Data!Y35</f>
        <v>210.84839534160349</v>
      </c>
      <c r="J35" s="9">
        <f>Model_Data!X35</f>
        <v>22.55480739682735</v>
      </c>
      <c r="K35" s="9">
        <f>Model_Data!A35</f>
        <v>-43.5</v>
      </c>
      <c r="L35" s="9">
        <f>Model_Data!Y35</f>
        <v>210.84839534160349</v>
      </c>
      <c r="M35" s="9">
        <f>Model_Data!X35</f>
        <v>22.55480739682735</v>
      </c>
      <c r="N35" s="9">
        <f>-(Model_Data!AC35-Model_Data!F35)*Inputs!$C$12</f>
        <v>185.73149096647512</v>
      </c>
      <c r="O35" s="10"/>
      <c r="P35" s="9">
        <f>Model_Data!A35</f>
        <v>-43.5</v>
      </c>
      <c r="Q35" s="9">
        <f>Model_Data!P35</f>
        <v>369.02672739852278</v>
      </c>
      <c r="R35" s="9">
        <f>Model_Data!AM35</f>
        <v>338.23828722279359</v>
      </c>
      <c r="S35" s="9">
        <f>Model_Data!Q35</f>
        <v>55.40941852830673</v>
      </c>
      <c r="T35" s="9">
        <f>Model_Data!AN35</f>
        <v>50.786529613032073</v>
      </c>
      <c r="U35" s="10"/>
      <c r="V35" s="9">
        <f>Model_Data!A35</f>
        <v>-43.5</v>
      </c>
      <c r="W35" s="9">
        <f>Model_Data!B35-Inputs!$C$5</f>
        <v>2.1025000000000205</v>
      </c>
      <c r="X35" s="10"/>
      <c r="Y35" s="9">
        <f>Model_Data!A35</f>
        <v>-43.5</v>
      </c>
      <c r="Z35" s="9">
        <f>0</f>
        <v>0</v>
      </c>
      <c r="AA35" s="9">
        <f>((SQRT((Inputs!$C$52+Inputs!$C$5)^2+Inputs!$C$52^2-2*(Inputs!$C$52+Inputs!$C$5)*Inputs!$C$52*COS(SQRT((Model_Data!A35)^2+Inputs!$C$6^2)/Inputs!$C$52))-Inputs!$C$5)*1000/Inputs!$C$12)</f>
        <v>2209.7084885780559</v>
      </c>
      <c r="AB35" s="9">
        <f>Model_Data!F35</f>
        <v>2200.6118333585869</v>
      </c>
    </row>
    <row r="36" spans="1:28">
      <c r="A36" s="9">
        <f>Model_Data!A36</f>
        <v>-43</v>
      </c>
      <c r="B36" s="9">
        <f>0</f>
        <v>0</v>
      </c>
      <c r="C36" s="9">
        <f>((SQRT((Inputs!$C$52+Inputs!$C$5)^2+Inputs!$C$52^2-2*(Inputs!$C$52+Inputs!$C$5)*Inputs!$C$52*COS(SQRT((Model_Data!A36)^2+Inputs!$C$6^2)/Inputs!$C$52))-Inputs!$C$5)*1000/Inputs!$C$12)</f>
        <v>2171.9273954940345</v>
      </c>
      <c r="D36" s="9">
        <f>Model_Data!F36</f>
        <v>2163.1879711008464</v>
      </c>
      <c r="E36" s="9">
        <f>Model_Data!AC36</f>
        <v>2065.0383554903128</v>
      </c>
      <c r="F36" s="10"/>
      <c r="G36" s="9">
        <f>Model_Data!A36</f>
        <v>-43</v>
      </c>
      <c r="H36" s="9">
        <f>Model_Data!Y36</f>
        <v>180.5581841932563</v>
      </c>
      <c r="I36" s="9">
        <f>Model_Data!Y36</f>
        <v>180.5581841932563</v>
      </c>
      <c r="J36" s="9">
        <f>Model_Data!X36</f>
        <v>3.69479063881065</v>
      </c>
      <c r="K36" s="9">
        <f>Model_Data!A36</f>
        <v>-43</v>
      </c>
      <c r="L36" s="9">
        <f>Model_Data!Y36</f>
        <v>180.5581841932563</v>
      </c>
      <c r="M36" s="9">
        <f>Model_Data!X36</f>
        <v>3.69479063881065</v>
      </c>
      <c r="N36" s="9">
        <f>-(Model_Data!AC36-Model_Data!F36)*Inputs!$C$12</f>
        <v>174.70631578674983</v>
      </c>
      <c r="O36" s="10"/>
      <c r="P36" s="9">
        <f>Model_Data!A36</f>
        <v>-43</v>
      </c>
      <c r="Q36" s="9">
        <f>Model_Data!P36</f>
        <v>364.86018827936277</v>
      </c>
      <c r="R36" s="9">
        <f>Model_Data!AM36</f>
        <v>318.95368214236441</v>
      </c>
      <c r="S36" s="9">
        <f>Model_Data!Q36</f>
        <v>54.783812053958378</v>
      </c>
      <c r="T36" s="9">
        <f>Model_Data!AN36</f>
        <v>47.890943264619288</v>
      </c>
      <c r="U36" s="10"/>
      <c r="V36" s="9">
        <f>Model_Data!A36</f>
        <v>-43</v>
      </c>
      <c r="W36" s="9">
        <f>Model_Data!B36-Inputs!$C$5</f>
        <v>2.0544444444444707</v>
      </c>
      <c r="X36" s="10"/>
      <c r="Y36" s="9">
        <f>Model_Data!A36</f>
        <v>-43</v>
      </c>
      <c r="Z36" s="9">
        <f>0</f>
        <v>0</v>
      </c>
      <c r="AA36" s="9">
        <f>((SQRT((Inputs!$C$52+Inputs!$C$5)^2+Inputs!$C$52^2-2*(Inputs!$C$52+Inputs!$C$5)*Inputs!$C$52*COS(SQRT((Model_Data!A36)^2+Inputs!$C$6^2)/Inputs!$C$52))-Inputs!$C$5)*1000/Inputs!$C$12)</f>
        <v>2171.9273954940345</v>
      </c>
      <c r="AB36" s="9">
        <f>Model_Data!F36</f>
        <v>2163.1879711008464</v>
      </c>
    </row>
    <row r="37" spans="1:28">
      <c r="A37" s="9">
        <f>Model_Data!A37</f>
        <v>-42.5</v>
      </c>
      <c r="B37" s="9">
        <f>0</f>
        <v>0</v>
      </c>
      <c r="C37" s="9">
        <f>((SQRT((Inputs!$C$52+Inputs!$C$5)^2+Inputs!$C$52^2-2*(Inputs!$C$52+Inputs!$C$5)*Inputs!$C$52*COS(SQRT((Model_Data!A37)^2+Inputs!$C$6^2)/Inputs!$C$52))-Inputs!$C$5)*1000/Inputs!$C$12)</f>
        <v>2134.5767846396111</v>
      </c>
      <c r="D37" s="9">
        <f>Model_Data!F37</f>
        <v>2126.1837085726102</v>
      </c>
      <c r="E37" s="9">
        <f>Model_Data!AC37</f>
        <v>2030.6122577111639</v>
      </c>
      <c r="F37" s="10"/>
      <c r="G37" s="9">
        <f>Model_Data!A37</f>
        <v>-42.5</v>
      </c>
      <c r="H37" s="9">
        <f>Model_Data!Y37</f>
        <v>181.72917551772019</v>
      </c>
      <c r="I37" s="9">
        <f>Model_Data!Y37</f>
        <v>181.72917551772019</v>
      </c>
      <c r="J37" s="9">
        <f>Model_Data!X37</f>
        <v>9.4775494942885228</v>
      </c>
      <c r="K37" s="9">
        <f>Model_Data!A37</f>
        <v>-42.5</v>
      </c>
      <c r="L37" s="9">
        <f>Model_Data!Y37</f>
        <v>181.72917551772019</v>
      </c>
      <c r="M37" s="9">
        <f>Model_Data!X37</f>
        <v>9.4775494942885228</v>
      </c>
      <c r="N37" s="9">
        <f>-(Model_Data!AC37-Model_Data!F37)*Inputs!$C$12</f>
        <v>170.11718253337432</v>
      </c>
      <c r="O37" s="10"/>
      <c r="P37" s="9">
        <f>Model_Data!A37</f>
        <v>-42.5</v>
      </c>
      <c r="Q37" s="9">
        <f>Model_Data!P37</f>
        <v>360.69110474018089</v>
      </c>
      <c r="R37" s="9">
        <f>Model_Data!AM37</f>
        <v>345.1024300021345</v>
      </c>
      <c r="S37" s="9">
        <f>Model_Data!Q37</f>
        <v>54.1578235345617</v>
      </c>
      <c r="T37" s="9">
        <f>Model_Data!AN37</f>
        <v>51.817181682002179</v>
      </c>
      <c r="U37" s="10"/>
      <c r="V37" s="9">
        <f>Model_Data!A37</f>
        <v>-42.5</v>
      </c>
      <c r="W37" s="9">
        <f>Model_Data!B37-Inputs!$C$5</f>
        <v>2.0069444444444571</v>
      </c>
      <c r="X37" s="10"/>
      <c r="Y37" s="9">
        <f>Model_Data!A37</f>
        <v>-42.5</v>
      </c>
      <c r="Z37" s="9">
        <f>0</f>
        <v>0</v>
      </c>
      <c r="AA37" s="9">
        <f>((SQRT((Inputs!$C$52+Inputs!$C$5)^2+Inputs!$C$52^2-2*(Inputs!$C$52+Inputs!$C$5)*Inputs!$C$52*COS(SQRT((Model_Data!A37)^2+Inputs!$C$6^2)/Inputs!$C$52))-Inputs!$C$5)*1000/Inputs!$C$12)</f>
        <v>2134.5767846396111</v>
      </c>
      <c r="AB37" s="9">
        <f>Model_Data!F37</f>
        <v>2126.1837085726102</v>
      </c>
    </row>
    <row r="38" spans="1:28">
      <c r="A38" s="9">
        <f>Model_Data!A38</f>
        <v>-42</v>
      </c>
      <c r="B38" s="9">
        <f>0</f>
        <v>0</v>
      </c>
      <c r="C38" s="9">
        <f>((SQRT((Inputs!$C$52+Inputs!$C$5)^2+Inputs!$C$52^2-2*(Inputs!$C$52+Inputs!$C$5)*Inputs!$C$52*COS(SQRT((Model_Data!A38)^2+Inputs!$C$6^2)/Inputs!$C$52))-Inputs!$C$5)*1000/Inputs!$C$12)</f>
        <v>2097.6568725133261</v>
      </c>
      <c r="D38" s="9">
        <f>Model_Data!F38</f>
        <v>2089.5994901917893</v>
      </c>
      <c r="E38" s="9">
        <f>Model_Data!AC38</f>
        <v>1989.9649462365751</v>
      </c>
      <c r="F38" s="10"/>
      <c r="G38" s="9">
        <f>Model_Data!A38</f>
        <v>-42</v>
      </c>
      <c r="H38" s="9">
        <f>Model_Data!Y38</f>
        <v>170.62817299702391</v>
      </c>
      <c r="I38" s="9">
        <f>Model_Data!Y38</f>
        <v>170.62817299702391</v>
      </c>
      <c r="J38" s="9">
        <f>Model_Data!X38</f>
        <v>-8.6913035259942717</v>
      </c>
      <c r="K38" s="9">
        <f>Model_Data!A38</f>
        <v>-42</v>
      </c>
      <c r="L38" s="9">
        <f>Model_Data!Y38</f>
        <v>170.62817299702391</v>
      </c>
      <c r="M38" s="9">
        <f>Model_Data!X38</f>
        <v>-8.6913035259942717</v>
      </c>
      <c r="N38" s="9">
        <f>-(Model_Data!AC38-Model_Data!F38)*Inputs!$C$12</f>
        <v>177.34948824028129</v>
      </c>
      <c r="O38" s="10"/>
      <c r="P38" s="9">
        <f>Model_Data!A38</f>
        <v>-42</v>
      </c>
      <c r="Q38" s="9">
        <f>Model_Data!P38</f>
        <v>356.5195028526432</v>
      </c>
      <c r="R38" s="9">
        <f>Model_Data!AM38</f>
        <v>340.27294612515107</v>
      </c>
      <c r="S38" s="9">
        <f>Model_Data!Q38</f>
        <v>53.531456884781264</v>
      </c>
      <c r="T38" s="9">
        <f>Model_Data!AN38</f>
        <v>51.092033952725387</v>
      </c>
      <c r="U38" s="10"/>
      <c r="V38" s="9">
        <f>Model_Data!A38</f>
        <v>-42</v>
      </c>
      <c r="W38" s="9">
        <f>Model_Data!B38-Inputs!$C$5</f>
        <v>1.9599999999999795</v>
      </c>
      <c r="X38" s="10"/>
      <c r="Y38" s="9">
        <f>Model_Data!A38</f>
        <v>-42</v>
      </c>
      <c r="Z38" s="9">
        <f>0</f>
        <v>0</v>
      </c>
      <c r="AA38" s="9">
        <f>((SQRT((Inputs!$C$52+Inputs!$C$5)^2+Inputs!$C$52^2-2*(Inputs!$C$52+Inputs!$C$5)*Inputs!$C$52*COS(SQRT((Model_Data!A38)^2+Inputs!$C$6^2)/Inputs!$C$52))-Inputs!$C$5)*1000/Inputs!$C$12)</f>
        <v>2097.6568725133261</v>
      </c>
      <c r="AB38" s="9">
        <f>Model_Data!F38</f>
        <v>2089.5994901917893</v>
      </c>
    </row>
    <row r="39" spans="1:28">
      <c r="A39" s="9">
        <f>Model_Data!A39</f>
        <v>-41.5</v>
      </c>
      <c r="B39" s="9">
        <f>0</f>
        <v>0</v>
      </c>
      <c r="C39" s="9">
        <f>((SQRT((Inputs!$C$52+Inputs!$C$5)^2+Inputs!$C$52^2-2*(Inputs!$C$52+Inputs!$C$5)*Inputs!$C$52*COS(SQRT((Model_Data!A39)^2+Inputs!$C$6^2)/Inputs!$C$52))-Inputs!$C$5)*1000/Inputs!$C$12)</f>
        <v>2061.1678732608475</v>
      </c>
      <c r="D39" s="9">
        <f>Model_Data!F39</f>
        <v>2053.4357557919698</v>
      </c>
      <c r="E39" s="9">
        <f>Model_Data!AC39</f>
        <v>1949.3721661921122</v>
      </c>
      <c r="F39" s="10"/>
      <c r="G39" s="9">
        <f>Model_Data!A39</f>
        <v>-41.5</v>
      </c>
      <c r="H39" s="9">
        <f>Model_Data!Y39</f>
        <v>171.38557913738282</v>
      </c>
      <c r="I39" s="9">
        <f>Model_Data!Y39</f>
        <v>171.38557913738282</v>
      </c>
      <c r="J39" s="9">
        <f>Model_Data!X39</f>
        <v>-15.792555414769886</v>
      </c>
      <c r="K39" s="9">
        <f>Model_Data!A39</f>
        <v>-41.5</v>
      </c>
      <c r="L39" s="9">
        <f>Model_Data!Y39</f>
        <v>171.38557913738282</v>
      </c>
      <c r="M39" s="9">
        <f>Model_Data!X39</f>
        <v>-15.792555414769886</v>
      </c>
      <c r="N39" s="9">
        <f>-(Model_Data!AC39-Model_Data!F39)*Inputs!$C$12</f>
        <v>185.23318948774644</v>
      </c>
      <c r="O39" s="10"/>
      <c r="P39" s="9">
        <f>Model_Data!A39</f>
        <v>-41.5</v>
      </c>
      <c r="Q39" s="9">
        <f>Model_Data!P39</f>
        <v>352.34540879673659</v>
      </c>
      <c r="R39" s="9">
        <f>Model_Data!AM39</f>
        <v>362.00557364745691</v>
      </c>
      <c r="S39" s="9">
        <f>Model_Data!Q39</f>
        <v>52.904716035546038</v>
      </c>
      <c r="T39" s="9">
        <f>Model_Data!AN39</f>
        <v>54.355191238356902</v>
      </c>
      <c r="U39" s="10"/>
      <c r="V39" s="9">
        <f>Model_Data!A39</f>
        <v>-41.5</v>
      </c>
      <c r="W39" s="9">
        <f>Model_Data!B39-Inputs!$C$5</f>
        <v>1.9136111111110949</v>
      </c>
      <c r="X39" s="10"/>
      <c r="Y39" s="9">
        <f>Model_Data!A39</f>
        <v>-41.5</v>
      </c>
      <c r="Z39" s="9">
        <f>0</f>
        <v>0</v>
      </c>
      <c r="AA39" s="9">
        <f>((SQRT((Inputs!$C$52+Inputs!$C$5)^2+Inputs!$C$52^2-2*(Inputs!$C$52+Inputs!$C$5)*Inputs!$C$52*COS(SQRT((Model_Data!A39)^2+Inputs!$C$6^2)/Inputs!$C$52))-Inputs!$C$5)*1000/Inputs!$C$12)</f>
        <v>2061.1678732608475</v>
      </c>
      <c r="AB39" s="9">
        <f>Model_Data!F39</f>
        <v>2053.4357557919698</v>
      </c>
    </row>
    <row r="40" spans="1:28">
      <c r="A40" s="9">
        <f>Model_Data!A40</f>
        <v>-41</v>
      </c>
      <c r="B40" s="9">
        <f>0</f>
        <v>0</v>
      </c>
      <c r="C40" s="9">
        <f>((SQRT((Inputs!$C$52+Inputs!$C$5)^2+Inputs!$C$52^2-2*(Inputs!$C$52+Inputs!$C$5)*Inputs!$C$52*COS(SQRT((Model_Data!A40)^2+Inputs!$C$6^2)/Inputs!$C$52))-Inputs!$C$5)*1000/Inputs!$C$12)</f>
        <v>2025.1099986616898</v>
      </c>
      <c r="D40" s="9">
        <f>Model_Data!F40</f>
        <v>2017.6929405986523</v>
      </c>
      <c r="E40" s="9">
        <f>Model_Data!AC40</f>
        <v>1909.5007750128811</v>
      </c>
      <c r="F40" s="10"/>
      <c r="G40" s="9">
        <f>Model_Data!A40</f>
        <v>-41</v>
      </c>
      <c r="H40" s="9">
        <f>Model_Data!Y40</f>
        <v>176.66624192778235</v>
      </c>
      <c r="I40" s="9">
        <f>Model_Data!Y40</f>
        <v>176.66624192778235</v>
      </c>
      <c r="J40" s="9">
        <f>Model_Data!X40</f>
        <v>-17.886266996681616</v>
      </c>
      <c r="K40" s="9">
        <f>Model_Data!A40</f>
        <v>-41</v>
      </c>
      <c r="L40" s="9">
        <f>Model_Data!Y40</f>
        <v>176.66624192778235</v>
      </c>
      <c r="M40" s="9">
        <f>Model_Data!X40</f>
        <v>-17.886266996681616</v>
      </c>
      <c r="N40" s="9">
        <f>-(Model_Data!AC40-Model_Data!F40)*Inputs!$C$12</f>
        <v>192.58205474267263</v>
      </c>
      <c r="O40" s="10"/>
      <c r="P40" s="9">
        <f>Model_Data!A40</f>
        <v>-41</v>
      </c>
      <c r="Q40" s="9">
        <f>Model_Data!P40</f>
        <v>348.16884888314235</v>
      </c>
      <c r="R40" s="9">
        <f>Model_Data!AM40</f>
        <v>379.70420348410698</v>
      </c>
      <c r="S40" s="9">
        <f>Model_Data!Q40</f>
        <v>52.277604937408768</v>
      </c>
      <c r="T40" s="9">
        <f>Model_Data!AN40</f>
        <v>57.012643165781832</v>
      </c>
      <c r="U40" s="10"/>
      <c r="V40" s="9">
        <f>Model_Data!A40</f>
        <v>-41</v>
      </c>
      <c r="W40" s="9">
        <f>Model_Data!B40-Inputs!$C$5</f>
        <v>1.8677777777778033</v>
      </c>
      <c r="X40" s="10"/>
      <c r="Y40" s="9">
        <f>Model_Data!A40</f>
        <v>-41</v>
      </c>
      <c r="Z40" s="9">
        <f>0</f>
        <v>0</v>
      </c>
      <c r="AA40" s="9">
        <f>((SQRT((Inputs!$C$52+Inputs!$C$5)^2+Inputs!$C$52^2-2*(Inputs!$C$52+Inputs!$C$5)*Inputs!$C$52*COS(SQRT((Model_Data!A40)^2+Inputs!$C$6^2)/Inputs!$C$52))-Inputs!$C$5)*1000/Inputs!$C$12)</f>
        <v>2025.1099986616898</v>
      </c>
      <c r="AB40" s="9">
        <f>Model_Data!F40</f>
        <v>2017.6929405986523</v>
      </c>
    </row>
    <row r="41" spans="1:28">
      <c r="A41" s="9">
        <f>Model_Data!A41</f>
        <v>-40.5</v>
      </c>
      <c r="B41" s="9">
        <f>0</f>
        <v>0</v>
      </c>
      <c r="C41" s="9">
        <f>((SQRT((Inputs!$C$52+Inputs!$C$5)^2+Inputs!$C$52^2-2*(Inputs!$C$52+Inputs!$C$5)*Inputs!$C$52*COS(SQRT((Model_Data!A41)^2+Inputs!$C$6^2)/Inputs!$C$52))-Inputs!$C$5)*1000/Inputs!$C$12)</f>
        <v>1989.4834581273269</v>
      </c>
      <c r="D41" s="9">
        <f>Model_Data!F41</f>
        <v>1982.3714752072171</v>
      </c>
      <c r="E41" s="9">
        <f>Model_Data!AC41</f>
        <v>1867.6561897168183</v>
      </c>
      <c r="F41" s="10"/>
      <c r="G41" s="9">
        <f>Model_Data!A41</f>
        <v>-40.5</v>
      </c>
      <c r="H41" s="9">
        <f>Model_Data!Y41</f>
        <v>191.24651788741608</v>
      </c>
      <c r="I41" s="9">
        <f>Model_Data!Y41</f>
        <v>191.24651788741608</v>
      </c>
      <c r="J41" s="9">
        <f>Model_Data!X41</f>
        <v>-15.042977474303433</v>
      </c>
      <c r="K41" s="9">
        <f>Model_Data!A41</f>
        <v>-40.5</v>
      </c>
      <c r="L41" s="9">
        <f>Model_Data!Y41</f>
        <v>191.24651788741608</v>
      </c>
      <c r="M41" s="9">
        <f>Model_Data!X41</f>
        <v>-15.042977474303433</v>
      </c>
      <c r="N41" s="9">
        <f>-(Model_Data!AC41-Model_Data!F41)*Inputs!$C$12</f>
        <v>204.19320817290998</v>
      </c>
      <c r="O41" s="10"/>
      <c r="P41" s="9">
        <f>Model_Data!A41</f>
        <v>-40.5</v>
      </c>
      <c r="Q41" s="9">
        <f>Model_Data!P41</f>
        <v>343.98984952458704</v>
      </c>
      <c r="R41" s="9">
        <f>Model_Data!AM41</f>
        <v>377.33507918992473</v>
      </c>
      <c r="S41" s="9">
        <f>Model_Data!Q41</f>
        <v>51.650127556244307</v>
      </c>
      <c r="T41" s="9">
        <f>Model_Data!AN41</f>
        <v>56.656918797285996</v>
      </c>
      <c r="U41" s="10"/>
      <c r="V41" s="9">
        <f>Model_Data!A41</f>
        <v>-40.5</v>
      </c>
      <c r="W41" s="9">
        <f>Model_Data!B41-Inputs!$C$5</f>
        <v>1.8224999999999909</v>
      </c>
      <c r="X41" s="10"/>
      <c r="Y41" s="9">
        <f>Model_Data!A41</f>
        <v>-40.5</v>
      </c>
      <c r="Z41" s="9">
        <f>0</f>
        <v>0</v>
      </c>
      <c r="AA41" s="9">
        <f>((SQRT((Inputs!$C$52+Inputs!$C$5)^2+Inputs!$C$52^2-2*(Inputs!$C$52+Inputs!$C$5)*Inputs!$C$52*COS(SQRT((Model_Data!A41)^2+Inputs!$C$6^2)/Inputs!$C$52))-Inputs!$C$5)*1000/Inputs!$C$12)</f>
        <v>1989.4834581273269</v>
      </c>
      <c r="AB41" s="9">
        <f>Model_Data!F41</f>
        <v>1982.3714752072171</v>
      </c>
    </row>
    <row r="42" spans="1:28">
      <c r="A42" s="9">
        <f>Model_Data!A42</f>
        <v>-40</v>
      </c>
      <c r="B42" s="9">
        <f>0</f>
        <v>0</v>
      </c>
      <c r="C42" s="9">
        <f>((SQRT((Inputs!$C$52+Inputs!$C$5)^2+Inputs!$C$52^2-2*(Inputs!$C$52+Inputs!$C$5)*Inputs!$C$52*COS(SQRT((Model_Data!A42)^2+Inputs!$C$6^2)/Inputs!$C$52))-Inputs!$C$5)*1000/Inputs!$C$12)</f>
        <v>1954.2884586951907</v>
      </c>
      <c r="D42" s="9">
        <f>Model_Data!F42</f>
        <v>1947.4717855689696</v>
      </c>
      <c r="E42" s="9">
        <f>Model_Data!AC42</f>
        <v>1820.073882562747</v>
      </c>
      <c r="F42" s="10"/>
      <c r="G42" s="9">
        <f>Model_Data!A42</f>
        <v>-40</v>
      </c>
      <c r="H42" s="9">
        <f>Model_Data!Y42</f>
        <v>197.66557297517377</v>
      </c>
      <c r="I42" s="9">
        <f>Model_Data!Y42</f>
        <v>197.66557297517377</v>
      </c>
      <c r="J42" s="9">
        <f>Model_Data!X42</f>
        <v>-31.231711064274894</v>
      </c>
      <c r="K42" s="9">
        <f>Model_Data!A42</f>
        <v>-40</v>
      </c>
      <c r="L42" s="9">
        <f>Model_Data!Y42</f>
        <v>197.66557297517377</v>
      </c>
      <c r="M42" s="9">
        <f>Model_Data!X42</f>
        <v>-31.231711064274894</v>
      </c>
      <c r="N42" s="9">
        <f>-(Model_Data!AC42-Model_Data!F42)*Inputs!$C$12</f>
        <v>226.76826735107619</v>
      </c>
      <c r="O42" s="10"/>
      <c r="P42" s="9">
        <f>Model_Data!A42</f>
        <v>-40</v>
      </c>
      <c r="Q42" s="9">
        <f>Model_Data!P42</f>
        <v>339.80843724993974</v>
      </c>
      <c r="R42" s="9">
        <f>Model_Data!AM42</f>
        <v>355.33588521257116</v>
      </c>
      <c r="S42" s="9">
        <f>Model_Data!Q42</f>
        <v>51.022287875366331</v>
      </c>
      <c r="T42" s="9">
        <f>Model_Data!AN42</f>
        <v>53.353736518404084</v>
      </c>
      <c r="U42" s="10"/>
      <c r="V42" s="9">
        <f>Model_Data!A42</f>
        <v>-40</v>
      </c>
      <c r="W42" s="9">
        <f>Model_Data!B42-Inputs!$C$5</f>
        <v>1.7777777777777715</v>
      </c>
      <c r="X42" s="10"/>
      <c r="Y42" s="9">
        <f>Model_Data!A42</f>
        <v>-40</v>
      </c>
      <c r="Z42" s="9">
        <f>0</f>
        <v>0</v>
      </c>
      <c r="AA42" s="9">
        <f>((SQRT((Inputs!$C$52+Inputs!$C$5)^2+Inputs!$C$52^2-2*(Inputs!$C$52+Inputs!$C$5)*Inputs!$C$52*COS(SQRT((Model_Data!A42)^2+Inputs!$C$6^2)/Inputs!$C$52))-Inputs!$C$5)*1000/Inputs!$C$12)</f>
        <v>1954.2884586951907</v>
      </c>
      <c r="AB42" s="9">
        <f>Model_Data!F42</f>
        <v>1947.4717855689696</v>
      </c>
    </row>
    <row r="43" spans="1:28">
      <c r="A43" s="9">
        <f>Model_Data!A43</f>
        <v>-39.5</v>
      </c>
      <c r="B43" s="9">
        <f>0</f>
        <v>0</v>
      </c>
      <c r="C43" s="9">
        <f>((SQRT((Inputs!$C$52+Inputs!$C$5)^2+Inputs!$C$52^2-2*(Inputs!$C$52+Inputs!$C$5)*Inputs!$C$52*COS(SQRT((Model_Data!A43)^2+Inputs!$C$6^2)/Inputs!$C$52))-Inputs!$C$5)*1000/Inputs!$C$12)</f>
        <v>1919.5252050223141</v>
      </c>
      <c r="D43" s="9">
        <f>Model_Data!F43</f>
        <v>1912.9942929643466</v>
      </c>
      <c r="E43" s="9">
        <f>Model_Data!AC43</f>
        <v>1782.6032609411293</v>
      </c>
      <c r="F43" s="10"/>
      <c r="G43" s="9">
        <f>Model_Data!A43</f>
        <v>-39.5</v>
      </c>
      <c r="H43" s="9">
        <f>Model_Data!Y43</f>
        <v>200.98178735327417</v>
      </c>
      <c r="I43" s="9">
        <f>Model_Data!Y43</f>
        <v>200.98178735327417</v>
      </c>
      <c r="J43" s="9">
        <f>Model_Data!X43</f>
        <v>-33.241151326098546</v>
      </c>
      <c r="K43" s="9">
        <f>Model_Data!A43</f>
        <v>-39.5</v>
      </c>
      <c r="L43" s="9">
        <f>Model_Data!Y43</f>
        <v>200.98178735327417</v>
      </c>
      <c r="M43" s="9">
        <f>Model_Data!X43</f>
        <v>-33.241151326098546</v>
      </c>
      <c r="N43" s="9">
        <f>-(Model_Data!AC43-Model_Data!F43)*Inputs!$C$12</f>
        <v>232.09603700132689</v>
      </c>
      <c r="O43" s="10"/>
      <c r="P43" s="9">
        <f>Model_Data!A43</f>
        <v>-39.5</v>
      </c>
      <c r="Q43" s="9">
        <f>Model_Data!P43</f>
        <v>335.62463871039654</v>
      </c>
      <c r="R43" s="9">
        <f>Model_Data!AM43</f>
        <v>314.96723845502856</v>
      </c>
      <c r="S43" s="9">
        <f>Model_Data!Q43</f>
        <v>50.394089896455938</v>
      </c>
      <c r="T43" s="9">
        <f>Model_Data!AN43</f>
        <v>47.292378146400686</v>
      </c>
      <c r="U43" s="10"/>
      <c r="V43" s="9">
        <f>Model_Data!A43</f>
        <v>-39.5</v>
      </c>
      <c r="W43" s="9">
        <f>Model_Data!B43-Inputs!$C$5</f>
        <v>1.7336111111110881</v>
      </c>
      <c r="X43" s="10"/>
      <c r="Y43" s="9">
        <f>Model_Data!A43</f>
        <v>-39.5</v>
      </c>
      <c r="Z43" s="9">
        <f>0</f>
        <v>0</v>
      </c>
      <c r="AA43" s="9">
        <f>((SQRT((Inputs!$C$52+Inputs!$C$5)^2+Inputs!$C$52^2-2*(Inputs!$C$52+Inputs!$C$5)*Inputs!$C$52*COS(SQRT((Model_Data!A43)^2+Inputs!$C$6^2)/Inputs!$C$52))-Inputs!$C$5)*1000/Inputs!$C$12)</f>
        <v>1919.5252050223141</v>
      </c>
      <c r="AB43" s="9">
        <f>Model_Data!F43</f>
        <v>1912.9942929643466</v>
      </c>
    </row>
    <row r="44" spans="1:28">
      <c r="A44" s="9">
        <f>Model_Data!A44</f>
        <v>-39</v>
      </c>
      <c r="B44" s="9">
        <f>0</f>
        <v>0</v>
      </c>
      <c r="C44" s="9">
        <f>((SQRT((Inputs!$C$52+Inputs!$C$5)^2+Inputs!$C$52^2-2*(Inputs!$C$52+Inputs!$C$5)*Inputs!$C$52*COS(SQRT((Model_Data!A44)^2+Inputs!$C$6^2)/Inputs!$C$52))-Inputs!$C$5)*1000/Inputs!$C$12)</f>
        <v>1885.1938993782433</v>
      </c>
      <c r="D44" s="9">
        <f>Model_Data!F44</f>
        <v>1878.9394139868214</v>
      </c>
      <c r="E44" s="9">
        <f>Model_Data!AC44</f>
        <v>1758.3518395529575</v>
      </c>
      <c r="F44" s="10"/>
      <c r="G44" s="9">
        <f>Model_Data!A44</f>
        <v>-39</v>
      </c>
      <c r="H44" s="9">
        <f>Model_Data!Y44</f>
        <v>184.54420924136062</v>
      </c>
      <c r="I44" s="9">
        <f>Model_Data!Y44</f>
        <v>184.54420924136062</v>
      </c>
      <c r="J44" s="9">
        <f>Model_Data!X44</f>
        <v>-32.020201365077646</v>
      </c>
      <c r="K44" s="9">
        <f>Model_Data!A44</f>
        <v>-39</v>
      </c>
      <c r="L44" s="9">
        <f>Model_Data!Y44</f>
        <v>184.54420924136062</v>
      </c>
      <c r="M44" s="9">
        <f>Model_Data!X44</f>
        <v>-32.020201365077646</v>
      </c>
      <c r="N44" s="9">
        <f>-(Model_Data!AC44-Model_Data!F44)*Inputs!$C$12</f>
        <v>214.64588249227774</v>
      </c>
      <c r="O44" s="10"/>
      <c r="P44" s="9">
        <f>Model_Data!A44</f>
        <v>-39</v>
      </c>
      <c r="Q44" s="9">
        <f>Model_Data!P44</f>
        <v>331.43848065974453</v>
      </c>
      <c r="R44" s="9">
        <f>Model_Data!AM44</f>
        <v>348.42733635496188</v>
      </c>
      <c r="S44" s="9">
        <f>Model_Data!Q44</f>
        <v>49.765537636598282</v>
      </c>
      <c r="T44" s="9">
        <f>Model_Data!AN44</f>
        <v>52.316416870114402</v>
      </c>
      <c r="U44" s="10"/>
      <c r="V44" s="9">
        <f>Model_Data!A44</f>
        <v>-39</v>
      </c>
      <c r="W44" s="9">
        <f>Model_Data!B44-Inputs!$C$5</f>
        <v>1.6899999999999977</v>
      </c>
      <c r="X44" s="10"/>
      <c r="Y44" s="9">
        <f>Model_Data!A44</f>
        <v>-39</v>
      </c>
      <c r="Z44" s="9">
        <f>0</f>
        <v>0</v>
      </c>
      <c r="AA44" s="9">
        <f>((SQRT((Inputs!$C$52+Inputs!$C$5)^2+Inputs!$C$52^2-2*(Inputs!$C$52+Inputs!$C$5)*Inputs!$C$52*COS(SQRT((Model_Data!A44)^2+Inputs!$C$6^2)/Inputs!$C$52))-Inputs!$C$5)*1000/Inputs!$C$12)</f>
        <v>1885.1938993782433</v>
      </c>
      <c r="AB44" s="9">
        <f>Model_Data!F44</f>
        <v>1878.9394139868214</v>
      </c>
    </row>
    <row r="45" spans="1:28">
      <c r="A45" s="9">
        <f>Model_Data!A45</f>
        <v>-38.5</v>
      </c>
      <c r="B45" s="9">
        <f>0</f>
        <v>0</v>
      </c>
      <c r="C45" s="9">
        <f>((SQRT((Inputs!$C$52+Inputs!$C$5)^2+Inputs!$C$52^2-2*(Inputs!$C$52+Inputs!$C$5)*Inputs!$C$52*COS(SQRT((Model_Data!A45)^2+Inputs!$C$6^2)/Inputs!$C$52))-Inputs!$C$5)*1000/Inputs!$C$12)</f>
        <v>1851.2947416406298</v>
      </c>
      <c r="D45" s="9">
        <f>Model_Data!F45</f>
        <v>1845.3075605229446</v>
      </c>
      <c r="E45" s="9">
        <f>Model_Data!AC45</f>
        <v>1708.3590747742153</v>
      </c>
      <c r="F45" s="10"/>
      <c r="G45" s="9">
        <f>Model_Data!A45</f>
        <v>-38.5</v>
      </c>
      <c r="H45" s="9">
        <f>Model_Data!Y45</f>
        <v>211.63430992610967</v>
      </c>
      <c r="I45" s="9">
        <f>Model_Data!Y45</f>
        <v>211.63430992610967</v>
      </c>
      <c r="J45" s="9">
        <f>Model_Data!X45</f>
        <v>-34.295384147954024</v>
      </c>
      <c r="K45" s="9">
        <f>Model_Data!A45</f>
        <v>-38.5</v>
      </c>
      <c r="L45" s="9">
        <f>Model_Data!Y45</f>
        <v>211.63430992610967</v>
      </c>
      <c r="M45" s="9">
        <f>Model_Data!X45</f>
        <v>-34.295384147954024</v>
      </c>
      <c r="N45" s="9">
        <f>-(Model_Data!AC45-Model_Data!F45)*Inputs!$C$12</f>
        <v>243.76830463273825</v>
      </c>
      <c r="O45" s="10"/>
      <c r="P45" s="9">
        <f>Model_Data!A45</f>
        <v>-38.5</v>
      </c>
      <c r="Q45" s="9">
        <f>Model_Data!P45</f>
        <v>327.24998996245631</v>
      </c>
      <c r="R45" s="9">
        <f>Model_Data!AM45</f>
        <v>356.49037925559242</v>
      </c>
      <c r="S45" s="9">
        <f>Model_Data!Q45</f>
        <v>49.136635129497947</v>
      </c>
      <c r="T45" s="9">
        <f>Model_Data!AN45</f>
        <v>53.527083972311175</v>
      </c>
      <c r="U45" s="10"/>
      <c r="V45" s="9">
        <f>Model_Data!A45</f>
        <v>-38.5</v>
      </c>
      <c r="W45" s="9">
        <f>Model_Data!B45-Inputs!$C$5</f>
        <v>1.6469444444444434</v>
      </c>
      <c r="X45" s="10"/>
      <c r="Y45" s="9">
        <f>Model_Data!A45</f>
        <v>-38.5</v>
      </c>
      <c r="Z45" s="9">
        <f>0</f>
        <v>0</v>
      </c>
      <c r="AA45" s="9">
        <f>((SQRT((Inputs!$C$52+Inputs!$C$5)^2+Inputs!$C$52^2-2*(Inputs!$C$52+Inputs!$C$5)*Inputs!$C$52*COS(SQRT((Model_Data!A45)^2+Inputs!$C$6^2)/Inputs!$C$52))-Inputs!$C$5)*1000/Inputs!$C$12)</f>
        <v>1851.2947416406298</v>
      </c>
      <c r="AB45" s="9">
        <f>Model_Data!F45</f>
        <v>1845.3075605229446</v>
      </c>
    </row>
    <row r="46" spans="1:28">
      <c r="A46" s="9">
        <f>Model_Data!A46</f>
        <v>-38</v>
      </c>
      <c r="B46" s="9">
        <f>0</f>
        <v>0</v>
      </c>
      <c r="C46" s="9">
        <f>((SQRT((Inputs!$C$52+Inputs!$C$5)^2+Inputs!$C$52^2-2*(Inputs!$C$52+Inputs!$C$5)*Inputs!$C$52*COS(SQRT((Model_Data!A46)^2+Inputs!$C$6^2)/Inputs!$C$52))-Inputs!$C$5)*1000/Inputs!$C$12)</f>
        <v>1817.8279292902807</v>
      </c>
      <c r="D46" s="9">
        <f>Model_Data!F46</f>
        <v>1812.0991397334715</v>
      </c>
      <c r="E46" s="9">
        <f>Model_Data!AC46</f>
        <v>1687.3472838363</v>
      </c>
      <c r="F46" s="10"/>
      <c r="G46" s="9">
        <f>Model_Data!A46</f>
        <v>-38</v>
      </c>
      <c r="H46" s="9">
        <f>Model_Data!Y46</f>
        <v>202.93658014849487</v>
      </c>
      <c r="I46" s="9">
        <f>Model_Data!Y46</f>
        <v>202.93658014849487</v>
      </c>
      <c r="J46" s="9">
        <f>Model_Data!X46</f>
        <v>-21.157379061522128</v>
      </c>
      <c r="K46" s="9">
        <f>Model_Data!A46</f>
        <v>-38</v>
      </c>
      <c r="L46" s="9">
        <f>Model_Data!Y46</f>
        <v>202.93658014849487</v>
      </c>
      <c r="M46" s="9">
        <f>Model_Data!X46</f>
        <v>-21.157379061522128</v>
      </c>
      <c r="N46" s="9">
        <f>-(Model_Data!AC46-Model_Data!F46)*Inputs!$C$12</f>
        <v>222.05830349696524</v>
      </c>
      <c r="O46" s="10"/>
      <c r="P46" s="9">
        <f>Model_Data!A46</f>
        <v>-38</v>
      </c>
      <c r="Q46" s="9">
        <f>Model_Data!P46</f>
        <v>323.05919359660038</v>
      </c>
      <c r="R46" s="9">
        <f>Model_Data!AM46</f>
        <v>366.83142083111306</v>
      </c>
      <c r="S46" s="9">
        <f>Model_Data!Q46</f>
        <v>48.507386425915975</v>
      </c>
      <c r="T46" s="9">
        <f>Model_Data!AN46</f>
        <v>55.079792917584548</v>
      </c>
      <c r="U46" s="10"/>
      <c r="V46" s="9">
        <f>Model_Data!A46</f>
        <v>-38</v>
      </c>
      <c r="W46" s="9">
        <f>Model_Data!B46-Inputs!$C$5</f>
        <v>1.6044444444444252</v>
      </c>
      <c r="X46" s="10"/>
      <c r="Y46" s="9">
        <f>Model_Data!A46</f>
        <v>-38</v>
      </c>
      <c r="Z46" s="9">
        <f>0</f>
        <v>0</v>
      </c>
      <c r="AA46" s="9">
        <f>((SQRT((Inputs!$C$52+Inputs!$C$5)^2+Inputs!$C$52^2-2*(Inputs!$C$52+Inputs!$C$5)*Inputs!$C$52*COS(SQRT((Model_Data!A46)^2+Inputs!$C$6^2)/Inputs!$C$52))-Inputs!$C$5)*1000/Inputs!$C$12)</f>
        <v>1817.8279292902807</v>
      </c>
      <c r="AB46" s="9">
        <f>Model_Data!F46</f>
        <v>1812.0991397334715</v>
      </c>
    </row>
    <row r="47" spans="1:28">
      <c r="A47" s="9">
        <f>Model_Data!A47</f>
        <v>-37.5</v>
      </c>
      <c r="B47" s="9">
        <f>0</f>
        <v>0</v>
      </c>
      <c r="C47" s="9">
        <f>((SQRT((Inputs!$C$52+Inputs!$C$5)^2+Inputs!$C$52^2-2*(Inputs!$C$52+Inputs!$C$5)*Inputs!$C$52*COS(SQRT((Model_Data!A47)^2+Inputs!$C$6^2)/Inputs!$C$52))-Inputs!$C$5)*1000/Inputs!$C$12)</f>
        <v>1784.7936574050277</v>
      </c>
      <c r="D47" s="9">
        <f>Model_Data!F47</f>
        <v>1779.3145540322525</v>
      </c>
      <c r="E47" s="9">
        <f>Model_Data!AC47</f>
        <v>1635.7617595487268</v>
      </c>
      <c r="F47" s="10"/>
      <c r="G47" s="9">
        <f>Model_Data!A47</f>
        <v>-37.5</v>
      </c>
      <c r="H47" s="9">
        <f>Model_Data!Y47</f>
        <v>239.18714852881689</v>
      </c>
      <c r="I47" s="9">
        <f>Model_Data!Y47</f>
        <v>239.18714852881689</v>
      </c>
      <c r="J47" s="9">
        <f>Model_Data!X47</f>
        <v>-18.69341167436205</v>
      </c>
      <c r="K47" s="9">
        <f>Model_Data!A47</f>
        <v>-37.5</v>
      </c>
      <c r="L47" s="9">
        <f>Model_Data!Y47</f>
        <v>239.18714852881689</v>
      </c>
      <c r="M47" s="9">
        <f>Model_Data!X47</f>
        <v>-18.69341167436205</v>
      </c>
      <c r="N47" s="9">
        <f>-(Model_Data!AC47-Model_Data!F47)*Inputs!$C$12</f>
        <v>255.52397418067585</v>
      </c>
      <c r="O47" s="10"/>
      <c r="P47" s="9">
        <f>Model_Data!A47</f>
        <v>-37.5</v>
      </c>
      <c r="Q47" s="9">
        <f>Model_Data!P47</f>
        <v>318.86611864902079</v>
      </c>
      <c r="R47" s="9">
        <f>Model_Data!AM47</f>
        <v>371.67029926577015</v>
      </c>
      <c r="S47" s="9">
        <f>Model_Data!Q47</f>
        <v>47.877795592946072</v>
      </c>
      <c r="T47" s="9">
        <f>Model_Data!AN47</f>
        <v>55.806351241106633</v>
      </c>
      <c r="U47" s="10"/>
      <c r="V47" s="9">
        <f>Model_Data!A47</f>
        <v>-37.5</v>
      </c>
      <c r="W47" s="9">
        <f>Model_Data!B47-Inputs!$C$5</f>
        <v>1.5625</v>
      </c>
      <c r="X47" s="10"/>
      <c r="Y47" s="9">
        <f>Model_Data!A47</f>
        <v>-37.5</v>
      </c>
      <c r="Z47" s="9">
        <f>0</f>
        <v>0</v>
      </c>
      <c r="AA47" s="9">
        <f>((SQRT((Inputs!$C$52+Inputs!$C$5)^2+Inputs!$C$52^2-2*(Inputs!$C$52+Inputs!$C$5)*Inputs!$C$52*COS(SQRT((Model_Data!A47)^2+Inputs!$C$6^2)/Inputs!$C$52))-Inputs!$C$5)*1000/Inputs!$C$12)</f>
        <v>1784.7936574050277</v>
      </c>
      <c r="AB47" s="9">
        <f>Model_Data!F47</f>
        <v>1779.3145540322525</v>
      </c>
    </row>
    <row r="48" spans="1:28">
      <c r="A48" s="9">
        <f>Model_Data!A48</f>
        <v>-37</v>
      </c>
      <c r="B48" s="9">
        <f>0</f>
        <v>0</v>
      </c>
      <c r="C48" s="9">
        <f>((SQRT((Inputs!$C$52+Inputs!$C$5)^2+Inputs!$C$52^2-2*(Inputs!$C$52+Inputs!$C$5)*Inputs!$C$52*COS(SQRT((Model_Data!A48)^2+Inputs!$C$6^2)/Inputs!$C$52))-Inputs!$C$5)*1000/Inputs!$C$12)</f>
        <v>1752.1921186527331</v>
      </c>
      <c r="D48" s="9">
        <f>Model_Data!F48</f>
        <v>1746.9542010692446</v>
      </c>
      <c r="E48" s="9">
        <f>Model_Data!AC48</f>
        <v>1601.0321785376766</v>
      </c>
      <c r="F48" s="10"/>
      <c r="G48" s="9">
        <f>Model_Data!A48</f>
        <v>-37</v>
      </c>
      <c r="H48" s="9">
        <f>Model_Data!Y48</f>
        <v>236.18872035541293</v>
      </c>
      <c r="I48" s="9">
        <f>Model_Data!Y48</f>
        <v>236.18872035541293</v>
      </c>
      <c r="J48" s="9">
        <f>Model_Data!X48</f>
        <v>-25.837662785318539</v>
      </c>
      <c r="K48" s="9">
        <f>Model_Data!A48</f>
        <v>-37</v>
      </c>
      <c r="L48" s="9">
        <f>Model_Data!Y48</f>
        <v>236.18872035541293</v>
      </c>
      <c r="M48" s="9">
        <f>Model_Data!X48</f>
        <v>-25.837662785318539</v>
      </c>
      <c r="N48" s="9">
        <f>-(Model_Data!AC48-Model_Data!F48)*Inputs!$C$12</f>
        <v>259.74120010619106</v>
      </c>
      <c r="O48" s="10"/>
      <c r="P48" s="9">
        <f>Model_Data!A48</f>
        <v>-37</v>
      </c>
      <c r="Q48" s="9">
        <f>Model_Data!P48</f>
        <v>314.67079231433672</v>
      </c>
      <c r="R48" s="9">
        <f>Model_Data!AM48</f>
        <v>355.48139120546693</v>
      </c>
      <c r="S48" s="9">
        <f>Model_Data!Q48</f>
        <v>47.247866713864376</v>
      </c>
      <c r="T48" s="9">
        <f>Model_Data!AN48</f>
        <v>53.375584265085131</v>
      </c>
      <c r="U48" s="10"/>
      <c r="V48" s="9">
        <f>Model_Data!A48</f>
        <v>-37</v>
      </c>
      <c r="W48" s="9">
        <f>Model_Data!B48-Inputs!$C$5</f>
        <v>1.5211111111111109</v>
      </c>
      <c r="X48" s="10"/>
      <c r="Y48" s="9">
        <f>Model_Data!A48</f>
        <v>-37</v>
      </c>
      <c r="Z48" s="9">
        <f>0</f>
        <v>0</v>
      </c>
      <c r="AA48" s="9">
        <f>((SQRT((Inputs!$C$52+Inputs!$C$5)^2+Inputs!$C$52^2-2*(Inputs!$C$52+Inputs!$C$5)*Inputs!$C$52*COS(SQRT((Model_Data!A48)^2+Inputs!$C$6^2)/Inputs!$C$52))-Inputs!$C$5)*1000/Inputs!$C$12)</f>
        <v>1752.1921186527331</v>
      </c>
      <c r="AB48" s="9">
        <f>Model_Data!F48</f>
        <v>1746.9542010692446</v>
      </c>
    </row>
    <row r="49" spans="1:28">
      <c r="A49" s="9">
        <f>Model_Data!A49</f>
        <v>-36.5</v>
      </c>
      <c r="B49" s="9">
        <f>0</f>
        <v>0</v>
      </c>
      <c r="C49" s="9">
        <f>((SQRT((Inputs!$C$52+Inputs!$C$5)^2+Inputs!$C$52^2-2*(Inputs!$C$52+Inputs!$C$5)*Inputs!$C$52*COS(SQRT((Model_Data!A49)^2+Inputs!$C$6^2)/Inputs!$C$52))-Inputs!$C$5)*1000/Inputs!$C$12)</f>
        <v>1720.0235032886708</v>
      </c>
      <c r="D49" s="9">
        <f>Model_Data!F49</f>
        <v>1715.0184737096579</v>
      </c>
      <c r="E49" s="9">
        <f>Model_Data!AC49</f>
        <v>1555.532393857713</v>
      </c>
      <c r="F49" s="10"/>
      <c r="G49" s="9">
        <f>Model_Data!A49</f>
        <v>-36.5</v>
      </c>
      <c r="H49" s="9">
        <f>Model_Data!Y49</f>
        <v>264.8535608975177</v>
      </c>
      <c r="I49" s="9">
        <f>Model_Data!Y49</f>
        <v>264.8535608975177</v>
      </c>
      <c r="J49" s="9">
        <f>Model_Data!X49</f>
        <v>-21.548035323184823</v>
      </c>
      <c r="K49" s="9">
        <f>Model_Data!A49</f>
        <v>-36.5</v>
      </c>
      <c r="L49" s="9">
        <f>Model_Data!Y49</f>
        <v>264.8535608975177</v>
      </c>
      <c r="M49" s="9">
        <f>Model_Data!X49</f>
        <v>-21.548035323184823</v>
      </c>
      <c r="N49" s="9">
        <f>-(Model_Data!AC49-Model_Data!F49)*Inputs!$C$12</f>
        <v>283.88522213646183</v>
      </c>
      <c r="O49" s="10"/>
      <c r="P49" s="9">
        <f>Model_Data!A49</f>
        <v>-36.5</v>
      </c>
      <c r="Q49" s="9">
        <f>Model_Data!P49</f>
        <v>310.47324188575658</v>
      </c>
      <c r="R49" s="9">
        <f>Model_Data!AM49</f>
        <v>369.34297482257534</v>
      </c>
      <c r="S49" s="9">
        <f>Model_Data!Q49</f>
        <v>46.617603886750238</v>
      </c>
      <c r="T49" s="9">
        <f>Model_Data!AN49</f>
        <v>55.45690312651282</v>
      </c>
      <c r="U49" s="10"/>
      <c r="V49" s="9">
        <f>Model_Data!A49</f>
        <v>-36.5</v>
      </c>
      <c r="W49" s="9">
        <f>Model_Data!B49-Inputs!$C$5</f>
        <v>1.4802777777777578</v>
      </c>
      <c r="X49" s="10"/>
      <c r="Y49" s="9">
        <f>Model_Data!A49</f>
        <v>-36.5</v>
      </c>
      <c r="Z49" s="9">
        <f>0</f>
        <v>0</v>
      </c>
      <c r="AA49" s="9">
        <f>((SQRT((Inputs!$C$52+Inputs!$C$5)^2+Inputs!$C$52^2-2*(Inputs!$C$52+Inputs!$C$5)*Inputs!$C$52*COS(SQRT((Model_Data!A49)^2+Inputs!$C$6^2)/Inputs!$C$52))-Inputs!$C$5)*1000/Inputs!$C$12)</f>
        <v>1720.0235032886708</v>
      </c>
      <c r="AB49" s="9">
        <f>Model_Data!F49</f>
        <v>1715.0184737096579</v>
      </c>
    </row>
    <row r="50" spans="1:28">
      <c r="A50" s="9">
        <f>Model_Data!A50</f>
        <v>-36</v>
      </c>
      <c r="B50" s="9">
        <f>0</f>
        <v>0</v>
      </c>
      <c r="C50" s="9">
        <f>((SQRT((Inputs!$C$52+Inputs!$C$5)^2+Inputs!$C$52^2-2*(Inputs!$C$52+Inputs!$C$5)*Inputs!$C$52*COS(SQRT((Model_Data!A50)^2+Inputs!$C$6^2)/Inputs!$C$52))-Inputs!$C$5)*1000/Inputs!$C$12)</f>
        <v>1688.2879991473199</v>
      </c>
      <c r="D50" s="9">
        <f>Model_Data!F50</f>
        <v>1683.5077600200959</v>
      </c>
      <c r="E50" s="9">
        <f>Model_Data!AC50</f>
        <v>1530.1460843949208</v>
      </c>
      <c r="F50" s="10"/>
      <c r="G50" s="9">
        <f>Model_Data!A50</f>
        <v>-36</v>
      </c>
      <c r="H50" s="9">
        <f>Model_Data!Y50</f>
        <v>273.24610443212225</v>
      </c>
      <c r="I50" s="9">
        <f>Model_Data!Y50</f>
        <v>273.24610443212225</v>
      </c>
      <c r="J50" s="9">
        <f>Model_Data!X50</f>
        <v>-2.2866622063925579</v>
      </c>
      <c r="K50" s="9">
        <f>Model_Data!A50</f>
        <v>-36</v>
      </c>
      <c r="L50" s="9">
        <f>Model_Data!Y50</f>
        <v>273.24610443212225</v>
      </c>
      <c r="M50" s="9">
        <f>Model_Data!X50</f>
        <v>-2.2866622063925579</v>
      </c>
      <c r="N50" s="9">
        <f>-(Model_Data!AC50-Model_Data!F50)*Inputs!$C$12</f>
        <v>272.98378261281181</v>
      </c>
      <c r="O50" s="10"/>
      <c r="P50" s="9">
        <f>Model_Data!A50</f>
        <v>-36</v>
      </c>
      <c r="Q50" s="9">
        <f>Model_Data!P50</f>
        <v>306.2734947710851</v>
      </c>
      <c r="R50" s="9">
        <f>Model_Data!AM50</f>
        <v>338.28247547235151</v>
      </c>
      <c r="S50" s="9">
        <f>Model_Data!Q50</f>
        <v>45.987011226889656</v>
      </c>
      <c r="T50" s="9">
        <f>Model_Data!AN50</f>
        <v>50.793164485338067</v>
      </c>
      <c r="U50" s="10"/>
      <c r="V50" s="9">
        <f>Model_Data!A50</f>
        <v>-36</v>
      </c>
      <c r="W50" s="9">
        <f>Model_Data!B50-Inputs!$C$5</f>
        <v>1.4399999999999977</v>
      </c>
      <c r="X50" s="10"/>
      <c r="Y50" s="9">
        <f>Model_Data!A50</f>
        <v>-36</v>
      </c>
      <c r="Z50" s="9">
        <f>0</f>
        <v>0</v>
      </c>
      <c r="AA50" s="9">
        <f>((SQRT((Inputs!$C$52+Inputs!$C$5)^2+Inputs!$C$52^2-2*(Inputs!$C$52+Inputs!$C$5)*Inputs!$C$52*COS(SQRT((Model_Data!A50)^2+Inputs!$C$6^2)/Inputs!$C$52))-Inputs!$C$5)*1000/Inputs!$C$12)</f>
        <v>1688.2879991473199</v>
      </c>
      <c r="AB50" s="9">
        <f>Model_Data!F50</f>
        <v>1683.5077600200959</v>
      </c>
    </row>
    <row r="51" spans="1:28">
      <c r="A51" s="9">
        <f>Model_Data!A51</f>
        <v>-35.5</v>
      </c>
      <c r="B51" s="9">
        <f>0</f>
        <v>0</v>
      </c>
      <c r="C51" s="9">
        <f>((SQRT((Inputs!$C$52+Inputs!$C$5)^2+Inputs!$C$52^2-2*(Inputs!$C$52+Inputs!$C$5)*Inputs!$C$52*COS(SQRT((Model_Data!A51)^2+Inputs!$C$6^2)/Inputs!$C$52))-Inputs!$C$5)*1000/Inputs!$C$12)</f>
        <v>1656.9857916385645</v>
      </c>
      <c r="D51" s="9">
        <f>Model_Data!F51</f>
        <v>1652.4224432422736</v>
      </c>
      <c r="E51" s="9">
        <f>Model_Data!AC51</f>
        <v>1493.4467288531112</v>
      </c>
      <c r="F51" s="10"/>
      <c r="G51" s="9">
        <f>Model_Data!A51</f>
        <v>-35.5</v>
      </c>
      <c r="H51" s="9">
        <f>Model_Data!Y51</f>
        <v>284.9525044866856</v>
      </c>
      <c r="I51" s="9">
        <f>Model_Data!Y51</f>
        <v>284.9525044866856</v>
      </c>
      <c r="J51" s="9">
        <f>Model_Data!X51</f>
        <v>-0.63397186114618087</v>
      </c>
      <c r="K51" s="9">
        <f>Model_Data!A51</f>
        <v>-35.5</v>
      </c>
      <c r="L51" s="9">
        <f>Model_Data!Y51</f>
        <v>284.9525044866856</v>
      </c>
      <c r="M51" s="9">
        <f>Model_Data!X51</f>
        <v>-0.63397186114618087</v>
      </c>
      <c r="N51" s="9">
        <f>-(Model_Data!AC51-Model_Data!F51)*Inputs!$C$12</f>
        <v>282.97677161270923</v>
      </c>
      <c r="O51" s="10"/>
      <c r="P51" s="9">
        <f>Model_Data!A51</f>
        <v>-35.5</v>
      </c>
      <c r="Q51" s="9">
        <f>Model_Data!P51</f>
        <v>302.07157848089992</v>
      </c>
      <c r="R51" s="9">
        <f>Model_Data!AM51</f>
        <v>314.05984233133495</v>
      </c>
      <c r="S51" s="9">
        <f>Model_Data!Q51</f>
        <v>45.356092864999994</v>
      </c>
      <c r="T51" s="9">
        <f>Model_Data!AN51</f>
        <v>47.156132482182429</v>
      </c>
      <c r="U51" s="10"/>
      <c r="V51" s="9">
        <f>Model_Data!A51</f>
        <v>-35.5</v>
      </c>
      <c r="W51" s="9">
        <f>Model_Data!B51-Inputs!$C$5</f>
        <v>1.4002777777777737</v>
      </c>
      <c r="X51" s="10"/>
      <c r="Y51" s="9">
        <f>Model_Data!A51</f>
        <v>-35.5</v>
      </c>
      <c r="Z51" s="9">
        <f>0</f>
        <v>0</v>
      </c>
      <c r="AA51" s="9">
        <f>((SQRT((Inputs!$C$52+Inputs!$C$5)^2+Inputs!$C$52^2-2*(Inputs!$C$52+Inputs!$C$5)*Inputs!$C$52*COS(SQRT((Model_Data!A51)^2+Inputs!$C$6^2)/Inputs!$C$52))-Inputs!$C$5)*1000/Inputs!$C$12)</f>
        <v>1656.9857916385645</v>
      </c>
      <c r="AB51" s="9">
        <f>Model_Data!F51</f>
        <v>1652.4224432422736</v>
      </c>
    </row>
    <row r="52" spans="1:28">
      <c r="A52" s="9">
        <f>Model_Data!A52</f>
        <v>-35</v>
      </c>
      <c r="B52" s="9">
        <f>0</f>
        <v>0</v>
      </c>
      <c r="C52" s="9">
        <f>((SQRT((Inputs!$C$52+Inputs!$C$5)^2+Inputs!$C$52^2-2*(Inputs!$C$52+Inputs!$C$5)*Inputs!$C$52*COS(SQRT((Model_Data!A52)^2+Inputs!$C$6^2)/Inputs!$C$52))-Inputs!$C$5)*1000/Inputs!$C$12)</f>
        <v>1626.1170637436685</v>
      </c>
      <c r="D52" s="9">
        <f>Model_Data!F52</f>
        <v>1621.7629017832137</v>
      </c>
      <c r="E52" s="9">
        <f>Model_Data!AC52</f>
        <v>1460.022275353615</v>
      </c>
      <c r="F52" s="10"/>
      <c r="G52" s="9">
        <f>Model_Data!A52</f>
        <v>-35</v>
      </c>
      <c r="H52" s="9">
        <f>Model_Data!Y52</f>
        <v>280.71344003936963</v>
      </c>
      <c r="I52" s="9">
        <f>Model_Data!Y52</f>
        <v>280.71344003936963</v>
      </c>
      <c r="J52" s="9">
        <f>Model_Data!X52</f>
        <v>-9.7085297317811534</v>
      </c>
      <c r="K52" s="9">
        <f>Model_Data!A52</f>
        <v>-35</v>
      </c>
      <c r="L52" s="9">
        <f>Model_Data!Y52</f>
        <v>280.71344003936963</v>
      </c>
      <c r="M52" s="9">
        <f>Model_Data!X52</f>
        <v>-9.7085297317811534</v>
      </c>
      <c r="N52" s="9">
        <f>-(Model_Data!AC52-Model_Data!F52)*Inputs!$C$12</f>
        <v>287.89831504468572</v>
      </c>
      <c r="O52" s="10"/>
      <c r="P52" s="9">
        <f>Model_Data!A52</f>
        <v>-35</v>
      </c>
      <c r="Q52" s="9">
        <f>Model_Data!P52</f>
        <v>297.86752062109372</v>
      </c>
      <c r="R52" s="9">
        <f>Model_Data!AM52</f>
        <v>347.75645538547906</v>
      </c>
      <c r="S52" s="9">
        <f>Model_Data!Q52</f>
        <v>44.724852946110168</v>
      </c>
      <c r="T52" s="9">
        <f>Model_Data!AN52</f>
        <v>52.215683991813677</v>
      </c>
      <c r="U52" s="10"/>
      <c r="V52" s="9">
        <f>Model_Data!A52</f>
        <v>-35</v>
      </c>
      <c r="W52" s="9">
        <f>Model_Data!B52-Inputs!$C$5</f>
        <v>1.3611111111110858</v>
      </c>
      <c r="X52" s="10"/>
      <c r="Y52" s="9">
        <f>Model_Data!A52</f>
        <v>-35</v>
      </c>
      <c r="Z52" s="9">
        <f>0</f>
        <v>0</v>
      </c>
      <c r="AA52" s="9">
        <f>((SQRT((Inputs!$C$52+Inputs!$C$5)^2+Inputs!$C$52^2-2*(Inputs!$C$52+Inputs!$C$5)*Inputs!$C$52*COS(SQRT((Model_Data!A52)^2+Inputs!$C$6^2)/Inputs!$C$52))-Inputs!$C$5)*1000/Inputs!$C$12)</f>
        <v>1626.1170637436685</v>
      </c>
      <c r="AB52" s="9">
        <f>Model_Data!F52</f>
        <v>1621.7629017832137</v>
      </c>
    </row>
    <row r="53" spans="1:28">
      <c r="A53" s="9">
        <f>Model_Data!A53</f>
        <v>-34.5</v>
      </c>
      <c r="B53" s="9">
        <f>0</f>
        <v>0</v>
      </c>
      <c r="C53" s="9">
        <f>((SQRT((Inputs!$C$52+Inputs!$C$5)^2+Inputs!$C$52^2-2*(Inputs!$C$52+Inputs!$C$5)*Inputs!$C$52*COS(SQRT((Model_Data!A53)^2+Inputs!$C$6^2)/Inputs!$C$52))-Inputs!$C$5)*1000/Inputs!$C$12)</f>
        <v>1595.6819960061448</v>
      </c>
      <c r="D53" s="9">
        <f>Model_Data!F53</f>
        <v>1591.5295091914868</v>
      </c>
      <c r="E53" s="9">
        <f>Model_Data!AC53</f>
        <v>1409.8536469408293</v>
      </c>
      <c r="F53" s="10"/>
      <c r="G53" s="9">
        <f>Model_Data!A53</f>
        <v>-34.5</v>
      </c>
      <c r="H53" s="9">
        <f>Model_Data!Y53</f>
        <v>316.31487804948046</v>
      </c>
      <c r="I53" s="9">
        <f>Model_Data!Y53</f>
        <v>316.31487804948046</v>
      </c>
      <c r="J53" s="9">
        <f>Model_Data!X53</f>
        <v>-9.8596508268729295</v>
      </c>
      <c r="K53" s="9">
        <f>Model_Data!A53</f>
        <v>-34.5</v>
      </c>
      <c r="L53" s="9">
        <f>Model_Data!Y53</f>
        <v>316.31487804948046</v>
      </c>
      <c r="M53" s="9">
        <f>Model_Data!X53</f>
        <v>-9.8596508268729295</v>
      </c>
      <c r="N53" s="9">
        <f>-(Model_Data!AC53-Model_Data!F53)*Inputs!$C$12</f>
        <v>323.38303480617031</v>
      </c>
      <c r="O53" s="10"/>
      <c r="P53" s="9">
        <f>Model_Data!A53</f>
        <v>-34.5</v>
      </c>
      <c r="Q53" s="9">
        <f>Model_Data!P53</f>
        <v>293.66134891224647</v>
      </c>
      <c r="R53" s="9">
        <f>Model_Data!AM53</f>
        <v>355.19551341312763</v>
      </c>
      <c r="S53" s="9">
        <f>Model_Data!Q53</f>
        <v>44.093295632469442</v>
      </c>
      <c r="T53" s="9">
        <f>Model_Data!AN53</f>
        <v>53.332659671640791</v>
      </c>
      <c r="U53" s="10"/>
      <c r="V53" s="9">
        <f>Model_Data!A53</f>
        <v>-34.5</v>
      </c>
      <c r="W53" s="9">
        <f>Model_Data!B53-Inputs!$C$5</f>
        <v>1.3224999999999909</v>
      </c>
      <c r="X53" s="10"/>
      <c r="Y53" s="9">
        <f>Model_Data!A53</f>
        <v>-34.5</v>
      </c>
      <c r="Z53" s="9">
        <f>0</f>
        <v>0</v>
      </c>
      <c r="AA53" s="9">
        <f>((SQRT((Inputs!$C$52+Inputs!$C$5)^2+Inputs!$C$52^2-2*(Inputs!$C$52+Inputs!$C$5)*Inputs!$C$52*COS(SQRT((Model_Data!A53)^2+Inputs!$C$6^2)/Inputs!$C$52))-Inputs!$C$5)*1000/Inputs!$C$12)</f>
        <v>1595.6819960061448</v>
      </c>
      <c r="AB53" s="9">
        <f>Model_Data!F53</f>
        <v>1591.5295091914868</v>
      </c>
    </row>
    <row r="54" spans="1:28">
      <c r="A54" s="9">
        <f>Model_Data!A54</f>
        <v>-34</v>
      </c>
      <c r="B54" s="9">
        <f>0</f>
        <v>0</v>
      </c>
      <c r="C54" s="9">
        <f>((SQRT((Inputs!$C$52+Inputs!$C$5)^2+Inputs!$C$52^2-2*(Inputs!$C$52+Inputs!$C$5)*Inputs!$C$52*COS(SQRT((Model_Data!A54)^2+Inputs!$C$6^2)/Inputs!$C$52))-Inputs!$C$5)*1000/Inputs!$C$12)</f>
        <v>1565.6807665318488</v>
      </c>
      <c r="D54" s="9">
        <f>Model_Data!F54</f>
        <v>1561.7226341407977</v>
      </c>
      <c r="E54" s="9">
        <f>Model_Data!AC54</f>
        <v>1383.9611627288964</v>
      </c>
      <c r="F54" s="10"/>
      <c r="G54" s="9">
        <f>Model_Data!A54</f>
        <v>-34</v>
      </c>
      <c r="H54" s="9">
        <f>Model_Data!Y54</f>
        <v>319.41525492664545</v>
      </c>
      <c r="I54" s="9">
        <f>Model_Data!Y54</f>
        <v>319.41525492664545</v>
      </c>
      <c r="J54" s="9">
        <f>Model_Data!X54</f>
        <v>0.233219012771956</v>
      </c>
      <c r="K54" s="9">
        <f>Model_Data!A54</f>
        <v>-34</v>
      </c>
      <c r="L54" s="9">
        <f>Model_Data!Y54</f>
        <v>319.41525492664545</v>
      </c>
      <c r="M54" s="9">
        <f>Model_Data!X54</f>
        <v>0.233219012771956</v>
      </c>
      <c r="N54" s="9">
        <f>-(Model_Data!AC54-Model_Data!F54)*Inputs!$C$12</f>
        <v>316.41541911318433</v>
      </c>
      <c r="O54" s="10"/>
      <c r="P54" s="9">
        <f>Model_Data!A54</f>
        <v>-34</v>
      </c>
      <c r="Q54" s="9">
        <f>Model_Data!P54</f>
        <v>289.4530911666152</v>
      </c>
      <c r="R54" s="9">
        <f>Model_Data!AM54</f>
        <v>308.86032495109248</v>
      </c>
      <c r="S54" s="9">
        <f>Model_Data!Q54</f>
        <v>43.461425100092377</v>
      </c>
      <c r="T54" s="9">
        <f>Model_Data!AN54</f>
        <v>46.375424166830705</v>
      </c>
      <c r="U54" s="10"/>
      <c r="V54" s="9">
        <f>Model_Data!A54</f>
        <v>-34</v>
      </c>
      <c r="W54" s="9">
        <f>Model_Data!B54-Inputs!$C$5</f>
        <v>1.2844444444444321</v>
      </c>
      <c r="X54" s="10"/>
      <c r="Y54" s="9">
        <f>Model_Data!A54</f>
        <v>-34</v>
      </c>
      <c r="Z54" s="9">
        <f>0</f>
        <v>0</v>
      </c>
      <c r="AA54" s="9">
        <f>((SQRT((Inputs!$C$52+Inputs!$C$5)^2+Inputs!$C$52^2-2*(Inputs!$C$52+Inputs!$C$5)*Inputs!$C$52*COS(SQRT((Model_Data!A54)^2+Inputs!$C$6^2)/Inputs!$C$52))-Inputs!$C$5)*1000/Inputs!$C$12)</f>
        <v>1565.6807665318488</v>
      </c>
      <c r="AB54" s="9">
        <f>Model_Data!F54</f>
        <v>1561.7226341407977</v>
      </c>
    </row>
    <row r="55" spans="1:28">
      <c r="A55" s="9">
        <f>Model_Data!A55</f>
        <v>-33.5</v>
      </c>
      <c r="B55" s="9">
        <f>0</f>
        <v>0</v>
      </c>
      <c r="C55" s="9">
        <f>((SQRT((Inputs!$C$52+Inputs!$C$5)^2+Inputs!$C$52^2-2*(Inputs!$C$52+Inputs!$C$5)*Inputs!$C$52*COS(SQRT((Model_Data!A55)^2+Inputs!$C$6^2)/Inputs!$C$52))-Inputs!$C$5)*1000/Inputs!$C$12)</f>
        <v>1536.1135509787923</v>
      </c>
      <c r="D55" s="9">
        <f>Model_Data!F55</f>
        <v>1532.3426404141778</v>
      </c>
      <c r="E55" s="9">
        <f>Model_Data!AC55</f>
        <v>1354.1669609045191</v>
      </c>
      <c r="F55" s="10"/>
      <c r="G55" s="9">
        <f>Model_Data!A55</f>
        <v>-33.5</v>
      </c>
      <c r="H55" s="9">
        <f>Model_Data!Y55</f>
        <v>328.44480575089858</v>
      </c>
      <c r="I55" s="9">
        <f>Model_Data!Y55</f>
        <v>328.44480575089858</v>
      </c>
      <c r="J55" s="9">
        <f>Model_Data!X55</f>
        <v>8.5001955674394374</v>
      </c>
      <c r="K55" s="9">
        <f>Model_Data!A55</f>
        <v>-33.5</v>
      </c>
      <c r="L55" s="9">
        <f>Model_Data!Y55</f>
        <v>328.44480575089858</v>
      </c>
      <c r="M55" s="9">
        <f>Model_Data!X55</f>
        <v>8.5001955674394374</v>
      </c>
      <c r="N55" s="9">
        <f>-(Model_Data!AC55-Model_Data!F55)*Inputs!$C$12</f>
        <v>317.15270952719254</v>
      </c>
      <c r="O55" s="10"/>
      <c r="P55" s="9">
        <f>Model_Data!A55</f>
        <v>-33.5</v>
      </c>
      <c r="Q55" s="9">
        <f>Model_Data!P55</f>
        <v>285.24277529395476</v>
      </c>
      <c r="R55" s="9">
        <f>Model_Data!AM55</f>
        <v>321.33106228302495</v>
      </c>
      <c r="S55" s="9">
        <f>Model_Data!Q55</f>
        <v>42.829245539632851</v>
      </c>
      <c r="T55" s="9">
        <f>Model_Data!AN55</f>
        <v>48.247907249703452</v>
      </c>
      <c r="U55" s="10"/>
      <c r="V55" s="9">
        <f>Model_Data!A55</f>
        <v>-33.5</v>
      </c>
      <c r="W55" s="9">
        <f>Model_Data!B55-Inputs!$C$5</f>
        <v>1.2469444444444662</v>
      </c>
      <c r="X55" s="10"/>
      <c r="Y55" s="9">
        <f>Model_Data!A55</f>
        <v>-33.5</v>
      </c>
      <c r="Z55" s="9">
        <f>0</f>
        <v>0</v>
      </c>
      <c r="AA55" s="9">
        <f>((SQRT((Inputs!$C$52+Inputs!$C$5)^2+Inputs!$C$52^2-2*(Inputs!$C$52+Inputs!$C$5)*Inputs!$C$52*COS(SQRT((Model_Data!A55)^2+Inputs!$C$6^2)/Inputs!$C$52))-Inputs!$C$5)*1000/Inputs!$C$12)</f>
        <v>1536.1135509787923</v>
      </c>
      <c r="AB55" s="9">
        <f>Model_Data!F55</f>
        <v>1532.3426404141778</v>
      </c>
    </row>
    <row r="56" spans="1:28">
      <c r="A56" s="9">
        <f>Model_Data!A56</f>
        <v>-33</v>
      </c>
      <c r="B56" s="9">
        <f>0</f>
        <v>0</v>
      </c>
      <c r="C56" s="9">
        <f>((SQRT((Inputs!$C$52+Inputs!$C$5)^2+Inputs!$C$52^2-2*(Inputs!$C$52+Inputs!$C$5)*Inputs!$C$52*COS(SQRT((Model_Data!A56)^2+Inputs!$C$6^2)/Inputs!$C$52))-Inputs!$C$5)*1000/Inputs!$C$12)</f>
        <v>1506.9805225566647</v>
      </c>
      <c r="D56" s="9">
        <f>Model_Data!F56</f>
        <v>1503.3898868855904</v>
      </c>
      <c r="E56" s="9">
        <f>Model_Data!AC56</f>
        <v>1320.0646931345659</v>
      </c>
      <c r="F56" s="10"/>
      <c r="G56" s="9">
        <f>Model_Data!A56</f>
        <v>-33</v>
      </c>
      <c r="H56" s="9">
        <f>Model_Data!Y56</f>
        <v>342.05712046848419</v>
      </c>
      <c r="I56" s="9">
        <f>Model_Data!Y56</f>
        <v>342.05712046848419</v>
      </c>
      <c r="J56" s="9">
        <f>Model_Data!X56</f>
        <v>12.884972617306985</v>
      </c>
      <c r="K56" s="9">
        <f>Model_Data!A56</f>
        <v>-33</v>
      </c>
      <c r="L56" s="9">
        <f>Model_Data!Y56</f>
        <v>342.05712046848419</v>
      </c>
      <c r="M56" s="9">
        <f>Model_Data!X56</f>
        <v>12.884972617306985</v>
      </c>
      <c r="N56" s="9">
        <f>-(Model_Data!AC56-Model_Data!F56)*Inputs!$C$12</f>
        <v>326.31884487682356</v>
      </c>
      <c r="O56" s="10"/>
      <c r="P56" s="9">
        <f>Model_Data!A56</f>
        <v>-33</v>
      </c>
      <c r="Q56" s="9">
        <f>Model_Data!P56</f>
        <v>281.0304293043373</v>
      </c>
      <c r="R56" s="9">
        <f>Model_Data!AM56</f>
        <v>316.859491910418</v>
      </c>
      <c r="S56" s="9">
        <f>Model_Data!Q56</f>
        <v>42.196761156807405</v>
      </c>
      <c r="T56" s="9">
        <f>Model_Data!AN56</f>
        <v>47.576500286849551</v>
      </c>
      <c r="U56" s="10"/>
      <c r="V56" s="9">
        <f>Model_Data!A56</f>
        <v>-33</v>
      </c>
      <c r="W56" s="9">
        <f>Model_Data!B56-Inputs!$C$5</f>
        <v>1.2099999999999795</v>
      </c>
      <c r="X56" s="10"/>
      <c r="Y56" s="9">
        <f>Model_Data!A56</f>
        <v>-33</v>
      </c>
      <c r="Z56" s="9">
        <f>0</f>
        <v>0</v>
      </c>
      <c r="AA56" s="9">
        <f>((SQRT((Inputs!$C$52+Inputs!$C$5)^2+Inputs!$C$52^2-2*(Inputs!$C$52+Inputs!$C$5)*Inputs!$C$52*COS(SQRT((Model_Data!A56)^2+Inputs!$C$6^2)/Inputs!$C$52))-Inputs!$C$5)*1000/Inputs!$C$12)</f>
        <v>1506.9805225566647</v>
      </c>
      <c r="AB56" s="9">
        <f>Model_Data!F56</f>
        <v>1503.3898868855904</v>
      </c>
    </row>
    <row r="57" spans="1:28">
      <c r="A57" s="9">
        <f>Model_Data!A57</f>
        <v>-32.5</v>
      </c>
      <c r="B57" s="9">
        <f>0</f>
        <v>0</v>
      </c>
      <c r="C57" s="9">
        <f>((SQRT((Inputs!$C$52+Inputs!$C$5)^2+Inputs!$C$52^2-2*(Inputs!$C$52+Inputs!$C$5)*Inputs!$C$52*COS(SQRT((Model_Data!A57)^2+Inputs!$C$6^2)/Inputs!$C$52))-Inputs!$C$5)*1000/Inputs!$C$12)</f>
        <v>1478.281852017923</v>
      </c>
      <c r="D57" s="9">
        <f>Model_Data!F57</f>
        <v>1474.8647275030371</v>
      </c>
      <c r="E57" s="9">
        <f>Model_Data!AC57</f>
        <v>1287.309018256957</v>
      </c>
      <c r="F57" s="10"/>
      <c r="G57" s="9">
        <f>Model_Data!A57</f>
        <v>-32.5</v>
      </c>
      <c r="H57" s="9">
        <f>Model_Data!Y57</f>
        <v>350.91834122472949</v>
      </c>
      <c r="I57" s="9">
        <f>Model_Data!Y57</f>
        <v>350.91834122472949</v>
      </c>
      <c r="J57" s="9">
        <f>Model_Data!X57</f>
        <v>14.196906765365963</v>
      </c>
      <c r="K57" s="9">
        <f>Model_Data!A57</f>
        <v>-32.5</v>
      </c>
      <c r="L57" s="9">
        <f>Model_Data!Y57</f>
        <v>350.91834122472949</v>
      </c>
      <c r="M57" s="9">
        <f>Model_Data!X57</f>
        <v>14.196906765365963</v>
      </c>
      <c r="N57" s="9">
        <f>-(Model_Data!AC57-Model_Data!F57)*Inputs!$C$12</f>
        <v>333.84916245802265</v>
      </c>
      <c r="O57" s="10"/>
      <c r="P57" s="9">
        <f>Model_Data!A57</f>
        <v>-32.5</v>
      </c>
      <c r="Q57" s="9">
        <f>Model_Data!P57</f>
        <v>276.81608131206303</v>
      </c>
      <c r="R57" s="9">
        <f>Model_Data!AM57</f>
        <v>275.17658723500062</v>
      </c>
      <c r="S57" s="9">
        <f>Model_Data!Q57</f>
        <v>41.563976172982443</v>
      </c>
      <c r="T57" s="9">
        <f>Model_Data!AN57</f>
        <v>41.317805891141241</v>
      </c>
      <c r="U57" s="10"/>
      <c r="V57" s="9">
        <f>Model_Data!A57</f>
        <v>-32.5</v>
      </c>
      <c r="W57" s="9">
        <f>Model_Data!B57-Inputs!$C$5</f>
        <v>1.1736111111110858</v>
      </c>
      <c r="X57" s="10"/>
      <c r="Y57" s="9">
        <f>Model_Data!A57</f>
        <v>-32.5</v>
      </c>
      <c r="Z57" s="9">
        <f>0</f>
        <v>0</v>
      </c>
      <c r="AA57" s="9">
        <f>((SQRT((Inputs!$C$52+Inputs!$C$5)^2+Inputs!$C$52^2-2*(Inputs!$C$52+Inputs!$C$5)*Inputs!$C$52*COS(SQRT((Model_Data!A57)^2+Inputs!$C$6^2)/Inputs!$C$52))-Inputs!$C$5)*1000/Inputs!$C$12)</f>
        <v>1478.281852017923</v>
      </c>
      <c r="AB57" s="9">
        <f>Model_Data!F57</f>
        <v>1474.8647275030371</v>
      </c>
    </row>
    <row r="58" spans="1:28">
      <c r="A58" s="9">
        <f>Model_Data!A58</f>
        <v>-32</v>
      </c>
      <c r="B58" s="9">
        <f>0</f>
        <v>0</v>
      </c>
      <c r="C58" s="9">
        <f>((SQRT((Inputs!$C$52+Inputs!$C$5)^2+Inputs!$C$52^2-2*(Inputs!$C$52+Inputs!$C$5)*Inputs!$C$52*COS(SQRT((Model_Data!A58)^2+Inputs!$C$6^2)/Inputs!$C$52))-Inputs!$C$5)*1000/Inputs!$C$12)</f>
        <v>1450.0177076562909</v>
      </c>
      <c r="D58" s="9">
        <f>Model_Data!F58</f>
        <v>1446.7675112688235</v>
      </c>
      <c r="E58" s="9">
        <f>Model_Data!AC58</f>
        <v>1259.9987994430683</v>
      </c>
      <c r="F58" s="10"/>
      <c r="G58" s="9">
        <f>Model_Data!A58</f>
        <v>-32</v>
      </c>
      <c r="H58" s="9">
        <f>Model_Data!Y58</f>
        <v>340.91681406553505</v>
      </c>
      <c r="I58" s="9">
        <f>Model_Data!Y58</f>
        <v>340.91681406553505</v>
      </c>
      <c r="J58" s="9">
        <f>Model_Data!X58</f>
        <v>5.7308266461344264</v>
      </c>
      <c r="K58" s="9">
        <f>Model_Data!A58</f>
        <v>-32</v>
      </c>
      <c r="L58" s="9">
        <f>Model_Data!Y58</f>
        <v>340.91681406553505</v>
      </c>
      <c r="M58" s="9">
        <f>Model_Data!X58</f>
        <v>5.7308266461344264</v>
      </c>
      <c r="N58" s="9">
        <f>-(Model_Data!AC58-Model_Data!F58)*Inputs!$C$12</f>
        <v>332.44830704984423</v>
      </c>
      <c r="O58" s="10"/>
      <c r="P58" s="9">
        <f>Model_Data!A58</f>
        <v>-32</v>
      </c>
      <c r="Q58" s="9">
        <f>Model_Data!P58</f>
        <v>272.59975951992601</v>
      </c>
      <c r="R58" s="9">
        <f>Model_Data!AM58</f>
        <v>279.49268607053455</v>
      </c>
      <c r="S58" s="9">
        <f>Model_Data!Q58</f>
        <v>40.930894822811716</v>
      </c>
      <c r="T58" s="9">
        <f>Model_Data!AN58</f>
        <v>41.965868779359546</v>
      </c>
      <c r="U58" s="10"/>
      <c r="V58" s="9">
        <f>Model_Data!A58</f>
        <v>-32</v>
      </c>
      <c r="W58" s="9">
        <f>Model_Data!B58-Inputs!$C$5</f>
        <v>1.1377777777777851</v>
      </c>
      <c r="X58" s="10"/>
      <c r="Y58" s="9">
        <f>Model_Data!A58</f>
        <v>-32</v>
      </c>
      <c r="Z58" s="9">
        <f>0</f>
        <v>0</v>
      </c>
      <c r="AA58" s="9">
        <f>((SQRT((Inputs!$C$52+Inputs!$C$5)^2+Inputs!$C$52^2-2*(Inputs!$C$52+Inputs!$C$5)*Inputs!$C$52*COS(SQRT((Model_Data!A58)^2+Inputs!$C$6^2)/Inputs!$C$52))-Inputs!$C$5)*1000/Inputs!$C$12)</f>
        <v>1450.0177076562909</v>
      </c>
      <c r="AB58" s="9">
        <f>Model_Data!F58</f>
        <v>1446.7675112688235</v>
      </c>
    </row>
    <row r="59" spans="1:28">
      <c r="A59" s="9">
        <f>Model_Data!A59</f>
        <v>-31.5</v>
      </c>
      <c r="B59" s="9">
        <f>0</f>
        <v>0</v>
      </c>
      <c r="C59" s="9">
        <f>((SQRT((Inputs!$C$52+Inputs!$C$5)^2+Inputs!$C$52^2-2*(Inputs!$C$52+Inputs!$C$5)*Inputs!$C$52*COS(SQRT((Model_Data!A59)^2+Inputs!$C$6^2)/Inputs!$C$52))-Inputs!$C$5)*1000/Inputs!$C$12)</f>
        <v>1422.1882553000517</v>
      </c>
      <c r="D59" s="9">
        <f>Model_Data!F59</f>
        <v>1419.0985822283808</v>
      </c>
      <c r="E59" s="9">
        <f>Model_Data!AC59</f>
        <v>1226.3691826767422</v>
      </c>
      <c r="F59" s="10"/>
      <c r="G59" s="9">
        <f>Model_Data!A59</f>
        <v>-31.5</v>
      </c>
      <c r="H59" s="9">
        <f>Model_Data!Y59</f>
        <v>355.15219987006986</v>
      </c>
      <c r="I59" s="9">
        <f>Model_Data!Y59</f>
        <v>355.15219987006986</v>
      </c>
      <c r="J59" s="9">
        <f>Model_Data!X59</f>
        <v>9.2958171156023646</v>
      </c>
      <c r="K59" s="9">
        <f>Model_Data!A59</f>
        <v>-31.5</v>
      </c>
      <c r="L59" s="9">
        <f>Model_Data!Y59</f>
        <v>355.15219987006986</v>
      </c>
      <c r="M59" s="9">
        <f>Model_Data!X59</f>
        <v>9.2958171156023646</v>
      </c>
      <c r="N59" s="9">
        <f>-(Model_Data!AC59-Model_Data!F59)*Inputs!$C$12</f>
        <v>343.0583312019167</v>
      </c>
      <c r="O59" s="10"/>
      <c r="P59" s="9">
        <f>Model_Data!A59</f>
        <v>-31.5</v>
      </c>
      <c r="Q59" s="9">
        <f>Model_Data!P59</f>
        <v>268.38149222203356</v>
      </c>
      <c r="R59" s="9">
        <f>Model_Data!AM59</f>
        <v>288.14417854828207</v>
      </c>
      <c r="S59" s="9">
        <f>Model_Data!Q59</f>
        <v>40.297521354659693</v>
      </c>
      <c r="T59" s="9">
        <f>Model_Data!AN59</f>
        <v>43.264891673916232</v>
      </c>
      <c r="U59" s="10"/>
      <c r="V59" s="9">
        <f>Model_Data!A59</f>
        <v>-31.5</v>
      </c>
      <c r="W59" s="9">
        <f>Model_Data!B59-Inputs!$C$5</f>
        <v>1.1025000000000205</v>
      </c>
      <c r="X59" s="10"/>
      <c r="Y59" s="9">
        <f>Model_Data!A59</f>
        <v>-31.5</v>
      </c>
      <c r="Z59" s="9">
        <f>0</f>
        <v>0</v>
      </c>
      <c r="AA59" s="9">
        <f>((SQRT((Inputs!$C$52+Inputs!$C$5)^2+Inputs!$C$52^2-2*(Inputs!$C$52+Inputs!$C$5)*Inputs!$C$52*COS(SQRT((Model_Data!A59)^2+Inputs!$C$6^2)/Inputs!$C$52))-Inputs!$C$5)*1000/Inputs!$C$12)</f>
        <v>1422.1882553000517</v>
      </c>
      <c r="AB59" s="9">
        <f>Model_Data!F59</f>
        <v>1419.0985822283808</v>
      </c>
    </row>
    <row r="60" spans="1:28">
      <c r="A60" s="9">
        <f>Model_Data!A60</f>
        <v>-31</v>
      </c>
      <c r="B60" s="9">
        <f>0</f>
        <v>0</v>
      </c>
      <c r="C60" s="9">
        <f>((SQRT((Inputs!$C$52+Inputs!$C$5)^2+Inputs!$C$52^2-2*(Inputs!$C$52+Inputs!$C$5)*Inputs!$C$52*COS(SQRT((Model_Data!A60)^2+Inputs!$C$6^2)/Inputs!$C$52))-Inputs!$C$5)*1000/Inputs!$C$12)</f>
        <v>1394.7936583071323</v>
      </c>
      <c r="D60" s="9">
        <f>Model_Data!F60</f>
        <v>1391.8582794492854</v>
      </c>
      <c r="E60" s="9">
        <f>Model_Data!AC60</f>
        <v>1187.5209787048375</v>
      </c>
      <c r="F60" s="10"/>
      <c r="G60" s="9">
        <f>Model_Data!A60</f>
        <v>-31</v>
      </c>
      <c r="H60" s="9">
        <f>Model_Data!Y60</f>
        <v>353.26100932469092</v>
      </c>
      <c r="I60" s="9">
        <f>Model_Data!Y60</f>
        <v>353.26100932469092</v>
      </c>
      <c r="J60" s="9">
        <f>Model_Data!X60</f>
        <v>-13.18958267522941</v>
      </c>
      <c r="K60" s="9">
        <f>Model_Data!A60</f>
        <v>-31</v>
      </c>
      <c r="L60" s="9">
        <f>Model_Data!Y60</f>
        <v>353.26100932469092</v>
      </c>
      <c r="M60" s="9">
        <f>Model_Data!X60</f>
        <v>-13.18958267522941</v>
      </c>
      <c r="N60" s="9">
        <f>-(Model_Data!AC60-Model_Data!F60)*Inputs!$C$12</f>
        <v>363.72039532511729</v>
      </c>
      <c r="O60" s="10"/>
      <c r="P60" s="9">
        <f>Model_Data!A60</f>
        <v>-31</v>
      </c>
      <c r="Q60" s="9">
        <f>Model_Data!P60</f>
        <v>264.16130781663014</v>
      </c>
      <c r="R60" s="9">
        <f>Model_Data!AM60</f>
        <v>238.13849277175905</v>
      </c>
      <c r="S60" s="9">
        <f>Model_Data!Q60</f>
        <v>39.663860032527054</v>
      </c>
      <c r="T60" s="9">
        <f>Model_Data!AN60</f>
        <v>35.756530446210071</v>
      </c>
      <c r="U60" s="10"/>
      <c r="V60" s="9">
        <f>Model_Data!A60</f>
        <v>-31</v>
      </c>
      <c r="W60" s="9">
        <f>Model_Data!B60-Inputs!$C$5</f>
        <v>1.0677777777777919</v>
      </c>
      <c r="X60" s="10"/>
      <c r="Y60" s="9">
        <f>Model_Data!A60</f>
        <v>-31</v>
      </c>
      <c r="Z60" s="9">
        <f>0</f>
        <v>0</v>
      </c>
      <c r="AA60" s="9">
        <f>((SQRT((Inputs!$C$52+Inputs!$C$5)^2+Inputs!$C$52^2-2*(Inputs!$C$52+Inputs!$C$5)*Inputs!$C$52*COS(SQRT((Model_Data!A60)^2+Inputs!$C$6^2)/Inputs!$C$52))-Inputs!$C$5)*1000/Inputs!$C$12)</f>
        <v>1394.7936583071323</v>
      </c>
      <c r="AB60" s="9">
        <f>Model_Data!F60</f>
        <v>1391.8582794492854</v>
      </c>
    </row>
    <row r="61" spans="1:28">
      <c r="A61" s="9">
        <f>Model_Data!A61</f>
        <v>-30.5</v>
      </c>
      <c r="B61" s="9">
        <f>0</f>
        <v>0</v>
      </c>
      <c r="C61" s="9">
        <f>((SQRT((Inputs!$C$52+Inputs!$C$5)^2+Inputs!$C$52^2-2*(Inputs!$C$52+Inputs!$C$5)*Inputs!$C$52*COS(SQRT((Model_Data!A61)^2+Inputs!$C$6^2)/Inputs!$C$52))-Inputs!$C$5)*1000/Inputs!$C$12)</f>
        <v>1367.8340775619401</v>
      </c>
      <c r="D61" s="9">
        <f>Model_Data!F61</f>
        <v>1365.0469370056433</v>
      </c>
      <c r="E61" s="9">
        <f>Model_Data!AC61</f>
        <v>1172.0372701785657</v>
      </c>
      <c r="F61" s="10"/>
      <c r="G61" s="9">
        <f>Model_Data!A61</f>
        <v>-30.5</v>
      </c>
      <c r="H61" s="9">
        <f>Model_Data!Y61</f>
        <v>338.65715440925169</v>
      </c>
      <c r="I61" s="9">
        <f>Model_Data!Y61</f>
        <v>338.65715440925169</v>
      </c>
      <c r="J61" s="9">
        <f>Model_Data!X61</f>
        <v>-7.4673180377006023</v>
      </c>
      <c r="K61" s="9">
        <f>Model_Data!A61</f>
        <v>-30.5</v>
      </c>
      <c r="L61" s="9">
        <f>Model_Data!Y61</f>
        <v>338.65715440925169</v>
      </c>
      <c r="M61" s="9">
        <f>Model_Data!X61</f>
        <v>-7.4673180377006023</v>
      </c>
      <c r="N61" s="9">
        <f>-(Model_Data!AC61-Model_Data!F61)*Inputs!$C$12</f>
        <v>343.5572069521981</v>
      </c>
      <c r="O61" s="10"/>
      <c r="P61" s="9">
        <f>Model_Data!A61</f>
        <v>-30.5</v>
      </c>
      <c r="Q61" s="9">
        <f>Model_Data!P61</f>
        <v>259.93923478881698</v>
      </c>
      <c r="R61" s="9">
        <f>Model_Data!AM61</f>
        <v>234.24333788807417</v>
      </c>
      <c r="S61" s="9">
        <f>Model_Data!Q61</f>
        <v>39.029915133456008</v>
      </c>
      <c r="T61" s="9">
        <f>Model_Data!AN61</f>
        <v>35.171672355566692</v>
      </c>
      <c r="U61" s="10"/>
      <c r="V61" s="9">
        <f>Model_Data!A61</f>
        <v>-30.5</v>
      </c>
      <c r="W61" s="9">
        <f>Model_Data!B61-Inputs!$C$5</f>
        <v>1.0336111111110995</v>
      </c>
      <c r="X61" s="10"/>
      <c r="Y61" s="9">
        <f>Model_Data!A61</f>
        <v>-30.5</v>
      </c>
      <c r="Z61" s="9">
        <f>0</f>
        <v>0</v>
      </c>
      <c r="AA61" s="9">
        <f>((SQRT((Inputs!$C$52+Inputs!$C$5)^2+Inputs!$C$52^2-2*(Inputs!$C$52+Inputs!$C$5)*Inputs!$C$52*COS(SQRT((Model_Data!A61)^2+Inputs!$C$6^2)/Inputs!$C$52))-Inputs!$C$5)*1000/Inputs!$C$12)</f>
        <v>1367.8340775619401</v>
      </c>
      <c r="AB61" s="9">
        <f>Model_Data!F61</f>
        <v>1365.0469370056433</v>
      </c>
    </row>
    <row r="62" spans="1:28">
      <c r="A62" s="9">
        <f>Model_Data!A62</f>
        <v>-30</v>
      </c>
      <c r="B62" s="9">
        <f>0</f>
        <v>0</v>
      </c>
      <c r="C62" s="9">
        <f>((SQRT((Inputs!$C$52+Inputs!$C$5)^2+Inputs!$C$52^2-2*(Inputs!$C$52+Inputs!$C$5)*Inputs!$C$52*COS(SQRT((Model_Data!A62)^2+Inputs!$C$6^2)/Inputs!$C$52))-Inputs!$C$5)*1000/Inputs!$C$12)</f>
        <v>1341.3096714700305</v>
      </c>
      <c r="D62" s="9">
        <f>Model_Data!F62</f>
        <v>1338.6648839632076</v>
      </c>
      <c r="E62" s="9">
        <f>Model_Data!AC62</f>
        <v>1140.9183160302812</v>
      </c>
      <c r="F62" s="10"/>
      <c r="G62" s="9">
        <f>Model_Data!A62</f>
        <v>-30</v>
      </c>
      <c r="H62" s="9">
        <f>Model_Data!Y62</f>
        <v>336.97644838088075</v>
      </c>
      <c r="I62" s="9">
        <f>Model_Data!Y62</f>
        <v>336.97644838088075</v>
      </c>
      <c r="J62" s="9">
        <f>Model_Data!X62</f>
        <v>-17.518013833672008</v>
      </c>
      <c r="K62" s="9">
        <f>Model_Data!A62</f>
        <v>-30</v>
      </c>
      <c r="L62" s="9">
        <f>Model_Data!Y62</f>
        <v>336.97644838088075</v>
      </c>
      <c r="M62" s="9">
        <f>Model_Data!X62</f>
        <v>-17.518013833672008</v>
      </c>
      <c r="N62" s="9">
        <f>-(Model_Data!AC62-Model_Data!F62)*Inputs!$C$12</f>
        <v>351.98889092060898</v>
      </c>
      <c r="O62" s="10"/>
      <c r="P62" s="9">
        <f>Model_Data!A62</f>
        <v>-30</v>
      </c>
      <c r="Q62" s="9">
        <f>Model_Data!P62</f>
        <v>255.71530170509504</v>
      </c>
      <c r="R62" s="9">
        <f>Model_Data!AM62</f>
        <v>236.16063340596156</v>
      </c>
      <c r="S62" s="9">
        <f>Model_Data!Q62</f>
        <v>38.395690946710971</v>
      </c>
      <c r="T62" s="9">
        <f>Model_Data!AN62</f>
        <v>35.459554565459698</v>
      </c>
      <c r="U62" s="10"/>
      <c r="V62" s="9">
        <f>Model_Data!A62</f>
        <v>-30</v>
      </c>
      <c r="W62" s="9">
        <f>Model_Data!B62-Inputs!$C$5</f>
        <v>1</v>
      </c>
      <c r="X62" s="10"/>
      <c r="Y62" s="9">
        <f>Model_Data!A62</f>
        <v>-30</v>
      </c>
      <c r="Z62" s="9">
        <f>0</f>
        <v>0</v>
      </c>
      <c r="AA62" s="9">
        <f>((SQRT((Inputs!$C$52+Inputs!$C$5)^2+Inputs!$C$52^2-2*(Inputs!$C$52+Inputs!$C$5)*Inputs!$C$52*COS(SQRT((Model_Data!A62)^2+Inputs!$C$6^2)/Inputs!$C$52))-Inputs!$C$5)*1000/Inputs!$C$12)</f>
        <v>1341.3096714700305</v>
      </c>
      <c r="AB62" s="9">
        <f>Model_Data!F62</f>
        <v>1338.6648839632076</v>
      </c>
    </row>
    <row r="63" spans="1:28">
      <c r="A63" s="9">
        <f>Model_Data!A63</f>
        <v>-29.5</v>
      </c>
      <c r="B63" s="9">
        <f>0</f>
        <v>0</v>
      </c>
      <c r="C63" s="9">
        <f>((SQRT((Inputs!$C$52+Inputs!$C$5)^2+Inputs!$C$52^2-2*(Inputs!$C$52+Inputs!$C$5)*Inputs!$C$52*COS(SQRT((Model_Data!A63)^2+Inputs!$C$6^2)/Inputs!$C$52))-Inputs!$C$5)*1000/Inputs!$C$12)</f>
        <v>1315.2205959528692</v>
      </c>
      <c r="D63" s="9">
        <f>Model_Data!F63</f>
        <v>1312.7124443657435</v>
      </c>
      <c r="E63" s="9">
        <f>Model_Data!AC63</f>
        <v>1110.444972722315</v>
      </c>
      <c r="F63" s="10"/>
      <c r="G63" s="9">
        <f>Model_Data!A63</f>
        <v>-29.5</v>
      </c>
      <c r="H63" s="9">
        <f>Model_Data!Y63</f>
        <v>326.24732503276135</v>
      </c>
      <c r="I63" s="9">
        <f>Model_Data!Y63</f>
        <v>326.24732503276135</v>
      </c>
      <c r="J63" s="9">
        <f>Model_Data!X63</f>
        <v>-36.167878297776255</v>
      </c>
      <c r="K63" s="9">
        <f>Model_Data!A63</f>
        <v>-29.5</v>
      </c>
      <c r="L63" s="9">
        <f>Model_Data!Y63</f>
        <v>326.24732503276135</v>
      </c>
      <c r="M63" s="9">
        <f>Model_Data!X63</f>
        <v>-36.167878297776255</v>
      </c>
      <c r="N63" s="9">
        <f>-(Model_Data!AC63-Model_Data!F63)*Inputs!$C$12</f>
        <v>360.03609952530275</v>
      </c>
      <c r="O63" s="10"/>
      <c r="P63" s="9">
        <f>Model_Data!A63</f>
        <v>-29.5</v>
      </c>
      <c r="Q63" s="9">
        <f>Model_Data!P63</f>
        <v>251.48953723855811</v>
      </c>
      <c r="R63" s="9">
        <f>Model_Data!AM63</f>
        <v>243.54226020022907</v>
      </c>
      <c r="S63" s="9">
        <f>Model_Data!Q63</f>
        <v>37.76119177756128</v>
      </c>
      <c r="T63" s="9">
        <f>Model_Data!AN63</f>
        <v>36.567906936971333</v>
      </c>
      <c r="U63" s="10"/>
      <c r="V63" s="9">
        <f>Model_Data!A63</f>
        <v>-29.5</v>
      </c>
      <c r="W63" s="9">
        <f>Model_Data!B63-Inputs!$C$5</f>
        <v>0.96694444444443661</v>
      </c>
      <c r="X63" s="10"/>
      <c r="Y63" s="9">
        <f>Model_Data!A63</f>
        <v>-29.5</v>
      </c>
      <c r="Z63" s="9">
        <f>0</f>
        <v>0</v>
      </c>
      <c r="AA63" s="9">
        <f>((SQRT((Inputs!$C$52+Inputs!$C$5)^2+Inputs!$C$52^2-2*(Inputs!$C$52+Inputs!$C$5)*Inputs!$C$52*COS(SQRT((Model_Data!A63)^2+Inputs!$C$6^2)/Inputs!$C$52))-Inputs!$C$5)*1000/Inputs!$C$12)</f>
        <v>1315.2205959528692</v>
      </c>
      <c r="AB63" s="9">
        <f>Model_Data!F63</f>
        <v>1312.7124443657435</v>
      </c>
    </row>
    <row r="64" spans="1:28">
      <c r="A64" s="9">
        <f>Model_Data!A64</f>
        <v>-29</v>
      </c>
      <c r="B64" s="9">
        <f>0</f>
        <v>0</v>
      </c>
      <c r="C64" s="9">
        <f>((SQRT((Inputs!$C$52+Inputs!$C$5)^2+Inputs!$C$52^2-2*(Inputs!$C$52+Inputs!$C$5)*Inputs!$C$52*COS(SQRT((Model_Data!A64)^2+Inputs!$C$6^2)/Inputs!$C$52))-Inputs!$C$5)*1000/Inputs!$C$12)</f>
        <v>1289.5670044428514</v>
      </c>
      <c r="D64" s="9">
        <f>Model_Data!F64</f>
        <v>1287.1899372112048</v>
      </c>
      <c r="E64" s="9">
        <f>Model_Data!AC64</f>
        <v>1089.2305828887531</v>
      </c>
      <c r="F64" s="10"/>
      <c r="G64" s="9">
        <f>Model_Data!A64</f>
        <v>-29</v>
      </c>
      <c r="H64" s="9">
        <f>Model_Data!Y64</f>
        <v>331.87736012346193</v>
      </c>
      <c r="I64" s="9">
        <f>Model_Data!Y64</f>
        <v>331.87736012346193</v>
      </c>
      <c r="J64" s="9">
        <f>Model_Data!X64</f>
        <v>-22.863821755996071</v>
      </c>
      <c r="K64" s="9">
        <f>Model_Data!A64</f>
        <v>-29</v>
      </c>
      <c r="L64" s="9">
        <f>Model_Data!Y64</f>
        <v>331.87736012346193</v>
      </c>
      <c r="M64" s="9">
        <f>Model_Data!X64</f>
        <v>-22.863821755996071</v>
      </c>
      <c r="N64" s="9">
        <f>-(Model_Data!AC64-Model_Data!F64)*Inputs!$C$12</f>
        <v>352.36765069396392</v>
      </c>
      <c r="O64" s="10"/>
      <c r="P64" s="9">
        <f>Model_Data!A64</f>
        <v>-29</v>
      </c>
      <c r="Q64" s="9">
        <f>Model_Data!P64</f>
        <v>247.26197014497302</v>
      </c>
      <c r="R64" s="9">
        <f>Model_Data!AM64</f>
        <v>221.97951412254042</v>
      </c>
      <c r="S64" s="9">
        <f>Model_Data!Q64</f>
        <v>37.126421943689643</v>
      </c>
      <c r="T64" s="9">
        <f>Model_Data!AN64</f>
        <v>33.330257375756823</v>
      </c>
      <c r="U64" s="10"/>
      <c r="V64" s="9">
        <f>Model_Data!A64</f>
        <v>-29</v>
      </c>
      <c r="W64" s="9">
        <f>Model_Data!B64-Inputs!$C$5</f>
        <v>0.93444444444446617</v>
      </c>
      <c r="X64" s="10"/>
      <c r="Y64" s="9">
        <f>Model_Data!A64</f>
        <v>-29</v>
      </c>
      <c r="Z64" s="9">
        <f>0</f>
        <v>0</v>
      </c>
      <c r="AA64" s="9">
        <f>((SQRT((Inputs!$C$52+Inputs!$C$5)^2+Inputs!$C$52^2-2*(Inputs!$C$52+Inputs!$C$5)*Inputs!$C$52*COS(SQRT((Model_Data!A64)^2+Inputs!$C$6^2)/Inputs!$C$52))-Inputs!$C$5)*1000/Inputs!$C$12)</f>
        <v>1289.5670044428514</v>
      </c>
      <c r="AB64" s="9">
        <f>Model_Data!F64</f>
        <v>1287.1899372112048</v>
      </c>
    </row>
    <row r="65" spans="1:28">
      <c r="A65" s="9">
        <f>Model_Data!A65</f>
        <v>-28.5</v>
      </c>
      <c r="B65" s="9">
        <f>0</f>
        <v>0</v>
      </c>
      <c r="C65" s="9">
        <f>((SQRT((Inputs!$C$52+Inputs!$C$5)^2+Inputs!$C$52^2-2*(Inputs!$C$52+Inputs!$C$5)*Inputs!$C$52*COS(SQRT((Model_Data!A65)^2+Inputs!$C$6^2)/Inputs!$C$52))-Inputs!$C$5)*1000/Inputs!$C$12)</f>
        <v>1264.3490478827257</v>
      </c>
      <c r="D65" s="9">
        <f>Model_Data!F65</f>
        <v>1262.0976764465599</v>
      </c>
      <c r="E65" s="9">
        <f>Model_Data!AC65</f>
        <v>1072.3234850230751</v>
      </c>
      <c r="F65" s="10"/>
      <c r="G65" s="9">
        <f>Model_Data!A65</f>
        <v>-28.5</v>
      </c>
      <c r="H65" s="9">
        <f>Model_Data!Y65</f>
        <v>310.24247262167495</v>
      </c>
      <c r="I65" s="9">
        <f>Model_Data!Y65</f>
        <v>310.24247262167495</v>
      </c>
      <c r="J65" s="9">
        <f>Model_Data!X65</f>
        <v>-29.731374520275047</v>
      </c>
      <c r="K65" s="9">
        <f>Model_Data!A65</f>
        <v>-28.5</v>
      </c>
      <c r="L65" s="9">
        <f>Model_Data!Y65</f>
        <v>310.24247262167495</v>
      </c>
      <c r="M65" s="9">
        <f>Model_Data!X65</f>
        <v>-29.731374520275047</v>
      </c>
      <c r="N65" s="9">
        <f>-(Model_Data!AC65-Model_Data!F65)*Inputs!$C$12</f>
        <v>337.79806073380297</v>
      </c>
      <c r="O65" s="10"/>
      <c r="P65" s="9">
        <f>Model_Data!A65</f>
        <v>-28.5</v>
      </c>
      <c r="Q65" s="9">
        <f>Model_Data!P65</f>
        <v>243.03262925423041</v>
      </c>
      <c r="R65" s="9">
        <f>Model_Data!AM65</f>
        <v>213.63232481835439</v>
      </c>
      <c r="S65" s="9">
        <f>Model_Data!Q65</f>
        <v>36.491385773908476</v>
      </c>
      <c r="T65" s="9">
        <f>Model_Data!AN65</f>
        <v>32.076925648401563</v>
      </c>
      <c r="U65" s="10"/>
      <c r="V65" s="9">
        <f>Model_Data!A65</f>
        <v>-28.5</v>
      </c>
      <c r="W65" s="9">
        <f>Model_Data!B65-Inputs!$C$5</f>
        <v>0.90249999999997499</v>
      </c>
      <c r="X65" s="10"/>
      <c r="Y65" s="9">
        <f>Model_Data!A65</f>
        <v>-28.5</v>
      </c>
      <c r="Z65" s="9">
        <f>0</f>
        <v>0</v>
      </c>
      <c r="AA65" s="9">
        <f>((SQRT((Inputs!$C$52+Inputs!$C$5)^2+Inputs!$C$52^2-2*(Inputs!$C$52+Inputs!$C$5)*Inputs!$C$52*COS(SQRT((Model_Data!A65)^2+Inputs!$C$6^2)/Inputs!$C$52))-Inputs!$C$5)*1000/Inputs!$C$12)</f>
        <v>1264.3490478827257</v>
      </c>
      <c r="AB65" s="9">
        <f>Model_Data!F65</f>
        <v>1262.0976764465599</v>
      </c>
    </row>
    <row r="66" spans="1:28">
      <c r="A66" s="9">
        <f>Model_Data!A66</f>
        <v>-28</v>
      </c>
      <c r="B66" s="9">
        <f>0</f>
        <v>0</v>
      </c>
      <c r="C66" s="9">
        <f>((SQRT((Inputs!$C$52+Inputs!$C$5)^2+Inputs!$C$52^2-2*(Inputs!$C$52+Inputs!$C$5)*Inputs!$C$52*COS(SQRT((Model_Data!A66)^2+Inputs!$C$6^2)/Inputs!$C$52))-Inputs!$C$5)*1000/Inputs!$C$12)</f>
        <v>1239.5668747174202</v>
      </c>
      <c r="D66" s="9">
        <f>Model_Data!F66</f>
        <v>1237.4359709468442</v>
      </c>
      <c r="E66" s="9">
        <f>Model_Data!AC66</f>
        <v>1032.8594782824728</v>
      </c>
      <c r="F66" s="10"/>
      <c r="G66" s="9">
        <f>Model_Data!A66</f>
        <v>-28</v>
      </c>
      <c r="H66" s="9">
        <f>Model_Data!Y66</f>
        <v>313.28317842657691</v>
      </c>
      <c r="I66" s="9">
        <f>Model_Data!Y66</f>
        <v>313.28317842657691</v>
      </c>
      <c r="J66" s="9">
        <f>Model_Data!X66</f>
        <v>-53.017518277040161</v>
      </c>
      <c r="K66" s="9">
        <f>Model_Data!A66</f>
        <v>-28</v>
      </c>
      <c r="L66" s="9">
        <f>Model_Data!Y66</f>
        <v>313.28317842657691</v>
      </c>
      <c r="M66" s="9">
        <f>Model_Data!X66</f>
        <v>-53.017518277040161</v>
      </c>
      <c r="N66" s="9">
        <f>-(Model_Data!AC66-Model_Data!F66)*Inputs!$C$12</f>
        <v>364.14615694258123</v>
      </c>
      <c r="O66" s="10"/>
      <c r="P66" s="9">
        <f>Model_Data!A66</f>
        <v>-28</v>
      </c>
      <c r="Q66" s="9">
        <f>Model_Data!P66</f>
        <v>238.80154350053999</v>
      </c>
      <c r="R66" s="9">
        <f>Model_Data!AM66</f>
        <v>217.6420816668724</v>
      </c>
      <c r="S66" s="9">
        <f>Model_Data!Q66</f>
        <v>35.856087612693699</v>
      </c>
      <c r="T66" s="9">
        <f>Model_Data!AN66</f>
        <v>32.678991241272136</v>
      </c>
      <c r="U66" s="10"/>
      <c r="V66" s="9">
        <f>Model_Data!A66</f>
        <v>-28</v>
      </c>
      <c r="W66" s="9">
        <f>Model_Data!B66-Inputs!$C$5</f>
        <v>0.8711111111111336</v>
      </c>
      <c r="X66" s="10"/>
      <c r="Y66" s="9">
        <f>Model_Data!A66</f>
        <v>-28</v>
      </c>
      <c r="Z66" s="9">
        <f>0</f>
        <v>0</v>
      </c>
      <c r="AA66" s="9">
        <f>((SQRT((Inputs!$C$52+Inputs!$C$5)^2+Inputs!$C$52^2-2*(Inputs!$C$52+Inputs!$C$5)*Inputs!$C$52*COS(SQRT((Model_Data!A66)^2+Inputs!$C$6^2)/Inputs!$C$52))-Inputs!$C$5)*1000/Inputs!$C$12)</f>
        <v>1239.5668747174202</v>
      </c>
      <c r="AB66" s="9">
        <f>Model_Data!F66</f>
        <v>1237.4359709468442</v>
      </c>
    </row>
    <row r="67" spans="1:28">
      <c r="A67" s="9">
        <f>Model_Data!A67</f>
        <v>-27.5</v>
      </c>
      <c r="B67" s="9">
        <f>0</f>
        <v>0</v>
      </c>
      <c r="C67" s="9">
        <f>((SQRT((Inputs!$C$52+Inputs!$C$5)^2+Inputs!$C$52^2-2*(Inputs!$C$52+Inputs!$C$5)*Inputs!$C$52*COS(SQRT((Model_Data!A67)^2+Inputs!$C$6^2)/Inputs!$C$52))-Inputs!$C$5)*1000/Inputs!$C$12)</f>
        <v>1215.2206308890595</v>
      </c>
      <c r="D67" s="9">
        <f>Model_Data!F67</f>
        <v>1213.2051244995746</v>
      </c>
      <c r="E67" s="9">
        <f>Model_Data!AC67</f>
        <v>1012.1584343218391</v>
      </c>
      <c r="F67" s="10"/>
      <c r="G67" s="9">
        <f>Model_Data!A67</f>
        <v>-27.5</v>
      </c>
      <c r="H67" s="9">
        <f>Model_Data!Y67</f>
        <v>296.84376125916674</v>
      </c>
      <c r="I67" s="9">
        <f>Model_Data!Y67</f>
        <v>296.84376125916674</v>
      </c>
      <c r="J67" s="9">
        <f>Model_Data!X67</f>
        <v>-63.021085948892313</v>
      </c>
      <c r="K67" s="9">
        <f>Model_Data!A67</f>
        <v>-27.5</v>
      </c>
      <c r="L67" s="9">
        <f>Model_Data!Y67</f>
        <v>296.84376125916674</v>
      </c>
      <c r="M67" s="9">
        <f>Model_Data!X67</f>
        <v>-63.021085948892313</v>
      </c>
      <c r="N67" s="9">
        <f>-(Model_Data!AC67-Model_Data!F67)*Inputs!$C$12</f>
        <v>357.86310851636921</v>
      </c>
      <c r="O67" s="10"/>
      <c r="P67" s="9">
        <f>Model_Data!A67</f>
        <v>-27.5</v>
      </c>
      <c r="Q67" s="9">
        <f>Model_Data!P67</f>
        <v>234.56874188968868</v>
      </c>
      <c r="R67" s="9">
        <f>Model_Data!AM67</f>
        <v>196.64953141873411</v>
      </c>
      <c r="S67" s="9">
        <f>Model_Data!Q67</f>
        <v>35.220531815268572</v>
      </c>
      <c r="T67" s="9">
        <f>Model_Data!AN67</f>
        <v>29.526956669479599</v>
      </c>
      <c r="U67" s="10"/>
      <c r="V67" s="9">
        <f>Model_Data!A67</f>
        <v>-27.5</v>
      </c>
      <c r="W67" s="9">
        <f>Model_Data!B67-Inputs!$C$5</f>
        <v>0.84027777777777146</v>
      </c>
      <c r="X67" s="10"/>
      <c r="Y67" s="9">
        <f>Model_Data!A67</f>
        <v>-27.5</v>
      </c>
      <c r="Z67" s="9">
        <f>0</f>
        <v>0</v>
      </c>
      <c r="AA67" s="9">
        <f>((SQRT((Inputs!$C$52+Inputs!$C$5)^2+Inputs!$C$52^2-2*(Inputs!$C$52+Inputs!$C$5)*Inputs!$C$52*COS(SQRT((Model_Data!A67)^2+Inputs!$C$6^2)/Inputs!$C$52))-Inputs!$C$5)*1000/Inputs!$C$12)</f>
        <v>1215.2206308890595</v>
      </c>
      <c r="AB67" s="9">
        <f>Model_Data!F67</f>
        <v>1213.2051244995746</v>
      </c>
    </row>
    <row r="68" spans="1:28">
      <c r="A68" s="9">
        <f>Model_Data!A68</f>
        <v>-27</v>
      </c>
      <c r="B68" s="9">
        <f>0</f>
        <v>0</v>
      </c>
      <c r="C68" s="9">
        <f>((SQRT((Inputs!$C$52+Inputs!$C$5)^2+Inputs!$C$52^2-2*(Inputs!$C$52+Inputs!$C$5)*Inputs!$C$52*COS(SQRT((Model_Data!A68)^2+Inputs!$C$6^2)/Inputs!$C$52))-Inputs!$C$5)*1000/Inputs!$C$12)</f>
        <v>1191.3104598367102</v>
      </c>
      <c r="D68" s="9">
        <f>Model_Data!F68</f>
        <v>1189.4054357952016</v>
      </c>
      <c r="E68" s="9">
        <f>Model_Data!AC68</f>
        <v>988.78708107311979</v>
      </c>
      <c r="F68" s="10"/>
      <c r="G68" s="9">
        <f>Model_Data!A68</f>
        <v>-27</v>
      </c>
      <c r="H68" s="9">
        <f>Model_Data!Y68</f>
        <v>289.34226854100302</v>
      </c>
      <c r="I68" s="9">
        <f>Model_Data!Y68</f>
        <v>289.34226854100302</v>
      </c>
      <c r="J68" s="9">
        <f>Model_Data!X68</f>
        <v>-69.671539284115184</v>
      </c>
      <c r="K68" s="9">
        <f>Model_Data!A68</f>
        <v>-27</v>
      </c>
      <c r="L68" s="9">
        <f>Model_Data!Y68</f>
        <v>289.34226854100302</v>
      </c>
      <c r="M68" s="9">
        <f>Model_Data!X68</f>
        <v>-69.671539284115184</v>
      </c>
      <c r="N68" s="9">
        <f>-(Model_Data!AC68-Model_Data!F68)*Inputs!$C$12</f>
        <v>357.1006714053056</v>
      </c>
      <c r="O68" s="10"/>
      <c r="P68" s="9">
        <f>Model_Data!A68</f>
        <v>-27</v>
      </c>
      <c r="Q68" s="9">
        <f>Model_Data!P68</f>
        <v>230.3342535144111</v>
      </c>
      <c r="R68" s="9">
        <f>Model_Data!AM68</f>
        <v>220.46869172654624</v>
      </c>
      <c r="S68" s="9">
        <f>Model_Data!Q68</f>
        <v>34.584722749911577</v>
      </c>
      <c r="T68" s="9">
        <f>Model_Data!AN68</f>
        <v>33.103407166148088</v>
      </c>
      <c r="U68" s="10"/>
      <c r="V68" s="9">
        <f>Model_Data!A68</f>
        <v>-27</v>
      </c>
      <c r="W68" s="9">
        <f>Model_Data!B68-Inputs!$C$5</f>
        <v>0.81000000000000227</v>
      </c>
      <c r="X68" s="10"/>
      <c r="Y68" s="9">
        <f>Model_Data!A68</f>
        <v>-27</v>
      </c>
      <c r="Z68" s="9">
        <f>0</f>
        <v>0</v>
      </c>
      <c r="AA68" s="9">
        <f>((SQRT((Inputs!$C$52+Inputs!$C$5)^2+Inputs!$C$52^2-2*(Inputs!$C$52+Inputs!$C$5)*Inputs!$C$52*COS(SQRT((Model_Data!A68)^2+Inputs!$C$6^2)/Inputs!$C$52))-Inputs!$C$5)*1000/Inputs!$C$12)</f>
        <v>1191.3104598367102</v>
      </c>
      <c r="AB68" s="9">
        <f>Model_Data!F68</f>
        <v>1189.4054357952016</v>
      </c>
    </row>
    <row r="69" spans="1:28">
      <c r="A69" s="9">
        <f>Model_Data!A69</f>
        <v>-26.5</v>
      </c>
      <c r="B69" s="9">
        <f>0</f>
        <v>0</v>
      </c>
      <c r="C69" s="9">
        <f>((SQRT((Inputs!$C$52+Inputs!$C$5)^2+Inputs!$C$52^2-2*(Inputs!$C$52+Inputs!$C$5)*Inputs!$C$52*COS(SQRT((Model_Data!A69)^2+Inputs!$C$6^2)/Inputs!$C$52))-Inputs!$C$5)*1000/Inputs!$C$12)</f>
        <v>1167.8365024904399</v>
      </c>
      <c r="D69" s="9">
        <f>Model_Data!F69</f>
        <v>1166.0371984060328</v>
      </c>
      <c r="E69" s="9">
        <f>Model_Data!AC69</f>
        <v>959.97232959776284</v>
      </c>
      <c r="F69" s="10"/>
      <c r="G69" s="9">
        <f>Model_Data!A69</f>
        <v>-26.5</v>
      </c>
      <c r="H69" s="9">
        <f>Model_Data!Y69</f>
        <v>290.55977847511139</v>
      </c>
      <c r="I69" s="9">
        <f>Model_Data!Y69</f>
        <v>290.55977847511139</v>
      </c>
      <c r="J69" s="9">
        <f>Model_Data!X69</f>
        <v>-78.119420028637307</v>
      </c>
      <c r="K69" s="9">
        <f>Model_Data!A69</f>
        <v>-26.5</v>
      </c>
      <c r="L69" s="9">
        <f>Model_Data!Y69</f>
        <v>290.55977847511139</v>
      </c>
      <c r="M69" s="9">
        <f>Model_Data!X69</f>
        <v>-78.119420028637307</v>
      </c>
      <c r="N69" s="9">
        <f>-(Model_Data!AC69-Model_Data!F69)*Inputs!$C$12</f>
        <v>366.79546647872047</v>
      </c>
      <c r="O69" s="10"/>
      <c r="P69" s="9">
        <f>Model_Data!A69</f>
        <v>-26.5</v>
      </c>
      <c r="Q69" s="9">
        <f>Model_Data!P69</f>
        <v>226.0981075584823</v>
      </c>
      <c r="R69" s="9">
        <f>Model_Data!AM69</f>
        <v>198.23751812764385</v>
      </c>
      <c r="S69" s="9">
        <f>Model_Data!Q69</f>
        <v>33.948664798570917</v>
      </c>
      <c r="T69" s="9">
        <f>Model_Data!AN69</f>
        <v>29.765393112258838</v>
      </c>
      <c r="U69" s="10"/>
      <c r="V69" s="9">
        <f>Model_Data!A69</f>
        <v>-26.5</v>
      </c>
      <c r="W69" s="9">
        <f>Model_Data!B69-Inputs!$C$5</f>
        <v>0.78027777777776919</v>
      </c>
      <c r="X69" s="10"/>
      <c r="Y69" s="9">
        <f>Model_Data!A69</f>
        <v>-26.5</v>
      </c>
      <c r="Z69" s="9">
        <f>0</f>
        <v>0</v>
      </c>
      <c r="AA69" s="9">
        <f>((SQRT((Inputs!$C$52+Inputs!$C$5)^2+Inputs!$C$52^2-2*(Inputs!$C$52+Inputs!$C$5)*Inputs!$C$52*COS(SQRT((Model_Data!A69)^2+Inputs!$C$6^2)/Inputs!$C$52))-Inputs!$C$5)*1000/Inputs!$C$12)</f>
        <v>1167.8365024904399</v>
      </c>
      <c r="AB69" s="9">
        <f>Model_Data!F69</f>
        <v>1166.0371984060328</v>
      </c>
    </row>
    <row r="70" spans="1:28">
      <c r="A70" s="9">
        <f>Model_Data!A70</f>
        <v>-26</v>
      </c>
      <c r="B70" s="9">
        <f>0</f>
        <v>0</v>
      </c>
      <c r="C70" s="9">
        <f>((SQRT((Inputs!$C$52+Inputs!$C$5)^2+Inputs!$C$52^2-2*(Inputs!$C$52+Inputs!$C$5)*Inputs!$C$52*COS(SQRT((Model_Data!A70)^2+Inputs!$C$6^2)/Inputs!$C$52))-Inputs!$C$5)*1000/Inputs!$C$12)</f>
        <v>1144.7988972650598</v>
      </c>
      <c r="D70" s="9">
        <f>Model_Data!F70</f>
        <v>1143.1007007754386</v>
      </c>
      <c r="E70" s="9">
        <f>Model_Data!AC70</f>
        <v>945.24128608626916</v>
      </c>
      <c r="F70" s="10"/>
      <c r="G70" s="9">
        <f>Model_Data!A70</f>
        <v>-26</v>
      </c>
      <c r="H70" s="9">
        <f>Model_Data!Y70</f>
        <v>271.74352983421755</v>
      </c>
      <c r="I70" s="9">
        <f>Model_Data!Y70</f>
        <v>271.74352983421755</v>
      </c>
      <c r="J70" s="9">
        <f>Model_Data!X70</f>
        <v>-82.173494419788938</v>
      </c>
      <c r="K70" s="9">
        <f>Model_Data!A70</f>
        <v>-26</v>
      </c>
      <c r="L70" s="9">
        <f>Model_Data!Y70</f>
        <v>271.74352983421755</v>
      </c>
      <c r="M70" s="9">
        <f>Model_Data!X70</f>
        <v>-82.173494419788938</v>
      </c>
      <c r="N70" s="9">
        <f>-(Model_Data!AC70-Model_Data!F70)*Inputs!$C$12</f>
        <v>352.18975814672154</v>
      </c>
      <c r="O70" s="10"/>
      <c r="P70" s="9">
        <f>Model_Data!A70</f>
        <v>-26</v>
      </c>
      <c r="Q70" s="9">
        <f>Model_Data!P70</f>
        <v>221.86033326770485</v>
      </c>
      <c r="R70" s="9">
        <f>Model_Data!AM70</f>
        <v>192.02568655455252</v>
      </c>
      <c r="S70" s="9">
        <f>Model_Data!Q70</f>
        <v>33.312362352508238</v>
      </c>
      <c r="T70" s="9">
        <f>Model_Data!AN70</f>
        <v>28.832685668851731</v>
      </c>
      <c r="U70" s="10"/>
      <c r="V70" s="9">
        <f>Model_Data!A70</f>
        <v>-26</v>
      </c>
      <c r="W70" s="9">
        <f>Model_Data!B70-Inputs!$C$5</f>
        <v>0.75111111111112905</v>
      </c>
      <c r="X70" s="10"/>
      <c r="Y70" s="9">
        <f>Model_Data!A70</f>
        <v>-26</v>
      </c>
      <c r="Z70" s="9">
        <f>0</f>
        <v>0</v>
      </c>
      <c r="AA70" s="9">
        <f>((SQRT((Inputs!$C$52+Inputs!$C$5)^2+Inputs!$C$52^2-2*(Inputs!$C$52+Inputs!$C$5)*Inputs!$C$52*COS(SQRT((Model_Data!A70)^2+Inputs!$C$6^2)/Inputs!$C$52))-Inputs!$C$5)*1000/Inputs!$C$12)</f>
        <v>1144.7988972650598</v>
      </c>
      <c r="AB70" s="9">
        <f>Model_Data!F70</f>
        <v>1143.1007007754386</v>
      </c>
    </row>
    <row r="71" spans="1:28">
      <c r="A71" s="9">
        <f>Model_Data!A71</f>
        <v>-25.5</v>
      </c>
      <c r="B71" s="9">
        <f>0</f>
        <v>0</v>
      </c>
      <c r="C71" s="9">
        <f>((SQRT((Inputs!$C$52+Inputs!$C$5)^2+Inputs!$C$52^2-2*(Inputs!$C$52+Inputs!$C$5)*Inputs!$C$52*COS(SQRT((Model_Data!A71)^2+Inputs!$C$6^2)/Inputs!$C$52))-Inputs!$C$5)*1000/Inputs!$C$12)</f>
        <v>1122.1977800602508</v>
      </c>
      <c r="D71" s="9">
        <f>Model_Data!F71</f>
        <v>1120.5962262068354</v>
      </c>
      <c r="E71" s="9">
        <f>Model_Data!AC71</f>
        <v>910.28862549131804</v>
      </c>
      <c r="F71" s="10"/>
      <c r="G71" s="9">
        <f>Model_Data!A71</f>
        <v>-25.5</v>
      </c>
      <c r="H71" s="9">
        <f>Model_Data!Y71</f>
        <v>271.72277085419893</v>
      </c>
      <c r="I71" s="9">
        <f>Model_Data!Y71</f>
        <v>271.72277085419893</v>
      </c>
      <c r="J71" s="9">
        <f>Model_Data!X71</f>
        <v>-104.31813701930129</v>
      </c>
      <c r="K71" s="9">
        <f>Model_Data!A71</f>
        <v>-25.5</v>
      </c>
      <c r="L71" s="9">
        <f>Model_Data!Y71</f>
        <v>271.72277085419893</v>
      </c>
      <c r="M71" s="9">
        <f>Model_Data!X71</f>
        <v>-104.31813701930129</v>
      </c>
      <c r="N71" s="9">
        <f>-(Model_Data!AC71-Model_Data!F71)*Inputs!$C$12</f>
        <v>374.34752927362081</v>
      </c>
      <c r="O71" s="10"/>
      <c r="P71" s="9">
        <f>Model_Data!A71</f>
        <v>-25.5</v>
      </c>
      <c r="Q71" s="9">
        <f>Model_Data!P71</f>
        <v>217.62095997992219</v>
      </c>
      <c r="R71" s="9">
        <f>Model_Data!AM71</f>
        <v>199.48475681912896</v>
      </c>
      <c r="S71" s="9">
        <f>Model_Data!Q71</f>
        <v>32.675819816805138</v>
      </c>
      <c r="T71" s="9">
        <f>Model_Data!AN71</f>
        <v>29.952666189058405</v>
      </c>
      <c r="U71" s="10"/>
      <c r="V71" s="9">
        <f>Model_Data!A71</f>
        <v>-25.5</v>
      </c>
      <c r="W71" s="9">
        <f>Model_Data!B71-Inputs!$C$5</f>
        <v>0.72250000000002501</v>
      </c>
      <c r="X71" s="10"/>
      <c r="Y71" s="9">
        <f>Model_Data!A71</f>
        <v>-25.5</v>
      </c>
      <c r="Z71" s="9">
        <f>0</f>
        <v>0</v>
      </c>
      <c r="AA71" s="9">
        <f>((SQRT((Inputs!$C$52+Inputs!$C$5)^2+Inputs!$C$52^2-2*(Inputs!$C$52+Inputs!$C$5)*Inputs!$C$52*COS(SQRT((Model_Data!A71)^2+Inputs!$C$6^2)/Inputs!$C$52))-Inputs!$C$5)*1000/Inputs!$C$12)</f>
        <v>1122.1977800602508</v>
      </c>
      <c r="AB71" s="9">
        <f>Model_Data!F71</f>
        <v>1120.5962262068354</v>
      </c>
    </row>
    <row r="72" spans="1:28">
      <c r="A72" s="9">
        <f>Model_Data!A72</f>
        <v>-25</v>
      </c>
      <c r="B72" s="9">
        <f>0</f>
        <v>0</v>
      </c>
      <c r="C72" s="9">
        <f>((SQRT((Inputs!$C$52+Inputs!$C$5)^2+Inputs!$C$52^2-2*(Inputs!$C$52+Inputs!$C$5)*Inputs!$C$52*COS(SQRT((Model_Data!A72)^2+Inputs!$C$6^2)/Inputs!$C$52))-Inputs!$C$5)*1000/Inputs!$C$12)</f>
        <v>1100.033284253411</v>
      </c>
      <c r="D72" s="9">
        <f>Model_Data!F72</f>
        <v>1098.5240528424165</v>
      </c>
      <c r="E72" s="9">
        <f>Model_Data!AC72</f>
        <v>898.39252889018087</v>
      </c>
      <c r="F72" s="10"/>
      <c r="G72" s="9">
        <f>Model_Data!A72</f>
        <v>-25</v>
      </c>
      <c r="H72" s="9">
        <f>Model_Data!Y72</f>
        <v>260.27138413189709</v>
      </c>
      <c r="I72" s="9">
        <f>Model_Data!Y72</f>
        <v>260.27138413189709</v>
      </c>
      <c r="J72" s="9">
        <f>Model_Data!X72</f>
        <v>-97.552975883581098</v>
      </c>
      <c r="K72" s="9">
        <f>Model_Data!A72</f>
        <v>-25</v>
      </c>
      <c r="L72" s="9">
        <f>Model_Data!Y72</f>
        <v>260.27138413189709</v>
      </c>
      <c r="M72" s="9">
        <f>Model_Data!X72</f>
        <v>-97.552975883581098</v>
      </c>
      <c r="N72" s="9">
        <f>-(Model_Data!AC72-Model_Data!F72)*Inputs!$C$12</f>
        <v>356.2341126349794</v>
      </c>
      <c r="O72" s="10"/>
      <c r="P72" s="9">
        <f>Model_Data!A72</f>
        <v>-25</v>
      </c>
      <c r="Q72" s="9">
        <f>Model_Data!P72</f>
        <v>213.38001711119432</v>
      </c>
      <c r="R72" s="9">
        <f>Model_Data!AM72</f>
        <v>221.07258972082491</v>
      </c>
      <c r="S72" s="9">
        <f>Model_Data!Q72</f>
        <v>32.039041608287441</v>
      </c>
      <c r="T72" s="9">
        <f>Model_Data!AN72</f>
        <v>33.194082540664404</v>
      </c>
      <c r="U72" s="10"/>
      <c r="V72" s="9">
        <f>Model_Data!A72</f>
        <v>-25</v>
      </c>
      <c r="W72" s="9">
        <f>Model_Data!B72-Inputs!$C$5</f>
        <v>0.69444444444445708</v>
      </c>
      <c r="X72" s="10"/>
      <c r="Y72" s="9">
        <f>Model_Data!A72</f>
        <v>-25</v>
      </c>
      <c r="Z72" s="9">
        <f>0</f>
        <v>0</v>
      </c>
      <c r="AA72" s="9">
        <f>((SQRT((Inputs!$C$52+Inputs!$C$5)^2+Inputs!$C$52^2-2*(Inputs!$C$52+Inputs!$C$5)*Inputs!$C$52*COS(SQRT((Model_Data!A72)^2+Inputs!$C$6^2)/Inputs!$C$52))-Inputs!$C$5)*1000/Inputs!$C$12)</f>
        <v>1100.033284253411</v>
      </c>
      <c r="AB72" s="9">
        <f>Model_Data!F72</f>
        <v>1098.5240528424165</v>
      </c>
    </row>
    <row r="73" spans="1:28">
      <c r="A73" s="9">
        <f>Model_Data!A73</f>
        <v>-24.5</v>
      </c>
      <c r="B73" s="9">
        <f>0</f>
        <v>0</v>
      </c>
      <c r="C73" s="9">
        <f>((SQRT((Inputs!$C$52+Inputs!$C$5)^2+Inputs!$C$52^2-2*(Inputs!$C$52+Inputs!$C$5)*Inputs!$C$52*COS(SQRT((Model_Data!A73)^2+Inputs!$C$6^2)/Inputs!$C$52))-Inputs!$C$5)*1000/Inputs!$C$12)</f>
        <v>1078.3055406969088</v>
      </c>
      <c r="D73" s="9">
        <f>Model_Data!F73</f>
        <v>1076.8844536568934</v>
      </c>
      <c r="E73" s="9">
        <f>Model_Data!AC73</f>
        <v>858.65238699697011</v>
      </c>
      <c r="F73" s="10"/>
      <c r="G73" s="9">
        <f>Model_Data!A73</f>
        <v>-24.5</v>
      </c>
      <c r="H73" s="9">
        <f>Model_Data!Y73</f>
        <v>276.49363528969542</v>
      </c>
      <c r="I73" s="9">
        <f>Model_Data!Y73</f>
        <v>276.49363528969542</v>
      </c>
      <c r="J73" s="9">
        <f>Model_Data!X73</f>
        <v>-113.61582851930044</v>
      </c>
      <c r="K73" s="9">
        <f>Model_Data!A73</f>
        <v>-24.5</v>
      </c>
      <c r="L73" s="9">
        <f>Model_Data!Y73</f>
        <v>276.49363528969542</v>
      </c>
      <c r="M73" s="9">
        <f>Model_Data!X73</f>
        <v>-113.61582851930044</v>
      </c>
      <c r="N73" s="9">
        <f>-(Model_Data!AC73-Model_Data!F73)*Inputs!$C$12</f>
        <v>388.45307865466339</v>
      </c>
      <c r="O73" s="10"/>
      <c r="P73" s="9">
        <f>Model_Data!A73</f>
        <v>-24.5</v>
      </c>
      <c r="Q73" s="9">
        <f>Model_Data!P73</f>
        <v>209.13753414824896</v>
      </c>
      <c r="R73" s="9">
        <f>Model_Data!AM73</f>
        <v>222.45043993452782</v>
      </c>
      <c r="S73" s="9">
        <f>Model_Data!Q73</f>
        <v>31.402032154391737</v>
      </c>
      <c r="T73" s="9">
        <f>Model_Data!AN73</f>
        <v>33.400966957136312</v>
      </c>
      <c r="U73" s="10"/>
      <c r="V73" s="9">
        <f>Model_Data!A73</f>
        <v>-24.5</v>
      </c>
      <c r="W73" s="9">
        <f>Model_Data!B73-Inputs!$C$5</f>
        <v>0.66694444444442524</v>
      </c>
      <c r="X73" s="10"/>
      <c r="Y73" s="9">
        <f>Model_Data!A73</f>
        <v>-24.5</v>
      </c>
      <c r="Z73" s="9">
        <f>0</f>
        <v>0</v>
      </c>
      <c r="AA73" s="9">
        <f>((SQRT((Inputs!$C$52+Inputs!$C$5)^2+Inputs!$C$52^2-2*(Inputs!$C$52+Inputs!$C$5)*Inputs!$C$52*COS(SQRT((Model_Data!A73)^2+Inputs!$C$6^2)/Inputs!$C$52))-Inputs!$C$5)*1000/Inputs!$C$12)</f>
        <v>1078.3055406969088</v>
      </c>
      <c r="AB73" s="9">
        <f>Model_Data!F73</f>
        <v>1076.8844536568934</v>
      </c>
    </row>
    <row r="74" spans="1:28">
      <c r="A74" s="9">
        <f>Model_Data!A74</f>
        <v>-24</v>
      </c>
      <c r="B74" s="9">
        <f>0</f>
        <v>0</v>
      </c>
      <c r="C74" s="9">
        <f>((SQRT((Inputs!$C$52+Inputs!$C$5)^2+Inputs!$C$52^2-2*(Inputs!$C$52+Inputs!$C$5)*Inputs!$C$52*COS(SQRT((Model_Data!A74)^2+Inputs!$C$6^2)/Inputs!$C$52))-Inputs!$C$5)*1000/Inputs!$C$12)</f>
        <v>1057.0146777139</v>
      </c>
      <c r="D74" s="9">
        <f>Model_Data!F74</f>
        <v>1055.6776964389417</v>
      </c>
      <c r="E74" s="9">
        <f>Model_Data!AC74</f>
        <v>843.04273027322483</v>
      </c>
      <c r="F74" s="10"/>
      <c r="G74" s="9">
        <f>Model_Data!A74</f>
        <v>-24</v>
      </c>
      <c r="H74" s="9">
        <f>Model_Data!Y74</f>
        <v>268.57917598156757</v>
      </c>
      <c r="I74" s="9">
        <f>Model_Data!Y74</f>
        <v>268.57917598156757</v>
      </c>
      <c r="J74" s="9">
        <f>Model_Data!X74</f>
        <v>-111.48853690711687</v>
      </c>
      <c r="K74" s="9">
        <f>Model_Data!A74</f>
        <v>-24</v>
      </c>
      <c r="L74" s="9">
        <f>Model_Data!Y74</f>
        <v>268.57917598156757</v>
      </c>
      <c r="M74" s="9">
        <f>Model_Data!X74</f>
        <v>-111.48853690711687</v>
      </c>
      <c r="N74" s="9">
        <f>-(Model_Data!AC74-Model_Data!F74)*Inputs!$C$12</f>
        <v>378.49023977497598</v>
      </c>
      <c r="O74" s="10"/>
      <c r="P74" s="9">
        <f>Model_Data!A74</f>
        <v>-24</v>
      </c>
      <c r="Q74" s="9">
        <f>Model_Data!P74</f>
        <v>204.89354065312</v>
      </c>
      <c r="R74" s="9">
        <f>Model_Data!AM74</f>
        <v>200.92529767707674</v>
      </c>
      <c r="S74" s="9">
        <f>Model_Data!Q74</f>
        <v>30.764795893861866</v>
      </c>
      <c r="T74" s="9">
        <f>Model_Data!AN74</f>
        <v>30.16896361517669</v>
      </c>
      <c r="U74" s="10"/>
      <c r="V74" s="9">
        <f>Model_Data!A74</f>
        <v>-24</v>
      </c>
      <c r="W74" s="9">
        <f>Model_Data!B74-Inputs!$C$5</f>
        <v>0.63999999999998636</v>
      </c>
      <c r="X74" s="10"/>
      <c r="Y74" s="9">
        <f>Model_Data!A74</f>
        <v>-24</v>
      </c>
      <c r="Z74" s="9">
        <f>0</f>
        <v>0</v>
      </c>
      <c r="AA74" s="9">
        <f>((SQRT((Inputs!$C$52+Inputs!$C$5)^2+Inputs!$C$52^2-2*(Inputs!$C$52+Inputs!$C$5)*Inputs!$C$52*COS(SQRT((Model_Data!A74)^2+Inputs!$C$6^2)/Inputs!$C$52))-Inputs!$C$5)*1000/Inputs!$C$12)</f>
        <v>1057.0146777139</v>
      </c>
      <c r="AB74" s="9">
        <f>Model_Data!F74</f>
        <v>1055.6776964389417</v>
      </c>
    </row>
    <row r="75" spans="1:28">
      <c r="A75" s="9">
        <f>Model_Data!A75</f>
        <v>-23.5</v>
      </c>
      <c r="B75" s="9">
        <f>0</f>
        <v>0</v>
      </c>
      <c r="C75" s="9">
        <f>((SQRT((Inputs!$C$52+Inputs!$C$5)^2+Inputs!$C$52^2-2*(Inputs!$C$52+Inputs!$C$5)*Inputs!$C$52*COS(SQRT((Model_Data!A75)^2+Inputs!$C$6^2)/Inputs!$C$52))-Inputs!$C$5)*1000/Inputs!$C$12)</f>
        <v>1036.1608210971144</v>
      </c>
      <c r="D75" s="9">
        <f>Model_Data!F75</f>
        <v>1034.9040437833773</v>
      </c>
      <c r="E75" s="9">
        <f>Model_Data!AC75</f>
        <v>811.30363579360017</v>
      </c>
      <c r="F75" s="10"/>
      <c r="G75" s="9">
        <f>Model_Data!A75</f>
        <v>-23.5</v>
      </c>
      <c r="H75" s="9">
        <f>Model_Data!Y75</f>
        <v>273.93459884711217</v>
      </c>
      <c r="I75" s="9">
        <f>Model_Data!Y75</f>
        <v>273.93459884711217</v>
      </c>
      <c r="J75" s="9">
        <f>Model_Data!X75</f>
        <v>-125.65162794647964</v>
      </c>
      <c r="K75" s="9">
        <f>Model_Data!A75</f>
        <v>-23.5</v>
      </c>
      <c r="L75" s="9">
        <f>Model_Data!Y75</f>
        <v>273.93459884711217</v>
      </c>
      <c r="M75" s="9">
        <f>Model_Data!X75</f>
        <v>-125.65162794647964</v>
      </c>
      <c r="N75" s="9">
        <f>-(Model_Data!AC75-Model_Data!F75)*Inputs!$C$12</f>
        <v>398.00872622180339</v>
      </c>
      <c r="O75" s="10"/>
      <c r="P75" s="9">
        <f>Model_Data!A75</f>
        <v>-23.5</v>
      </c>
      <c r="Q75" s="9">
        <f>Model_Data!P75</f>
        <v>200.64806626696736</v>
      </c>
      <c r="R75" s="9">
        <f>Model_Data!AM75</f>
        <v>218.20922536780927</v>
      </c>
      <c r="S75" s="9">
        <f>Model_Data!Q75</f>
        <v>30.127337277322429</v>
      </c>
      <c r="T75" s="9">
        <f>Model_Data!AN75</f>
        <v>32.764147953124514</v>
      </c>
      <c r="U75" s="10"/>
      <c r="V75" s="9">
        <f>Model_Data!A75</f>
        <v>-23.5</v>
      </c>
      <c r="W75" s="9">
        <f>Model_Data!B75-Inputs!$C$5</f>
        <v>0.61361111111108357</v>
      </c>
      <c r="X75" s="10"/>
      <c r="Y75" s="9">
        <f>Model_Data!A75</f>
        <v>-23.5</v>
      </c>
      <c r="Z75" s="9">
        <f>0</f>
        <v>0</v>
      </c>
      <c r="AA75" s="9">
        <f>((SQRT((Inputs!$C$52+Inputs!$C$5)^2+Inputs!$C$52^2-2*(Inputs!$C$52+Inputs!$C$5)*Inputs!$C$52*COS(SQRT((Model_Data!A75)^2+Inputs!$C$6^2)/Inputs!$C$52))-Inputs!$C$5)*1000/Inputs!$C$12)</f>
        <v>1036.1608210971144</v>
      </c>
      <c r="AB75" s="9">
        <f>Model_Data!F75</f>
        <v>1034.9040437833773</v>
      </c>
    </row>
    <row r="76" spans="1:28">
      <c r="A76" s="9">
        <f>Model_Data!A76</f>
        <v>-23</v>
      </c>
      <c r="B76" s="9">
        <f>0</f>
        <v>0</v>
      </c>
      <c r="C76" s="9">
        <f>((SQRT((Inputs!$C$52+Inputs!$C$5)^2+Inputs!$C$52^2-2*(Inputs!$C$52+Inputs!$C$5)*Inputs!$C$52*COS(SQRT((Model_Data!A76)^2+Inputs!$C$6^2)/Inputs!$C$52))-Inputs!$C$5)*1000/Inputs!$C$12)</f>
        <v>1015.7440940999775</v>
      </c>
      <c r="D76" s="9">
        <f>Model_Data!F76</f>
        <v>1014.5637530711654</v>
      </c>
      <c r="E76" s="9">
        <f>Model_Data!AC76</f>
        <v>783.93273220120886</v>
      </c>
      <c r="F76" s="10"/>
      <c r="G76" s="9">
        <f>Model_Data!A76</f>
        <v>-23</v>
      </c>
      <c r="H76" s="9">
        <f>Model_Data!Y76</f>
        <v>279.55588840772998</v>
      </c>
      <c r="I76" s="9">
        <f>Model_Data!Y76</f>
        <v>279.55588840772998</v>
      </c>
      <c r="J76" s="9">
        <f>Model_Data!X76</f>
        <v>-132.54578984267809</v>
      </c>
      <c r="K76" s="9">
        <f>Model_Data!A76</f>
        <v>-23</v>
      </c>
      <c r="L76" s="9">
        <f>Model_Data!Y76</f>
        <v>279.55588840772998</v>
      </c>
      <c r="M76" s="9">
        <f>Model_Data!X76</f>
        <v>-132.54578984267809</v>
      </c>
      <c r="N76" s="9">
        <f>-(Model_Data!AC76-Model_Data!F76)*Inputs!$C$12</f>
        <v>410.52321714852258</v>
      </c>
      <c r="O76" s="10"/>
      <c r="P76" s="9">
        <f>Model_Data!A76</f>
        <v>-23</v>
      </c>
      <c r="Q76" s="9">
        <f>Model_Data!P76</f>
        <v>196.40114070170966</v>
      </c>
      <c r="R76" s="9">
        <f>Model_Data!AM76</f>
        <v>216.80914002981808</v>
      </c>
      <c r="S76" s="9">
        <f>Model_Data!Q76</f>
        <v>29.489660766022475</v>
      </c>
      <c r="T76" s="9">
        <f>Model_Data!AN76</f>
        <v>32.553924929402115</v>
      </c>
      <c r="U76" s="10"/>
      <c r="V76" s="9">
        <f>Model_Data!A76</f>
        <v>-23</v>
      </c>
      <c r="W76" s="9">
        <f>Model_Data!B76-Inputs!$C$5</f>
        <v>0.58777777777777374</v>
      </c>
      <c r="X76" s="10"/>
      <c r="Y76" s="9">
        <f>Model_Data!A76</f>
        <v>-23</v>
      </c>
      <c r="Z76" s="9">
        <f>0</f>
        <v>0</v>
      </c>
      <c r="AA76" s="9">
        <f>((SQRT((Inputs!$C$52+Inputs!$C$5)^2+Inputs!$C$52^2-2*(Inputs!$C$52+Inputs!$C$5)*Inputs!$C$52*COS(SQRT((Model_Data!A76)^2+Inputs!$C$6^2)/Inputs!$C$52))-Inputs!$C$5)*1000/Inputs!$C$12)</f>
        <v>1015.7440940999775</v>
      </c>
      <c r="AB76" s="9">
        <f>Model_Data!F76</f>
        <v>1014.5637530711654</v>
      </c>
    </row>
    <row r="77" spans="1:28">
      <c r="A77" s="9">
        <f>Model_Data!A77</f>
        <v>-22.5</v>
      </c>
      <c r="B77" s="9">
        <f>0</f>
        <v>0</v>
      </c>
      <c r="C77" s="9">
        <f>((SQRT((Inputs!$C$52+Inputs!$C$5)^2+Inputs!$C$52^2-2*(Inputs!$C$52+Inputs!$C$5)*Inputs!$C$52*COS(SQRT((Model_Data!A77)^2+Inputs!$C$6^2)/Inputs!$C$52))-Inputs!$C$5)*1000/Inputs!$C$12)</f>
        <v>995.76461743903735</v>
      </c>
      <c r="D77" s="9">
        <f>Model_Data!F77</f>
        <v>994.65707646456565</v>
      </c>
      <c r="E77" s="9">
        <f>Model_Data!AC77</f>
        <v>756.78795031865832</v>
      </c>
      <c r="F77" s="10"/>
      <c r="G77" s="9">
        <f>Model_Data!A77</f>
        <v>-22.5</v>
      </c>
      <c r="H77" s="9">
        <f>Model_Data!Y77</f>
        <v>286.69936407981004</v>
      </c>
      <c r="I77" s="9">
        <f>Model_Data!Y77</f>
        <v>286.69936407981004</v>
      </c>
      <c r="J77" s="9">
        <f>Model_Data!X77</f>
        <v>-138.29494668428998</v>
      </c>
      <c r="K77" s="9">
        <f>Model_Data!A77</f>
        <v>-22.5</v>
      </c>
      <c r="L77" s="9">
        <f>Model_Data!Y77</f>
        <v>286.69936407981004</v>
      </c>
      <c r="M77" s="9">
        <f>Model_Data!X77</f>
        <v>-138.29494668428998</v>
      </c>
      <c r="N77" s="9">
        <f>-(Model_Data!AC77-Model_Data!F77)*Inputs!$C$12</f>
        <v>423.40704453971506</v>
      </c>
      <c r="O77" s="10"/>
      <c r="P77" s="9">
        <f>Model_Data!A77</f>
        <v>-22.5</v>
      </c>
      <c r="Q77" s="9">
        <f>Model_Data!P77</f>
        <v>192.15279373456724</v>
      </c>
      <c r="R77" s="9">
        <f>Model_Data!AM77</f>
        <v>251.21183481469416</v>
      </c>
      <c r="S77" s="9">
        <f>Model_Data!Q77</f>
        <v>28.851770831016104</v>
      </c>
      <c r="T77" s="9">
        <f>Model_Data!AN77</f>
        <v>37.719494716921048</v>
      </c>
      <c r="U77" s="10"/>
      <c r="V77" s="9">
        <f>Model_Data!A77</f>
        <v>-22.5</v>
      </c>
      <c r="W77" s="9">
        <f>Model_Data!B77-Inputs!$C$5</f>
        <v>0.5625</v>
      </c>
      <c r="X77" s="10"/>
      <c r="Y77" s="9">
        <f>Model_Data!A77</f>
        <v>-22.5</v>
      </c>
      <c r="Z77" s="9">
        <f>0</f>
        <v>0</v>
      </c>
      <c r="AA77" s="9">
        <f>((SQRT((Inputs!$C$52+Inputs!$C$5)^2+Inputs!$C$52^2-2*(Inputs!$C$52+Inputs!$C$5)*Inputs!$C$52*COS(SQRT((Model_Data!A77)^2+Inputs!$C$6^2)/Inputs!$C$52))-Inputs!$C$5)*1000/Inputs!$C$12)</f>
        <v>995.76461743903735</v>
      </c>
      <c r="AB77" s="9">
        <f>Model_Data!F77</f>
        <v>994.65707646456565</v>
      </c>
    </row>
    <row r="78" spans="1:28">
      <c r="A78" s="9">
        <f>Model_Data!A78</f>
        <v>-22</v>
      </c>
      <c r="B78" s="9">
        <f>0</f>
        <v>0</v>
      </c>
      <c r="C78" s="9">
        <f>((SQRT((Inputs!$C$52+Inputs!$C$5)^2+Inputs!$C$52^2-2*(Inputs!$C$52+Inputs!$C$5)*Inputs!$C$52*COS(SQRT((Model_Data!A78)^2+Inputs!$C$6^2)/Inputs!$C$52))-Inputs!$C$5)*1000/Inputs!$C$12)</f>
        <v>976.22250928585402</v>
      </c>
      <c r="D78" s="9">
        <f>Model_Data!F78</f>
        <v>975.18426088909052</v>
      </c>
      <c r="E78" s="9">
        <f>Model_Data!AC78</f>
        <v>717.32552138029041</v>
      </c>
      <c r="F78" s="10"/>
      <c r="G78" s="9">
        <f>Model_Data!A78</f>
        <v>-22</v>
      </c>
      <c r="H78" s="9">
        <f>Model_Data!Y78</f>
        <v>316.60820817766938</v>
      </c>
      <c r="I78" s="9">
        <f>Model_Data!Y78</f>
        <v>316.60820817766938</v>
      </c>
      <c r="J78" s="9">
        <f>Model_Data!X78</f>
        <v>-144.0992283446906</v>
      </c>
      <c r="K78" s="9">
        <f>Model_Data!A78</f>
        <v>-22</v>
      </c>
      <c r="L78" s="9">
        <f>Model_Data!Y78</f>
        <v>316.60820817766938</v>
      </c>
      <c r="M78" s="9">
        <f>Model_Data!X78</f>
        <v>-144.0992283446906</v>
      </c>
      <c r="N78" s="9">
        <f>-(Model_Data!AC78-Model_Data!F78)*Inputs!$C$12</f>
        <v>458.98855632566421</v>
      </c>
      <c r="O78" s="10"/>
      <c r="P78" s="9">
        <f>Model_Data!A78</f>
        <v>-22</v>
      </c>
      <c r="Q78" s="9">
        <f>Model_Data!P78</f>
        <v>187.90305521988557</v>
      </c>
      <c r="R78" s="9">
        <f>Model_Data!AM78</f>
        <v>260.81096796797283</v>
      </c>
      <c r="S78" s="9">
        <f>Model_Data!Q78</f>
        <v>28.213671954937777</v>
      </c>
      <c r="T78" s="9">
        <f>Model_Data!AN78</f>
        <v>39.160806001197123</v>
      </c>
      <c r="U78" s="10"/>
      <c r="V78" s="9">
        <f>Model_Data!A78</f>
        <v>-22</v>
      </c>
      <c r="W78" s="9">
        <f>Model_Data!B78-Inputs!$C$5</f>
        <v>0.53777777777776237</v>
      </c>
      <c r="X78" s="10"/>
      <c r="Y78" s="9">
        <f>Model_Data!A78</f>
        <v>-22</v>
      </c>
      <c r="Z78" s="9">
        <f>0</f>
        <v>0</v>
      </c>
      <c r="AA78" s="9">
        <f>((SQRT((Inputs!$C$52+Inputs!$C$5)^2+Inputs!$C$52^2-2*(Inputs!$C$52+Inputs!$C$5)*Inputs!$C$52*COS(SQRT((Model_Data!A78)^2+Inputs!$C$6^2)/Inputs!$C$52))-Inputs!$C$5)*1000/Inputs!$C$12)</f>
        <v>976.22250928585402</v>
      </c>
      <c r="AB78" s="9">
        <f>Model_Data!F78</f>
        <v>975.18426088909052</v>
      </c>
    </row>
    <row r="79" spans="1:28">
      <c r="A79" s="9">
        <f>Model_Data!A79</f>
        <v>-21.5</v>
      </c>
      <c r="B79" s="9">
        <f>0</f>
        <v>0</v>
      </c>
      <c r="C79" s="9">
        <f>((SQRT((Inputs!$C$52+Inputs!$C$5)^2+Inputs!$C$52^2-2*(Inputs!$C$52+Inputs!$C$5)*Inputs!$C$52*COS(SQRT((Model_Data!A79)^2+Inputs!$C$6^2)/Inputs!$C$52))-Inputs!$C$5)*1000/Inputs!$C$12)</f>
        <v>957.11788526674366</v>
      </c>
      <c r="D79" s="9">
        <f>Model_Data!F79</f>
        <v>956.14554802437124</v>
      </c>
      <c r="E79" s="9">
        <f>Model_Data!AC79</f>
        <v>682.20504719514736</v>
      </c>
      <c r="F79" s="10"/>
      <c r="G79" s="9">
        <f>Model_Data!A79</f>
        <v>-21.5</v>
      </c>
      <c r="H79" s="9">
        <f>Model_Data!Y79</f>
        <v>332.44947759769417</v>
      </c>
      <c r="I79" s="9">
        <f>Model_Data!Y79</f>
        <v>332.44947759769417</v>
      </c>
      <c r="J79" s="9">
        <f>Model_Data!X79</f>
        <v>-156.9345481530768</v>
      </c>
      <c r="K79" s="9">
        <f>Model_Data!A79</f>
        <v>-21.5</v>
      </c>
      <c r="L79" s="9">
        <f>Model_Data!Y79</f>
        <v>332.44947759769417</v>
      </c>
      <c r="M79" s="9">
        <f>Model_Data!X79</f>
        <v>-156.9345481530768</v>
      </c>
      <c r="N79" s="9">
        <f>-(Model_Data!AC79-Model_Data!F79)*Inputs!$C$12</f>
        <v>487.61409147601853</v>
      </c>
      <c r="O79" s="10"/>
      <c r="P79" s="9">
        <f>Model_Data!A79</f>
        <v>-21.5</v>
      </c>
      <c r="Q79" s="9">
        <f>Model_Data!P79</f>
        <v>183.65195507121825</v>
      </c>
      <c r="R79" s="9">
        <f>Model_Data!AM79</f>
        <v>185.84239228039223</v>
      </c>
      <c r="S79" s="9">
        <f>Model_Data!Q79</f>
        <v>27.575368629312052</v>
      </c>
      <c r="T79" s="9">
        <f>Model_Data!AN79</f>
        <v>27.904263105164002</v>
      </c>
      <c r="U79" s="10"/>
      <c r="V79" s="9">
        <f>Model_Data!A79</f>
        <v>-21.5</v>
      </c>
      <c r="W79" s="9">
        <f>Model_Data!B79-Inputs!$C$5</f>
        <v>0.51361111111111768</v>
      </c>
      <c r="X79" s="10"/>
      <c r="Y79" s="9">
        <f>Model_Data!A79</f>
        <v>-21.5</v>
      </c>
      <c r="Z79" s="9">
        <f>0</f>
        <v>0</v>
      </c>
      <c r="AA79" s="9">
        <f>((SQRT((Inputs!$C$52+Inputs!$C$5)^2+Inputs!$C$52^2-2*(Inputs!$C$52+Inputs!$C$5)*Inputs!$C$52*COS(SQRT((Model_Data!A79)^2+Inputs!$C$6^2)/Inputs!$C$52))-Inputs!$C$5)*1000/Inputs!$C$12)</f>
        <v>957.11788526674366</v>
      </c>
      <c r="AB79" s="9">
        <f>Model_Data!F79</f>
        <v>956.14554802437124</v>
      </c>
    </row>
    <row r="80" spans="1:28">
      <c r="A80" s="9">
        <f>Model_Data!A80</f>
        <v>-21</v>
      </c>
      <c r="B80" s="9">
        <f>0</f>
        <v>0</v>
      </c>
      <c r="C80" s="9">
        <f>((SQRT((Inputs!$C$52+Inputs!$C$5)^2+Inputs!$C$52^2-2*(Inputs!$C$52+Inputs!$C$5)*Inputs!$C$52*COS(SQRT((Model_Data!A80)^2+Inputs!$C$6^2)/Inputs!$C$52))-Inputs!$C$5)*1000/Inputs!$C$12)</f>
        <v>938.45085845699805</v>
      </c>
      <c r="D80" s="9">
        <f>Model_Data!F80</f>
        <v>937.54117429259725</v>
      </c>
      <c r="E80" s="9">
        <f>Model_Data!AC80</f>
        <v>679.88033094503396</v>
      </c>
      <c r="F80" s="10"/>
      <c r="G80" s="9">
        <f>Model_Data!A80</f>
        <v>-21</v>
      </c>
      <c r="H80" s="9">
        <f>Model_Data!Y80</f>
        <v>317.91812880175183</v>
      </c>
      <c r="I80" s="9">
        <f>Model_Data!Y80</f>
        <v>317.91812880175183</v>
      </c>
      <c r="J80" s="9">
        <f>Model_Data!X80</f>
        <v>-142.37794992196604</v>
      </c>
      <c r="K80" s="9">
        <f>Model_Data!A80</f>
        <v>-21</v>
      </c>
      <c r="L80" s="9">
        <f>Model_Data!Y80</f>
        <v>317.91812880175183</v>
      </c>
      <c r="M80" s="9">
        <f>Model_Data!X80</f>
        <v>-142.37794992196604</v>
      </c>
      <c r="N80" s="9">
        <f>-(Model_Data!AC80-Model_Data!F80)*Inputs!$C$12</f>
        <v>458.63630115866266</v>
      </c>
      <c r="O80" s="10"/>
      <c r="P80" s="9">
        <f>Model_Data!A80</f>
        <v>-21</v>
      </c>
      <c r="Q80" s="9">
        <f>Model_Data!P80</f>
        <v>179.3995232830639</v>
      </c>
      <c r="R80" s="9">
        <f>Model_Data!AM80</f>
        <v>196.90678698616466</v>
      </c>
      <c r="S80" s="9">
        <f>Model_Data!Q80</f>
        <v>26.936865357817403</v>
      </c>
      <c r="T80" s="9">
        <f>Model_Data!AN80</f>
        <v>29.565583631556258</v>
      </c>
      <c r="U80" s="10"/>
      <c r="V80" s="9">
        <f>Model_Data!A80</f>
        <v>-21</v>
      </c>
      <c r="W80" s="9">
        <f>Model_Data!B80-Inputs!$C$5</f>
        <v>0.49000000000000909</v>
      </c>
      <c r="X80" s="10"/>
      <c r="Y80" s="9">
        <f>Model_Data!A80</f>
        <v>-21</v>
      </c>
      <c r="Z80" s="9">
        <f>0</f>
        <v>0</v>
      </c>
      <c r="AA80" s="9">
        <f>((SQRT((Inputs!$C$52+Inputs!$C$5)^2+Inputs!$C$52^2-2*(Inputs!$C$52+Inputs!$C$5)*Inputs!$C$52*COS(SQRT((Model_Data!A80)^2+Inputs!$C$6^2)/Inputs!$C$52))-Inputs!$C$5)*1000/Inputs!$C$12)</f>
        <v>938.45085845699805</v>
      </c>
      <c r="AB80" s="9">
        <f>Model_Data!F80</f>
        <v>937.54117429259725</v>
      </c>
    </row>
    <row r="81" spans="1:28">
      <c r="A81" s="9">
        <f>Model_Data!A81</f>
        <v>-20.5</v>
      </c>
      <c r="B81" s="9">
        <f>0</f>
        <v>0</v>
      </c>
      <c r="C81" s="9">
        <f>((SQRT((Inputs!$C$52+Inputs!$C$5)^2+Inputs!$C$52^2-2*(Inputs!$C$52+Inputs!$C$5)*Inputs!$C$52*COS(SQRT((Model_Data!A81)^2+Inputs!$C$6^2)/Inputs!$C$52))-Inputs!$C$5)*1000/Inputs!$C$12)</f>
        <v>920.22153937887322</v>
      </c>
      <c r="D81" s="9">
        <f>Model_Data!F81</f>
        <v>919.37137084165556</v>
      </c>
      <c r="E81" s="9">
        <f>Model_Data!AC81</f>
        <v>648.48797294656231</v>
      </c>
      <c r="F81" s="10"/>
      <c r="G81" s="9">
        <f>Model_Data!A81</f>
        <v>-20.5</v>
      </c>
      <c r="H81" s="9">
        <f>Model_Data!Y81</f>
        <v>343.37986587370784</v>
      </c>
      <c r="I81" s="9">
        <f>Model_Data!Y81</f>
        <v>343.37986587370784</v>
      </c>
      <c r="J81" s="9">
        <f>Model_Data!X81</f>
        <v>-140.55086511584989</v>
      </c>
      <c r="K81" s="9">
        <f>Model_Data!A81</f>
        <v>-20.5</v>
      </c>
      <c r="L81" s="9">
        <f>Model_Data!Y81</f>
        <v>343.37986587370784</v>
      </c>
      <c r="M81" s="9">
        <f>Model_Data!X81</f>
        <v>-140.55086511584989</v>
      </c>
      <c r="N81" s="9">
        <f>-(Model_Data!AC81-Model_Data!F81)*Inputs!$C$12</f>
        <v>482.172448253266</v>
      </c>
      <c r="O81" s="10"/>
      <c r="P81" s="9">
        <f>Model_Data!A81</f>
        <v>-20.5</v>
      </c>
      <c r="Q81" s="9">
        <f>Model_Data!P81</f>
        <v>175.14578990121663</v>
      </c>
      <c r="R81" s="9">
        <f>Model_Data!AM81</f>
        <v>207.46841210884668</v>
      </c>
      <c r="S81" s="9">
        <f>Model_Data!Q81</f>
        <v>26.298166651834332</v>
      </c>
      <c r="T81" s="9">
        <f>Model_Data!AN81</f>
        <v>31.15141322955656</v>
      </c>
      <c r="U81" s="10"/>
      <c r="V81" s="9">
        <f>Model_Data!A81</f>
        <v>-20.5</v>
      </c>
      <c r="W81" s="9">
        <f>Model_Data!B81-Inputs!$C$5</f>
        <v>0.46694444444443661</v>
      </c>
      <c r="X81" s="10"/>
      <c r="Y81" s="9">
        <f>Model_Data!A81</f>
        <v>-20.5</v>
      </c>
      <c r="Z81" s="9">
        <f>0</f>
        <v>0</v>
      </c>
      <c r="AA81" s="9">
        <f>((SQRT((Inputs!$C$52+Inputs!$C$5)^2+Inputs!$C$52^2-2*(Inputs!$C$52+Inputs!$C$5)*Inputs!$C$52*COS(SQRT((Model_Data!A81)^2+Inputs!$C$6^2)/Inputs!$C$52))-Inputs!$C$5)*1000/Inputs!$C$12)</f>
        <v>920.22153937887322</v>
      </c>
      <c r="AB81" s="9">
        <f>Model_Data!F81</f>
        <v>919.37137084165556</v>
      </c>
    </row>
    <row r="82" spans="1:28">
      <c r="A82" s="9">
        <f>Model_Data!A82</f>
        <v>-20</v>
      </c>
      <c r="B82" s="9">
        <f>0</f>
        <v>0</v>
      </c>
      <c r="C82" s="9">
        <f>((SQRT((Inputs!$C$52+Inputs!$C$5)^2+Inputs!$C$52^2-2*(Inputs!$C$52+Inputs!$C$5)*Inputs!$C$52*COS(SQRT((Model_Data!A82)^2+Inputs!$C$6^2)/Inputs!$C$52))-Inputs!$C$5)*1000/Inputs!$C$12)</f>
        <v>902.43003599890687</v>
      </c>
      <c r="D82" s="9">
        <f>Model_Data!F82</f>
        <v>901.63636354388461</v>
      </c>
      <c r="E82" s="9">
        <f>Model_Data!AC82</f>
        <v>630.40703096651134</v>
      </c>
      <c r="F82" s="10"/>
      <c r="G82" s="9">
        <f>Model_Data!A82</f>
        <v>-20</v>
      </c>
      <c r="H82" s="9">
        <f>Model_Data!Y82</f>
        <v>338.15830709982725</v>
      </c>
      <c r="I82" s="9">
        <f>Model_Data!Y82</f>
        <v>338.15830709982725</v>
      </c>
      <c r="J82" s="9">
        <f>Model_Data!X82</f>
        <v>-146.32822187126578</v>
      </c>
      <c r="K82" s="9">
        <f>Model_Data!A82</f>
        <v>-20</v>
      </c>
      <c r="L82" s="9">
        <f>Model_Data!Y82</f>
        <v>338.15830709982725</v>
      </c>
      <c r="M82" s="9">
        <f>Model_Data!X82</f>
        <v>-146.32822187126578</v>
      </c>
      <c r="N82" s="9">
        <f>-(Model_Data!AC82-Model_Data!F82)*Inputs!$C$12</f>
        <v>482.78821198772442</v>
      </c>
      <c r="O82" s="10"/>
      <c r="P82" s="9">
        <f>Model_Data!A82</f>
        <v>-20</v>
      </c>
      <c r="Q82" s="9">
        <f>Model_Data!P82</f>
        <v>170.89078503895507</v>
      </c>
      <c r="R82" s="9">
        <f>Model_Data!AM82</f>
        <v>203.53163798381502</v>
      </c>
      <c r="S82" s="9">
        <f>Model_Data!Q82</f>
        <v>25.65927703287614</v>
      </c>
      <c r="T82" s="9">
        <f>Model_Data!AN82</f>
        <v>30.560306003575832</v>
      </c>
      <c r="U82" s="10"/>
      <c r="V82" s="9">
        <f>Model_Data!A82</f>
        <v>-20</v>
      </c>
      <c r="W82" s="9">
        <f>Model_Data!B82-Inputs!$C$5</f>
        <v>0.44444444444445708</v>
      </c>
      <c r="X82" s="10"/>
      <c r="Y82" s="9">
        <f>Model_Data!A82</f>
        <v>-20</v>
      </c>
      <c r="Z82" s="9">
        <f>0</f>
        <v>0</v>
      </c>
      <c r="AA82" s="9">
        <f>((SQRT((Inputs!$C$52+Inputs!$C$5)^2+Inputs!$C$52^2-2*(Inputs!$C$52+Inputs!$C$5)*Inputs!$C$52*COS(SQRT((Model_Data!A82)^2+Inputs!$C$6^2)/Inputs!$C$52))-Inputs!$C$5)*1000/Inputs!$C$12)</f>
        <v>902.43003599890687</v>
      </c>
      <c r="AB82" s="9">
        <f>Model_Data!F82</f>
        <v>901.63636354388461</v>
      </c>
    </row>
    <row r="83" spans="1:28">
      <c r="A83" s="9">
        <f>Model_Data!A83</f>
        <v>-19.5</v>
      </c>
      <c r="B83" s="9">
        <f>0</f>
        <v>0</v>
      </c>
      <c r="C83" s="9">
        <f>((SQRT((Inputs!$C$52+Inputs!$C$5)^2+Inputs!$C$52^2-2*(Inputs!$C$52+Inputs!$C$5)*Inputs!$C$52*COS(SQRT((Model_Data!A83)^2+Inputs!$C$6^2)/Inputs!$C$52))-Inputs!$C$5)*1000/Inputs!$C$12)</f>
        <v>885.07645372370268</v>
      </c>
      <c r="D83" s="9">
        <f>Model_Data!F83</f>
        <v>884.3363729737207</v>
      </c>
      <c r="E83" s="9">
        <f>Model_Data!AC83</f>
        <v>602.27431996441976</v>
      </c>
      <c r="F83" s="10"/>
      <c r="G83" s="9">
        <f>Model_Data!A83</f>
        <v>-19.5</v>
      </c>
      <c r="H83" s="9">
        <f>Model_Data!Y83</f>
        <v>363.81454233492502</v>
      </c>
      <c r="I83" s="9">
        <f>Model_Data!Y83</f>
        <v>363.81454233492502</v>
      </c>
      <c r="J83" s="9">
        <f>Model_Data!X83</f>
        <v>-140.04833812864371</v>
      </c>
      <c r="K83" s="9">
        <f>Model_Data!A83</f>
        <v>-19.5</v>
      </c>
      <c r="L83" s="9">
        <f>Model_Data!Y83</f>
        <v>363.81454233492502</v>
      </c>
      <c r="M83" s="9">
        <f>Model_Data!X83</f>
        <v>-140.04833812864371</v>
      </c>
      <c r="N83" s="9">
        <f>-(Model_Data!AC83-Model_Data!F83)*Inputs!$C$12</f>
        <v>502.07045435655567</v>
      </c>
      <c r="O83" s="10"/>
      <c r="P83" s="9">
        <f>Model_Data!A83</f>
        <v>-19.5</v>
      </c>
      <c r="Q83" s="9">
        <f>Model_Data!P83</f>
        <v>166.6345388791342</v>
      </c>
      <c r="R83" s="9">
        <f>Model_Data!AM83</f>
        <v>219.32626696543593</v>
      </c>
      <c r="S83" s="9">
        <f>Model_Data!Q83</f>
        <v>25.020201032903035</v>
      </c>
      <c r="T83" s="9">
        <f>Model_Data!AN83</f>
        <v>32.931871916732128</v>
      </c>
      <c r="U83" s="10"/>
      <c r="V83" s="9">
        <f>Model_Data!A83</f>
        <v>-19.5</v>
      </c>
      <c r="W83" s="9">
        <f>Model_Data!B83-Inputs!$C$5</f>
        <v>0.42250000000001364</v>
      </c>
      <c r="X83" s="10"/>
      <c r="Y83" s="9">
        <f>Model_Data!A83</f>
        <v>-19.5</v>
      </c>
      <c r="Z83" s="9">
        <f>0</f>
        <v>0</v>
      </c>
      <c r="AA83" s="9">
        <f>((SQRT((Inputs!$C$52+Inputs!$C$5)^2+Inputs!$C$52^2-2*(Inputs!$C$52+Inputs!$C$5)*Inputs!$C$52*COS(SQRT((Model_Data!A83)^2+Inputs!$C$6^2)/Inputs!$C$52))-Inputs!$C$5)*1000/Inputs!$C$12)</f>
        <v>885.07645372370268</v>
      </c>
      <c r="AB83" s="9">
        <f>Model_Data!F83</f>
        <v>884.3363729737207</v>
      </c>
    </row>
    <row r="84" spans="1:28">
      <c r="A84" s="9">
        <f>Model_Data!A84</f>
        <v>-19</v>
      </c>
      <c r="B84" s="9">
        <f>0</f>
        <v>0</v>
      </c>
      <c r="C84" s="9">
        <f>((SQRT((Inputs!$C$52+Inputs!$C$5)^2+Inputs!$C$52^2-2*(Inputs!$C$52+Inputs!$C$5)*Inputs!$C$52*COS(SQRT((Model_Data!A84)^2+Inputs!$C$6^2)/Inputs!$C$52))-Inputs!$C$5)*1000/Inputs!$C$12)</f>
        <v>868.16089539728011</v>
      </c>
      <c r="D84" s="9">
        <f>Model_Data!F84</f>
        <v>867.47161440562172</v>
      </c>
      <c r="E84" s="9">
        <f>Model_Data!AC84</f>
        <v>578.5526013324527</v>
      </c>
      <c r="F84" s="10"/>
      <c r="G84" s="9">
        <f>Model_Data!A84</f>
        <v>-19</v>
      </c>
      <c r="H84" s="9">
        <f>Model_Data!Y84</f>
        <v>371.18641988342398</v>
      </c>
      <c r="I84" s="9">
        <f>Model_Data!Y84</f>
        <v>371.18641988342398</v>
      </c>
      <c r="J84" s="9">
        <f>Model_Data!X84</f>
        <v>-144.88352309984418</v>
      </c>
      <c r="K84" s="9">
        <f>Model_Data!A84</f>
        <v>-19</v>
      </c>
      <c r="L84" s="9">
        <f>Model_Data!Y84</f>
        <v>371.18641988342398</v>
      </c>
      <c r="M84" s="9">
        <f>Model_Data!X84</f>
        <v>-144.88352309984418</v>
      </c>
      <c r="N84" s="9">
        <f>-(Model_Data!AC84-Model_Data!F84)*Inputs!$C$12</f>
        <v>514.2758432702409</v>
      </c>
      <c r="O84" s="10"/>
      <c r="P84" s="9">
        <f>Model_Data!A84</f>
        <v>-19</v>
      </c>
      <c r="Q84" s="9">
        <f>Model_Data!P84</f>
        <v>162.37708165526783</v>
      </c>
      <c r="R84" s="9">
        <f>Model_Data!AM84</f>
        <v>165.46845659795508</v>
      </c>
      <c r="S84" s="9">
        <f>Model_Data!Q84</f>
        <v>24.380943191481659</v>
      </c>
      <c r="T84" s="9">
        <f>Model_Data!AN84</f>
        <v>24.845113603296561</v>
      </c>
      <c r="U84" s="10"/>
      <c r="V84" s="9">
        <f>Model_Data!A84</f>
        <v>-19</v>
      </c>
      <c r="W84" s="9">
        <f>Model_Data!B84-Inputs!$C$5</f>
        <v>0.40111111111110631</v>
      </c>
      <c r="X84" s="10"/>
      <c r="Y84" s="9">
        <f>Model_Data!A84</f>
        <v>-19</v>
      </c>
      <c r="Z84" s="9">
        <f>0</f>
        <v>0</v>
      </c>
      <c r="AA84" s="9">
        <f>((SQRT((Inputs!$C$52+Inputs!$C$5)^2+Inputs!$C$52^2-2*(Inputs!$C$52+Inputs!$C$5)*Inputs!$C$52*COS(SQRT((Model_Data!A84)^2+Inputs!$C$6^2)/Inputs!$C$52))-Inputs!$C$5)*1000/Inputs!$C$12)</f>
        <v>868.16089539728011</v>
      </c>
      <c r="AB84" s="9">
        <f>Model_Data!F84</f>
        <v>867.47161440562172</v>
      </c>
    </row>
    <row r="85" spans="1:28">
      <c r="A85" s="9">
        <f>Model_Data!A85</f>
        <v>-18.5</v>
      </c>
      <c r="B85" s="9">
        <f>0</f>
        <v>0</v>
      </c>
      <c r="C85" s="9">
        <f>((SQRT((Inputs!$C$52+Inputs!$C$5)^2+Inputs!$C$52^2-2*(Inputs!$C$52+Inputs!$C$5)*Inputs!$C$52*COS(SQRT((Model_Data!A85)^2+Inputs!$C$6^2)/Inputs!$C$52))-Inputs!$C$5)*1000/Inputs!$C$12)</f>
        <v>851.68346129772124</v>
      </c>
      <c r="D85" s="9">
        <f>Model_Data!F85</f>
        <v>851.04229779825971</v>
      </c>
      <c r="E85" s="9">
        <f>Model_Data!AC85</f>
        <v>569.79629152201574</v>
      </c>
      <c r="F85" s="10"/>
      <c r="G85" s="9">
        <f>Model_Data!A85</f>
        <v>-18.5</v>
      </c>
      <c r="H85" s="9">
        <f>Model_Data!Y85</f>
        <v>365.6884368087795</v>
      </c>
      <c r="I85" s="9">
        <f>Model_Data!Y85</f>
        <v>365.6884368087795</v>
      </c>
      <c r="J85" s="9">
        <f>Model_Data!X85</f>
        <v>-136.66366560462208</v>
      </c>
      <c r="K85" s="9">
        <f>Model_Data!A85</f>
        <v>-18.5</v>
      </c>
      <c r="L85" s="9">
        <f>Model_Data!Y85</f>
        <v>365.6884368087795</v>
      </c>
      <c r="M85" s="9">
        <f>Model_Data!X85</f>
        <v>-136.66366560462208</v>
      </c>
      <c r="N85" s="9">
        <f>-(Model_Data!AC85-Model_Data!F85)*Inputs!$C$12</f>
        <v>500.61789117171429</v>
      </c>
      <c r="O85" s="10"/>
      <c r="P85" s="9">
        <f>Model_Data!A85</f>
        <v>-18.5</v>
      </c>
      <c r="Q85" s="9">
        <f>Model_Data!P85</f>
        <v>158.1184436692638</v>
      </c>
      <c r="R85" s="9">
        <f>Model_Data!AM85</f>
        <v>191.40687485532908</v>
      </c>
      <c r="S85" s="9">
        <f>Model_Data!Q85</f>
        <v>23.741508058448019</v>
      </c>
      <c r="T85" s="9">
        <f>Model_Data!AN85</f>
        <v>28.739770999298663</v>
      </c>
      <c r="U85" s="10"/>
      <c r="V85" s="9">
        <f>Model_Data!A85</f>
        <v>-18.5</v>
      </c>
      <c r="W85" s="9">
        <f>Model_Data!B85-Inputs!$C$5</f>
        <v>0.38027777777779193</v>
      </c>
      <c r="X85" s="10"/>
      <c r="Y85" s="9">
        <f>Model_Data!A85</f>
        <v>-18.5</v>
      </c>
      <c r="Z85" s="9">
        <f>0</f>
        <v>0</v>
      </c>
      <c r="AA85" s="9">
        <f>((SQRT((Inputs!$C$52+Inputs!$C$5)^2+Inputs!$C$52^2-2*(Inputs!$C$52+Inputs!$C$5)*Inputs!$C$52*COS(SQRT((Model_Data!A85)^2+Inputs!$C$6^2)/Inputs!$C$52))-Inputs!$C$5)*1000/Inputs!$C$12)</f>
        <v>851.68346129772124</v>
      </c>
      <c r="AB85" s="9">
        <f>Model_Data!F85</f>
        <v>851.04229779825971</v>
      </c>
    </row>
    <row r="86" spans="1:28">
      <c r="A86" s="9">
        <f>Model_Data!A86</f>
        <v>-18</v>
      </c>
      <c r="B86" s="9">
        <f>0</f>
        <v>0</v>
      </c>
      <c r="C86" s="9">
        <f>((SQRT((Inputs!$C$52+Inputs!$C$5)^2+Inputs!$C$52^2-2*(Inputs!$C$52+Inputs!$C$5)*Inputs!$C$52*COS(SQRT((Model_Data!A86)^2+Inputs!$C$6^2)/Inputs!$C$52))-Inputs!$C$5)*1000/Inputs!$C$12)</f>
        <v>835.64424913528626</v>
      </c>
      <c r="D86" s="9">
        <f>Model_Data!F86</f>
        <v>835.04862778640972</v>
      </c>
      <c r="E86" s="9">
        <f>Model_Data!AC86</f>
        <v>532.05975787818079</v>
      </c>
      <c r="F86" s="10"/>
      <c r="G86" s="9">
        <f>Model_Data!A86</f>
        <v>-18</v>
      </c>
      <c r="H86" s="9">
        <f>Model_Data!Y86</f>
        <v>392.02205415360987</v>
      </c>
      <c r="I86" s="9">
        <f>Model_Data!Y86</f>
        <v>392.02205415360987</v>
      </c>
      <c r="J86" s="9">
        <f>Model_Data!X86</f>
        <v>-149.12259877495586</v>
      </c>
      <c r="K86" s="9">
        <f>Model_Data!A86</f>
        <v>-18</v>
      </c>
      <c r="L86" s="9">
        <f>Model_Data!Y86</f>
        <v>392.02205415360987</v>
      </c>
      <c r="M86" s="9">
        <f>Model_Data!X86</f>
        <v>-149.12259877495586</v>
      </c>
      <c r="N86" s="9">
        <f>-(Model_Data!AC86-Model_Data!F86)*Inputs!$C$12</f>
        <v>539.32018843664753</v>
      </c>
      <c r="O86" s="10"/>
      <c r="P86" s="9">
        <f>Model_Data!A86</f>
        <v>-18</v>
      </c>
      <c r="Q86" s="9">
        <f>Model_Data!P86</f>
        <v>153.85865527787246</v>
      </c>
      <c r="R86" s="9">
        <f>Model_Data!AM86</f>
        <v>203.94346546299857</v>
      </c>
      <c r="S86" s="9">
        <f>Model_Data!Q86</f>
        <v>23.101900191872744</v>
      </c>
      <c r="T86" s="9">
        <f>Model_Data!AN86</f>
        <v>30.622141961411199</v>
      </c>
      <c r="U86" s="10"/>
      <c r="V86" s="9">
        <f>Model_Data!A86</f>
        <v>-18</v>
      </c>
      <c r="W86" s="9">
        <f>Model_Data!B86-Inputs!$C$5</f>
        <v>0.36000000000001364</v>
      </c>
      <c r="X86" s="10"/>
      <c r="Y86" s="9">
        <f>Model_Data!A86</f>
        <v>-18</v>
      </c>
      <c r="Z86" s="9">
        <f>0</f>
        <v>0</v>
      </c>
      <c r="AA86" s="9">
        <f>((SQRT((Inputs!$C$52+Inputs!$C$5)^2+Inputs!$C$52^2-2*(Inputs!$C$52+Inputs!$C$5)*Inputs!$C$52*COS(SQRT((Model_Data!A86)^2+Inputs!$C$6^2)/Inputs!$C$52))-Inputs!$C$5)*1000/Inputs!$C$12)</f>
        <v>835.64424913528626</v>
      </c>
      <c r="AB86" s="9">
        <f>Model_Data!F86</f>
        <v>835.04862778640972</v>
      </c>
    </row>
    <row r="87" spans="1:28">
      <c r="A87" s="9">
        <f>Model_Data!A87</f>
        <v>-17.5</v>
      </c>
      <c r="B87" s="9">
        <f>0</f>
        <v>0</v>
      </c>
      <c r="C87" s="9">
        <f>((SQRT((Inputs!$C$52+Inputs!$C$5)^2+Inputs!$C$52^2-2*(Inputs!$C$52+Inputs!$C$5)*Inputs!$C$52*COS(SQRT((Model_Data!A87)^2+Inputs!$C$6^2)/Inputs!$C$52))-Inputs!$C$5)*1000/Inputs!$C$12)</f>
        <v>820.04335404845415</v>
      </c>
      <c r="D87" s="9">
        <f>Model_Data!F87</f>
        <v>819.49080366980468</v>
      </c>
      <c r="E87" s="9">
        <f>Model_Data!AC87</f>
        <v>519.30520681025246</v>
      </c>
      <c r="F87" s="10"/>
      <c r="G87" s="9">
        <f>Model_Data!A87</f>
        <v>-17.5</v>
      </c>
      <c r="H87" s="9">
        <f>Model_Data!Y87</f>
        <v>397.07097057156574</v>
      </c>
      <c r="I87" s="9">
        <f>Model_Data!Y87</f>
        <v>397.07097057156574</v>
      </c>
      <c r="J87" s="9">
        <f>Model_Data!X87</f>
        <v>-139.0731304771746</v>
      </c>
      <c r="K87" s="9">
        <f>Model_Data!A87</f>
        <v>-17.5</v>
      </c>
      <c r="L87" s="9">
        <f>Model_Data!Y87</f>
        <v>397.07097057156574</v>
      </c>
      <c r="M87" s="9">
        <f>Model_Data!X87</f>
        <v>-139.0731304771746</v>
      </c>
      <c r="N87" s="9">
        <f>-(Model_Data!AC87-Model_Data!F87)*Inputs!$C$12</f>
        <v>534.33036241000298</v>
      </c>
      <c r="O87" s="10"/>
      <c r="P87" s="9">
        <f>Model_Data!A87</f>
        <v>-17.5</v>
      </c>
      <c r="Q87" s="9">
        <f>Model_Data!P87</f>
        <v>149.59774689641563</v>
      </c>
      <c r="R87" s="9">
        <f>Model_Data!AM87</f>
        <v>132.74258327064672</v>
      </c>
      <c r="S87" s="9">
        <f>Model_Data!Q87</f>
        <v>22.462124158620966</v>
      </c>
      <c r="T87" s="9">
        <f>Model_Data!AN87</f>
        <v>19.931318809406417</v>
      </c>
      <c r="U87" s="10"/>
      <c r="V87" s="9">
        <f>Model_Data!A87</f>
        <v>-17.5</v>
      </c>
      <c r="W87" s="9">
        <f>Model_Data!B87-Inputs!$C$5</f>
        <v>0.34027777777777146</v>
      </c>
      <c r="X87" s="10"/>
      <c r="Y87" s="9">
        <f>Model_Data!A87</f>
        <v>-17.5</v>
      </c>
      <c r="Z87" s="9">
        <f>0</f>
        <v>0</v>
      </c>
      <c r="AA87" s="9">
        <f>((SQRT((Inputs!$C$52+Inputs!$C$5)^2+Inputs!$C$52^2-2*(Inputs!$C$52+Inputs!$C$5)*Inputs!$C$52*COS(SQRT((Model_Data!A87)^2+Inputs!$C$6^2)/Inputs!$C$52))-Inputs!$C$5)*1000/Inputs!$C$12)</f>
        <v>820.04335404845415</v>
      </c>
      <c r="AB87" s="9">
        <f>Model_Data!F87</f>
        <v>819.49080366980468</v>
      </c>
    </row>
    <row r="88" spans="1:28">
      <c r="A88" s="9">
        <f>Model_Data!A88</f>
        <v>-17</v>
      </c>
      <c r="B88" s="9">
        <f>0</f>
        <v>0</v>
      </c>
      <c r="C88" s="9">
        <f>((SQRT((Inputs!$C$52+Inputs!$C$5)^2+Inputs!$C$52^2-2*(Inputs!$C$52+Inputs!$C$5)*Inputs!$C$52*COS(SQRT((Model_Data!A88)^2+Inputs!$C$6^2)/Inputs!$C$52))-Inputs!$C$5)*1000/Inputs!$C$12)</f>
        <v>804.88086860178259</v>
      </c>
      <c r="D88" s="9">
        <f>Model_Data!F88</f>
        <v>804.36901940361861</v>
      </c>
      <c r="E88" s="9">
        <f>Model_Data!AC88</f>
        <v>520.45224333957572</v>
      </c>
      <c r="F88" s="10"/>
      <c r="G88" s="9">
        <f>Model_Data!A88</f>
        <v>-17</v>
      </c>
      <c r="H88" s="9">
        <f>Model_Data!Y88</f>
        <v>381.37310246850825</v>
      </c>
      <c r="I88" s="9">
        <f>Model_Data!Y88</f>
        <v>381.37310246850825</v>
      </c>
      <c r="J88" s="9">
        <f>Model_Data!X88</f>
        <v>-125.70874899839603</v>
      </c>
      <c r="K88" s="9">
        <f>Model_Data!A88</f>
        <v>-17</v>
      </c>
      <c r="L88" s="9">
        <f>Model_Data!Y88</f>
        <v>381.37310246850825</v>
      </c>
      <c r="M88" s="9">
        <f>Model_Data!X88</f>
        <v>-125.70874899839603</v>
      </c>
      <c r="N88" s="9">
        <f>-(Model_Data!AC88-Model_Data!F88)*Inputs!$C$12</f>
        <v>505.37186139399637</v>
      </c>
      <c r="O88" s="10"/>
      <c r="P88" s="9">
        <f>Model_Data!A88</f>
        <v>-17</v>
      </c>
      <c r="Q88" s="9">
        <f>Model_Data!P88</f>
        <v>145.33574898605366</v>
      </c>
      <c r="R88" s="9">
        <f>Model_Data!AM88</f>
        <v>129.62617697667156</v>
      </c>
      <c r="S88" s="9">
        <f>Model_Data!Q88</f>
        <v>21.822184532440492</v>
      </c>
      <c r="T88" s="9">
        <f>Model_Data!AN88</f>
        <v>19.463389936437174</v>
      </c>
      <c r="U88" s="10"/>
      <c r="V88" s="9">
        <f>Model_Data!A88</f>
        <v>-17</v>
      </c>
      <c r="W88" s="9">
        <f>Model_Data!B88-Inputs!$C$5</f>
        <v>0.32111111111112223</v>
      </c>
      <c r="X88" s="10"/>
      <c r="Y88" s="9">
        <f>Model_Data!A88</f>
        <v>-17</v>
      </c>
      <c r="Z88" s="9">
        <f>0</f>
        <v>0</v>
      </c>
      <c r="AA88" s="9">
        <f>((SQRT((Inputs!$C$52+Inputs!$C$5)^2+Inputs!$C$52^2-2*(Inputs!$C$52+Inputs!$C$5)*Inputs!$C$52*COS(SQRT((Model_Data!A88)^2+Inputs!$C$6^2)/Inputs!$C$52))-Inputs!$C$5)*1000/Inputs!$C$12)</f>
        <v>804.88086860178259</v>
      </c>
      <c r="AB88" s="9">
        <f>Model_Data!F88</f>
        <v>804.36901940361861</v>
      </c>
    </row>
    <row r="89" spans="1:28">
      <c r="A89" s="9">
        <f>Model_Data!A89</f>
        <v>-16.5</v>
      </c>
      <c r="B89" s="9">
        <f>0</f>
        <v>0</v>
      </c>
      <c r="C89" s="9">
        <f>((SQRT((Inputs!$C$52+Inputs!$C$5)^2+Inputs!$C$52^2-2*(Inputs!$C$52+Inputs!$C$5)*Inputs!$C$52*COS(SQRT((Model_Data!A89)^2+Inputs!$C$6^2)/Inputs!$C$52))-Inputs!$C$5)*1000/Inputs!$C$12)</f>
        <v>790.15688278319385</v>
      </c>
      <c r="D89" s="9">
        <f>Model_Data!F89</f>
        <v>789.68346359198381</v>
      </c>
      <c r="E89" s="9">
        <f>Model_Data!AC89</f>
        <v>503.55573156989237</v>
      </c>
      <c r="F89" s="10"/>
      <c r="G89" s="9">
        <f>Model_Data!A89</f>
        <v>-16.5</v>
      </c>
      <c r="H89" s="9">
        <f>Model_Data!Y89</f>
        <v>387.14310586746348</v>
      </c>
      <c r="I89" s="9">
        <f>Model_Data!Y89</f>
        <v>387.14310586746348</v>
      </c>
      <c r="J89" s="9">
        <f>Model_Data!X89</f>
        <v>-123.86861357235706</v>
      </c>
      <c r="K89" s="9">
        <f>Model_Data!A89</f>
        <v>-16.5</v>
      </c>
      <c r="L89" s="9">
        <f>Model_Data!Y89</f>
        <v>387.14310586746348</v>
      </c>
      <c r="M89" s="9">
        <f>Model_Data!X89</f>
        <v>-123.86861357235706</v>
      </c>
      <c r="N89" s="9">
        <f>-(Model_Data!AC89-Model_Data!F89)*Inputs!$C$12</f>
        <v>509.30736299932278</v>
      </c>
      <c r="O89" s="10"/>
      <c r="P89" s="9">
        <f>Model_Data!A89</f>
        <v>-16.5</v>
      </c>
      <c r="Q89" s="9">
        <f>Model_Data!P89</f>
        <v>141.07269207324862</v>
      </c>
      <c r="R89" s="9">
        <f>Model_Data!AM89</f>
        <v>192.02559108462083</v>
      </c>
      <c r="S89" s="9">
        <f>Model_Data!Q89</f>
        <v>21.182085896884178</v>
      </c>
      <c r="T89" s="9">
        <f>Model_Data!AN89</f>
        <v>28.832671334027154</v>
      </c>
      <c r="U89" s="10"/>
      <c r="V89" s="9">
        <f>Model_Data!A89</f>
        <v>-16.5</v>
      </c>
      <c r="W89" s="9">
        <f>Model_Data!B89-Inputs!$C$5</f>
        <v>0.30250000000000909</v>
      </c>
      <c r="X89" s="10"/>
      <c r="Y89" s="9">
        <f>Model_Data!A89</f>
        <v>-16.5</v>
      </c>
      <c r="Z89" s="9">
        <f>0</f>
        <v>0</v>
      </c>
      <c r="AA89" s="9">
        <f>((SQRT((Inputs!$C$52+Inputs!$C$5)^2+Inputs!$C$52^2-2*(Inputs!$C$52+Inputs!$C$5)*Inputs!$C$52*COS(SQRT((Model_Data!A89)^2+Inputs!$C$6^2)/Inputs!$C$52))-Inputs!$C$5)*1000/Inputs!$C$12)</f>
        <v>790.15688278319385</v>
      </c>
      <c r="AB89" s="9">
        <f>Model_Data!F89</f>
        <v>789.68346359198381</v>
      </c>
    </row>
    <row r="90" spans="1:28">
      <c r="A90" s="9">
        <f>Model_Data!A90</f>
        <v>-16</v>
      </c>
      <c r="B90" s="9">
        <f>0</f>
        <v>0</v>
      </c>
      <c r="C90" s="9">
        <f>((SQRT((Inputs!$C$52+Inputs!$C$5)^2+Inputs!$C$52^2-2*(Inputs!$C$52+Inputs!$C$5)*Inputs!$C$52*COS(SQRT((Model_Data!A90)^2+Inputs!$C$6^2)/Inputs!$C$52))-Inputs!$C$5)*1000/Inputs!$C$12)</f>
        <v>775.87148400062165</v>
      </c>
      <c r="D90" s="9">
        <f>Model_Data!F90</f>
        <v>775.43431947154545</v>
      </c>
      <c r="E90" s="9">
        <f>Model_Data!AC90</f>
        <v>489.48541596475576</v>
      </c>
      <c r="F90" s="10"/>
      <c r="G90" s="9">
        <f>Model_Data!A90</f>
        <v>-16</v>
      </c>
      <c r="H90" s="9">
        <f>Model_Data!Y90</f>
        <v>413.29561486427639</v>
      </c>
      <c r="I90" s="9">
        <f>Model_Data!Y90</f>
        <v>413.29561486427639</v>
      </c>
      <c r="J90" s="9">
        <f>Model_Data!X90</f>
        <v>-97.48037396441562</v>
      </c>
      <c r="K90" s="9">
        <f>Model_Data!A90</f>
        <v>-16</v>
      </c>
      <c r="L90" s="9">
        <f>Model_Data!Y90</f>
        <v>413.29561486427639</v>
      </c>
      <c r="M90" s="9">
        <f>Model_Data!X90</f>
        <v>-97.48037396441562</v>
      </c>
      <c r="N90" s="9">
        <f>-(Model_Data!AC90-Model_Data!F90)*Inputs!$C$12</f>
        <v>508.98904824208563</v>
      </c>
      <c r="O90" s="10"/>
      <c r="P90" s="9">
        <f>Model_Data!A90</f>
        <v>-16</v>
      </c>
      <c r="Q90" s="9">
        <f>Model_Data!P90</f>
        <v>136.80860673657662</v>
      </c>
      <c r="R90" s="9">
        <f>Model_Data!AM90</f>
        <v>165.6403437944391</v>
      </c>
      <c r="S90" s="9">
        <f>Model_Data!Q90</f>
        <v>20.541832843329825</v>
      </c>
      <c r="T90" s="9">
        <f>Model_Data!AN90</f>
        <v>24.870922491657524</v>
      </c>
      <c r="U90" s="10"/>
      <c r="V90" s="9">
        <f>Model_Data!A90</f>
        <v>-16</v>
      </c>
      <c r="W90" s="9">
        <f>Model_Data!B90-Inputs!$C$5</f>
        <v>0.28444444444443207</v>
      </c>
      <c r="X90" s="10"/>
      <c r="Y90" s="9">
        <f>Model_Data!A90</f>
        <v>-16</v>
      </c>
      <c r="Z90" s="9">
        <f>0</f>
        <v>0</v>
      </c>
      <c r="AA90" s="9">
        <f>((SQRT((Inputs!$C$52+Inputs!$C$5)^2+Inputs!$C$52^2-2*(Inputs!$C$52+Inputs!$C$5)*Inputs!$C$52*COS(SQRT((Model_Data!A90)^2+Inputs!$C$6^2)/Inputs!$C$52))-Inputs!$C$5)*1000/Inputs!$C$12)</f>
        <v>775.87148400062165</v>
      </c>
      <c r="AB90" s="9">
        <f>Model_Data!F90</f>
        <v>775.43431947154545</v>
      </c>
    </row>
    <row r="91" spans="1:28">
      <c r="A91" s="9">
        <f>Model_Data!A91</f>
        <v>-15.5</v>
      </c>
      <c r="B91" s="9">
        <f>0</f>
        <v>0</v>
      </c>
      <c r="C91" s="9">
        <f>((SQRT((Inputs!$C$52+Inputs!$C$5)^2+Inputs!$C$52^2-2*(Inputs!$C$52+Inputs!$C$5)*Inputs!$C$52*COS(SQRT((Model_Data!A91)^2+Inputs!$C$6^2)/Inputs!$C$52))-Inputs!$C$5)*1000/Inputs!$C$12)</f>
        <v>762.0247570816274</v>
      </c>
      <c r="D91" s="9">
        <f>Model_Data!F91</f>
        <v>761.62176490951231</v>
      </c>
      <c r="E91" s="9">
        <f>Model_Data!AC91</f>
        <v>473.54552063489956</v>
      </c>
      <c r="F91" s="10"/>
      <c r="G91" s="9">
        <f>Model_Data!A91</f>
        <v>-15.5</v>
      </c>
      <c r="H91" s="9">
        <f>Model_Data!Y91</f>
        <v>405.17934846817269</v>
      </c>
      <c r="I91" s="9">
        <f>Model_Data!Y91</f>
        <v>405.17934846817269</v>
      </c>
      <c r="J91" s="9">
        <f>Model_Data!X91</f>
        <v>-109.31712972071381</v>
      </c>
      <c r="K91" s="9">
        <f>Model_Data!A91</f>
        <v>-15.5</v>
      </c>
      <c r="L91" s="9">
        <f>Model_Data!Y91</f>
        <v>405.17934846817269</v>
      </c>
      <c r="M91" s="9">
        <f>Model_Data!X91</f>
        <v>-109.31712972071381</v>
      </c>
      <c r="N91" s="9">
        <f>-(Model_Data!AC91-Model_Data!F91)*Inputs!$C$12</f>
        <v>512.77571480881068</v>
      </c>
      <c r="O91" s="10"/>
      <c r="P91" s="9">
        <f>Model_Data!A91</f>
        <v>-15.5</v>
      </c>
      <c r="Q91" s="9">
        <f>Model_Data!P91</f>
        <v>132.5435235945406</v>
      </c>
      <c r="R91" s="9">
        <f>Model_Data!AM91</f>
        <v>137.95639615773325</v>
      </c>
      <c r="S91" s="9">
        <f>Model_Data!Q91</f>
        <v>19.901429969150243</v>
      </c>
      <c r="T91" s="9">
        <f>Model_Data!AN91</f>
        <v>20.714173597257247</v>
      </c>
      <c r="U91" s="10"/>
      <c r="V91" s="9">
        <f>Model_Data!A91</f>
        <v>-15.5</v>
      </c>
      <c r="W91" s="9">
        <f>Model_Data!B91-Inputs!$C$5</f>
        <v>0.26694444444444798</v>
      </c>
      <c r="X91" s="10"/>
      <c r="Y91" s="9">
        <f>Model_Data!A91</f>
        <v>-15.5</v>
      </c>
      <c r="Z91" s="9">
        <f>0</f>
        <v>0</v>
      </c>
      <c r="AA91" s="9">
        <f>((SQRT((Inputs!$C$52+Inputs!$C$5)^2+Inputs!$C$52^2-2*(Inputs!$C$52+Inputs!$C$5)*Inputs!$C$52*COS(SQRT((Model_Data!A91)^2+Inputs!$C$6^2)/Inputs!$C$52))-Inputs!$C$5)*1000/Inputs!$C$12)</f>
        <v>762.0247570816274</v>
      </c>
      <c r="AB91" s="9">
        <f>Model_Data!F91</f>
        <v>761.62176490951231</v>
      </c>
    </row>
    <row r="92" spans="1:28">
      <c r="A92" s="9">
        <f>Model_Data!A92</f>
        <v>-15</v>
      </c>
      <c r="B92" s="9">
        <f>0</f>
        <v>0</v>
      </c>
      <c r="C92" s="9">
        <f>((SQRT((Inputs!$C$52+Inputs!$C$5)^2+Inputs!$C$52^2-2*(Inputs!$C$52+Inputs!$C$5)*Inputs!$C$52*COS(SQRT((Model_Data!A92)^2+Inputs!$C$6^2)/Inputs!$C$52))-Inputs!$C$5)*1000/Inputs!$C$12)</f>
        <v>748.61678426685467</v>
      </c>
      <c r="D92" s="9">
        <f>Model_Data!F92</f>
        <v>748.24597239168259</v>
      </c>
      <c r="E92" s="9">
        <f>Model_Data!AC92</f>
        <v>464.32067539217184</v>
      </c>
      <c r="F92" s="10"/>
      <c r="G92" s="9">
        <f>Model_Data!A92</f>
        <v>-15</v>
      </c>
      <c r="H92" s="9">
        <f>Model_Data!Y92</f>
        <v>416.63024006091615</v>
      </c>
      <c r="I92" s="9">
        <f>Model_Data!Y92</f>
        <v>416.63024006091615</v>
      </c>
      <c r="J92" s="9">
        <f>Model_Data!X92</f>
        <v>-90.495309029444954</v>
      </c>
      <c r="K92" s="9">
        <f>Model_Data!A92</f>
        <v>-15</v>
      </c>
      <c r="L92" s="9">
        <f>Model_Data!Y92</f>
        <v>416.63024006091615</v>
      </c>
      <c r="M92" s="9">
        <f>Model_Data!X92</f>
        <v>-90.495309029444954</v>
      </c>
      <c r="N92" s="9">
        <f>-(Model_Data!AC92-Model_Data!F92)*Inputs!$C$12</f>
        <v>505.38702865912916</v>
      </c>
      <c r="O92" s="10"/>
      <c r="P92" s="9">
        <f>Model_Data!A92</f>
        <v>-15</v>
      </c>
      <c r="Q92" s="9">
        <f>Model_Data!P92</f>
        <v>128.2774733243059</v>
      </c>
      <c r="R92" s="9">
        <f>Model_Data!AM92</f>
        <v>160.45491747245251</v>
      </c>
      <c r="S92" s="9">
        <f>Model_Data!Q92</f>
        <v>19.260881880526412</v>
      </c>
      <c r="T92" s="9">
        <f>Model_Data!AN92</f>
        <v>24.092329950818698</v>
      </c>
      <c r="U92" s="10"/>
      <c r="V92" s="9">
        <f>Model_Data!A92</f>
        <v>-15</v>
      </c>
      <c r="W92" s="9">
        <f>Model_Data!B92-Inputs!$C$5</f>
        <v>0.25</v>
      </c>
      <c r="X92" s="10"/>
      <c r="Y92" s="9">
        <f>Model_Data!A92</f>
        <v>-15</v>
      </c>
      <c r="Z92" s="9">
        <f>0</f>
        <v>0</v>
      </c>
      <c r="AA92" s="9">
        <f>((SQRT((Inputs!$C$52+Inputs!$C$5)^2+Inputs!$C$52^2-2*(Inputs!$C$52+Inputs!$C$5)*Inputs!$C$52*COS(SQRT((Model_Data!A92)^2+Inputs!$C$6^2)/Inputs!$C$52))-Inputs!$C$5)*1000/Inputs!$C$12)</f>
        <v>748.61678426685467</v>
      </c>
      <c r="AB92" s="9">
        <f>Model_Data!F92</f>
        <v>748.24597239168259</v>
      </c>
    </row>
    <row r="93" spans="1:28">
      <c r="A93" s="9">
        <f>Model_Data!A93</f>
        <v>-14.5</v>
      </c>
      <c r="B93" s="9">
        <f>0</f>
        <v>0</v>
      </c>
      <c r="C93" s="9">
        <f>((SQRT((Inputs!$C$52+Inputs!$C$5)^2+Inputs!$C$52^2-2*(Inputs!$C$52+Inputs!$C$5)*Inputs!$C$52*COS(SQRT((Model_Data!A93)^2+Inputs!$C$6^2)/Inputs!$C$52))-Inputs!$C$5)*1000/Inputs!$C$12)</f>
        <v>735.64764521290215</v>
      </c>
      <c r="D93" s="9">
        <f>Model_Data!F93</f>
        <v>735.30710901382054</v>
      </c>
      <c r="E93" s="9">
        <f>Model_Data!AC93</f>
        <v>448.66555142533252</v>
      </c>
      <c r="F93" s="10"/>
      <c r="G93" s="9">
        <f>Model_Data!A93</f>
        <v>-14.5</v>
      </c>
      <c r="H93" s="9">
        <f>Model_Data!Y93</f>
        <v>425.31373753688456</v>
      </c>
      <c r="I93" s="9">
        <f>Model_Data!Y93</f>
        <v>425.31373753688456</v>
      </c>
      <c r="J93" s="9">
        <f>Model_Data!X93</f>
        <v>-86.652484826799366</v>
      </c>
      <c r="K93" s="9">
        <f>Model_Data!A93</f>
        <v>-14.5</v>
      </c>
      <c r="L93" s="9">
        <f>Model_Data!Y93</f>
        <v>425.31373753688456</v>
      </c>
      <c r="M93" s="9">
        <f>Model_Data!X93</f>
        <v>-86.652484826799366</v>
      </c>
      <c r="N93" s="9">
        <f>-(Model_Data!AC93-Model_Data!F93)*Inputs!$C$12</f>
        <v>510.22197250750867</v>
      </c>
      <c r="O93" s="10"/>
      <c r="P93" s="9">
        <f>Model_Data!A93</f>
        <v>-14.5</v>
      </c>
      <c r="Q93" s="9">
        <f>Model_Data!P93</f>
        <v>124.0104866564252</v>
      </c>
      <c r="R93" s="9">
        <f>Model_Data!AM93</f>
        <v>131.00044031953075</v>
      </c>
      <c r="S93" s="9">
        <f>Model_Data!Q93</f>
        <v>18.620193191655439</v>
      </c>
      <c r="T93" s="9">
        <f>Model_Data!AN93</f>
        <v>19.669735783713328</v>
      </c>
      <c r="U93" s="10"/>
      <c r="V93" s="9">
        <f>Model_Data!A93</f>
        <v>-14.5</v>
      </c>
      <c r="W93" s="9">
        <f>Model_Data!B93-Inputs!$C$5</f>
        <v>0.23361111111108812</v>
      </c>
      <c r="X93" s="10"/>
      <c r="Y93" s="9">
        <f>Model_Data!A93</f>
        <v>-14.5</v>
      </c>
      <c r="Z93" s="9">
        <f>0</f>
        <v>0</v>
      </c>
      <c r="AA93" s="9">
        <f>((SQRT((Inputs!$C$52+Inputs!$C$5)^2+Inputs!$C$52^2-2*(Inputs!$C$52+Inputs!$C$5)*Inputs!$C$52*COS(SQRT((Model_Data!A93)^2+Inputs!$C$6^2)/Inputs!$C$52))-Inputs!$C$5)*1000/Inputs!$C$12)</f>
        <v>735.64764521290215</v>
      </c>
      <c r="AB93" s="9">
        <f>Model_Data!F93</f>
        <v>735.30710901382054</v>
      </c>
    </row>
    <row r="94" spans="1:28">
      <c r="A94" s="9">
        <f>Model_Data!A94</f>
        <v>-14</v>
      </c>
      <c r="B94" s="9">
        <f>0</f>
        <v>0</v>
      </c>
      <c r="C94" s="9">
        <f>((SQRT((Inputs!$C$52+Inputs!$C$5)^2+Inputs!$C$52^2-2*(Inputs!$C$52+Inputs!$C$5)*Inputs!$C$52*COS(SQRT((Model_Data!A94)^2+Inputs!$C$6^2)/Inputs!$C$52))-Inputs!$C$5)*1000/Inputs!$C$12)</f>
        <v>723.11741698472406</v>
      </c>
      <c r="D94" s="9">
        <f>Model_Data!F94</f>
        <v>722.8053364714383</v>
      </c>
      <c r="E94" s="9">
        <f>Model_Data!AC94</f>
        <v>439.86914925204763</v>
      </c>
      <c r="F94" s="10"/>
      <c r="G94" s="9">
        <f>Model_Data!A94</f>
        <v>-14</v>
      </c>
      <c r="H94" s="9">
        <f>Model_Data!Y94</f>
        <v>420.95759288927439</v>
      </c>
      <c r="I94" s="9">
        <f>Model_Data!Y94</f>
        <v>420.95759288927439</v>
      </c>
      <c r="J94" s="9">
        <f>Model_Data!X94</f>
        <v>-84.365972581405018</v>
      </c>
      <c r="K94" s="9">
        <f>Model_Data!A94</f>
        <v>-14</v>
      </c>
      <c r="L94" s="9">
        <f>Model_Data!Y94</f>
        <v>420.95759288927439</v>
      </c>
      <c r="M94" s="9">
        <f>Model_Data!X94</f>
        <v>-84.365972581405018</v>
      </c>
      <c r="N94" s="9">
        <f>-(Model_Data!AC94-Model_Data!F94)*Inputs!$C$12</f>
        <v>503.62641325051538</v>
      </c>
      <c r="O94" s="10"/>
      <c r="P94" s="9">
        <f>Model_Data!A94</f>
        <v>-14</v>
      </c>
      <c r="Q94" s="9">
        <f>Model_Data!P94</f>
        <v>119.74259435310159</v>
      </c>
      <c r="R94" s="9">
        <f>Model_Data!AM94</f>
        <v>109.40700518340236</v>
      </c>
      <c r="S94" s="9">
        <f>Model_Data!Q94</f>
        <v>17.979368521486727</v>
      </c>
      <c r="T94" s="9">
        <f>Model_Data!AN94</f>
        <v>16.427478255766122</v>
      </c>
      <c r="U94" s="10"/>
      <c r="V94" s="9">
        <f>Model_Data!A94</f>
        <v>-14</v>
      </c>
      <c r="W94" s="9">
        <f>Model_Data!B94-Inputs!$C$5</f>
        <v>0.21777777777776919</v>
      </c>
      <c r="X94" s="10"/>
      <c r="Y94" s="9">
        <f>Model_Data!A94</f>
        <v>-14</v>
      </c>
      <c r="Z94" s="9">
        <f>0</f>
        <v>0</v>
      </c>
      <c r="AA94" s="9">
        <f>((SQRT((Inputs!$C$52+Inputs!$C$5)^2+Inputs!$C$52^2-2*(Inputs!$C$52+Inputs!$C$5)*Inputs!$C$52*COS(SQRT((Model_Data!A94)^2+Inputs!$C$6^2)/Inputs!$C$52))-Inputs!$C$5)*1000/Inputs!$C$12)</f>
        <v>723.11741698472406</v>
      </c>
      <c r="AB94" s="9">
        <f>Model_Data!F94</f>
        <v>722.8053364714383</v>
      </c>
    </row>
    <row r="95" spans="1:28">
      <c r="A95" s="9">
        <f>Model_Data!A95</f>
        <v>-13.5</v>
      </c>
      <c r="B95" s="9">
        <f>0</f>
        <v>0</v>
      </c>
      <c r="C95" s="9">
        <f>((SQRT((Inputs!$C$52+Inputs!$C$5)^2+Inputs!$C$52^2-2*(Inputs!$C$52+Inputs!$C$5)*Inputs!$C$52*COS(SQRT((Model_Data!A95)^2+Inputs!$C$6^2)/Inputs!$C$52))-Inputs!$C$5)*1000/Inputs!$C$12)</f>
        <v>711.02617405815272</v>
      </c>
      <c r="D95" s="9">
        <f>Model_Data!F95</f>
        <v>710.74081105899654</v>
      </c>
      <c r="E95" s="9">
        <f>Model_Data!AC95</f>
        <v>442.12182264147123</v>
      </c>
      <c r="F95" s="10"/>
      <c r="G95" s="9">
        <f>Model_Data!A95</f>
        <v>-13.5</v>
      </c>
      <c r="H95" s="9">
        <f>Model_Data!Y95</f>
        <v>418.77001789703809</v>
      </c>
      <c r="I95" s="9">
        <f>Model_Data!Y95</f>
        <v>418.77001789703809</v>
      </c>
      <c r="J95" s="9">
        <f>Model_Data!X95</f>
        <v>-61.032054933534482</v>
      </c>
      <c r="K95" s="9">
        <f>Model_Data!A95</f>
        <v>-13.5</v>
      </c>
      <c r="L95" s="9">
        <f>Model_Data!Y95</f>
        <v>418.77001789703809</v>
      </c>
      <c r="M95" s="9">
        <f>Model_Data!X95</f>
        <v>-61.032054933534482</v>
      </c>
      <c r="N95" s="9">
        <f>-(Model_Data!AC95-Model_Data!F95)*Inputs!$C$12</f>
        <v>478.14179938319506</v>
      </c>
      <c r="O95" s="10"/>
      <c r="P95" s="9">
        <f>Model_Data!A95</f>
        <v>-13.5</v>
      </c>
      <c r="Q95" s="9">
        <f>Model_Data!P95</f>
        <v>115.47382722346811</v>
      </c>
      <c r="R95" s="9">
        <f>Model_Data!AM95</f>
        <v>134.57088687846408</v>
      </c>
      <c r="S95" s="9">
        <f>Model_Data!Q95</f>
        <v>17.338412496016232</v>
      </c>
      <c r="T95" s="9">
        <f>Model_Data!AN95</f>
        <v>20.205838870640253</v>
      </c>
      <c r="U95" s="10"/>
      <c r="V95" s="9">
        <f>Model_Data!A95</f>
        <v>-13.5</v>
      </c>
      <c r="W95" s="9">
        <f>Model_Data!B95-Inputs!$C$5</f>
        <v>0.20249999999998636</v>
      </c>
      <c r="X95" s="10"/>
      <c r="Y95" s="9">
        <f>Model_Data!A95</f>
        <v>-13.5</v>
      </c>
      <c r="Z95" s="9">
        <f>0</f>
        <v>0</v>
      </c>
      <c r="AA95" s="9">
        <f>((SQRT((Inputs!$C$52+Inputs!$C$5)^2+Inputs!$C$52^2-2*(Inputs!$C$52+Inputs!$C$5)*Inputs!$C$52*COS(SQRT((Model_Data!A95)^2+Inputs!$C$6^2)/Inputs!$C$52))-Inputs!$C$5)*1000/Inputs!$C$12)</f>
        <v>711.02617405815272</v>
      </c>
      <c r="AB95" s="9">
        <f>Model_Data!F95</f>
        <v>710.74081105899654</v>
      </c>
    </row>
    <row r="96" spans="1:28">
      <c r="A96" s="9">
        <f>Model_Data!A96</f>
        <v>-13</v>
      </c>
      <c r="B96" s="9">
        <f>0</f>
        <v>0</v>
      </c>
      <c r="C96" s="9">
        <f>((SQRT((Inputs!$C$52+Inputs!$C$5)^2+Inputs!$C$52^2-2*(Inputs!$C$52+Inputs!$C$5)*Inputs!$C$52*COS(SQRT((Model_Data!A96)^2+Inputs!$C$6^2)/Inputs!$C$52))-Inputs!$C$5)*1000/Inputs!$C$12)</f>
        <v>699.3739883142141</v>
      </c>
      <c r="D96" s="9">
        <f>Model_Data!F96</f>
        <v>699.11368365419389</v>
      </c>
      <c r="E96" s="9">
        <f>Model_Data!AC96</f>
        <v>420.86169613857021</v>
      </c>
      <c r="F96" s="10"/>
      <c r="G96" s="9">
        <f>Model_Data!A96</f>
        <v>-13</v>
      </c>
      <c r="H96" s="9">
        <f>Model_Data!Y96</f>
        <v>432.88444582509743</v>
      </c>
      <c r="I96" s="9">
        <f>Model_Data!Y96</f>
        <v>432.88444582509743</v>
      </c>
      <c r="J96" s="9">
        <f>Model_Data!X96</f>
        <v>-64.092434824295424</v>
      </c>
      <c r="K96" s="9">
        <f>Model_Data!A96</f>
        <v>-13</v>
      </c>
      <c r="L96" s="9">
        <f>Model_Data!Y96</f>
        <v>432.88444582509743</v>
      </c>
      <c r="M96" s="9">
        <f>Model_Data!X96</f>
        <v>-64.092434824295424</v>
      </c>
      <c r="N96" s="9">
        <f>-(Model_Data!AC96-Model_Data!F96)*Inputs!$C$12</f>
        <v>495.28853777781018</v>
      </c>
      <c r="O96" s="10"/>
      <c r="P96" s="9">
        <f>Model_Data!A96</f>
        <v>-13</v>
      </c>
      <c r="Q96" s="9">
        <f>Model_Data!P96</f>
        <v>111.20421613486542</v>
      </c>
      <c r="R96" s="9">
        <f>Model_Data!AM96</f>
        <v>159.26135976260412</v>
      </c>
      <c r="S96" s="9">
        <f>Model_Data!Q96</f>
        <v>16.697329749979794</v>
      </c>
      <c r="T96" s="9">
        <f>Model_Data!AN96</f>
        <v>23.913117081472091</v>
      </c>
      <c r="U96" s="10"/>
      <c r="V96" s="9">
        <f>Model_Data!A96</f>
        <v>-13</v>
      </c>
      <c r="W96" s="9">
        <f>Model_Data!B96-Inputs!$C$5</f>
        <v>0.18777777777779647</v>
      </c>
      <c r="X96" s="10"/>
      <c r="Y96" s="9">
        <f>Model_Data!A96</f>
        <v>-13</v>
      </c>
      <c r="Z96" s="9">
        <f>0</f>
        <v>0</v>
      </c>
      <c r="AA96" s="9">
        <f>((SQRT((Inputs!$C$52+Inputs!$C$5)^2+Inputs!$C$52^2-2*(Inputs!$C$52+Inputs!$C$5)*Inputs!$C$52*COS(SQRT((Model_Data!A96)^2+Inputs!$C$6^2)/Inputs!$C$52))-Inputs!$C$5)*1000/Inputs!$C$12)</f>
        <v>699.3739883142141</v>
      </c>
      <c r="AB96" s="9">
        <f>Model_Data!F96</f>
        <v>699.11368365419389</v>
      </c>
    </row>
    <row r="97" spans="1:28">
      <c r="A97" s="9">
        <f>Model_Data!A97</f>
        <v>-12.5</v>
      </c>
      <c r="B97" s="9">
        <f>0</f>
        <v>0</v>
      </c>
      <c r="C97" s="9">
        <f>((SQRT((Inputs!$C$52+Inputs!$C$5)^2+Inputs!$C$52^2-2*(Inputs!$C$52+Inputs!$C$5)*Inputs!$C$52*COS(SQRT((Model_Data!A97)^2+Inputs!$C$6^2)/Inputs!$C$52))-Inputs!$C$5)*1000/Inputs!$C$12)</f>
        <v>688.1609290384572</v>
      </c>
      <c r="D97" s="9">
        <f>Model_Data!F97</f>
        <v>687.92409971327163</v>
      </c>
      <c r="E97" s="9">
        <f>Model_Data!AC97</f>
        <v>397.28961572545478</v>
      </c>
      <c r="F97" s="10"/>
      <c r="G97" s="9">
        <f>Model_Data!A97</f>
        <v>-12.5</v>
      </c>
      <c r="H97" s="9">
        <f>Model_Data!Y97</f>
        <v>448.86831612559951</v>
      </c>
      <c r="I97" s="9">
        <f>Model_Data!Y97</f>
        <v>448.86831612559951</v>
      </c>
      <c r="J97" s="9">
        <f>Model_Data!X97</f>
        <v>-70.183922281311382</v>
      </c>
      <c r="K97" s="9">
        <f>Model_Data!A97</f>
        <v>-12.5</v>
      </c>
      <c r="L97" s="9">
        <f>Model_Data!Y97</f>
        <v>448.86831612559951</v>
      </c>
      <c r="M97" s="9">
        <f>Model_Data!X97</f>
        <v>-70.183922281311382</v>
      </c>
      <c r="N97" s="9">
        <f>-(Model_Data!AC97-Model_Data!F97)*Inputs!$C$12</f>
        <v>517.32938149831398</v>
      </c>
      <c r="O97" s="10"/>
      <c r="P97" s="9">
        <f>Model_Data!A97</f>
        <v>-12.5</v>
      </c>
      <c r="Q97" s="9">
        <f>Model_Data!P97</f>
        <v>106.9337919834652</v>
      </c>
      <c r="R97" s="9">
        <f>Model_Data!AM97</f>
        <v>115.15921534473819</v>
      </c>
      <c r="S97" s="9">
        <f>Model_Data!Q97</f>
        <v>16.056124922442223</v>
      </c>
      <c r="T97" s="9">
        <f>Model_Data!AN97</f>
        <v>17.291173475185914</v>
      </c>
      <c r="U97" s="10"/>
      <c r="V97" s="9">
        <f>Model_Data!A97</f>
        <v>-12.5</v>
      </c>
      <c r="W97" s="9">
        <f>Model_Data!B97-Inputs!$C$5</f>
        <v>0.17361111111108585</v>
      </c>
      <c r="X97" s="10"/>
      <c r="Y97" s="9">
        <f>Model_Data!A97</f>
        <v>-12.5</v>
      </c>
      <c r="Z97" s="9">
        <f>0</f>
        <v>0</v>
      </c>
      <c r="AA97" s="9">
        <f>((SQRT((Inputs!$C$52+Inputs!$C$5)^2+Inputs!$C$52^2-2*(Inputs!$C$52+Inputs!$C$5)*Inputs!$C$52*COS(SQRT((Model_Data!A97)^2+Inputs!$C$6^2)/Inputs!$C$52))-Inputs!$C$5)*1000/Inputs!$C$12)</f>
        <v>688.1609290384572</v>
      </c>
      <c r="AB97" s="9">
        <f>Model_Data!F97</f>
        <v>687.92409971327163</v>
      </c>
    </row>
    <row r="98" spans="1:28">
      <c r="A98" s="9">
        <f>Model_Data!A98</f>
        <v>-12</v>
      </c>
      <c r="B98" s="9">
        <f>0</f>
        <v>0</v>
      </c>
      <c r="C98" s="9">
        <f>((SQRT((Inputs!$C$52+Inputs!$C$5)^2+Inputs!$C$52^2-2*(Inputs!$C$52+Inputs!$C$5)*Inputs!$C$52*COS(SQRT((Model_Data!A98)^2+Inputs!$C$6^2)/Inputs!$C$52))-Inputs!$C$5)*1000/Inputs!$C$12)</f>
        <v>677.38706291769699</v>
      </c>
      <c r="D98" s="9">
        <f>Model_Data!F98</f>
        <v>677.17219926548933</v>
      </c>
      <c r="E98" s="9">
        <f>Model_Data!AC98</f>
        <v>405.32111045431367</v>
      </c>
      <c r="F98" s="10"/>
      <c r="G98" s="9">
        <f>Model_Data!A98</f>
        <v>-12</v>
      </c>
      <c r="H98" s="9">
        <f>Model_Data!Y98</f>
        <v>437.99189931001791</v>
      </c>
      <c r="I98" s="9">
        <f>Model_Data!Y98</f>
        <v>437.99189931001791</v>
      </c>
      <c r="J98" s="9">
        <f>Model_Data!X98</f>
        <v>-47.557945529629748</v>
      </c>
      <c r="K98" s="9">
        <f>Model_Data!A98</f>
        <v>-12</v>
      </c>
      <c r="L98" s="9">
        <f>Model_Data!Y98</f>
        <v>437.99189931001791</v>
      </c>
      <c r="M98" s="9">
        <f>Model_Data!X98</f>
        <v>-47.557945529629748</v>
      </c>
      <c r="N98" s="9">
        <f>-(Model_Data!AC98-Model_Data!F98)*Inputs!$C$12</f>
        <v>483.89493808389267</v>
      </c>
      <c r="O98" s="10"/>
      <c r="P98" s="9">
        <f>Model_Data!A98</f>
        <v>-12</v>
      </c>
      <c r="Q98" s="9">
        <f>Model_Data!P98</f>
        <v>102.66258570945865</v>
      </c>
      <c r="R98" s="9">
        <f>Model_Data!AM98</f>
        <v>118.75489251451654</v>
      </c>
      <c r="S98" s="9">
        <f>Model_Data!Q98</f>
        <v>15.414802659077877</v>
      </c>
      <c r="T98" s="9">
        <f>Model_Data!AN98</f>
        <v>17.831064942119603</v>
      </c>
      <c r="U98" s="10"/>
      <c r="V98" s="9">
        <f>Model_Data!A98</f>
        <v>-12</v>
      </c>
      <c r="W98" s="9">
        <f>Model_Data!B98-Inputs!$C$5</f>
        <v>0.16000000000002501</v>
      </c>
      <c r="X98" s="10"/>
      <c r="Y98" s="9">
        <f>Model_Data!A98</f>
        <v>-12</v>
      </c>
      <c r="Z98" s="9">
        <f>0</f>
        <v>0</v>
      </c>
      <c r="AA98" s="9">
        <f>((SQRT((Inputs!$C$52+Inputs!$C$5)^2+Inputs!$C$52^2-2*(Inputs!$C$52+Inputs!$C$5)*Inputs!$C$52*COS(SQRT((Model_Data!A98)^2+Inputs!$C$6^2)/Inputs!$C$52))-Inputs!$C$5)*1000/Inputs!$C$12)</f>
        <v>677.38706291769699</v>
      </c>
      <c r="AB98" s="9">
        <f>Model_Data!F98</f>
        <v>677.17219926548933</v>
      </c>
    </row>
    <row r="99" spans="1:28">
      <c r="A99" s="9">
        <f>Model_Data!A99</f>
        <v>-11.5</v>
      </c>
      <c r="B99" s="9">
        <f>0</f>
        <v>0</v>
      </c>
      <c r="C99" s="9">
        <f>((SQRT((Inputs!$C$52+Inputs!$C$5)^2+Inputs!$C$52^2-2*(Inputs!$C$52+Inputs!$C$5)*Inputs!$C$52*COS(SQRT((Model_Data!A99)^2+Inputs!$C$6^2)/Inputs!$C$52))-Inputs!$C$5)*1000/Inputs!$C$12)</f>
        <v>667.05245404244101</v>
      </c>
      <c r="D99" s="9">
        <f>Model_Data!F99</f>
        <v>666.85811690328887</v>
      </c>
      <c r="E99" s="9">
        <f>Model_Data!AC99</f>
        <v>382.99802752936847</v>
      </c>
      <c r="F99" s="10"/>
      <c r="G99" s="9">
        <f>Model_Data!A99</f>
        <v>-11.5</v>
      </c>
      <c r="H99" s="9">
        <f>Model_Data!Y99</f>
        <v>458.91089147275255</v>
      </c>
      <c r="I99" s="9">
        <f>Model_Data!Y99</f>
        <v>458.91089147275255</v>
      </c>
      <c r="J99" s="9">
        <f>Model_Data!X99</f>
        <v>-48.067808115448663</v>
      </c>
      <c r="K99" s="9">
        <f>Model_Data!A99</f>
        <v>-11.5</v>
      </c>
      <c r="L99" s="9">
        <f>Model_Data!Y99</f>
        <v>458.91089147275255</v>
      </c>
      <c r="M99" s="9">
        <f>Model_Data!X99</f>
        <v>-48.067808115448663</v>
      </c>
      <c r="N99" s="9">
        <f>-(Model_Data!AC99-Model_Data!F99)*Inputs!$C$12</f>
        <v>505.27095908557834</v>
      </c>
      <c r="O99" s="10"/>
      <c r="P99" s="9">
        <f>Model_Data!A99</f>
        <v>-11.5</v>
      </c>
      <c r="Q99" s="9">
        <f>Model_Data!P99</f>
        <v>98.390628288507287</v>
      </c>
      <c r="R99" s="9">
        <f>Model_Data!AM99</f>
        <v>137.60402670786789</v>
      </c>
      <c r="S99" s="9">
        <f>Model_Data!Q99</f>
        <v>14.77336761088698</v>
      </c>
      <c r="T99" s="9">
        <f>Model_Data!AN99</f>
        <v>20.661265271451636</v>
      </c>
      <c r="U99" s="10"/>
      <c r="V99" s="9">
        <f>Model_Data!A99</f>
        <v>-11.5</v>
      </c>
      <c r="W99" s="9">
        <f>Model_Data!B99-Inputs!$C$5</f>
        <v>0.14694444444444343</v>
      </c>
      <c r="X99" s="10"/>
      <c r="Y99" s="9">
        <f>Model_Data!A99</f>
        <v>-11.5</v>
      </c>
      <c r="Z99" s="9">
        <f>0</f>
        <v>0</v>
      </c>
      <c r="AA99" s="9">
        <f>((SQRT((Inputs!$C$52+Inputs!$C$5)^2+Inputs!$C$52^2-2*(Inputs!$C$52+Inputs!$C$5)*Inputs!$C$52*COS(SQRT((Model_Data!A99)^2+Inputs!$C$6^2)/Inputs!$C$52))-Inputs!$C$5)*1000/Inputs!$C$12)</f>
        <v>667.05245404244101</v>
      </c>
      <c r="AB99" s="9">
        <f>Model_Data!F99</f>
        <v>666.85811690328887</v>
      </c>
    </row>
    <row r="100" spans="1:28">
      <c r="A100" s="9">
        <f>Model_Data!A100</f>
        <v>-11</v>
      </c>
      <c r="B100" s="9">
        <f>0</f>
        <v>0</v>
      </c>
      <c r="C100" s="9">
        <f>((SQRT((Inputs!$C$52+Inputs!$C$5)^2+Inputs!$C$52^2-2*(Inputs!$C$52+Inputs!$C$5)*Inputs!$C$52*COS(SQRT((Model_Data!A100)^2+Inputs!$C$6^2)/Inputs!$C$52))-Inputs!$C$5)*1000/Inputs!$C$12)</f>
        <v>657.1571638987466</v>
      </c>
      <c r="D100" s="9">
        <f>Model_Data!F100</f>
        <v>656.9819817796764</v>
      </c>
      <c r="E100" s="9">
        <f>Model_Data!AC100</f>
        <v>373.75995810568355</v>
      </c>
      <c r="F100" s="10"/>
      <c r="G100" s="9">
        <f>Model_Data!A100</f>
        <v>-11</v>
      </c>
      <c r="H100" s="9">
        <f>Model_Data!Y100</f>
        <v>462.54124928234683</v>
      </c>
      <c r="I100" s="9">
        <f>Model_Data!Y100</f>
        <v>462.54124928234683</v>
      </c>
      <c r="J100" s="9">
        <f>Model_Data!X100</f>
        <v>-43.289835573332148</v>
      </c>
      <c r="K100" s="9">
        <f>Model_Data!A100</f>
        <v>-11</v>
      </c>
      <c r="L100" s="9">
        <f>Model_Data!Y100</f>
        <v>462.54124928234683</v>
      </c>
      <c r="M100" s="9">
        <f>Model_Data!X100</f>
        <v>-43.289835573332148</v>
      </c>
      <c r="N100" s="9">
        <f>-(Model_Data!AC100-Model_Data!F100)*Inputs!$C$12</f>
        <v>504.1352021397073</v>
      </c>
      <c r="O100" s="10"/>
      <c r="P100" s="9">
        <f>Model_Data!A100</f>
        <v>-11</v>
      </c>
      <c r="Q100" s="9">
        <f>Model_Data!P100</f>
        <v>94.117950739109801</v>
      </c>
      <c r="R100" s="9">
        <f>Model_Data!AM100</f>
        <v>112.0371558296938</v>
      </c>
      <c r="S100" s="9">
        <f>Model_Data!Q100</f>
        <v>14.131824435301773</v>
      </c>
      <c r="T100" s="9">
        <f>Model_Data!AN100</f>
        <v>16.822395770224297</v>
      </c>
      <c r="U100" s="10"/>
      <c r="V100" s="9">
        <f>Model_Data!A100</f>
        <v>-11</v>
      </c>
      <c r="W100" s="9">
        <f>Model_Data!B100-Inputs!$C$5</f>
        <v>0.1344444444444548</v>
      </c>
      <c r="X100" s="10"/>
      <c r="Y100" s="9">
        <f>Model_Data!A100</f>
        <v>-11</v>
      </c>
      <c r="Z100" s="9">
        <f>0</f>
        <v>0</v>
      </c>
      <c r="AA100" s="9">
        <f>((SQRT((Inputs!$C$52+Inputs!$C$5)^2+Inputs!$C$52^2-2*(Inputs!$C$52+Inputs!$C$5)*Inputs!$C$52*COS(SQRT((Model_Data!A100)^2+Inputs!$C$6^2)/Inputs!$C$52))-Inputs!$C$5)*1000/Inputs!$C$12)</f>
        <v>657.1571638987466</v>
      </c>
      <c r="AB100" s="9">
        <f>Model_Data!F100</f>
        <v>656.9819817796764</v>
      </c>
    </row>
    <row r="101" spans="1:28">
      <c r="A101" s="9">
        <f>Model_Data!A101</f>
        <v>-10.5</v>
      </c>
      <c r="B101" s="9">
        <f>0</f>
        <v>0</v>
      </c>
      <c r="C101" s="9">
        <f>((SQRT((Inputs!$C$52+Inputs!$C$5)^2+Inputs!$C$52^2-2*(Inputs!$C$52+Inputs!$C$5)*Inputs!$C$52*COS(SQRT((Model_Data!A101)^2+Inputs!$C$6^2)/Inputs!$C$52))-Inputs!$C$5)*1000/Inputs!$C$12)</f>
        <v>647.7012513701045</v>
      </c>
      <c r="D101" s="9">
        <f>Model_Data!F101</f>
        <v>647.54391759570331</v>
      </c>
      <c r="E101" s="9">
        <f>Model_Data!AC101</f>
        <v>355.12876659102278</v>
      </c>
      <c r="F101" s="10"/>
      <c r="G101" s="9">
        <f>Model_Data!A101</f>
        <v>-10.5</v>
      </c>
      <c r="H101" s="9">
        <f>Model_Data!Y101</f>
        <v>470.10163194835405</v>
      </c>
      <c r="I101" s="9">
        <f>Model_Data!Y101</f>
        <v>470.10163194835405</v>
      </c>
      <c r="J101" s="9">
        <f>Model_Data!X101</f>
        <v>-52.096314636551988</v>
      </c>
      <c r="K101" s="9">
        <f>Model_Data!A101</f>
        <v>-10.5</v>
      </c>
      <c r="L101" s="9">
        <f>Model_Data!Y101</f>
        <v>470.10163194835405</v>
      </c>
      <c r="M101" s="9">
        <f>Model_Data!X101</f>
        <v>-52.096314636551988</v>
      </c>
      <c r="N101" s="9">
        <f>-(Model_Data!AC101-Model_Data!F101)*Inputs!$C$12</f>
        <v>520.49896878833135</v>
      </c>
      <c r="O101" s="10"/>
      <c r="P101" s="9">
        <f>Model_Data!A101</f>
        <v>-10.5</v>
      </c>
      <c r="Q101" s="9">
        <f>Model_Data!P101</f>
        <v>89.844584113598103</v>
      </c>
      <c r="R101" s="9">
        <f>Model_Data!AM101</f>
        <v>104.22636697594498</v>
      </c>
      <c r="S101" s="9">
        <f>Model_Data!Q101</f>
        <v>13.490177794834551</v>
      </c>
      <c r="T101" s="9">
        <f>Model_Data!AN101</f>
        <v>15.649604651042791</v>
      </c>
      <c r="U101" s="10"/>
      <c r="V101" s="9">
        <f>Model_Data!A101</f>
        <v>-10.5</v>
      </c>
      <c r="W101" s="9">
        <f>Model_Data!B101-Inputs!$C$5</f>
        <v>0.12250000000000227</v>
      </c>
      <c r="X101" s="10"/>
      <c r="Y101" s="9">
        <f>Model_Data!A101</f>
        <v>-10.5</v>
      </c>
      <c r="Z101" s="9">
        <f>0</f>
        <v>0</v>
      </c>
      <c r="AA101" s="9">
        <f>((SQRT((Inputs!$C$52+Inputs!$C$5)^2+Inputs!$C$52^2-2*(Inputs!$C$52+Inputs!$C$5)*Inputs!$C$52*COS(SQRT((Model_Data!A101)^2+Inputs!$C$6^2)/Inputs!$C$52))-Inputs!$C$5)*1000/Inputs!$C$12)</f>
        <v>647.7012513701045</v>
      </c>
      <c r="AB101" s="9">
        <f>Model_Data!F101</f>
        <v>647.54391759570331</v>
      </c>
    </row>
    <row r="102" spans="1:28">
      <c r="A102" s="9">
        <f>Model_Data!A102</f>
        <v>-10</v>
      </c>
      <c r="B102" s="9">
        <f>0</f>
        <v>0</v>
      </c>
      <c r="C102" s="9">
        <f>((SQRT((Inputs!$C$52+Inputs!$C$5)^2+Inputs!$C$52^2-2*(Inputs!$C$52+Inputs!$C$5)*Inputs!$C$52*COS(SQRT((Model_Data!A102)^2+Inputs!$C$6^2)/Inputs!$C$52))-Inputs!$C$5)*1000/Inputs!$C$12)</f>
        <v>638.68477273520386</v>
      </c>
      <c r="D102" s="9">
        <f>Model_Data!F102</f>
        <v>638.54404260123272</v>
      </c>
      <c r="E102" s="9">
        <f>Model_Data!AC102</f>
        <v>346.82656373805008</v>
      </c>
      <c r="F102" s="10"/>
      <c r="G102" s="9">
        <f>Model_Data!A102</f>
        <v>-10</v>
      </c>
      <c r="H102" s="9">
        <f>Model_Data!Y102</f>
        <v>471.51448488312155</v>
      </c>
      <c r="I102" s="9">
        <f>Model_Data!Y102</f>
        <v>471.51448488312155</v>
      </c>
      <c r="J102" s="9">
        <f>Model_Data!X102</f>
        <v>-49.423131521111884</v>
      </c>
      <c r="K102" s="9">
        <f>Model_Data!A102</f>
        <v>-10</v>
      </c>
      <c r="L102" s="9">
        <f>Model_Data!Y102</f>
        <v>471.51448488312155</v>
      </c>
      <c r="M102" s="9">
        <f>Model_Data!X102</f>
        <v>-49.423131521111884</v>
      </c>
      <c r="N102" s="9">
        <f>-(Model_Data!AC102-Model_Data!F102)*Inputs!$C$12</f>
        <v>519.2571123764651</v>
      </c>
      <c r="O102" s="10"/>
      <c r="P102" s="9">
        <f>Model_Data!A102</f>
        <v>-10</v>
      </c>
      <c r="Q102" s="9">
        <f>Model_Data!P102</f>
        <v>85.570559497045906</v>
      </c>
      <c r="R102" s="9">
        <f>Model_Data!AM102</f>
        <v>86.409183252544608</v>
      </c>
      <c r="S102" s="9">
        <f>Model_Data!Q102</f>
        <v>12.848432356913801</v>
      </c>
      <c r="T102" s="9">
        <f>Model_Data!AN102</f>
        <v>12.974351839721415</v>
      </c>
      <c r="U102" s="10"/>
      <c r="V102" s="9">
        <f>Model_Data!A102</f>
        <v>-10</v>
      </c>
      <c r="W102" s="9">
        <f>Model_Data!B102-Inputs!$C$5</f>
        <v>0.11111111111108585</v>
      </c>
      <c r="X102" s="10"/>
      <c r="Y102" s="9">
        <f>Model_Data!A102</f>
        <v>-10</v>
      </c>
      <c r="Z102" s="9">
        <f>0</f>
        <v>0</v>
      </c>
      <c r="AA102" s="9">
        <f>((SQRT((Inputs!$C$52+Inputs!$C$5)^2+Inputs!$C$52^2-2*(Inputs!$C$52+Inputs!$C$5)*Inputs!$C$52*COS(SQRT((Model_Data!A102)^2+Inputs!$C$6^2)/Inputs!$C$52))-Inputs!$C$5)*1000/Inputs!$C$12)</f>
        <v>638.68477273520386</v>
      </c>
      <c r="AB102" s="9">
        <f>Model_Data!F102</f>
        <v>638.54404260123272</v>
      </c>
    </row>
    <row r="103" spans="1:28">
      <c r="A103" s="9">
        <f>Model_Data!A103</f>
        <v>-9.5</v>
      </c>
      <c r="B103" s="9">
        <f>0</f>
        <v>0</v>
      </c>
      <c r="C103" s="9">
        <f>((SQRT((Inputs!$C$52+Inputs!$C$5)^2+Inputs!$C$52^2-2*(Inputs!$C$52+Inputs!$C$5)*Inputs!$C$52*COS(SQRT((Model_Data!A103)^2+Inputs!$C$6^2)/Inputs!$C$52))-Inputs!$C$5)*1000/Inputs!$C$12)</f>
        <v>630.10778166691011</v>
      </c>
      <c r="D103" s="9">
        <f>Model_Data!F103</f>
        <v>629.98246958254947</v>
      </c>
      <c r="E103" s="9">
        <f>Model_Data!AC103</f>
        <v>348.40699094545698</v>
      </c>
      <c r="F103" s="10"/>
      <c r="G103" s="9">
        <f>Model_Data!A103</f>
        <v>-9.5</v>
      </c>
      <c r="H103" s="9">
        <f>Model_Data!Y103</f>
        <v>470.58157381705621</v>
      </c>
      <c r="I103" s="9">
        <f>Model_Data!Y103</f>
        <v>470.58157381705621</v>
      </c>
      <c r="J103" s="9">
        <f>Model_Data!X103</f>
        <v>-32.277557975083496</v>
      </c>
      <c r="K103" s="9">
        <f>Model_Data!A103</f>
        <v>-9.5</v>
      </c>
      <c r="L103" s="9">
        <f>Model_Data!Y103</f>
        <v>470.58157381705621</v>
      </c>
      <c r="M103" s="9">
        <f>Model_Data!X103</f>
        <v>-32.277557975083496</v>
      </c>
      <c r="N103" s="9">
        <f>-(Model_Data!AC103-Model_Data!F103)*Inputs!$C$12</f>
        <v>501.20435197402463</v>
      </c>
      <c r="O103" s="10"/>
      <c r="P103" s="9">
        <f>Model_Data!A103</f>
        <v>-9.5</v>
      </c>
      <c r="Q103" s="9">
        <f>Model_Data!P103</f>
        <v>81.295908014544693</v>
      </c>
      <c r="R103" s="9">
        <f>Model_Data!AM103</f>
        <v>95.881338013350614</v>
      </c>
      <c r="S103" s="9">
        <f>Model_Data!Q103</f>
        <v>12.206592794976682</v>
      </c>
      <c r="T103" s="9">
        <f>Model_Data!AN103</f>
        <v>14.396597299301895</v>
      </c>
      <c r="U103" s="10"/>
      <c r="V103" s="9">
        <f>Model_Data!A103</f>
        <v>-9.5</v>
      </c>
      <c r="W103" s="9">
        <f>Model_Data!B103-Inputs!$C$5</f>
        <v>0.10027777777776237</v>
      </c>
      <c r="X103" s="10"/>
      <c r="Y103" s="9">
        <f>Model_Data!A103</f>
        <v>-9.5</v>
      </c>
      <c r="Z103" s="9">
        <f>0</f>
        <v>0</v>
      </c>
      <c r="AA103" s="9">
        <f>((SQRT((Inputs!$C$52+Inputs!$C$5)^2+Inputs!$C$52^2-2*(Inputs!$C$52+Inputs!$C$5)*Inputs!$C$52*COS(SQRT((Model_Data!A103)^2+Inputs!$C$6^2)/Inputs!$C$52))-Inputs!$C$5)*1000/Inputs!$C$12)</f>
        <v>630.10778166691011</v>
      </c>
      <c r="AB103" s="9">
        <f>Model_Data!F103</f>
        <v>629.98246958254947</v>
      </c>
    </row>
    <row r="104" spans="1:28">
      <c r="A104" s="9">
        <f>Model_Data!A104</f>
        <v>-9</v>
      </c>
      <c r="B104" s="9">
        <f>0</f>
        <v>0</v>
      </c>
      <c r="C104" s="9">
        <f>((SQRT((Inputs!$C$52+Inputs!$C$5)^2+Inputs!$C$52^2-2*(Inputs!$C$52+Inputs!$C$5)*Inputs!$C$52*COS(SQRT((Model_Data!A104)^2+Inputs!$C$6^2)/Inputs!$C$52))-Inputs!$C$5)*1000/Inputs!$C$12)</f>
        <v>621.97032922808137</v>
      </c>
      <c r="D104" s="9">
        <f>Model_Data!F104</f>
        <v>621.85930586079473</v>
      </c>
      <c r="E104" s="9">
        <f>Model_Data!AC104</f>
        <v>326.14506460066843</v>
      </c>
      <c r="F104" s="10"/>
      <c r="G104" s="9">
        <f>Model_Data!A104</f>
        <v>-9</v>
      </c>
      <c r="H104" s="9">
        <f>Model_Data!Y104</f>
        <v>480.61828567521798</v>
      </c>
      <c r="I104" s="9">
        <f>Model_Data!Y104</f>
        <v>480.61828567521798</v>
      </c>
      <c r="J104" s="9">
        <f>Model_Data!X104</f>
        <v>-47.421474838397501</v>
      </c>
      <c r="K104" s="9">
        <f>Model_Data!A104</f>
        <v>-9</v>
      </c>
      <c r="L104" s="9">
        <f>Model_Data!Y104</f>
        <v>480.61828567521798</v>
      </c>
      <c r="M104" s="9">
        <f>Model_Data!X104</f>
        <v>-47.421474838397501</v>
      </c>
      <c r="N104" s="9">
        <f>-(Model_Data!AC104-Model_Data!F104)*Inputs!$C$12</f>
        <v>526.37134944302477</v>
      </c>
      <c r="O104" s="10"/>
      <c r="P104" s="9">
        <f>Model_Data!A104</f>
        <v>-9</v>
      </c>
      <c r="Q104" s="9">
        <f>Model_Data!P104</f>
        <v>77.020660807465902</v>
      </c>
      <c r="R104" s="9">
        <f>Model_Data!AM104</f>
        <v>61.203996322819876</v>
      </c>
      <c r="S104" s="9">
        <f>Model_Data!Q104</f>
        <v>11.564663784904791</v>
      </c>
      <c r="T104" s="9">
        <f>Model_Data!AN104</f>
        <v>9.1897892376606425</v>
      </c>
      <c r="U104" s="10"/>
      <c r="V104" s="9">
        <f>Model_Data!A104</f>
        <v>-9</v>
      </c>
      <c r="W104" s="9">
        <f>Model_Data!B104-Inputs!$C$5</f>
        <v>8.9999999999974989E-2</v>
      </c>
      <c r="X104" s="10"/>
      <c r="Y104" s="9">
        <f>Model_Data!A104</f>
        <v>-9</v>
      </c>
      <c r="Z104" s="9">
        <f>0</f>
        <v>0</v>
      </c>
      <c r="AA104" s="9">
        <f>((SQRT((Inputs!$C$52+Inputs!$C$5)^2+Inputs!$C$52^2-2*(Inputs!$C$52+Inputs!$C$5)*Inputs!$C$52*COS(SQRT((Model_Data!A104)^2+Inputs!$C$6^2)/Inputs!$C$52))-Inputs!$C$5)*1000/Inputs!$C$12)</f>
        <v>621.97032922808137</v>
      </c>
      <c r="AB104" s="9">
        <f>Model_Data!F104</f>
        <v>621.85930586079473</v>
      </c>
    </row>
    <row r="105" spans="1:28">
      <c r="A105" s="9">
        <f>Model_Data!A105</f>
        <v>-8.5</v>
      </c>
      <c r="B105" s="9">
        <f>0</f>
        <v>0</v>
      </c>
      <c r="C105" s="9">
        <f>((SQRT((Inputs!$C$52+Inputs!$C$5)^2+Inputs!$C$52^2-2*(Inputs!$C$52+Inputs!$C$5)*Inputs!$C$52*COS(SQRT((Model_Data!A105)^2+Inputs!$C$6^2)/Inputs!$C$52))-Inputs!$C$5)*1000/Inputs!$C$12)</f>
        <v>614.27246387402806</v>
      </c>
      <c r="D105" s="9">
        <f>Model_Data!F105</f>
        <v>614.17465328778292</v>
      </c>
      <c r="E105" s="9">
        <f>Model_Data!AC105</f>
        <v>321.53998947447315</v>
      </c>
      <c r="F105" s="10"/>
      <c r="G105" s="9">
        <f>Model_Data!A105</f>
        <v>-8.5</v>
      </c>
      <c r="H105" s="9">
        <f>Model_Data!Y105</f>
        <v>460.62061079043809</v>
      </c>
      <c r="I105" s="9">
        <f>Model_Data!Y105</f>
        <v>460.62061079043809</v>
      </c>
      <c r="J105" s="9">
        <f>Model_Data!X105</f>
        <v>-61.848322891668573</v>
      </c>
      <c r="K105" s="9">
        <f>Model_Data!A105</f>
        <v>-8.5</v>
      </c>
      <c r="L105" s="9">
        <f>Model_Data!Y105</f>
        <v>460.62061079043809</v>
      </c>
      <c r="M105" s="9">
        <f>Model_Data!X105</f>
        <v>-61.848322891668573</v>
      </c>
      <c r="N105" s="9">
        <f>-(Model_Data!AC105-Model_Data!F105)*Inputs!$C$12</f>
        <v>520.88970158769143</v>
      </c>
      <c r="O105" s="10"/>
      <c r="P105" s="9">
        <f>Model_Data!A105</f>
        <v>-8.5</v>
      </c>
      <c r="Q105" s="9">
        <f>Model_Data!P105</f>
        <v>72.74484905628924</v>
      </c>
      <c r="R105" s="9">
        <f>Model_Data!AM105</f>
        <v>64.911788341123611</v>
      </c>
      <c r="S105" s="9">
        <f>Model_Data!Q105</f>
        <v>10.922650008451839</v>
      </c>
      <c r="T105" s="9">
        <f>Model_Data!AN105</f>
        <v>9.7465147659344762</v>
      </c>
      <c r="U105" s="10"/>
      <c r="V105" s="9">
        <f>Model_Data!A105</f>
        <v>-8.5</v>
      </c>
      <c r="W105" s="9">
        <f>Model_Data!B105-Inputs!$C$5</f>
        <v>8.0277777777780557E-2</v>
      </c>
      <c r="X105" s="10"/>
      <c r="Y105" s="9">
        <f>Model_Data!A105</f>
        <v>-8.5</v>
      </c>
      <c r="Z105" s="9">
        <f>0</f>
        <v>0</v>
      </c>
      <c r="AA105" s="9">
        <f>((SQRT((Inputs!$C$52+Inputs!$C$5)^2+Inputs!$C$52^2-2*(Inputs!$C$52+Inputs!$C$5)*Inputs!$C$52*COS(SQRT((Model_Data!A105)^2+Inputs!$C$6^2)/Inputs!$C$52))-Inputs!$C$5)*1000/Inputs!$C$12)</f>
        <v>614.27246387402806</v>
      </c>
      <c r="AB105" s="9">
        <f>Model_Data!F105</f>
        <v>614.17465328778292</v>
      </c>
    </row>
    <row r="106" spans="1:28">
      <c r="A106" s="9">
        <f>Model_Data!A106</f>
        <v>-8</v>
      </c>
      <c r="B106" s="9">
        <f>0</f>
        <v>0</v>
      </c>
      <c r="C106" s="9">
        <f>((SQRT((Inputs!$C$52+Inputs!$C$5)^2+Inputs!$C$52^2-2*(Inputs!$C$52+Inputs!$C$5)*Inputs!$C$52*COS(SQRT((Model_Data!A106)^2+Inputs!$C$6^2)/Inputs!$C$52))-Inputs!$C$5)*1000/Inputs!$C$12)</f>
        <v>607.0142314470512</v>
      </c>
      <c r="D106" s="9">
        <f>Model_Data!F106</f>
        <v>606.92860823645321</v>
      </c>
      <c r="E106" s="9">
        <f>Model_Data!AC106</f>
        <v>318.50433440049551</v>
      </c>
      <c r="F106" s="10"/>
      <c r="G106" s="9">
        <f>Model_Data!A106</f>
        <v>-8</v>
      </c>
      <c r="H106" s="9">
        <f>Model_Data!Y106</f>
        <v>475.66592239631382</v>
      </c>
      <c r="I106" s="9">
        <f>Model_Data!Y106</f>
        <v>475.66592239631382</v>
      </c>
      <c r="J106" s="9">
        <f>Model_Data!X106</f>
        <v>-39.340995770370029</v>
      </c>
      <c r="K106" s="9">
        <f>Model_Data!A106</f>
        <v>-8</v>
      </c>
      <c r="L106" s="9">
        <f>Model_Data!Y106</f>
        <v>475.66592239631382</v>
      </c>
      <c r="M106" s="9">
        <f>Model_Data!X106</f>
        <v>-39.340995770370029</v>
      </c>
      <c r="N106" s="9">
        <f>-(Model_Data!AC106-Model_Data!F106)*Inputs!$C$12</f>
        <v>513.39520742800471</v>
      </c>
      <c r="O106" s="10"/>
      <c r="P106" s="9">
        <f>Model_Data!A106</f>
        <v>-8</v>
      </c>
      <c r="Q106" s="9">
        <f>Model_Data!P106</f>
        <v>68.468503971689643</v>
      </c>
      <c r="R106" s="9">
        <f>Model_Data!AM106</f>
        <v>83.903915255632455</v>
      </c>
      <c r="S106" s="9">
        <f>Model_Data!Q106</f>
        <v>10.280556151905353</v>
      </c>
      <c r="T106" s="9">
        <f>Model_Data!AN106</f>
        <v>12.598185473818688</v>
      </c>
      <c r="U106" s="10"/>
      <c r="V106" s="9">
        <f>Model_Data!A106</f>
        <v>-8</v>
      </c>
      <c r="W106" s="9">
        <f>Model_Data!B106-Inputs!$C$5</f>
        <v>7.1111111111122227E-2</v>
      </c>
      <c r="X106" s="10"/>
      <c r="Y106" s="9">
        <f>Model_Data!A106</f>
        <v>-8</v>
      </c>
      <c r="Z106" s="9">
        <f>0</f>
        <v>0</v>
      </c>
      <c r="AA106" s="9">
        <f>((SQRT((Inputs!$C$52+Inputs!$C$5)^2+Inputs!$C$52^2-2*(Inputs!$C$52+Inputs!$C$5)*Inputs!$C$52*COS(SQRT((Model_Data!A106)^2+Inputs!$C$6^2)/Inputs!$C$52))-Inputs!$C$5)*1000/Inputs!$C$12)</f>
        <v>607.0142314470512</v>
      </c>
      <c r="AB106" s="9">
        <f>Model_Data!F106</f>
        <v>606.92860823645321</v>
      </c>
    </row>
    <row r="107" spans="1:28">
      <c r="A107" s="9">
        <f>Model_Data!A107</f>
        <v>-7.5</v>
      </c>
      <c r="B107" s="9">
        <f>0</f>
        <v>0</v>
      </c>
      <c r="C107" s="9">
        <f>((SQRT((Inputs!$C$52+Inputs!$C$5)^2+Inputs!$C$52^2-2*(Inputs!$C$52+Inputs!$C$5)*Inputs!$C$52*COS(SQRT((Model_Data!A107)^2+Inputs!$C$6^2)/Inputs!$C$52))-Inputs!$C$5)*1000/Inputs!$C$12)</f>
        <v>600.19567517851908</v>
      </c>
      <c r="D107" s="9">
        <f>Model_Data!F107</f>
        <v>600.12126159984734</v>
      </c>
      <c r="E107" s="9">
        <f>Model_Data!AC107</f>
        <v>312.53006935257412</v>
      </c>
      <c r="F107" s="10"/>
      <c r="G107" s="9">
        <f>Model_Data!A107</f>
        <v>-7.5</v>
      </c>
      <c r="H107" s="9">
        <f>Model_Data!Y107</f>
        <v>470.26409514391321</v>
      </c>
      <c r="I107" s="9">
        <f>Model_Data!Y107</f>
        <v>470.26409514391321</v>
      </c>
      <c r="J107" s="9">
        <f>Model_Data!X107</f>
        <v>-43.223811451652651</v>
      </c>
      <c r="K107" s="9">
        <f>Model_Data!A107</f>
        <v>-7.5</v>
      </c>
      <c r="L107" s="9">
        <f>Model_Data!Y107</f>
        <v>470.26409514391321</v>
      </c>
      <c r="M107" s="9">
        <f>Model_Data!X107</f>
        <v>-43.223811451652651</v>
      </c>
      <c r="N107" s="9">
        <f>-(Model_Data!AC107-Model_Data!F107)*Inputs!$C$12</f>
        <v>511.91232220014638</v>
      </c>
      <c r="O107" s="10"/>
      <c r="P107" s="9">
        <f>Model_Data!A107</f>
        <v>-7.5</v>
      </c>
      <c r="Q107" s="9">
        <f>Model_Data!P107</f>
        <v>64.191656785078521</v>
      </c>
      <c r="R107" s="9">
        <f>Model_Data!AM107</f>
        <v>12.086959146927256</v>
      </c>
      <c r="S107" s="9">
        <f>Model_Data!Q107</f>
        <v>9.6383869046664454</v>
      </c>
      <c r="T107" s="9">
        <f>Model_Data!AN107</f>
        <v>1.8148587307698585</v>
      </c>
      <c r="U107" s="10"/>
      <c r="V107" s="9">
        <f>Model_Data!A107</f>
        <v>-7.5</v>
      </c>
      <c r="W107" s="9">
        <f>Model_Data!B107-Inputs!$C$5</f>
        <v>6.25E-2</v>
      </c>
      <c r="X107" s="10"/>
      <c r="Y107" s="9">
        <f>Model_Data!A107</f>
        <v>-7.5</v>
      </c>
      <c r="Z107" s="9">
        <f>0</f>
        <v>0</v>
      </c>
      <c r="AA107" s="9">
        <f>((SQRT((Inputs!$C$52+Inputs!$C$5)^2+Inputs!$C$52^2-2*(Inputs!$C$52+Inputs!$C$5)*Inputs!$C$52*COS(SQRT((Model_Data!A107)^2+Inputs!$C$6^2)/Inputs!$C$52))-Inputs!$C$5)*1000/Inputs!$C$12)</f>
        <v>600.19567517851908</v>
      </c>
      <c r="AB107" s="9">
        <f>Model_Data!F107</f>
        <v>600.12126159984734</v>
      </c>
    </row>
    <row r="108" spans="1:28">
      <c r="A108" s="9">
        <f>Model_Data!A108</f>
        <v>-7</v>
      </c>
      <c r="B108" s="9">
        <f>0</f>
        <v>0</v>
      </c>
      <c r="C108" s="9">
        <f>((SQRT((Inputs!$C$52+Inputs!$C$5)^2+Inputs!$C$52^2-2*(Inputs!$C$52+Inputs!$C$5)*Inputs!$C$52*COS(SQRT((Model_Data!A108)^2+Inputs!$C$6^2)/Inputs!$C$52))-Inputs!$C$5)*1000/Inputs!$C$12)</f>
        <v>593.81683568564097</v>
      </c>
      <c r="D108" s="9">
        <f>Model_Data!F108</f>
        <v>593.75269878475513</v>
      </c>
      <c r="E108" s="9">
        <f>Model_Data!AC108</f>
        <v>318.73297083728795</v>
      </c>
      <c r="F108" s="10"/>
      <c r="G108" s="9">
        <f>Model_Data!A108</f>
        <v>-7</v>
      </c>
      <c r="H108" s="9">
        <f>Model_Data!Y108</f>
        <v>442.95708145426426</v>
      </c>
      <c r="I108" s="9">
        <f>Model_Data!Y108</f>
        <v>442.95708145426426</v>
      </c>
      <c r="J108" s="9">
        <f>Model_Data!X108</f>
        <v>-48.04634011268098</v>
      </c>
      <c r="K108" s="9">
        <f>Model_Data!A108</f>
        <v>-7</v>
      </c>
      <c r="L108" s="9">
        <f>Model_Data!Y108</f>
        <v>442.95708145426426</v>
      </c>
      <c r="M108" s="9">
        <f>Model_Data!X108</f>
        <v>-48.04634011268098</v>
      </c>
      <c r="N108" s="9">
        <f>-(Model_Data!AC108-Model_Data!F108)*Inputs!$C$12</f>
        <v>489.53511574649156</v>
      </c>
      <c r="O108" s="10"/>
      <c r="P108" s="9">
        <f>Model_Data!A108</f>
        <v>-7</v>
      </c>
      <c r="Q108" s="9">
        <f>Model_Data!P108</f>
        <v>59.914338766157016</v>
      </c>
      <c r="R108" s="9">
        <f>Model_Data!AM108</f>
        <v>36.915314910220332</v>
      </c>
      <c r="S108" s="9">
        <f>Model_Data!Q108</f>
        <v>8.9961469618854384</v>
      </c>
      <c r="T108" s="9">
        <f>Model_Data!AN108</f>
        <v>5.5428400766096599</v>
      </c>
      <c r="U108" s="10"/>
      <c r="V108" s="9">
        <f>Model_Data!A108</f>
        <v>-7</v>
      </c>
      <c r="W108" s="9">
        <f>Model_Data!B108-Inputs!$C$5</f>
        <v>5.4444444444470719E-2</v>
      </c>
      <c r="X108" s="10"/>
      <c r="Y108" s="9">
        <f>Model_Data!A108</f>
        <v>-7</v>
      </c>
      <c r="Z108" s="9">
        <f>0</f>
        <v>0</v>
      </c>
      <c r="AA108" s="9">
        <f>((SQRT((Inputs!$C$52+Inputs!$C$5)^2+Inputs!$C$52^2-2*(Inputs!$C$52+Inputs!$C$5)*Inputs!$C$52*COS(SQRT((Model_Data!A108)^2+Inputs!$C$6^2)/Inputs!$C$52))-Inputs!$C$5)*1000/Inputs!$C$12)</f>
        <v>593.81683568564097</v>
      </c>
      <c r="AB108" s="9">
        <f>Model_Data!F108</f>
        <v>593.75269878475513</v>
      </c>
    </row>
    <row r="109" spans="1:28">
      <c r="A109" s="9">
        <f>Model_Data!A109</f>
        <v>-6.5</v>
      </c>
      <c r="B109" s="9">
        <f>0</f>
        <v>0</v>
      </c>
      <c r="C109" s="9">
        <f>((SQRT((Inputs!$C$52+Inputs!$C$5)^2+Inputs!$C$52^2-2*(Inputs!$C$52+Inputs!$C$5)*Inputs!$C$52*COS(SQRT((Model_Data!A109)^2+Inputs!$C$6^2)/Inputs!$C$52))-Inputs!$C$5)*1000/Inputs!$C$12)</f>
        <v>587.87775096881728</v>
      </c>
      <c r="D109" s="9">
        <f>Model_Data!F109</f>
        <v>587.82299970475242</v>
      </c>
      <c r="E109" s="9">
        <f>Model_Data!AC109</f>
        <v>299.1823117866943</v>
      </c>
      <c r="F109" s="10"/>
      <c r="G109" s="9">
        <f>Model_Data!A109</f>
        <v>-6.5</v>
      </c>
      <c r="H109" s="9">
        <f>Model_Data!Y109</f>
        <v>455.81004784744528</v>
      </c>
      <c r="I109" s="9">
        <f>Model_Data!Y109</f>
        <v>455.81004784744528</v>
      </c>
      <c r="J109" s="9">
        <f>Model_Data!X109</f>
        <v>-59.466303655605586</v>
      </c>
      <c r="K109" s="9">
        <f>Model_Data!A109</f>
        <v>-6.5</v>
      </c>
      <c r="L109" s="9">
        <f>Model_Data!Y109</f>
        <v>455.81004784744528</v>
      </c>
      <c r="M109" s="9">
        <f>Model_Data!X109</f>
        <v>-59.466303655605586</v>
      </c>
      <c r="N109" s="9">
        <f>-(Model_Data!AC109-Model_Data!F109)*Inputs!$C$12</f>
        <v>513.78042449414352</v>
      </c>
      <c r="O109" s="10"/>
      <c r="P109" s="9">
        <f>Model_Data!A109</f>
        <v>-6.5</v>
      </c>
      <c r="Q109" s="9">
        <f>Model_Data!P109</f>
        <v>55.636581189355638</v>
      </c>
      <c r="R109" s="9">
        <f>Model_Data!AM109</f>
        <v>63.330796538775758</v>
      </c>
      <c r="S109" s="9">
        <f>Model_Data!Q109</f>
        <v>8.3538410194227684</v>
      </c>
      <c r="T109" s="9">
        <f>Model_Data!AN109</f>
        <v>9.5091286094257903</v>
      </c>
      <c r="U109" s="10"/>
      <c r="V109" s="9">
        <f>Model_Data!A109</f>
        <v>-6.5</v>
      </c>
      <c r="W109" s="9">
        <f>Model_Data!B109-Inputs!$C$5</f>
        <v>4.6944444444420697E-2</v>
      </c>
      <c r="X109" s="10"/>
      <c r="Y109" s="9">
        <f>Model_Data!A109</f>
        <v>-6.5</v>
      </c>
      <c r="Z109" s="9">
        <f>0</f>
        <v>0</v>
      </c>
      <c r="AA109" s="9">
        <f>((SQRT((Inputs!$C$52+Inputs!$C$5)^2+Inputs!$C$52^2-2*(Inputs!$C$52+Inputs!$C$5)*Inputs!$C$52*COS(SQRT((Model_Data!A109)^2+Inputs!$C$6^2)/Inputs!$C$52))-Inputs!$C$5)*1000/Inputs!$C$12)</f>
        <v>587.87775096881728</v>
      </c>
      <c r="AB109" s="9">
        <f>Model_Data!F109</f>
        <v>587.82299970475242</v>
      </c>
    </row>
    <row r="110" spans="1:28">
      <c r="A110" s="9">
        <f>Model_Data!A110</f>
        <v>-6</v>
      </c>
      <c r="B110" s="9">
        <f>0</f>
        <v>0</v>
      </c>
      <c r="C110" s="9">
        <f>((SQRT((Inputs!$C$52+Inputs!$C$5)^2+Inputs!$C$52^2-2*(Inputs!$C$52+Inputs!$C$5)*Inputs!$C$52*COS(SQRT((Model_Data!A110)^2+Inputs!$C$6^2)/Inputs!$C$52))-Inputs!$C$5)*1000/Inputs!$C$12)</f>
        <v>582.37845641655713</v>
      </c>
      <c r="D110" s="9">
        <f>Model_Data!F110</f>
        <v>582.33223878537478</v>
      </c>
      <c r="E110" s="9">
        <f>Model_Data!AC110</f>
        <v>297.27813452249967</v>
      </c>
      <c r="F110" s="10"/>
      <c r="G110" s="9">
        <f>Model_Data!A110</f>
        <v>-6</v>
      </c>
      <c r="H110" s="9">
        <f>Model_Data!Y110</f>
        <v>447.75344272198197</v>
      </c>
      <c r="I110" s="9">
        <f>Model_Data!Y110</f>
        <v>447.75344272198197</v>
      </c>
      <c r="J110" s="9">
        <f>Model_Data!X110</f>
        <v>-61.098645360716475</v>
      </c>
      <c r="K110" s="9">
        <f>Model_Data!A110</f>
        <v>-6</v>
      </c>
      <c r="L110" s="9">
        <f>Model_Data!Y110</f>
        <v>447.75344272198197</v>
      </c>
      <c r="M110" s="9">
        <f>Model_Data!X110</f>
        <v>-61.098645360716475</v>
      </c>
      <c r="N110" s="9">
        <f>-(Model_Data!AC110-Model_Data!F110)*Inputs!$C$12</f>
        <v>507.39630558791771</v>
      </c>
      <c r="O110" s="10"/>
      <c r="P110" s="9">
        <f>Model_Data!A110</f>
        <v>-6</v>
      </c>
      <c r="Q110" s="9">
        <f>Model_Data!P110</f>
        <v>51.358415358663478</v>
      </c>
      <c r="R110" s="9">
        <f>Model_Data!AM110</f>
        <v>21.772271344889305</v>
      </c>
      <c r="S110" s="9">
        <f>Model_Data!Q110</f>
        <v>7.7114737775770994</v>
      </c>
      <c r="T110" s="9">
        <f>Model_Data!AN110</f>
        <v>3.2691098115449408</v>
      </c>
      <c r="U110" s="10"/>
      <c r="V110" s="9">
        <f>Model_Data!A110</f>
        <v>-6</v>
      </c>
      <c r="W110" s="9">
        <f>Model_Data!B110-Inputs!$C$5</f>
        <v>4.0000000000020464E-2</v>
      </c>
      <c r="X110" s="10"/>
      <c r="Y110" s="9">
        <f>Model_Data!A110</f>
        <v>-6</v>
      </c>
      <c r="Z110" s="9">
        <f>0</f>
        <v>0</v>
      </c>
      <c r="AA110" s="9">
        <f>((SQRT((Inputs!$C$52+Inputs!$C$5)^2+Inputs!$C$52^2-2*(Inputs!$C$52+Inputs!$C$5)*Inputs!$C$52*COS(SQRT((Model_Data!A110)^2+Inputs!$C$6^2)/Inputs!$C$52))-Inputs!$C$5)*1000/Inputs!$C$12)</f>
        <v>582.37845641655713</v>
      </c>
      <c r="AB110" s="9">
        <f>Model_Data!F110</f>
        <v>582.33223878537478</v>
      </c>
    </row>
    <row r="111" spans="1:28">
      <c r="A111" s="9">
        <f>Model_Data!A111</f>
        <v>-5.5</v>
      </c>
      <c r="B111" s="9">
        <f>0</f>
        <v>0</v>
      </c>
      <c r="C111" s="9">
        <f>((SQRT((Inputs!$C$52+Inputs!$C$5)^2+Inputs!$C$52^2-2*(Inputs!$C$52+Inputs!$C$5)*Inputs!$C$52*COS(SQRT((Model_Data!A111)^2+Inputs!$C$6^2)/Inputs!$C$52))-Inputs!$C$5)*1000/Inputs!$C$12)</f>
        <v>577.3189847965366</v>
      </c>
      <c r="D111" s="9">
        <f>Model_Data!F111</f>
        <v>577.28048494866061</v>
      </c>
      <c r="E111" s="9">
        <f>Model_Data!AC111</f>
        <v>296.71120114187488</v>
      </c>
      <c r="F111" s="10"/>
      <c r="G111" s="9">
        <f>Model_Data!A111</f>
        <v>-5.5</v>
      </c>
      <c r="H111" s="9">
        <f>Model_Data!Y111</f>
        <v>437.23203216912464</v>
      </c>
      <c r="I111" s="9">
        <f>Model_Data!Y111</f>
        <v>437.23203216912464</v>
      </c>
      <c r="J111" s="9">
        <f>Model_Data!X111</f>
        <v>-63.59054434613801</v>
      </c>
      <c r="K111" s="9">
        <f>Model_Data!A111</f>
        <v>-5.5</v>
      </c>
      <c r="L111" s="9">
        <f>Model_Data!Y111</f>
        <v>437.23203216912464</v>
      </c>
      <c r="M111" s="9">
        <f>Model_Data!X111</f>
        <v>-63.59054434613801</v>
      </c>
      <c r="N111" s="9">
        <f>-(Model_Data!AC111-Model_Data!F111)*Inputs!$C$12</f>
        <v>499.41332517607862</v>
      </c>
      <c r="O111" s="10"/>
      <c r="P111" s="9">
        <f>Model_Data!A111</f>
        <v>-5.5</v>
      </c>
      <c r="Q111" s="9">
        <f>Model_Data!P111</f>
        <v>47.079872609538143</v>
      </c>
      <c r="R111" s="9">
        <f>Model_Data!AM111</f>
        <v>13.213910555714392</v>
      </c>
      <c r="S111" s="9">
        <f>Model_Data!Q111</f>
        <v>7.0690499413720937</v>
      </c>
      <c r="T111" s="9">
        <f>Model_Data!AN111</f>
        <v>1.9840706540111701</v>
      </c>
      <c r="U111" s="10"/>
      <c r="V111" s="9">
        <f>Model_Data!A111</f>
        <v>-5.5</v>
      </c>
      <c r="W111" s="9">
        <f>Model_Data!B111-Inputs!$C$5</f>
        <v>3.361111111109949E-2</v>
      </c>
      <c r="X111" s="10"/>
      <c r="Y111" s="9">
        <f>Model_Data!A111</f>
        <v>-5.5</v>
      </c>
      <c r="Z111" s="9">
        <f>0</f>
        <v>0</v>
      </c>
      <c r="AA111" s="9">
        <f>((SQRT((Inputs!$C$52+Inputs!$C$5)^2+Inputs!$C$52^2-2*(Inputs!$C$52+Inputs!$C$5)*Inputs!$C$52*COS(SQRT((Model_Data!A111)^2+Inputs!$C$6^2)/Inputs!$C$52))-Inputs!$C$5)*1000/Inputs!$C$12)</f>
        <v>577.3189847965366</v>
      </c>
      <c r="AB111" s="9">
        <f>Model_Data!F111</f>
        <v>577.28048494866061</v>
      </c>
    </row>
    <row r="112" spans="1:28">
      <c r="A112" s="9">
        <f>Model_Data!A112</f>
        <v>-5</v>
      </c>
      <c r="B112" s="9">
        <f>0</f>
        <v>0</v>
      </c>
      <c r="C112" s="9">
        <f>((SQRT((Inputs!$C$52+Inputs!$C$5)^2+Inputs!$C$52^2-2*(Inputs!$C$52+Inputs!$C$5)*Inputs!$C$52*COS(SQRT((Model_Data!A112)^2+Inputs!$C$6^2)/Inputs!$C$52))-Inputs!$C$5)*1000/Inputs!$C$12)</f>
        <v>572.69936625991033</v>
      </c>
      <c r="D112" s="9">
        <f>Model_Data!F112</f>
        <v>572.66780161755878</v>
      </c>
      <c r="E112" s="9">
        <f>Model_Data!AC112</f>
        <v>292.45598229074608</v>
      </c>
      <c r="F112" s="10"/>
      <c r="G112" s="9">
        <f>Model_Data!A112</f>
        <v>-5</v>
      </c>
      <c r="H112" s="9">
        <f>Model_Data!Y112</f>
        <v>426.49509936551561</v>
      </c>
      <c r="I112" s="9">
        <f>Model_Data!Y112</f>
        <v>426.49509936551561</v>
      </c>
      <c r="J112" s="9">
        <f>Model_Data!X112</f>
        <v>-73.645604458171718</v>
      </c>
      <c r="K112" s="9">
        <f>Model_Data!A112</f>
        <v>-5</v>
      </c>
      <c r="L112" s="9">
        <f>Model_Data!Y112</f>
        <v>426.49509936551561</v>
      </c>
      <c r="M112" s="9">
        <f>Model_Data!X112</f>
        <v>-73.645604458171718</v>
      </c>
      <c r="N112" s="9">
        <f>-(Model_Data!AC112-Model_Data!F112)*Inputs!$C$12</f>
        <v>498.7770384017266</v>
      </c>
      <c r="O112" s="10"/>
      <c r="P112" s="9">
        <f>Model_Data!A112</f>
        <v>-5</v>
      </c>
      <c r="Q112" s="9">
        <f>Model_Data!P112</f>
        <v>42.800984273890208</v>
      </c>
      <c r="R112" s="9">
        <f>Model_Data!AM112</f>
        <v>20.623816407260165</v>
      </c>
      <c r="S112" s="9">
        <f>Model_Data!Q112</f>
        <v>6.4265742152988308</v>
      </c>
      <c r="T112" s="9">
        <f>Model_Data!AN112</f>
        <v>3.0966691302192442</v>
      </c>
      <c r="U112" s="10"/>
      <c r="V112" s="9">
        <f>Model_Data!A112</f>
        <v>-5</v>
      </c>
      <c r="W112" s="9">
        <f>Model_Data!B112-Inputs!$C$5</f>
        <v>2.7777777777771462E-2</v>
      </c>
      <c r="X112" s="10"/>
      <c r="Y112" s="9">
        <f>Model_Data!A112</f>
        <v>-5</v>
      </c>
      <c r="Z112" s="9">
        <f>0</f>
        <v>0</v>
      </c>
      <c r="AA112" s="9">
        <f>((SQRT((Inputs!$C$52+Inputs!$C$5)^2+Inputs!$C$52^2-2*(Inputs!$C$52+Inputs!$C$5)*Inputs!$C$52*COS(SQRT((Model_Data!A112)^2+Inputs!$C$6^2)/Inputs!$C$52))-Inputs!$C$5)*1000/Inputs!$C$12)</f>
        <v>572.69936625991033</v>
      </c>
      <c r="AB112" s="9">
        <f>Model_Data!F112</f>
        <v>572.66780161755878</v>
      </c>
    </row>
    <row r="113" spans="1:28">
      <c r="A113" s="9">
        <f>Model_Data!A113</f>
        <v>-4.5</v>
      </c>
      <c r="B113" s="9">
        <f>0</f>
        <v>0</v>
      </c>
      <c r="C113" s="9">
        <f>((SQRT((Inputs!$C$52+Inputs!$C$5)^2+Inputs!$C$52^2-2*(Inputs!$C$52+Inputs!$C$5)*Inputs!$C$52*COS(SQRT((Model_Data!A113)^2+Inputs!$C$6^2)/Inputs!$C$52))-Inputs!$C$5)*1000/Inputs!$C$12)</f>
        <v>568.519628340385</v>
      </c>
      <c r="D113" s="9">
        <f>Model_Data!F113</f>
        <v>568.49424671267104</v>
      </c>
      <c r="E113" s="9">
        <f>Model_Data!AC113</f>
        <v>290.37548165919094</v>
      </c>
      <c r="F113" s="10"/>
      <c r="G113" s="9">
        <f>Model_Data!A113</f>
        <v>-4.5</v>
      </c>
      <c r="H113" s="9">
        <f>Model_Data!Y113</f>
        <v>423.30568039506915</v>
      </c>
      <c r="I113" s="9">
        <f>Model_Data!Y113</f>
        <v>423.30568039506915</v>
      </c>
      <c r="J113" s="9">
        <f>Model_Data!X113</f>
        <v>-73.089350881891278</v>
      </c>
      <c r="K113" s="9">
        <f>Model_Data!A113</f>
        <v>-4.5</v>
      </c>
      <c r="L113" s="9">
        <f>Model_Data!Y113</f>
        <v>423.30568039506915</v>
      </c>
      <c r="M113" s="9">
        <f>Model_Data!X113</f>
        <v>-73.089350881891278</v>
      </c>
      <c r="N113" s="9">
        <f>-(Model_Data!AC113-Model_Data!F113)*Inputs!$C$12</f>
        <v>495.05140179519458</v>
      </c>
      <c r="O113" s="10"/>
      <c r="P113" s="9">
        <f>Model_Data!A113</f>
        <v>-4.5</v>
      </c>
      <c r="Q113" s="9">
        <f>Model_Data!P113</f>
        <v>38.521781712279335</v>
      </c>
      <c r="R113" s="9">
        <f>Model_Data!AM113</f>
        <v>37.785662231453898</v>
      </c>
      <c r="S113" s="9">
        <f>Model_Data!Q113</f>
        <v>5.7840513081500511</v>
      </c>
      <c r="T113" s="9">
        <f>Model_Data!AN113</f>
        <v>5.6735228575756604</v>
      </c>
      <c r="U113" s="10"/>
      <c r="V113" s="9">
        <f>Model_Data!A113</f>
        <v>-4.5</v>
      </c>
      <c r="W113" s="9">
        <f>Model_Data!B113-Inputs!$C$5</f>
        <v>2.2499999999979536E-2</v>
      </c>
      <c r="X113" s="10"/>
      <c r="Y113" s="9">
        <f>Model_Data!A113</f>
        <v>-4.5</v>
      </c>
      <c r="Z113" s="9">
        <f>0</f>
        <v>0</v>
      </c>
      <c r="AA113" s="9">
        <f>((SQRT((Inputs!$C$52+Inputs!$C$5)^2+Inputs!$C$52^2-2*(Inputs!$C$52+Inputs!$C$5)*Inputs!$C$52*COS(SQRT((Model_Data!A113)^2+Inputs!$C$6^2)/Inputs!$C$52))-Inputs!$C$5)*1000/Inputs!$C$12)</f>
        <v>568.519628340385</v>
      </c>
      <c r="AB113" s="9">
        <f>Model_Data!F113</f>
        <v>568.49424671267104</v>
      </c>
    </row>
    <row r="114" spans="1:28">
      <c r="A114" s="9">
        <f>Model_Data!A114</f>
        <v>-4</v>
      </c>
      <c r="B114" s="9">
        <f>0</f>
        <v>0</v>
      </c>
      <c r="C114" s="9">
        <f>((SQRT((Inputs!$C$52+Inputs!$C$5)^2+Inputs!$C$52^2-2*(Inputs!$C$52+Inputs!$C$5)*Inputs!$C$52*COS(SQRT((Model_Data!A114)^2+Inputs!$C$6^2)/Inputs!$C$52))-Inputs!$C$5)*1000/Inputs!$C$12)</f>
        <v>564.77979594815167</v>
      </c>
      <c r="D114" s="9">
        <f>Model_Data!F114</f>
        <v>564.75987264554556</v>
      </c>
      <c r="E114" s="9">
        <f>Model_Data!AC114</f>
        <v>284.47442868848918</v>
      </c>
      <c r="F114" s="10"/>
      <c r="G114" s="9">
        <f>Model_Data!A114</f>
        <v>-4</v>
      </c>
      <c r="H114" s="9">
        <f>Model_Data!Y114</f>
        <v>426.01474675634427</v>
      </c>
      <c r="I114" s="9">
        <f>Model_Data!Y114</f>
        <v>426.01474675634427</v>
      </c>
      <c r="J114" s="9">
        <f>Model_Data!X114</f>
        <v>-74.236730975515414</v>
      </c>
      <c r="K114" s="9">
        <f>Model_Data!A114</f>
        <v>-4</v>
      </c>
      <c r="L114" s="9">
        <f>Model_Data!Y114</f>
        <v>426.01474675634427</v>
      </c>
      <c r="M114" s="9">
        <f>Model_Data!X114</f>
        <v>-74.236730975515414</v>
      </c>
      <c r="N114" s="9">
        <f>-(Model_Data!AC114-Model_Data!F114)*Inputs!$C$12</f>
        <v>498.90809024356037</v>
      </c>
      <c r="O114" s="10"/>
      <c r="P114" s="9">
        <f>Model_Data!A114</f>
        <v>-4</v>
      </c>
      <c r="Q114" s="9">
        <f>Model_Data!P114</f>
        <v>34.242296315551357</v>
      </c>
      <c r="R114" s="9">
        <f>Model_Data!AM114</f>
        <v>5.0158617579654674</v>
      </c>
      <c r="S114" s="9">
        <f>Model_Data!Q114</f>
        <v>5.1414859332659697</v>
      </c>
      <c r="T114" s="9">
        <f>Model_Data!AN114</f>
        <v>0.75313239609091109</v>
      </c>
      <c r="U114" s="10"/>
      <c r="V114" s="9">
        <f>Model_Data!A114</f>
        <v>-4</v>
      </c>
      <c r="W114" s="9">
        <f>Model_Data!B114-Inputs!$C$5</f>
        <v>1.7777777777780557E-2</v>
      </c>
      <c r="X114" s="10"/>
      <c r="Y114" s="9">
        <f>Model_Data!A114</f>
        <v>-4</v>
      </c>
      <c r="Z114" s="9">
        <f>0</f>
        <v>0</v>
      </c>
      <c r="AA114" s="9">
        <f>((SQRT((Inputs!$C$52+Inputs!$C$5)^2+Inputs!$C$52^2-2*(Inputs!$C$52+Inputs!$C$5)*Inputs!$C$52*COS(SQRT((Model_Data!A114)^2+Inputs!$C$6^2)/Inputs!$C$52))-Inputs!$C$5)*1000/Inputs!$C$12)</f>
        <v>564.77979594815167</v>
      </c>
      <c r="AB114" s="9">
        <f>Model_Data!F114</f>
        <v>564.75987264554556</v>
      </c>
    </row>
    <row r="115" spans="1:28">
      <c r="A115" s="9">
        <f>Model_Data!A115</f>
        <v>-3.5</v>
      </c>
      <c r="B115" s="9">
        <f>0</f>
        <v>0</v>
      </c>
      <c r="C115" s="9">
        <f>((SQRT((Inputs!$C$52+Inputs!$C$5)^2+Inputs!$C$52^2-2*(Inputs!$C$52+Inputs!$C$5)*Inputs!$C$52*COS(SQRT((Model_Data!A115)^2+Inputs!$C$6^2)/Inputs!$C$52))-Inputs!$C$5)*1000/Inputs!$C$12)</f>
        <v>561.47989137649688</v>
      </c>
      <c r="D115" s="9">
        <f>Model_Data!F115</f>
        <v>561.46472631471727</v>
      </c>
      <c r="E115" s="9">
        <f>Model_Data!AC115</f>
        <v>290.48461541110606</v>
      </c>
      <c r="F115" s="10"/>
      <c r="G115" s="9">
        <f>Model_Data!A115</f>
        <v>-3.5</v>
      </c>
      <c r="H115" s="9">
        <f>Model_Data!Y115</f>
        <v>404.9650488224043</v>
      </c>
      <c r="I115" s="9">
        <f>Model_Data!Y115</f>
        <v>404.9650488224043</v>
      </c>
      <c r="J115" s="9">
        <f>Model_Data!X115</f>
        <v>-78.649068093608037</v>
      </c>
      <c r="K115" s="9">
        <f>Model_Data!A115</f>
        <v>-3.5</v>
      </c>
      <c r="L115" s="9">
        <f>Model_Data!Y115</f>
        <v>404.9650488224043</v>
      </c>
      <c r="M115" s="9">
        <f>Model_Data!X115</f>
        <v>-78.649068093608037</v>
      </c>
      <c r="N115" s="9">
        <f>-(Model_Data!AC115-Model_Data!F115)*Inputs!$C$12</f>
        <v>482.34459740842794</v>
      </c>
      <c r="O115" s="10"/>
      <c r="P115" s="9">
        <f>Model_Data!A115</f>
        <v>-3.5</v>
      </c>
      <c r="Q115" s="9">
        <f>Model_Data!P115</f>
        <v>29.962559468549443</v>
      </c>
      <c r="R115" s="9">
        <f>Model_Data!AM115</f>
        <v>20.627472613523423</v>
      </c>
      <c r="S115" s="9">
        <f>Model_Data!Q115</f>
        <v>4.4988828030855021</v>
      </c>
      <c r="T115" s="9">
        <f>Model_Data!AN115</f>
        <v>3.0972181101386522</v>
      </c>
      <c r="U115" s="10"/>
      <c r="V115" s="9">
        <f>Model_Data!A115</f>
        <v>-3.5</v>
      </c>
      <c r="W115" s="9">
        <f>Model_Data!B115-Inputs!$C$5</f>
        <v>1.361111111111768E-2</v>
      </c>
      <c r="X115" s="10"/>
      <c r="Y115" s="9">
        <f>Model_Data!A115</f>
        <v>-3.5</v>
      </c>
      <c r="Z115" s="9">
        <f>0</f>
        <v>0</v>
      </c>
      <c r="AA115" s="9">
        <f>((SQRT((Inputs!$C$52+Inputs!$C$5)^2+Inputs!$C$52^2-2*(Inputs!$C$52+Inputs!$C$5)*Inputs!$C$52*COS(SQRT((Model_Data!A115)^2+Inputs!$C$6^2)/Inputs!$C$52))-Inputs!$C$5)*1000/Inputs!$C$12)</f>
        <v>561.47989137649688</v>
      </c>
      <c r="AB115" s="9">
        <f>Model_Data!F115</f>
        <v>561.46472631471727</v>
      </c>
    </row>
    <row r="116" spans="1:28">
      <c r="A116" s="9">
        <f>Model_Data!A116</f>
        <v>-3</v>
      </c>
      <c r="B116" s="9">
        <f>0</f>
        <v>0</v>
      </c>
      <c r="C116" s="9">
        <f>((SQRT((Inputs!$C$52+Inputs!$C$5)^2+Inputs!$C$52^2-2*(Inputs!$C$52+Inputs!$C$5)*Inputs!$C$52*COS(SQRT((Model_Data!A116)^2+Inputs!$C$6^2)/Inputs!$C$52))-Inputs!$C$5)*1000/Inputs!$C$12)</f>
        <v>558.61993429704364</v>
      </c>
      <c r="D116" s="9">
        <f>Model_Data!F116</f>
        <v>558.60884911180744</v>
      </c>
      <c r="E116" s="9">
        <f>Model_Data!AC116</f>
        <v>285.28362024762748</v>
      </c>
      <c r="F116" s="10"/>
      <c r="G116" s="9">
        <f>Model_Data!A116</f>
        <v>-3</v>
      </c>
      <c r="H116" s="9">
        <f>Model_Data!Y116</f>
        <v>420.14741895597808</v>
      </c>
      <c r="I116" s="9">
        <f>Model_Data!Y116</f>
        <v>420.14741895597808</v>
      </c>
      <c r="J116" s="9">
        <f>Model_Data!X116</f>
        <v>-67.681977394603621</v>
      </c>
      <c r="K116" s="9">
        <f>Model_Data!A116</f>
        <v>-3</v>
      </c>
      <c r="L116" s="9">
        <f>Model_Data!Y116</f>
        <v>420.14741895597808</v>
      </c>
      <c r="M116" s="9">
        <f>Model_Data!X116</f>
        <v>-67.681977394603621</v>
      </c>
      <c r="N116" s="9">
        <f>-(Model_Data!AC116-Model_Data!F116)*Inputs!$C$12</f>
        <v>486.51890737824033</v>
      </c>
      <c r="O116" s="10"/>
      <c r="P116" s="9">
        <f>Model_Data!A116</f>
        <v>-3</v>
      </c>
      <c r="Q116" s="9">
        <f>Model_Data!P116</f>
        <v>25.682602570395829</v>
      </c>
      <c r="R116" s="9">
        <f>Model_Data!AM116</f>
        <v>51.23987584029237</v>
      </c>
      <c r="S116" s="9">
        <f>Model_Data!Q116</f>
        <v>3.8562466321915663</v>
      </c>
      <c r="T116" s="9">
        <f>Model_Data!AN116</f>
        <v>7.6936750510949512</v>
      </c>
      <c r="U116" s="10"/>
      <c r="V116" s="9">
        <f>Model_Data!A116</f>
        <v>-3</v>
      </c>
      <c r="W116" s="9">
        <f>Model_Data!B116-Inputs!$C$5</f>
        <v>9.9999999999909051E-3</v>
      </c>
      <c r="X116" s="10"/>
      <c r="Y116" s="9">
        <f>Model_Data!A116</f>
        <v>-3</v>
      </c>
      <c r="Z116" s="9">
        <f>0</f>
        <v>0</v>
      </c>
      <c r="AA116" s="9">
        <f>((SQRT((Inputs!$C$52+Inputs!$C$5)^2+Inputs!$C$52^2-2*(Inputs!$C$52+Inputs!$C$5)*Inputs!$C$52*COS(SQRT((Model_Data!A116)^2+Inputs!$C$6^2)/Inputs!$C$52))-Inputs!$C$5)*1000/Inputs!$C$12)</f>
        <v>558.61993429704364</v>
      </c>
      <c r="AB116" s="9">
        <f>Model_Data!F116</f>
        <v>558.60884911180744</v>
      </c>
    </row>
    <row r="117" spans="1:28">
      <c r="A117" s="9">
        <f>Model_Data!A117</f>
        <v>-2.5</v>
      </c>
      <c r="B117" s="9">
        <f>0</f>
        <v>0</v>
      </c>
      <c r="C117" s="9">
        <f>((SQRT((Inputs!$C$52+Inputs!$C$5)^2+Inputs!$C$52^2-2*(Inputs!$C$52+Inputs!$C$5)*Inputs!$C$52*COS(SQRT((Model_Data!A117)^2+Inputs!$C$6^2)/Inputs!$C$52))-Inputs!$C$5)*1000/Inputs!$C$12)</f>
        <v>556.19994175799548</v>
      </c>
      <c r="D117" s="9">
        <f>Model_Data!F117</f>
        <v>556.1922769103146</v>
      </c>
      <c r="E117" s="9">
        <f>Model_Data!AC117</f>
        <v>292.42636788385528</v>
      </c>
      <c r="F117" s="10"/>
      <c r="G117" s="9">
        <f>Model_Data!A117</f>
        <v>-2.5</v>
      </c>
      <c r="H117" s="9">
        <f>Model_Data!Y117</f>
        <v>420.97624209783453</v>
      </c>
      <c r="I117" s="9">
        <f>Model_Data!Y117</f>
        <v>420.97624209783453</v>
      </c>
      <c r="J117" s="9">
        <f>Model_Data!X117</f>
        <v>-49.834492958636119</v>
      </c>
      <c r="K117" s="9">
        <f>Model_Data!A117</f>
        <v>-2.5</v>
      </c>
      <c r="L117" s="9">
        <f>Model_Data!Y117</f>
        <v>420.97624209783453</v>
      </c>
      <c r="M117" s="9">
        <f>Model_Data!X117</f>
        <v>-49.834492958636119</v>
      </c>
      <c r="N117" s="9">
        <f>-(Model_Data!AC117-Model_Data!F117)*Inputs!$C$12</f>
        <v>469.50331806709761</v>
      </c>
      <c r="O117" s="10"/>
      <c r="P117" s="9">
        <f>Model_Data!A117</f>
        <v>-2.5</v>
      </c>
      <c r="Q117" s="9">
        <f>Model_Data!P117</f>
        <v>21.402457042222522</v>
      </c>
      <c r="R117" s="9">
        <f>Model_Data!AM117</f>
        <v>46.6773382615429</v>
      </c>
      <c r="S117" s="9">
        <f>Model_Data!Q117</f>
        <v>3.2135821384718506</v>
      </c>
      <c r="T117" s="9">
        <f>Model_Data!AN117</f>
        <v>7.0086093485800154</v>
      </c>
      <c r="U117" s="10"/>
      <c r="V117" s="9">
        <f>Model_Data!A117</f>
        <v>-2.5</v>
      </c>
      <c r="W117" s="9">
        <f>Model_Data!B117-Inputs!$C$5</f>
        <v>6.9444444444570763E-3</v>
      </c>
      <c r="X117" s="10"/>
      <c r="Y117" s="9">
        <f>Model_Data!A117</f>
        <v>-2.5</v>
      </c>
      <c r="Z117" s="9">
        <f>0</f>
        <v>0</v>
      </c>
      <c r="AA117" s="9">
        <f>((SQRT((Inputs!$C$52+Inputs!$C$5)^2+Inputs!$C$52^2-2*(Inputs!$C$52+Inputs!$C$5)*Inputs!$C$52*COS(SQRT((Model_Data!A117)^2+Inputs!$C$6^2)/Inputs!$C$52))-Inputs!$C$5)*1000/Inputs!$C$12)</f>
        <v>556.19994175799548</v>
      </c>
      <c r="AB117" s="9">
        <f>Model_Data!F117</f>
        <v>556.1922769103146</v>
      </c>
    </row>
    <row r="118" spans="1:28">
      <c r="A118" s="9">
        <f>Model_Data!A118</f>
        <v>-2</v>
      </c>
      <c r="B118" s="9">
        <f>0</f>
        <v>0</v>
      </c>
      <c r="C118" s="9">
        <f>((SQRT((Inputs!$C$52+Inputs!$C$5)^2+Inputs!$C$52^2-2*(Inputs!$C$52+Inputs!$C$5)*Inputs!$C$52*COS(SQRT((Model_Data!A118)^2+Inputs!$C$6^2)/Inputs!$C$52))-Inputs!$C$5)*1000/Inputs!$C$12)</f>
        <v>554.21992818809633</v>
      </c>
      <c r="D118" s="9">
        <f>Model_Data!F118</f>
        <v>554.21504006919088</v>
      </c>
      <c r="E118" s="9">
        <f>Model_Data!AC118</f>
        <v>276.55155091082088</v>
      </c>
      <c r="F118" s="10"/>
      <c r="G118" s="9">
        <f>Model_Data!A118</f>
        <v>-2</v>
      </c>
      <c r="H118" s="9">
        <f>Model_Data!Y118</f>
        <v>435.98300826713626</v>
      </c>
      <c r="I118" s="9">
        <f>Model_Data!Y118</f>
        <v>435.98300826713626</v>
      </c>
      <c r="J118" s="9">
        <f>Model_Data!X118</f>
        <v>-59.607279956221248</v>
      </c>
      <c r="K118" s="9">
        <f>Model_Data!A118</f>
        <v>-2</v>
      </c>
      <c r="L118" s="9">
        <f>Model_Data!Y118</f>
        <v>435.98300826713626</v>
      </c>
      <c r="M118" s="9">
        <f>Model_Data!X118</f>
        <v>-59.607279956221248</v>
      </c>
      <c r="N118" s="9">
        <f>-(Model_Data!AC118-Model_Data!F118)*Inputs!$C$12</f>
        <v>494.24101070189863</v>
      </c>
      <c r="O118" s="10"/>
      <c r="P118" s="9">
        <f>Model_Data!A118</f>
        <v>-2</v>
      </c>
      <c r="Q118" s="9">
        <f>Model_Data!P118</f>
        <v>17.12215430170545</v>
      </c>
      <c r="R118" s="9">
        <f>Model_Data!AM118</f>
        <v>33.292559234359942</v>
      </c>
      <c r="S118" s="9">
        <f>Model_Data!Q118</f>
        <v>2.570894039295113</v>
      </c>
      <c r="T118" s="9">
        <f>Model_Data!AN118</f>
        <v>4.9988827679219137</v>
      </c>
      <c r="U118" s="10"/>
      <c r="V118" s="9">
        <f>Model_Data!A118</f>
        <v>-2</v>
      </c>
      <c r="W118" s="9">
        <f>Model_Data!B118-Inputs!$C$5</f>
        <v>4.4444444444593501E-3</v>
      </c>
      <c r="X118" s="10"/>
      <c r="Y118" s="9">
        <f>Model_Data!A118</f>
        <v>-2</v>
      </c>
      <c r="Z118" s="9">
        <f>0</f>
        <v>0</v>
      </c>
      <c r="AA118" s="9">
        <f>((SQRT((Inputs!$C$52+Inputs!$C$5)^2+Inputs!$C$52^2-2*(Inputs!$C$52+Inputs!$C$5)*Inputs!$C$52*COS(SQRT((Model_Data!A118)^2+Inputs!$C$6^2)/Inputs!$C$52))-Inputs!$C$5)*1000/Inputs!$C$12)</f>
        <v>554.21992818809633</v>
      </c>
      <c r="AB118" s="9">
        <f>Model_Data!F118</f>
        <v>554.21504006919088</v>
      </c>
    </row>
    <row r="119" spans="1:28">
      <c r="A119" s="9">
        <f>Model_Data!A119</f>
        <v>-1.5</v>
      </c>
      <c r="B119" s="9">
        <f>0</f>
        <v>0</v>
      </c>
      <c r="C119" s="9">
        <f>((SQRT((Inputs!$C$52+Inputs!$C$5)^2+Inputs!$C$52^2-2*(Inputs!$C$52+Inputs!$C$5)*Inputs!$C$52*COS(SQRT((Model_Data!A119)^2+Inputs!$C$6^2)/Inputs!$C$52))-Inputs!$C$5)*1000/Inputs!$C$12)</f>
        <v>552.67990539116943</v>
      </c>
      <c r="D119" s="9">
        <f>Model_Data!F119</f>
        <v>552.67716343047937</v>
      </c>
      <c r="E119" s="9">
        <f>Model_Data!AC119</f>
        <v>292.04240033554208</v>
      </c>
      <c r="F119" s="10"/>
      <c r="G119" s="9">
        <f>Model_Data!A119</f>
        <v>-1.5</v>
      </c>
      <c r="H119" s="9">
        <f>Model_Data!Y119</f>
        <v>431.10580672292525</v>
      </c>
      <c r="I119" s="9">
        <f>Model_Data!Y119</f>
        <v>431.10580672292525</v>
      </c>
      <c r="J119" s="9">
        <f>Model_Data!X119</f>
        <v>-34.15455011761312</v>
      </c>
      <c r="K119" s="9">
        <f>Model_Data!A119</f>
        <v>-1.5</v>
      </c>
      <c r="L119" s="9">
        <f>Model_Data!Y119</f>
        <v>431.10580672292525</v>
      </c>
      <c r="M119" s="9">
        <f>Model_Data!X119</f>
        <v>-34.15455011761312</v>
      </c>
      <c r="N119" s="9">
        <f>-(Model_Data!AC119-Model_Data!F119)*Inputs!$C$12</f>
        <v>463.92987830898835</v>
      </c>
      <c r="O119" s="10"/>
      <c r="P119" s="9">
        <f>Model_Data!A119</f>
        <v>-1.5</v>
      </c>
      <c r="Q119" s="9">
        <f>Model_Data!P119</f>
        <v>12.841725789530756</v>
      </c>
      <c r="R119" s="9">
        <f>Model_Data!AM119</f>
        <v>20.845477274997393</v>
      </c>
      <c r="S119" s="9">
        <f>Model_Data!Q119</f>
        <v>1.9281870554850986</v>
      </c>
      <c r="T119" s="9">
        <f>Model_Data!AN119</f>
        <v>3.1299515427924014</v>
      </c>
      <c r="U119" s="10"/>
      <c r="V119" s="9">
        <f>Model_Data!A119</f>
        <v>-1.5</v>
      </c>
      <c r="W119" s="9">
        <f>Model_Data!B119-Inputs!$C$5</f>
        <v>2.4999999999977263E-3</v>
      </c>
      <c r="X119" s="10"/>
      <c r="Y119" s="9">
        <f>Model_Data!A119</f>
        <v>-1.5</v>
      </c>
      <c r="Z119" s="9">
        <f>0</f>
        <v>0</v>
      </c>
      <c r="AA119" s="9">
        <f>((SQRT((Inputs!$C$52+Inputs!$C$5)^2+Inputs!$C$52^2-2*(Inputs!$C$52+Inputs!$C$5)*Inputs!$C$52*COS(SQRT((Model_Data!A119)^2+Inputs!$C$6^2)/Inputs!$C$52))-Inputs!$C$5)*1000/Inputs!$C$12)</f>
        <v>552.67990539116943</v>
      </c>
      <c r="AB119" s="9">
        <f>Model_Data!F119</f>
        <v>552.67716343047937</v>
      </c>
    </row>
    <row r="120" spans="1:28">
      <c r="A120" s="9">
        <f>Model_Data!A120</f>
        <v>-1</v>
      </c>
      <c r="B120" s="9">
        <f>0</f>
        <v>0</v>
      </c>
      <c r="C120" s="9">
        <f>((SQRT((Inputs!$C$52+Inputs!$C$5)^2+Inputs!$C$52^2-2*(Inputs!$C$52+Inputs!$C$5)*Inputs!$C$52*COS(SQRT((Model_Data!A120)^2+Inputs!$C$6^2)/Inputs!$C$52))-Inputs!$C$5)*1000/Inputs!$C$12)</f>
        <v>551.57988254816144</v>
      </c>
      <c r="D120" s="9">
        <f>Model_Data!F120</f>
        <v>551.57866631350191</v>
      </c>
      <c r="E120" s="9">
        <f>Model_Data!AC120</f>
        <v>283.09447063252952</v>
      </c>
      <c r="F120" s="10"/>
      <c r="G120" s="9">
        <f>Model_Data!A120</f>
        <v>-1</v>
      </c>
      <c r="H120" s="9">
        <f>Model_Data!Y120</f>
        <v>440.99441024200883</v>
      </c>
      <c r="I120" s="9">
        <f>Model_Data!Y120</f>
        <v>440.99441024200883</v>
      </c>
      <c r="J120" s="9">
        <f>Model_Data!X120</f>
        <v>-38.265792887993427</v>
      </c>
      <c r="K120" s="9">
        <f>Model_Data!A120</f>
        <v>-1</v>
      </c>
      <c r="L120" s="9">
        <f>Model_Data!Y120</f>
        <v>440.99441024200883</v>
      </c>
      <c r="M120" s="9">
        <f>Model_Data!X120</f>
        <v>-38.265792887993427</v>
      </c>
      <c r="N120" s="9">
        <f>-(Model_Data!AC120-Model_Data!F120)*Inputs!$C$12</f>
        <v>477.90186831213089</v>
      </c>
      <c r="O120" s="10"/>
      <c r="P120" s="9">
        <f>Model_Data!A120</f>
        <v>-1</v>
      </c>
      <c r="Q120" s="9">
        <f>Model_Data!P120</f>
        <v>8.5612029411095136</v>
      </c>
      <c r="R120" s="9">
        <f>Model_Data!AM120</f>
        <v>77.358582702800049</v>
      </c>
      <c r="S120" s="9">
        <f>Model_Data!Q120</f>
        <v>1.2854659070735006</v>
      </c>
      <c r="T120" s="9">
        <f>Model_Data!AN120</f>
        <v>11.615402808228236</v>
      </c>
      <c r="U120" s="10"/>
      <c r="V120" s="9">
        <f>Model_Data!A120</f>
        <v>-1</v>
      </c>
      <c r="W120" s="9">
        <f>Model_Data!B120-Inputs!$C$5</f>
        <v>1.1111111111290484E-3</v>
      </c>
      <c r="X120" s="10"/>
      <c r="Y120" s="9">
        <f>Model_Data!A120</f>
        <v>-1</v>
      </c>
      <c r="Z120" s="9">
        <f>0</f>
        <v>0</v>
      </c>
      <c r="AA120" s="9">
        <f>((SQRT((Inputs!$C$52+Inputs!$C$5)^2+Inputs!$C$52^2-2*(Inputs!$C$52+Inputs!$C$5)*Inputs!$C$52*COS(SQRT((Model_Data!A120)^2+Inputs!$C$6^2)/Inputs!$C$52))-Inputs!$C$5)*1000/Inputs!$C$12)</f>
        <v>551.57988254816144</v>
      </c>
      <c r="AB120" s="9">
        <f>Model_Data!F120</f>
        <v>551.57866631350191</v>
      </c>
    </row>
    <row r="121" spans="1:28">
      <c r="A121" s="9">
        <f>Model_Data!A121</f>
        <v>-0.5</v>
      </c>
      <c r="B121" s="9">
        <f>0</f>
        <v>0</v>
      </c>
      <c r="C121" s="9">
        <f>((SQRT((Inputs!$C$52+Inputs!$C$5)^2+Inputs!$C$52^2-2*(Inputs!$C$52+Inputs!$C$5)*Inputs!$C$52*COS(SQRT((Model_Data!A121)^2+Inputs!$C$6^2)/Inputs!$C$52))-Inputs!$C$5)*1000/Inputs!$C$12)</f>
        <v>550.91986621899457</v>
      </c>
      <c r="D121" s="9">
        <f>Model_Data!F121</f>
        <v>550.91956252261866</v>
      </c>
      <c r="E121" s="9">
        <f>Model_Data!AC121</f>
        <v>276.35578795075725</v>
      </c>
      <c r="F121" s="10"/>
      <c r="G121" s="9">
        <f>Model_Data!A121</f>
        <v>-0.5</v>
      </c>
      <c r="H121" s="9">
        <f>Model_Data!Y121</f>
        <v>474.23278667183286</v>
      </c>
      <c r="I121" s="9">
        <f>Model_Data!Y121</f>
        <v>474.23278667183286</v>
      </c>
      <c r="J121" s="9">
        <f>Model_Data!X121</f>
        <v>-15.949828195457984</v>
      </c>
      <c r="K121" s="9">
        <f>Model_Data!A121</f>
        <v>-0.5</v>
      </c>
      <c r="L121" s="9">
        <f>Model_Data!Y121</f>
        <v>474.23278667183286</v>
      </c>
      <c r="M121" s="9">
        <f>Model_Data!X121</f>
        <v>-15.949828195457984</v>
      </c>
      <c r="N121" s="9">
        <f>-(Model_Data!AC121-Model_Data!F121)*Inputs!$C$12</f>
        <v>488.72351873791331</v>
      </c>
      <c r="O121" s="10"/>
      <c r="P121" s="9">
        <f>Model_Data!A121</f>
        <v>-0.5</v>
      </c>
      <c r="Q121" s="9">
        <f>Model_Data!P121</f>
        <v>4.2806171930351411</v>
      </c>
      <c r="R121" s="9">
        <f>Model_Data!AM121</f>
        <v>67.215495240452583</v>
      </c>
      <c r="S121" s="9">
        <f>Model_Data!Q121</f>
        <v>0.64273531426954078</v>
      </c>
      <c r="T121" s="9">
        <f>Model_Data!AN121</f>
        <v>10.092416702770659</v>
      </c>
      <c r="U121" s="10"/>
      <c r="V121" s="9">
        <f>Model_Data!A121</f>
        <v>-0.5</v>
      </c>
      <c r="W121" s="9">
        <f>Model_Data!B121-Inputs!$C$5</f>
        <v>2.7777777779647295E-4</v>
      </c>
      <c r="X121" s="10"/>
      <c r="Y121" s="9">
        <f>Model_Data!A121</f>
        <v>-0.5</v>
      </c>
      <c r="Z121" s="9">
        <f>0</f>
        <v>0</v>
      </c>
      <c r="AA121" s="9">
        <f>((SQRT((Inputs!$C$52+Inputs!$C$5)^2+Inputs!$C$52^2-2*(Inputs!$C$52+Inputs!$C$5)*Inputs!$C$52*COS(SQRT((Model_Data!A121)^2+Inputs!$C$6^2)/Inputs!$C$52))-Inputs!$C$5)*1000/Inputs!$C$12)</f>
        <v>550.91986621899457</v>
      </c>
      <c r="AB121" s="9">
        <f>Model_Data!F121</f>
        <v>550.91956252261866</v>
      </c>
    </row>
    <row r="122" spans="1:28">
      <c r="A122" s="9">
        <f>Model_Data!A122</f>
        <v>0</v>
      </c>
      <c r="B122" s="9">
        <f>0</f>
        <v>0</v>
      </c>
      <c r="C122" s="9">
        <f>((SQRT((Inputs!$C$52+Inputs!$C$5)^2+Inputs!$C$52^2-2*(Inputs!$C$52+Inputs!$C$5)*Inputs!$C$52*COS(SQRT((Model_Data!A122)^2+Inputs!$C$6^2)/Inputs!$C$52))-Inputs!$C$5)*1000/Inputs!$C$12)</f>
        <v>550.69986033905366</v>
      </c>
      <c r="D122" s="9">
        <f>Model_Data!F122</f>
        <v>550.69986033905366</v>
      </c>
      <c r="E122" s="9">
        <f>Model_Data!AC122</f>
        <v>278.8355336025972</v>
      </c>
      <c r="F122" s="10"/>
      <c r="G122" s="9">
        <f>Model_Data!A122</f>
        <v>0</v>
      </c>
      <c r="H122" s="9">
        <f>Model_Data!Y122</f>
        <v>480.44802858922253</v>
      </c>
      <c r="I122" s="9">
        <f>Model_Data!Y122</f>
        <v>480.44802858922253</v>
      </c>
      <c r="J122" s="9">
        <f>Model_Data!X122</f>
        <v>-4.948127387128106</v>
      </c>
      <c r="K122" s="9">
        <f>Model_Data!A122</f>
        <v>0</v>
      </c>
      <c r="L122" s="9">
        <f>Model_Data!Y122</f>
        <v>480.44802858922253</v>
      </c>
      <c r="M122" s="9">
        <f>Model_Data!X122</f>
        <v>-4.948127387128106</v>
      </c>
      <c r="N122" s="9">
        <f>-(Model_Data!AC122-Model_Data!F122)*Inputs!$C$12</f>
        <v>483.9185015908925</v>
      </c>
      <c r="O122" s="10"/>
      <c r="P122" s="9">
        <f>Model_Data!A122</f>
        <v>0</v>
      </c>
      <c r="Q122" s="9">
        <f>Model_Data!P122</f>
        <v>0</v>
      </c>
      <c r="R122" s="9">
        <f>Model_Data!AM122</f>
        <v>13.577875871487777</v>
      </c>
      <c r="S122" s="9">
        <f>Model_Data!Q122</f>
        <v>0</v>
      </c>
      <c r="T122" s="9">
        <f>Model_Data!AN122</f>
        <v>2.0387201008239906</v>
      </c>
      <c r="U122" s="10"/>
      <c r="V122" s="9">
        <f>Model_Data!A122</f>
        <v>0</v>
      </c>
      <c r="W122" s="9">
        <f>Model_Data!B122-Inputs!$C$5</f>
        <v>0</v>
      </c>
      <c r="X122" s="10"/>
      <c r="Y122" s="9">
        <f>Model_Data!A122</f>
        <v>0</v>
      </c>
      <c r="Z122" s="9">
        <f>0</f>
        <v>0</v>
      </c>
      <c r="AA122" s="9">
        <f>((SQRT((Inputs!$C$52+Inputs!$C$5)^2+Inputs!$C$52^2-2*(Inputs!$C$52+Inputs!$C$5)*Inputs!$C$52*COS(SQRT((Model_Data!A122)^2+Inputs!$C$6^2)/Inputs!$C$52))-Inputs!$C$5)*1000/Inputs!$C$12)</f>
        <v>550.69986033905366</v>
      </c>
      <c r="AB122" s="9">
        <f>Model_Data!F122</f>
        <v>550.69986033905366</v>
      </c>
    </row>
    <row r="123" spans="1:28">
      <c r="A123" s="9">
        <f>Model_Data!A123</f>
        <v>0.5</v>
      </c>
      <c r="B123" s="9">
        <f>0</f>
        <v>0</v>
      </c>
      <c r="C123" s="9">
        <f>((SQRT((Inputs!$C$52+Inputs!$C$5)^2+Inputs!$C$52^2-2*(Inputs!$C$52+Inputs!$C$5)*Inputs!$C$52*COS(SQRT((Model_Data!A123)^2+Inputs!$C$6^2)/Inputs!$C$52))-Inputs!$C$5)*1000/Inputs!$C$12)</f>
        <v>550.91986621899457</v>
      </c>
      <c r="D123" s="9">
        <f>Model_Data!F123</f>
        <v>550.91956252261866</v>
      </c>
      <c r="E123" s="9">
        <f>Model_Data!AC123</f>
        <v>281.81827385418438</v>
      </c>
      <c r="F123" s="10"/>
      <c r="G123" s="9">
        <f>Model_Data!A123</f>
        <v>0.5</v>
      </c>
      <c r="H123" s="9">
        <f>Model_Data!Y123</f>
        <v>482.74518112800712</v>
      </c>
      <c r="I123" s="9">
        <f>Model_Data!Y123</f>
        <v>482.74518112800712</v>
      </c>
      <c r="J123" s="9">
        <f>Model_Data!X123</f>
        <v>2.2595691323213032</v>
      </c>
      <c r="K123" s="9">
        <f>Model_Data!A123</f>
        <v>0.5</v>
      </c>
      <c r="L123" s="9">
        <f>Model_Data!Y123</f>
        <v>482.74518112800712</v>
      </c>
      <c r="M123" s="9">
        <f>Model_Data!X123</f>
        <v>2.2595691323213032</v>
      </c>
      <c r="N123" s="9">
        <f>-(Model_Data!AC123-Model_Data!F123)*Inputs!$C$12</f>
        <v>479.00029382981302</v>
      </c>
      <c r="O123" s="10"/>
      <c r="P123" s="9">
        <f>Model_Data!A123</f>
        <v>0.5</v>
      </c>
      <c r="Q123" s="9">
        <f>Model_Data!P123</f>
        <v>-4.2806171930351411</v>
      </c>
      <c r="R123" s="9">
        <f>Model_Data!AM123</f>
        <v>23.04487073324708</v>
      </c>
      <c r="S123" s="9">
        <f>Model_Data!Q123</f>
        <v>-0.64273531426954078</v>
      </c>
      <c r="T123" s="9">
        <f>Model_Data!AN123</f>
        <v>3.4601908007878501</v>
      </c>
      <c r="U123" s="10"/>
      <c r="V123" s="9">
        <f>Model_Data!A123</f>
        <v>0.5</v>
      </c>
      <c r="W123" s="9">
        <f>Model_Data!B123-Inputs!$C$5</f>
        <v>2.7777777779647295E-4</v>
      </c>
      <c r="X123" s="10"/>
      <c r="Y123" s="9">
        <f>Model_Data!A123</f>
        <v>0.5</v>
      </c>
      <c r="Z123" s="9">
        <f>0</f>
        <v>0</v>
      </c>
      <c r="AA123" s="9">
        <f>((SQRT((Inputs!$C$52+Inputs!$C$5)^2+Inputs!$C$52^2-2*(Inputs!$C$52+Inputs!$C$5)*Inputs!$C$52*COS(SQRT((Model_Data!A123)^2+Inputs!$C$6^2)/Inputs!$C$52))-Inputs!$C$5)*1000/Inputs!$C$12)</f>
        <v>550.91986621899457</v>
      </c>
      <c r="AB123" s="9">
        <f>Model_Data!F123</f>
        <v>550.91956252261866</v>
      </c>
    </row>
    <row r="124" spans="1:28">
      <c r="A124" s="9">
        <f>Model_Data!A124</f>
        <v>1</v>
      </c>
      <c r="B124" s="9">
        <f>0</f>
        <v>0</v>
      </c>
      <c r="C124" s="9">
        <f>((SQRT((Inputs!$C$52+Inputs!$C$5)^2+Inputs!$C$52^2-2*(Inputs!$C$52+Inputs!$C$5)*Inputs!$C$52*COS(SQRT((Model_Data!A124)^2+Inputs!$C$6^2)/Inputs!$C$52))-Inputs!$C$5)*1000/Inputs!$C$12)</f>
        <v>551.57988254816144</v>
      </c>
      <c r="D124" s="9">
        <f>Model_Data!F124</f>
        <v>551.57866631350191</v>
      </c>
      <c r="E124" s="9">
        <f>Model_Data!AC124</f>
        <v>297.09981354024171</v>
      </c>
      <c r="F124" s="10"/>
      <c r="G124" s="9">
        <f>Model_Data!A124</f>
        <v>1</v>
      </c>
      <c r="H124" s="9">
        <f>Model_Data!Y124</f>
        <v>497.58165314697214</v>
      </c>
      <c r="I124" s="9">
        <f>Model_Data!Y124</f>
        <v>497.58165314697214</v>
      </c>
      <c r="J124" s="9">
        <f>Model_Data!X124</f>
        <v>43.076446221267872</v>
      </c>
      <c r="K124" s="9">
        <f>Model_Data!A124</f>
        <v>1</v>
      </c>
      <c r="L124" s="9">
        <f>Model_Data!Y124</f>
        <v>497.58165314697214</v>
      </c>
      <c r="M124" s="9">
        <f>Model_Data!X124</f>
        <v>43.076446221267872</v>
      </c>
      <c r="N124" s="9">
        <f>-(Model_Data!AC124-Model_Data!F124)*Inputs!$C$12</f>
        <v>452.97235793640317</v>
      </c>
      <c r="O124" s="10"/>
      <c r="P124" s="9">
        <f>Model_Data!A124</f>
        <v>1</v>
      </c>
      <c r="Q124" s="9">
        <f>Model_Data!P124</f>
        <v>-8.5612029411095136</v>
      </c>
      <c r="R124" s="9">
        <f>Model_Data!AM124</f>
        <v>45.852821853259229</v>
      </c>
      <c r="S124" s="9">
        <f>Model_Data!Q124</f>
        <v>-1.2854659070735006</v>
      </c>
      <c r="T124" s="9">
        <f>Model_Data!AN124</f>
        <v>6.8848080860749601</v>
      </c>
      <c r="U124" s="10"/>
      <c r="V124" s="9">
        <f>Model_Data!A124</f>
        <v>1</v>
      </c>
      <c r="W124" s="9">
        <f>Model_Data!B124-Inputs!$C$5</f>
        <v>1.1111111111290484E-3</v>
      </c>
      <c r="X124" s="10"/>
      <c r="Y124" s="9">
        <f>Model_Data!A124</f>
        <v>1</v>
      </c>
      <c r="Z124" s="9">
        <f>0</f>
        <v>0</v>
      </c>
      <c r="AA124" s="9">
        <f>((SQRT((Inputs!$C$52+Inputs!$C$5)^2+Inputs!$C$52^2-2*(Inputs!$C$52+Inputs!$C$5)*Inputs!$C$52*COS(SQRT((Model_Data!A124)^2+Inputs!$C$6^2)/Inputs!$C$52))-Inputs!$C$5)*1000/Inputs!$C$12)</f>
        <v>551.57988254816144</v>
      </c>
      <c r="AB124" s="9">
        <f>Model_Data!F124</f>
        <v>551.57866631350191</v>
      </c>
    </row>
    <row r="125" spans="1:28">
      <c r="A125" s="9">
        <f>Model_Data!A125</f>
        <v>1.5</v>
      </c>
      <c r="B125" s="9">
        <f>0</f>
        <v>0</v>
      </c>
      <c r="C125" s="9">
        <f>((SQRT((Inputs!$C$52+Inputs!$C$5)^2+Inputs!$C$52^2-2*(Inputs!$C$52+Inputs!$C$5)*Inputs!$C$52*COS(SQRT((Model_Data!A125)^2+Inputs!$C$6^2)/Inputs!$C$52))-Inputs!$C$5)*1000/Inputs!$C$12)</f>
        <v>552.67990539116943</v>
      </c>
      <c r="D125" s="9">
        <f>Model_Data!F125</f>
        <v>552.67716343047937</v>
      </c>
      <c r="E125" s="9">
        <f>Model_Data!AC125</f>
        <v>289.50094228996909</v>
      </c>
      <c r="F125" s="10"/>
      <c r="G125" s="9">
        <f>Model_Data!A125</f>
        <v>1.5</v>
      </c>
      <c r="H125" s="9">
        <f>Model_Data!Y125</f>
        <v>516.864115303311</v>
      </c>
      <c r="I125" s="9">
        <f>Model_Data!Y125</f>
        <v>516.864115303311</v>
      </c>
      <c r="J125" s="9">
        <f>Model_Data!X125</f>
        <v>46.814954828478903</v>
      </c>
      <c r="K125" s="9">
        <f>Model_Data!A125</f>
        <v>1.5</v>
      </c>
      <c r="L125" s="9">
        <f>Model_Data!Y125</f>
        <v>516.864115303311</v>
      </c>
      <c r="M125" s="9">
        <f>Model_Data!X125</f>
        <v>46.814954828478903</v>
      </c>
      <c r="N125" s="9">
        <f>-(Model_Data!AC125-Model_Data!F125)*Inputs!$C$12</f>
        <v>468.45367363010831</v>
      </c>
      <c r="O125" s="10"/>
      <c r="P125" s="9">
        <f>Model_Data!A125</f>
        <v>1.5</v>
      </c>
      <c r="Q125" s="9">
        <f>Model_Data!P125</f>
        <v>-12.841725789530756</v>
      </c>
      <c r="R125" s="9">
        <f>Model_Data!AM125</f>
        <v>46.043212136100919</v>
      </c>
      <c r="S125" s="9">
        <f>Model_Data!Q125</f>
        <v>-1.9281870554850986</v>
      </c>
      <c r="T125" s="9">
        <f>Model_Data!AN125</f>
        <v>6.9133952156307696</v>
      </c>
      <c r="U125" s="10"/>
      <c r="V125" s="9">
        <f>Model_Data!A125</f>
        <v>1.5</v>
      </c>
      <c r="W125" s="9">
        <f>Model_Data!B125-Inputs!$C$5</f>
        <v>2.4999999999977263E-3</v>
      </c>
      <c r="X125" s="10"/>
      <c r="Y125" s="9">
        <f>Model_Data!A125</f>
        <v>1.5</v>
      </c>
      <c r="Z125" s="9">
        <f>0</f>
        <v>0</v>
      </c>
      <c r="AA125" s="9">
        <f>((SQRT((Inputs!$C$52+Inputs!$C$5)^2+Inputs!$C$52^2-2*(Inputs!$C$52+Inputs!$C$5)*Inputs!$C$52*COS(SQRT((Model_Data!A125)^2+Inputs!$C$6^2)/Inputs!$C$52))-Inputs!$C$5)*1000/Inputs!$C$12)</f>
        <v>552.67990539116943</v>
      </c>
      <c r="AB125" s="9">
        <f>Model_Data!F125</f>
        <v>552.67716343047937</v>
      </c>
    </row>
    <row r="126" spans="1:28">
      <c r="A126" s="9">
        <f>Model_Data!A126</f>
        <v>2</v>
      </c>
      <c r="B126" s="9">
        <f>0</f>
        <v>0</v>
      </c>
      <c r="C126" s="9">
        <f>((SQRT((Inputs!$C$52+Inputs!$C$5)^2+Inputs!$C$52^2-2*(Inputs!$C$52+Inputs!$C$5)*Inputs!$C$52*COS(SQRT((Model_Data!A126)^2+Inputs!$C$6^2)/Inputs!$C$52))-Inputs!$C$5)*1000/Inputs!$C$12)</f>
        <v>554.21992818809633</v>
      </c>
      <c r="D126" s="9">
        <f>Model_Data!F126</f>
        <v>554.21504006919088</v>
      </c>
      <c r="E126" s="9">
        <f>Model_Data!AC126</f>
        <v>291.6904825085158</v>
      </c>
      <c r="F126" s="10"/>
      <c r="G126" s="9">
        <f>Model_Data!A126</f>
        <v>2</v>
      </c>
      <c r="H126" s="9">
        <f>Model_Data!Y126</f>
        <v>534.50648407239817</v>
      </c>
      <c r="I126" s="9">
        <f>Model_Data!Y126</f>
        <v>534.50648407239817</v>
      </c>
      <c r="J126" s="9">
        <f>Model_Data!X126</f>
        <v>65.558177903204651</v>
      </c>
      <c r="K126" s="9">
        <f>Model_Data!A126</f>
        <v>2</v>
      </c>
      <c r="L126" s="9">
        <f>Model_Data!Y126</f>
        <v>534.50648407239817</v>
      </c>
      <c r="M126" s="9">
        <f>Model_Data!X126</f>
        <v>65.558177903204651</v>
      </c>
      <c r="N126" s="9">
        <f>-(Model_Data!AC126-Model_Data!F126)*Inputs!$C$12</f>
        <v>467.29371245800166</v>
      </c>
      <c r="O126" s="10"/>
      <c r="P126" s="9">
        <f>Model_Data!A126</f>
        <v>2</v>
      </c>
      <c r="Q126" s="9">
        <f>Model_Data!P126</f>
        <v>-17.12215430170545</v>
      </c>
      <c r="R126" s="9">
        <f>Model_Data!AM126</f>
        <v>35.28480728100476</v>
      </c>
      <c r="S126" s="9">
        <f>Model_Data!Q126</f>
        <v>-2.570894039295113</v>
      </c>
      <c r="T126" s="9">
        <f>Model_Data!AN126</f>
        <v>5.2980191112619766</v>
      </c>
      <c r="U126" s="10"/>
      <c r="V126" s="9">
        <f>Model_Data!A126</f>
        <v>2</v>
      </c>
      <c r="W126" s="9">
        <f>Model_Data!B126-Inputs!$C$5</f>
        <v>4.4444444444593501E-3</v>
      </c>
      <c r="X126" s="10"/>
      <c r="Y126" s="9">
        <f>Model_Data!A126</f>
        <v>2</v>
      </c>
      <c r="Z126" s="9">
        <f>0</f>
        <v>0</v>
      </c>
      <c r="AA126" s="9">
        <f>((SQRT((Inputs!$C$52+Inputs!$C$5)^2+Inputs!$C$52^2-2*(Inputs!$C$52+Inputs!$C$5)*Inputs!$C$52*COS(SQRT((Model_Data!A126)^2+Inputs!$C$6^2)/Inputs!$C$52))-Inputs!$C$5)*1000/Inputs!$C$12)</f>
        <v>554.21992818809633</v>
      </c>
      <c r="AB126" s="9">
        <f>Model_Data!F126</f>
        <v>554.21504006919088</v>
      </c>
    </row>
    <row r="127" spans="1:28">
      <c r="A127" s="9">
        <f>Model_Data!A127</f>
        <v>2.5</v>
      </c>
      <c r="B127" s="9">
        <f>0</f>
        <v>0</v>
      </c>
      <c r="C127" s="9">
        <f>((SQRT((Inputs!$C$52+Inputs!$C$5)^2+Inputs!$C$52^2-2*(Inputs!$C$52+Inputs!$C$5)*Inputs!$C$52*COS(SQRT((Model_Data!A127)^2+Inputs!$C$6^2)/Inputs!$C$52))-Inputs!$C$5)*1000/Inputs!$C$12)</f>
        <v>556.19994175799548</v>
      </c>
      <c r="D127" s="9">
        <f>Model_Data!F127</f>
        <v>556.1922769103146</v>
      </c>
      <c r="E127" s="9">
        <f>Model_Data!AC127</f>
        <v>288.1461556623928</v>
      </c>
      <c r="F127" s="10"/>
      <c r="G127" s="9">
        <f>Model_Data!A127</f>
        <v>2.5</v>
      </c>
      <c r="H127" s="9">
        <f>Model_Data!Y127</f>
        <v>549.73081486924821</v>
      </c>
      <c r="I127" s="9">
        <f>Model_Data!Y127</f>
        <v>549.73081486924821</v>
      </c>
      <c r="J127" s="9">
        <f>Model_Data!X127</f>
        <v>70.900883626482283</v>
      </c>
      <c r="K127" s="9">
        <f>Model_Data!A127</f>
        <v>2.5</v>
      </c>
      <c r="L127" s="9">
        <f>Model_Data!Y127</f>
        <v>549.73081486924821</v>
      </c>
      <c r="M127" s="9">
        <f>Model_Data!X127</f>
        <v>70.900883626482283</v>
      </c>
      <c r="N127" s="9">
        <f>-(Model_Data!AC127-Model_Data!F127)*Inputs!$C$12</f>
        <v>477.12209582130083</v>
      </c>
      <c r="O127" s="10"/>
      <c r="P127" s="9">
        <f>Model_Data!A127</f>
        <v>2.5</v>
      </c>
      <c r="Q127" s="9">
        <f>Model_Data!P127</f>
        <v>-21.402457042222522</v>
      </c>
      <c r="R127" s="9">
        <f>Model_Data!AM127</f>
        <v>-17.696456895737356</v>
      </c>
      <c r="S127" s="9">
        <f>Model_Data!Q127</f>
        <v>-3.2135821384718506</v>
      </c>
      <c r="T127" s="9">
        <f>Model_Data!AN127</f>
        <v>-2.6571256600206241</v>
      </c>
      <c r="U127" s="10"/>
      <c r="V127" s="9">
        <f>Model_Data!A127</f>
        <v>2.5</v>
      </c>
      <c r="W127" s="9">
        <f>Model_Data!B127-Inputs!$C$5</f>
        <v>6.9444444444570763E-3</v>
      </c>
      <c r="X127" s="10"/>
      <c r="Y127" s="9">
        <f>Model_Data!A127</f>
        <v>2.5</v>
      </c>
      <c r="Z127" s="9">
        <f>0</f>
        <v>0</v>
      </c>
      <c r="AA127" s="9">
        <f>((SQRT((Inputs!$C$52+Inputs!$C$5)^2+Inputs!$C$52^2-2*(Inputs!$C$52+Inputs!$C$5)*Inputs!$C$52*COS(SQRT((Model_Data!A127)^2+Inputs!$C$6^2)/Inputs!$C$52))-Inputs!$C$5)*1000/Inputs!$C$12)</f>
        <v>556.19994175799548</v>
      </c>
      <c r="AB127" s="9">
        <f>Model_Data!F127</f>
        <v>556.1922769103146</v>
      </c>
    </row>
    <row r="128" spans="1:28">
      <c r="A128" s="9">
        <f>Model_Data!A128</f>
        <v>3</v>
      </c>
      <c r="B128" s="9">
        <f>0</f>
        <v>0</v>
      </c>
      <c r="C128" s="9">
        <f>((SQRT((Inputs!$C$52+Inputs!$C$5)^2+Inputs!$C$52^2-2*(Inputs!$C$52+Inputs!$C$5)*Inputs!$C$52*COS(SQRT((Model_Data!A128)^2+Inputs!$C$6^2)/Inputs!$C$52))-Inputs!$C$5)*1000/Inputs!$C$12)</f>
        <v>558.61993429704364</v>
      </c>
      <c r="D128" s="9">
        <f>Model_Data!F128</f>
        <v>558.60884911180744</v>
      </c>
      <c r="E128" s="9">
        <f>Model_Data!AC128</f>
        <v>304.08790833176766</v>
      </c>
      <c r="F128" s="10"/>
      <c r="G128" s="9">
        <f>Model_Data!A128</f>
        <v>3</v>
      </c>
      <c r="H128" s="9">
        <f>Model_Data!Y128</f>
        <v>536.84310410266767</v>
      </c>
      <c r="I128" s="9">
        <f>Model_Data!Y128</f>
        <v>536.84310410266767</v>
      </c>
      <c r="J128" s="9">
        <f>Model_Data!X128</f>
        <v>82.120865864262811</v>
      </c>
      <c r="K128" s="9">
        <f>Model_Data!A128</f>
        <v>3</v>
      </c>
      <c r="L128" s="9">
        <f>Model_Data!Y128</f>
        <v>536.84310410266767</v>
      </c>
      <c r="M128" s="9">
        <f>Model_Data!X128</f>
        <v>82.120865864262811</v>
      </c>
      <c r="N128" s="9">
        <f>-(Model_Data!AC128-Model_Data!F128)*Inputs!$C$12</f>
        <v>453.04727458847083</v>
      </c>
      <c r="O128" s="10"/>
      <c r="P128" s="9">
        <f>Model_Data!A128</f>
        <v>3</v>
      </c>
      <c r="Q128" s="9">
        <f>Model_Data!P128</f>
        <v>-25.682602570395829</v>
      </c>
      <c r="R128" s="9">
        <f>Model_Data!AM128</f>
        <v>-4.6735498308407841</v>
      </c>
      <c r="S128" s="9">
        <f>Model_Data!Q128</f>
        <v>-3.8562466321915663</v>
      </c>
      <c r="T128" s="9">
        <f>Model_Data!AN128</f>
        <v>-0.70173420883495263</v>
      </c>
      <c r="U128" s="10"/>
      <c r="V128" s="9">
        <f>Model_Data!A128</f>
        <v>3</v>
      </c>
      <c r="W128" s="9">
        <f>Model_Data!B128-Inputs!$C$5</f>
        <v>9.9999999999909051E-3</v>
      </c>
      <c r="X128" s="10"/>
      <c r="Y128" s="9">
        <f>Model_Data!A128</f>
        <v>3</v>
      </c>
      <c r="Z128" s="9">
        <f>0</f>
        <v>0</v>
      </c>
      <c r="AA128" s="9">
        <f>((SQRT((Inputs!$C$52+Inputs!$C$5)^2+Inputs!$C$52^2-2*(Inputs!$C$52+Inputs!$C$5)*Inputs!$C$52*COS(SQRT((Model_Data!A128)^2+Inputs!$C$6^2)/Inputs!$C$52))-Inputs!$C$5)*1000/Inputs!$C$12)</f>
        <v>558.61993429704364</v>
      </c>
      <c r="AB128" s="9">
        <f>Model_Data!F128</f>
        <v>558.60884911180744</v>
      </c>
    </row>
    <row r="129" spans="1:28">
      <c r="A129" s="9">
        <f>Model_Data!A129</f>
        <v>3.5</v>
      </c>
      <c r="B129" s="9">
        <f>0</f>
        <v>0</v>
      </c>
      <c r="C129" s="9">
        <f>((SQRT((Inputs!$C$52+Inputs!$C$5)^2+Inputs!$C$52^2-2*(Inputs!$C$52+Inputs!$C$5)*Inputs!$C$52*COS(SQRT((Model_Data!A129)^2+Inputs!$C$6^2)/Inputs!$C$52))-Inputs!$C$5)*1000/Inputs!$C$12)</f>
        <v>561.47989137649688</v>
      </c>
      <c r="D129" s="9">
        <f>Model_Data!F129</f>
        <v>561.46472631471727</v>
      </c>
      <c r="E129" s="9">
        <f>Model_Data!AC129</f>
        <v>301.61232511013645</v>
      </c>
      <c r="F129" s="10"/>
      <c r="G129" s="9">
        <f>Model_Data!A129</f>
        <v>3.5</v>
      </c>
      <c r="H129" s="9">
        <f>Model_Data!Y129</f>
        <v>562.91901967460217</v>
      </c>
      <c r="I129" s="9">
        <f>Model_Data!Y129</f>
        <v>562.91901967460217</v>
      </c>
      <c r="J129" s="9">
        <f>Model_Data!X129</f>
        <v>98.61636326587373</v>
      </c>
      <c r="K129" s="9">
        <f>Model_Data!A129</f>
        <v>3.5</v>
      </c>
      <c r="L129" s="9">
        <f>Model_Data!Y129</f>
        <v>562.91901967460217</v>
      </c>
      <c r="M129" s="9">
        <f>Model_Data!X129</f>
        <v>98.61636326587373</v>
      </c>
      <c r="N129" s="9">
        <f>-(Model_Data!AC129-Model_Data!F129)*Inputs!$C$12</f>
        <v>462.53727414415386</v>
      </c>
      <c r="O129" s="10"/>
      <c r="P129" s="9">
        <f>Model_Data!A129</f>
        <v>3.5</v>
      </c>
      <c r="Q129" s="9">
        <f>Model_Data!P129</f>
        <v>-29.962559468549443</v>
      </c>
      <c r="R129" s="9">
        <f>Model_Data!AM129</f>
        <v>9.6052323767253256</v>
      </c>
      <c r="S129" s="9">
        <f>Model_Data!Q129</f>
        <v>-4.4988828030855021</v>
      </c>
      <c r="T129" s="9">
        <f>Model_Data!AN129</f>
        <v>1.4422270835923914</v>
      </c>
      <c r="U129" s="10"/>
      <c r="V129" s="9">
        <f>Model_Data!A129</f>
        <v>3.5</v>
      </c>
      <c r="W129" s="9">
        <f>Model_Data!B129-Inputs!$C$5</f>
        <v>1.361111111111768E-2</v>
      </c>
      <c r="X129" s="10"/>
      <c r="Y129" s="9">
        <f>Model_Data!A129</f>
        <v>3.5</v>
      </c>
      <c r="Z129" s="9">
        <f>0</f>
        <v>0</v>
      </c>
      <c r="AA129" s="9">
        <f>((SQRT((Inputs!$C$52+Inputs!$C$5)^2+Inputs!$C$52^2-2*(Inputs!$C$52+Inputs!$C$5)*Inputs!$C$52*COS(SQRT((Model_Data!A129)^2+Inputs!$C$6^2)/Inputs!$C$52))-Inputs!$C$5)*1000/Inputs!$C$12)</f>
        <v>561.47989137649688</v>
      </c>
      <c r="AB129" s="9">
        <f>Model_Data!F129</f>
        <v>561.46472631471727</v>
      </c>
    </row>
    <row r="130" spans="1:28">
      <c r="A130" s="9">
        <f>Model_Data!A130</f>
        <v>4</v>
      </c>
      <c r="B130" s="9">
        <f>0</f>
        <v>0</v>
      </c>
      <c r="C130" s="9">
        <f>((SQRT((Inputs!$C$52+Inputs!$C$5)^2+Inputs!$C$52^2-2*(Inputs!$C$52+Inputs!$C$5)*Inputs!$C$52*COS(SQRT((Model_Data!A130)^2+Inputs!$C$6^2)/Inputs!$C$52))-Inputs!$C$5)*1000/Inputs!$C$12)</f>
        <v>564.77979594815167</v>
      </c>
      <c r="D130" s="9">
        <f>Model_Data!F130</f>
        <v>564.75987264554556</v>
      </c>
      <c r="E130" s="9">
        <f>Model_Data!AC130</f>
        <v>304.34700927433653</v>
      </c>
      <c r="F130" s="10"/>
      <c r="G130" s="9">
        <f>Model_Data!A130</f>
        <v>4</v>
      </c>
      <c r="H130" s="9">
        <f>Model_Data!Y130</f>
        <v>561.66976905744889</v>
      </c>
      <c r="I130" s="9">
        <f>Model_Data!Y130</f>
        <v>561.66976905744889</v>
      </c>
      <c r="J130" s="9">
        <f>Model_Data!X130</f>
        <v>96.363113555281444</v>
      </c>
      <c r="K130" s="9">
        <f>Model_Data!A130</f>
        <v>4</v>
      </c>
      <c r="L130" s="9">
        <f>Model_Data!Y130</f>
        <v>561.66976905744889</v>
      </c>
      <c r="M130" s="9">
        <f>Model_Data!X130</f>
        <v>96.363113555281444</v>
      </c>
      <c r="N130" s="9">
        <f>-(Model_Data!AC130-Model_Data!F130)*Inputs!$C$12</f>
        <v>463.53489680075205</v>
      </c>
      <c r="O130" s="10"/>
      <c r="P130" s="9">
        <f>Model_Data!A130</f>
        <v>4</v>
      </c>
      <c r="Q130" s="9">
        <f>Model_Data!P130</f>
        <v>-34.242296315551357</v>
      </c>
      <c r="R130" s="9">
        <f>Model_Data!AM130</f>
        <v>-25.147264343559073</v>
      </c>
      <c r="S130" s="9">
        <f>Model_Data!Q130</f>
        <v>-5.1414859332659697</v>
      </c>
      <c r="T130" s="9">
        <f>Model_Data!AN130</f>
        <v>-3.7758655170509123</v>
      </c>
      <c r="U130" s="10"/>
      <c r="V130" s="9">
        <f>Model_Data!A130</f>
        <v>4</v>
      </c>
      <c r="W130" s="9">
        <f>Model_Data!B130-Inputs!$C$5</f>
        <v>1.7777777777780557E-2</v>
      </c>
      <c r="X130" s="10"/>
      <c r="Y130" s="9">
        <f>Model_Data!A130</f>
        <v>4</v>
      </c>
      <c r="Z130" s="9">
        <f>0</f>
        <v>0</v>
      </c>
      <c r="AA130" s="9">
        <f>((SQRT((Inputs!$C$52+Inputs!$C$5)^2+Inputs!$C$52^2-2*(Inputs!$C$52+Inputs!$C$5)*Inputs!$C$52*COS(SQRT((Model_Data!A130)^2+Inputs!$C$6^2)/Inputs!$C$52))-Inputs!$C$5)*1000/Inputs!$C$12)</f>
        <v>564.77979594815167</v>
      </c>
      <c r="AB130" s="9">
        <f>Model_Data!F130</f>
        <v>564.75987264554556</v>
      </c>
    </row>
    <row r="131" spans="1:28">
      <c r="A131" s="9">
        <f>Model_Data!A131</f>
        <v>4.5</v>
      </c>
      <c r="B131" s="9">
        <f>0</f>
        <v>0</v>
      </c>
      <c r="C131" s="9">
        <f>((SQRT((Inputs!$C$52+Inputs!$C$5)^2+Inputs!$C$52^2-2*(Inputs!$C$52+Inputs!$C$5)*Inputs!$C$52*COS(SQRT((Model_Data!A131)^2+Inputs!$C$6^2)/Inputs!$C$52))-Inputs!$C$5)*1000/Inputs!$C$12)</f>
        <v>568.519628340385</v>
      </c>
      <c r="D131" s="9">
        <f>Model_Data!F131</f>
        <v>568.49424671267104</v>
      </c>
      <c r="E131" s="9">
        <f>Model_Data!AC131</f>
        <v>296.4054565525343</v>
      </c>
      <c r="F131" s="10"/>
      <c r="G131" s="9">
        <f>Model_Data!A131</f>
        <v>4.5</v>
      </c>
      <c r="H131" s="9">
        <f>Model_Data!Y131</f>
        <v>568.64363822483097</v>
      </c>
      <c r="I131" s="9">
        <f>Model_Data!Y131</f>
        <v>568.64363822483097</v>
      </c>
      <c r="J131" s="9">
        <f>Model_Data!X131</f>
        <v>82.519985907488817</v>
      </c>
      <c r="K131" s="9">
        <f>Model_Data!A131</f>
        <v>4.5</v>
      </c>
      <c r="L131" s="9">
        <f>Model_Data!Y131</f>
        <v>568.64363822483097</v>
      </c>
      <c r="M131" s="9">
        <f>Model_Data!X131</f>
        <v>82.519985907488817</v>
      </c>
      <c r="N131" s="9">
        <f>-(Model_Data!AC131-Model_Data!F131)*Inputs!$C$12</f>
        <v>484.3180464850434</v>
      </c>
      <c r="O131" s="10"/>
      <c r="P131" s="9">
        <f>Model_Data!A131</f>
        <v>4.5</v>
      </c>
      <c r="Q131" s="9">
        <f>Model_Data!P131</f>
        <v>-38.521781712279335</v>
      </c>
      <c r="R131" s="9">
        <f>Model_Data!AM131</f>
        <v>-59.063574608717317</v>
      </c>
      <c r="S131" s="9">
        <f>Model_Data!Q131</f>
        <v>-5.7840513081500511</v>
      </c>
      <c r="T131" s="9">
        <f>Model_Data!AN131</f>
        <v>-8.8684045959035025</v>
      </c>
      <c r="U131" s="10"/>
      <c r="V131" s="9">
        <f>Model_Data!A131</f>
        <v>4.5</v>
      </c>
      <c r="W131" s="9">
        <f>Model_Data!B131-Inputs!$C$5</f>
        <v>2.2499999999979536E-2</v>
      </c>
      <c r="X131" s="10"/>
      <c r="Y131" s="9">
        <f>Model_Data!A131</f>
        <v>4.5</v>
      </c>
      <c r="Z131" s="9">
        <f>0</f>
        <v>0</v>
      </c>
      <c r="AA131" s="9">
        <f>((SQRT((Inputs!$C$52+Inputs!$C$5)^2+Inputs!$C$52^2-2*(Inputs!$C$52+Inputs!$C$5)*Inputs!$C$52*COS(SQRT((Model_Data!A131)^2+Inputs!$C$6^2)/Inputs!$C$52))-Inputs!$C$5)*1000/Inputs!$C$12)</f>
        <v>568.519628340385</v>
      </c>
      <c r="AB131" s="9">
        <f>Model_Data!F131</f>
        <v>568.49424671267104</v>
      </c>
    </row>
    <row r="132" spans="1:28">
      <c r="A132" s="9">
        <f>Model_Data!A132</f>
        <v>5</v>
      </c>
      <c r="B132" s="9">
        <f>0</f>
        <v>0</v>
      </c>
      <c r="C132" s="9">
        <f>((SQRT((Inputs!$C$52+Inputs!$C$5)^2+Inputs!$C$52^2-2*(Inputs!$C$52+Inputs!$C$5)*Inputs!$C$52*COS(SQRT((Model_Data!A132)^2+Inputs!$C$6^2)/Inputs!$C$52))-Inputs!$C$5)*1000/Inputs!$C$12)</f>
        <v>572.69936625991033</v>
      </c>
      <c r="D132" s="9">
        <f>Model_Data!F132</f>
        <v>572.66780161755878</v>
      </c>
      <c r="E132" s="9">
        <f>Model_Data!AC132</f>
        <v>320.92082055602958</v>
      </c>
      <c r="F132" s="10"/>
      <c r="G132" s="9">
        <f>Model_Data!A132</f>
        <v>5</v>
      </c>
      <c r="H132" s="9">
        <f>Model_Data!Y132</f>
        <v>548.81469209034094</v>
      </c>
      <c r="I132" s="9">
        <f>Model_Data!Y132</f>
        <v>548.81469209034094</v>
      </c>
      <c r="J132" s="9">
        <f>Model_Data!X132</f>
        <v>98.949763506231449</v>
      </c>
      <c r="K132" s="9">
        <f>Model_Data!A132</f>
        <v>5</v>
      </c>
      <c r="L132" s="9">
        <f>Model_Data!Y132</f>
        <v>548.81469209034094</v>
      </c>
      <c r="M132" s="9">
        <f>Model_Data!X132</f>
        <v>98.949763506231449</v>
      </c>
      <c r="N132" s="9">
        <f>-(Model_Data!AC132-Model_Data!F132)*Inputs!$C$12</f>
        <v>448.109626289522</v>
      </c>
      <c r="O132" s="10"/>
      <c r="P132" s="9">
        <f>Model_Data!A132</f>
        <v>5</v>
      </c>
      <c r="Q132" s="9">
        <f>Model_Data!P132</f>
        <v>-42.800984273890208</v>
      </c>
      <c r="R132" s="9">
        <f>Model_Data!AM132</f>
        <v>-89.290796032310027</v>
      </c>
      <c r="S132" s="9">
        <f>Model_Data!Q132</f>
        <v>-6.4265742152988308</v>
      </c>
      <c r="T132" s="9">
        <f>Model_Data!AN132</f>
        <v>-13.407026431277783</v>
      </c>
      <c r="U132" s="10"/>
      <c r="V132" s="9">
        <f>Model_Data!A132</f>
        <v>5</v>
      </c>
      <c r="W132" s="9">
        <f>Model_Data!B132-Inputs!$C$5</f>
        <v>2.7777777777771462E-2</v>
      </c>
      <c r="X132" s="10"/>
      <c r="Y132" s="9">
        <f>Model_Data!A132</f>
        <v>5</v>
      </c>
      <c r="Z132" s="9">
        <f>0</f>
        <v>0</v>
      </c>
      <c r="AA132" s="9">
        <f>((SQRT((Inputs!$C$52+Inputs!$C$5)^2+Inputs!$C$52^2-2*(Inputs!$C$52+Inputs!$C$5)*Inputs!$C$52*COS(SQRT((Model_Data!A132)^2+Inputs!$C$6^2)/Inputs!$C$52))-Inputs!$C$5)*1000/Inputs!$C$12)</f>
        <v>572.69936625991033</v>
      </c>
      <c r="AB132" s="9">
        <f>Model_Data!F132</f>
        <v>572.66780161755878</v>
      </c>
    </row>
    <row r="133" spans="1:28">
      <c r="A133" s="9">
        <f>Model_Data!A133</f>
        <v>5.5</v>
      </c>
      <c r="B133" s="9">
        <f>0</f>
        <v>0</v>
      </c>
      <c r="C133" s="9">
        <f>((SQRT((Inputs!$C$52+Inputs!$C$5)^2+Inputs!$C$52^2-2*(Inputs!$C$52+Inputs!$C$5)*Inputs!$C$52*COS(SQRT((Model_Data!A133)^2+Inputs!$C$6^2)/Inputs!$C$52))-Inputs!$C$5)*1000/Inputs!$C$12)</f>
        <v>577.3189847965366</v>
      </c>
      <c r="D133" s="9">
        <f>Model_Data!F133</f>
        <v>577.28048494866061</v>
      </c>
      <c r="E133" s="9">
        <f>Model_Data!AC133</f>
        <v>329.71448350719987</v>
      </c>
      <c r="F133" s="10"/>
      <c r="G133" s="9">
        <f>Model_Data!A133</f>
        <v>5.5</v>
      </c>
      <c r="H133" s="9">
        <f>Model_Data!Y133</f>
        <v>539.52128531641313</v>
      </c>
      <c r="I133" s="9">
        <f>Model_Data!Y133</f>
        <v>539.52128531641313</v>
      </c>
      <c r="J133" s="9">
        <f>Model_Data!X133</f>
        <v>97.114417477688932</v>
      </c>
      <c r="K133" s="9">
        <f>Model_Data!A133</f>
        <v>5.5</v>
      </c>
      <c r="L133" s="9">
        <f>Model_Data!Y133</f>
        <v>539.52128531641313</v>
      </c>
      <c r="M133" s="9">
        <f>Model_Data!X133</f>
        <v>97.114417477688932</v>
      </c>
      <c r="N133" s="9">
        <f>-(Model_Data!AC133-Model_Data!F133)*Inputs!$C$12</f>
        <v>440.66748256580013</v>
      </c>
      <c r="O133" s="10"/>
      <c r="P133" s="9">
        <f>Model_Data!A133</f>
        <v>5.5</v>
      </c>
      <c r="Q133" s="9">
        <f>Model_Data!P133</f>
        <v>-47.079872609538143</v>
      </c>
      <c r="R133" s="9">
        <f>Model_Data!AM133</f>
        <v>-71.244503725029062</v>
      </c>
      <c r="S133" s="9">
        <f>Model_Data!Q133</f>
        <v>-7.0690499413720937</v>
      </c>
      <c r="T133" s="9">
        <f>Model_Data!AN133</f>
        <v>-10.697372931686047</v>
      </c>
      <c r="U133" s="10"/>
      <c r="V133" s="9">
        <f>Model_Data!A133</f>
        <v>5.5</v>
      </c>
      <c r="W133" s="9">
        <f>Model_Data!B133-Inputs!$C$5</f>
        <v>3.361111111109949E-2</v>
      </c>
      <c r="X133" s="10"/>
      <c r="Y133" s="9">
        <f>Model_Data!A133</f>
        <v>5.5</v>
      </c>
      <c r="Z133" s="9">
        <f>0</f>
        <v>0</v>
      </c>
      <c r="AA133" s="9">
        <f>((SQRT((Inputs!$C$52+Inputs!$C$5)^2+Inputs!$C$52^2-2*(Inputs!$C$52+Inputs!$C$5)*Inputs!$C$52*COS(SQRT((Model_Data!A133)^2+Inputs!$C$6^2)/Inputs!$C$52))-Inputs!$C$5)*1000/Inputs!$C$12)</f>
        <v>577.3189847965366</v>
      </c>
      <c r="AB133" s="9">
        <f>Model_Data!F133</f>
        <v>577.28048494866061</v>
      </c>
    </row>
    <row r="134" spans="1:28">
      <c r="A134" s="9">
        <f>Model_Data!A134</f>
        <v>6</v>
      </c>
      <c r="B134" s="9">
        <f>0</f>
        <v>0</v>
      </c>
      <c r="C134" s="9">
        <f>((SQRT((Inputs!$C$52+Inputs!$C$5)^2+Inputs!$C$52^2-2*(Inputs!$C$52+Inputs!$C$5)*Inputs!$C$52*COS(SQRT((Model_Data!A134)^2+Inputs!$C$6^2)/Inputs!$C$52))-Inputs!$C$5)*1000/Inputs!$C$12)</f>
        <v>582.37845641655713</v>
      </c>
      <c r="D134" s="9">
        <f>Model_Data!F134</f>
        <v>582.33223878537478</v>
      </c>
      <c r="E134" s="9">
        <f>Model_Data!AC134</f>
        <v>322.9985635779654</v>
      </c>
      <c r="F134" s="10"/>
      <c r="G134" s="9">
        <f>Model_Data!A134</f>
        <v>6</v>
      </c>
      <c r="H134" s="9">
        <f>Model_Data!Y134</f>
        <v>533.69206209739866</v>
      </c>
      <c r="I134" s="9">
        <f>Model_Data!Y134</f>
        <v>533.69206209739866</v>
      </c>
      <c r="J134" s="9">
        <f>Model_Data!X134</f>
        <v>70.342553479412842</v>
      </c>
      <c r="K134" s="9">
        <f>Model_Data!A134</f>
        <v>6</v>
      </c>
      <c r="L134" s="9">
        <f>Model_Data!Y134</f>
        <v>533.69206209739866</v>
      </c>
      <c r="M134" s="9">
        <f>Model_Data!X134</f>
        <v>70.342553479412842</v>
      </c>
      <c r="N134" s="9">
        <f>-(Model_Data!AC134-Model_Data!F134)*Inputs!$C$12</f>
        <v>461.61394186918869</v>
      </c>
      <c r="O134" s="10"/>
      <c r="P134" s="9">
        <f>Model_Data!A134</f>
        <v>6</v>
      </c>
      <c r="Q134" s="9">
        <f>Model_Data!P134</f>
        <v>-51.358415358663478</v>
      </c>
      <c r="R134" s="9">
        <f>Model_Data!AM134</f>
        <v>-75.481501977537846</v>
      </c>
      <c r="S134" s="9">
        <f>Model_Data!Q134</f>
        <v>-7.7114737775770994</v>
      </c>
      <c r="T134" s="9">
        <f>Model_Data!AN134</f>
        <v>-11.333558855486164</v>
      </c>
      <c r="U134" s="10"/>
      <c r="V134" s="9">
        <f>Model_Data!A134</f>
        <v>6</v>
      </c>
      <c r="W134" s="9">
        <f>Model_Data!B134-Inputs!$C$5</f>
        <v>4.0000000000020464E-2</v>
      </c>
      <c r="X134" s="10"/>
      <c r="Y134" s="9">
        <f>Model_Data!A134</f>
        <v>6</v>
      </c>
      <c r="Z134" s="9">
        <f>0</f>
        <v>0</v>
      </c>
      <c r="AA134" s="9">
        <f>((SQRT((Inputs!$C$52+Inputs!$C$5)^2+Inputs!$C$52^2-2*(Inputs!$C$52+Inputs!$C$5)*Inputs!$C$52*COS(SQRT((Model_Data!A134)^2+Inputs!$C$6^2)/Inputs!$C$52))-Inputs!$C$5)*1000/Inputs!$C$12)</f>
        <v>582.37845641655713</v>
      </c>
      <c r="AB134" s="9">
        <f>Model_Data!F134</f>
        <v>582.33223878537478</v>
      </c>
    </row>
    <row r="135" spans="1:28">
      <c r="A135" s="9">
        <f>Model_Data!A135</f>
        <v>6.5</v>
      </c>
      <c r="B135" s="9">
        <f>0</f>
        <v>0</v>
      </c>
      <c r="C135" s="9">
        <f>((SQRT((Inputs!$C$52+Inputs!$C$5)^2+Inputs!$C$52^2-2*(Inputs!$C$52+Inputs!$C$5)*Inputs!$C$52*COS(SQRT((Model_Data!A135)^2+Inputs!$C$6^2)/Inputs!$C$52))-Inputs!$C$5)*1000/Inputs!$C$12)</f>
        <v>587.87775096881728</v>
      </c>
      <c r="D135" s="9">
        <f>Model_Data!F135</f>
        <v>587.82299970475242</v>
      </c>
      <c r="E135" s="9">
        <f>Model_Data!AC135</f>
        <v>337.79096594139702</v>
      </c>
      <c r="F135" s="10"/>
      <c r="G135" s="9">
        <f>Model_Data!A135</f>
        <v>6.5</v>
      </c>
      <c r="H135" s="9">
        <f>Model_Data!Y135</f>
        <v>524.4263848132822</v>
      </c>
      <c r="I135" s="9">
        <f>Model_Data!Y135</f>
        <v>524.4263848132822</v>
      </c>
      <c r="J135" s="9">
        <f>Model_Data!X135</f>
        <v>77.64795080795966</v>
      </c>
      <c r="K135" s="9">
        <f>Model_Data!A135</f>
        <v>6.5</v>
      </c>
      <c r="L135" s="9">
        <f>Model_Data!Y135</f>
        <v>524.4263848132822</v>
      </c>
      <c r="M135" s="9">
        <f>Model_Data!X135</f>
        <v>77.64795080795966</v>
      </c>
      <c r="N135" s="9">
        <f>-(Model_Data!AC135-Model_Data!F135)*Inputs!$C$12</f>
        <v>445.05702009877263</v>
      </c>
      <c r="O135" s="10"/>
      <c r="P135" s="9">
        <f>Model_Data!A135</f>
        <v>6.5</v>
      </c>
      <c r="Q135" s="9">
        <f>Model_Data!P135</f>
        <v>-55.636581189355638</v>
      </c>
      <c r="R135" s="9">
        <f>Model_Data!AM135</f>
        <v>-54.549400817177229</v>
      </c>
      <c r="S135" s="9">
        <f>Model_Data!Q135</f>
        <v>-8.3538410194227684</v>
      </c>
      <c r="T135" s="9">
        <f>Model_Data!AN135</f>
        <v>-8.1906007232998856</v>
      </c>
      <c r="U135" s="10"/>
      <c r="V135" s="9">
        <f>Model_Data!A135</f>
        <v>6.5</v>
      </c>
      <c r="W135" s="9">
        <f>Model_Data!B135-Inputs!$C$5</f>
        <v>4.6944444444420697E-2</v>
      </c>
      <c r="X135" s="10"/>
      <c r="Y135" s="9">
        <f>Model_Data!A135</f>
        <v>6.5</v>
      </c>
      <c r="Z135" s="9">
        <f>0</f>
        <v>0</v>
      </c>
      <c r="AA135" s="9">
        <f>((SQRT((Inputs!$C$52+Inputs!$C$5)^2+Inputs!$C$52^2-2*(Inputs!$C$52+Inputs!$C$5)*Inputs!$C$52*COS(SQRT((Model_Data!A135)^2+Inputs!$C$6^2)/Inputs!$C$52))-Inputs!$C$5)*1000/Inputs!$C$12)</f>
        <v>587.87775096881728</v>
      </c>
      <c r="AB135" s="9">
        <f>Model_Data!F135</f>
        <v>587.82299970475242</v>
      </c>
    </row>
    <row r="136" spans="1:28">
      <c r="A136" s="9">
        <f>Model_Data!A136</f>
        <v>7</v>
      </c>
      <c r="B136" s="9">
        <f>0</f>
        <v>0</v>
      </c>
      <c r="C136" s="9">
        <f>((SQRT((Inputs!$C$52+Inputs!$C$5)^2+Inputs!$C$52^2-2*(Inputs!$C$52+Inputs!$C$5)*Inputs!$C$52*COS(SQRT((Model_Data!A136)^2+Inputs!$C$6^2)/Inputs!$C$52))-Inputs!$C$5)*1000/Inputs!$C$12)</f>
        <v>593.81683568564097</v>
      </c>
      <c r="D136" s="9">
        <f>Model_Data!F136</f>
        <v>593.75269878475513</v>
      </c>
      <c r="E136" s="9">
        <f>Model_Data!AC136</f>
        <v>332.11198351387907</v>
      </c>
      <c r="F136" s="10"/>
      <c r="G136" s="9">
        <f>Model_Data!A136</f>
        <v>7</v>
      </c>
      <c r="H136" s="9">
        <f>Model_Data!Y136</f>
        <v>534.40783187914269</v>
      </c>
      <c r="I136" s="9">
        <f>Model_Data!Y136</f>
        <v>534.40783187914269</v>
      </c>
      <c r="J136" s="9">
        <f>Model_Data!X136</f>
        <v>66.915509899073115</v>
      </c>
      <c r="K136" s="9">
        <f>Model_Data!A136</f>
        <v>7</v>
      </c>
      <c r="L136" s="9">
        <f>Model_Data!Y136</f>
        <v>534.40783187914269</v>
      </c>
      <c r="M136" s="9">
        <f>Model_Data!X136</f>
        <v>66.915509899073115</v>
      </c>
      <c r="N136" s="9">
        <f>-(Model_Data!AC136-Model_Data!F136)*Inputs!$C$12</f>
        <v>465.72047318215937</v>
      </c>
      <c r="O136" s="10"/>
      <c r="P136" s="9">
        <f>Model_Data!A136</f>
        <v>7</v>
      </c>
      <c r="Q136" s="9">
        <f>Model_Data!P136</f>
        <v>-59.914338766157016</v>
      </c>
      <c r="R136" s="9">
        <f>Model_Data!AM136</f>
        <v>-93.367447274067672</v>
      </c>
      <c r="S136" s="9">
        <f>Model_Data!Q136</f>
        <v>-8.9961469618854384</v>
      </c>
      <c r="T136" s="9">
        <f>Model_Data!AN136</f>
        <v>-14.019136227337489</v>
      </c>
      <c r="U136" s="10"/>
      <c r="V136" s="9">
        <f>Model_Data!A136</f>
        <v>7</v>
      </c>
      <c r="W136" s="9">
        <f>Model_Data!B136-Inputs!$C$5</f>
        <v>5.4444444444470719E-2</v>
      </c>
      <c r="X136" s="10"/>
      <c r="Y136" s="9">
        <f>Model_Data!A136</f>
        <v>7</v>
      </c>
      <c r="Z136" s="9">
        <f>0</f>
        <v>0</v>
      </c>
      <c r="AA136" s="9">
        <f>((SQRT((Inputs!$C$52+Inputs!$C$5)^2+Inputs!$C$52^2-2*(Inputs!$C$52+Inputs!$C$5)*Inputs!$C$52*COS(SQRT((Model_Data!A136)^2+Inputs!$C$6^2)/Inputs!$C$52))-Inputs!$C$5)*1000/Inputs!$C$12)</f>
        <v>593.81683568564097</v>
      </c>
      <c r="AB136" s="9">
        <f>Model_Data!F136</f>
        <v>593.75269878475513</v>
      </c>
    </row>
    <row r="137" spans="1:28">
      <c r="A137" s="9">
        <f>Model_Data!A137</f>
        <v>7.5</v>
      </c>
      <c r="B137" s="9">
        <f>0</f>
        <v>0</v>
      </c>
      <c r="C137" s="9">
        <f>((SQRT((Inputs!$C$52+Inputs!$C$5)^2+Inputs!$C$52^2-2*(Inputs!$C$52+Inputs!$C$5)*Inputs!$C$52*COS(SQRT((Model_Data!A137)^2+Inputs!$C$6^2)/Inputs!$C$52))-Inputs!$C$5)*1000/Inputs!$C$12)</f>
        <v>600.19567517851908</v>
      </c>
      <c r="D137" s="9">
        <f>Model_Data!F137</f>
        <v>600.12126159984734</v>
      </c>
      <c r="E137" s="9">
        <f>Model_Data!AC137</f>
        <v>349.78713763786692</v>
      </c>
      <c r="F137" s="10"/>
      <c r="G137" s="9">
        <f>Model_Data!A137</f>
        <v>7.5</v>
      </c>
      <c r="H137" s="9">
        <f>Model_Data!Y137</f>
        <v>503.48380224840304</v>
      </c>
      <c r="I137" s="9">
        <f>Model_Data!Y137</f>
        <v>503.48380224840304</v>
      </c>
      <c r="J137" s="9">
        <f>Model_Data!X137</f>
        <v>56.202037436945574</v>
      </c>
      <c r="K137" s="9">
        <f>Model_Data!A137</f>
        <v>7.5</v>
      </c>
      <c r="L137" s="9">
        <f>Model_Data!Y137</f>
        <v>503.48380224840304</v>
      </c>
      <c r="M137" s="9">
        <f>Model_Data!X137</f>
        <v>56.202037436945574</v>
      </c>
      <c r="N137" s="9">
        <f>-(Model_Data!AC137-Model_Data!F137)*Inputs!$C$12</f>
        <v>445.59474065232519</v>
      </c>
      <c r="O137" s="10"/>
      <c r="P137" s="9">
        <f>Model_Data!A137</f>
        <v>7.5</v>
      </c>
      <c r="Q137" s="9">
        <f>Model_Data!P137</f>
        <v>-64.191656785078521</v>
      </c>
      <c r="R137" s="9">
        <f>Model_Data!AM137</f>
        <v>-123.54267273130972</v>
      </c>
      <c r="S137" s="9">
        <f>Model_Data!Q137</f>
        <v>-9.6383869046664454</v>
      </c>
      <c r="T137" s="9">
        <f>Model_Data!AN137</f>
        <v>-18.549950860557018</v>
      </c>
      <c r="U137" s="10"/>
      <c r="V137" s="9">
        <f>Model_Data!A137</f>
        <v>7.5</v>
      </c>
      <c r="W137" s="9">
        <f>Model_Data!B137-Inputs!$C$5</f>
        <v>6.25E-2</v>
      </c>
      <c r="X137" s="10"/>
      <c r="Y137" s="9">
        <f>Model_Data!A137</f>
        <v>7.5</v>
      </c>
      <c r="Z137" s="9">
        <f>0</f>
        <v>0</v>
      </c>
      <c r="AA137" s="9">
        <f>((SQRT((Inputs!$C$52+Inputs!$C$5)^2+Inputs!$C$52^2-2*(Inputs!$C$52+Inputs!$C$5)*Inputs!$C$52*COS(SQRT((Model_Data!A137)^2+Inputs!$C$6^2)/Inputs!$C$52))-Inputs!$C$5)*1000/Inputs!$C$12)</f>
        <v>600.19567517851908</v>
      </c>
      <c r="AB137" s="9">
        <f>Model_Data!F137</f>
        <v>600.12126159984734</v>
      </c>
    </row>
    <row r="138" spans="1:28">
      <c r="A138" s="9">
        <f>Model_Data!A138</f>
        <v>8</v>
      </c>
      <c r="B138" s="9">
        <f>0</f>
        <v>0</v>
      </c>
      <c r="C138" s="9">
        <f>((SQRT((Inputs!$C$52+Inputs!$C$5)^2+Inputs!$C$52^2-2*(Inputs!$C$52+Inputs!$C$5)*Inputs!$C$52*COS(SQRT((Model_Data!A138)^2+Inputs!$C$6^2)/Inputs!$C$52))-Inputs!$C$5)*1000/Inputs!$C$12)</f>
        <v>607.0142314470512</v>
      </c>
      <c r="D138" s="9">
        <f>Model_Data!F138</f>
        <v>606.92860823645321</v>
      </c>
      <c r="E138" s="9">
        <f>Model_Data!AC138</f>
        <v>354.3733312405015</v>
      </c>
      <c r="F138" s="10"/>
      <c r="G138" s="9">
        <f>Model_Data!A138</f>
        <v>8</v>
      </c>
      <c r="H138" s="9">
        <f>Model_Data!Y138</f>
        <v>497.22645344932982</v>
      </c>
      <c r="I138" s="9">
        <f>Model_Data!Y138</f>
        <v>497.22645344932982</v>
      </c>
      <c r="J138" s="9">
        <f>Model_Data!X138</f>
        <v>45.993205062010666</v>
      </c>
      <c r="K138" s="9">
        <f>Model_Data!A138</f>
        <v>8</v>
      </c>
      <c r="L138" s="9">
        <f>Model_Data!Y138</f>
        <v>497.22645344932982</v>
      </c>
      <c r="M138" s="9">
        <f>Model_Data!X138</f>
        <v>45.993205062010666</v>
      </c>
      <c r="N138" s="9">
        <f>-(Model_Data!AC138-Model_Data!F138)*Inputs!$C$12</f>
        <v>449.54839305279404</v>
      </c>
      <c r="O138" s="10"/>
      <c r="P138" s="9">
        <f>Model_Data!A138</f>
        <v>8</v>
      </c>
      <c r="Q138" s="9">
        <f>Model_Data!P138</f>
        <v>-68.468503971689643</v>
      </c>
      <c r="R138" s="9">
        <f>Model_Data!AM138</f>
        <v>-106.61121304219705</v>
      </c>
      <c r="S138" s="9">
        <f>Model_Data!Q138</f>
        <v>-10.280556151905353</v>
      </c>
      <c r="T138" s="9">
        <f>Model_Data!AN138</f>
        <v>-16.007689645975535</v>
      </c>
      <c r="U138" s="10"/>
      <c r="V138" s="9">
        <f>Model_Data!A138</f>
        <v>8</v>
      </c>
      <c r="W138" s="9">
        <f>Model_Data!B138-Inputs!$C$5</f>
        <v>7.1111111111122227E-2</v>
      </c>
      <c r="X138" s="10"/>
      <c r="Y138" s="9">
        <f>Model_Data!A138</f>
        <v>8</v>
      </c>
      <c r="Z138" s="9">
        <f>0</f>
        <v>0</v>
      </c>
      <c r="AA138" s="9">
        <f>((SQRT((Inputs!$C$52+Inputs!$C$5)^2+Inputs!$C$52^2-2*(Inputs!$C$52+Inputs!$C$5)*Inputs!$C$52*COS(SQRT((Model_Data!A138)^2+Inputs!$C$6^2)/Inputs!$C$52))-Inputs!$C$5)*1000/Inputs!$C$12)</f>
        <v>607.0142314470512</v>
      </c>
      <c r="AB138" s="9">
        <f>Model_Data!F138</f>
        <v>606.92860823645321</v>
      </c>
    </row>
    <row r="139" spans="1:28">
      <c r="A139" s="9">
        <f>Model_Data!A139</f>
        <v>8.5</v>
      </c>
      <c r="B139" s="9">
        <f>0</f>
        <v>0</v>
      </c>
      <c r="C139" s="9">
        <f>((SQRT((Inputs!$C$52+Inputs!$C$5)^2+Inputs!$C$52^2-2*(Inputs!$C$52+Inputs!$C$5)*Inputs!$C$52*COS(SQRT((Model_Data!A139)^2+Inputs!$C$6^2)/Inputs!$C$52))-Inputs!$C$5)*1000/Inputs!$C$12)</f>
        <v>614.27246387402806</v>
      </c>
      <c r="D139" s="9">
        <f>Model_Data!F139</f>
        <v>614.17465328778292</v>
      </c>
      <c r="E139" s="9">
        <f>Model_Data!AC139</f>
        <v>365.55871125433771</v>
      </c>
      <c r="F139" s="10"/>
      <c r="G139" s="9">
        <f>Model_Data!A139</f>
        <v>8.5</v>
      </c>
      <c r="H139" s="9">
        <f>Model_Data!Y139</f>
        <v>479.6019721372586</v>
      </c>
      <c r="I139" s="9">
        <f>Model_Data!Y139</f>
        <v>479.6019721372586</v>
      </c>
      <c r="J139" s="9">
        <f>Model_Data!X139</f>
        <v>35.421208100654937</v>
      </c>
      <c r="K139" s="9">
        <f>Model_Data!A139</f>
        <v>8.5</v>
      </c>
      <c r="L139" s="9">
        <f>Model_Data!Y139</f>
        <v>479.6019721372586</v>
      </c>
      <c r="M139" s="9">
        <f>Model_Data!X139</f>
        <v>35.421208100654937</v>
      </c>
      <c r="N139" s="9">
        <f>-(Model_Data!AC139-Model_Data!F139)*Inputs!$C$12</f>
        <v>442.53637681953245</v>
      </c>
      <c r="O139" s="10"/>
      <c r="P139" s="9">
        <f>Model_Data!A139</f>
        <v>8.5</v>
      </c>
      <c r="Q139" s="9">
        <f>Model_Data!P139</f>
        <v>-72.74484905628924</v>
      </c>
      <c r="R139" s="9">
        <f>Model_Data!AM139</f>
        <v>-98.322835190447222</v>
      </c>
      <c r="S139" s="9">
        <f>Model_Data!Q139</f>
        <v>-10.922650008451839</v>
      </c>
      <c r="T139" s="9">
        <f>Model_Data!AN139</f>
        <v>-14.763188467034119</v>
      </c>
      <c r="U139" s="10"/>
      <c r="V139" s="9">
        <f>Model_Data!A139</f>
        <v>8.5</v>
      </c>
      <c r="W139" s="9">
        <f>Model_Data!B139-Inputs!$C$5</f>
        <v>8.0277777777780557E-2</v>
      </c>
      <c r="X139" s="10"/>
      <c r="Y139" s="9">
        <f>Model_Data!A139</f>
        <v>8.5</v>
      </c>
      <c r="Z139" s="9">
        <f>0</f>
        <v>0</v>
      </c>
      <c r="AA139" s="9">
        <f>((SQRT((Inputs!$C$52+Inputs!$C$5)^2+Inputs!$C$52^2-2*(Inputs!$C$52+Inputs!$C$5)*Inputs!$C$52*COS(SQRT((Model_Data!A139)^2+Inputs!$C$6^2)/Inputs!$C$52))-Inputs!$C$5)*1000/Inputs!$C$12)</f>
        <v>614.27246387402806</v>
      </c>
      <c r="AB139" s="9">
        <f>Model_Data!F139</f>
        <v>614.17465328778292</v>
      </c>
    </row>
    <row r="140" spans="1:28">
      <c r="A140" s="9">
        <f>Model_Data!A140</f>
        <v>9</v>
      </c>
      <c r="B140" s="9">
        <f>0</f>
        <v>0</v>
      </c>
      <c r="C140" s="9">
        <f>((SQRT((Inputs!$C$52+Inputs!$C$5)^2+Inputs!$C$52^2-2*(Inputs!$C$52+Inputs!$C$5)*Inputs!$C$52*COS(SQRT((Model_Data!A140)^2+Inputs!$C$6^2)/Inputs!$C$52))-Inputs!$C$5)*1000/Inputs!$C$12)</f>
        <v>621.97032922808137</v>
      </c>
      <c r="D140" s="9">
        <f>Model_Data!F140</f>
        <v>621.85930586079473</v>
      </c>
      <c r="E140" s="9">
        <f>Model_Data!AC140</f>
        <v>369.09121200702185</v>
      </c>
      <c r="F140" s="10"/>
      <c r="G140" s="9">
        <f>Model_Data!A140</f>
        <v>9</v>
      </c>
      <c r="H140" s="9">
        <f>Model_Data!Y140</f>
        <v>481.22587957439987</v>
      </c>
      <c r="I140" s="9">
        <f>Model_Data!Y140</f>
        <v>481.22587957439987</v>
      </c>
      <c r="J140" s="9">
        <f>Model_Data!X140</f>
        <v>29.628149721243545</v>
      </c>
      <c r="K140" s="9">
        <f>Model_Data!A140</f>
        <v>9</v>
      </c>
      <c r="L140" s="9">
        <f>Model_Data!Y140</f>
        <v>481.22587957439987</v>
      </c>
      <c r="M140" s="9">
        <f>Model_Data!X140</f>
        <v>29.628149721243545</v>
      </c>
      <c r="N140" s="9">
        <f>-(Model_Data!AC140-Model_Data!F140)*Inputs!$C$12</f>
        <v>449.92720705971573</v>
      </c>
      <c r="O140" s="10"/>
      <c r="P140" s="9">
        <f>Model_Data!A140</f>
        <v>9</v>
      </c>
      <c r="Q140" s="9">
        <f>Model_Data!P140</f>
        <v>-77.020660807465902</v>
      </c>
      <c r="R140" s="9">
        <f>Model_Data!AM140</f>
        <v>-79.196808406777564</v>
      </c>
      <c r="S140" s="9">
        <f>Model_Data!Q140</f>
        <v>-11.564663784904791</v>
      </c>
      <c r="T140" s="9">
        <f>Model_Data!AN140</f>
        <v>-11.891412673690326</v>
      </c>
      <c r="U140" s="10"/>
      <c r="V140" s="9">
        <f>Model_Data!A140</f>
        <v>9</v>
      </c>
      <c r="W140" s="9">
        <f>Model_Data!B140-Inputs!$C$5</f>
        <v>8.9999999999974989E-2</v>
      </c>
      <c r="X140" s="10"/>
      <c r="Y140" s="9">
        <f>Model_Data!A140</f>
        <v>9</v>
      </c>
      <c r="Z140" s="9">
        <f>0</f>
        <v>0</v>
      </c>
      <c r="AA140" s="9">
        <f>((SQRT((Inputs!$C$52+Inputs!$C$5)^2+Inputs!$C$52^2-2*(Inputs!$C$52+Inputs!$C$5)*Inputs!$C$52*COS(SQRT((Model_Data!A140)^2+Inputs!$C$6^2)/Inputs!$C$52))-Inputs!$C$5)*1000/Inputs!$C$12)</f>
        <v>621.97032922808137</v>
      </c>
      <c r="AB140" s="9">
        <f>Model_Data!F140</f>
        <v>621.85930586079473</v>
      </c>
    </row>
    <row r="141" spans="1:28">
      <c r="A141" s="9">
        <f>Model_Data!A141</f>
        <v>9.5</v>
      </c>
      <c r="B141" s="9">
        <f>0</f>
        <v>0</v>
      </c>
      <c r="C141" s="9">
        <f>((SQRT((Inputs!$C$52+Inputs!$C$5)^2+Inputs!$C$52^2-2*(Inputs!$C$52+Inputs!$C$5)*Inputs!$C$52*COS(SQRT((Model_Data!A141)^2+Inputs!$C$6^2)/Inputs!$C$52))-Inputs!$C$5)*1000/Inputs!$C$12)</f>
        <v>630.10778166691011</v>
      </c>
      <c r="D141" s="9">
        <f>Model_Data!F141</f>
        <v>629.98246958254947</v>
      </c>
      <c r="E141" s="9">
        <f>Model_Data!AC141</f>
        <v>365.40518550838584</v>
      </c>
      <c r="F141" s="10"/>
      <c r="G141" s="9">
        <f>Model_Data!A141</f>
        <v>9.5</v>
      </c>
      <c r="H141" s="9">
        <f>Model_Data!Y141</f>
        <v>478.27937371872196</v>
      </c>
      <c r="I141" s="9">
        <f>Model_Data!Y141</f>
        <v>478.27937371872196</v>
      </c>
      <c r="J141" s="9">
        <f>Model_Data!X141</f>
        <v>5.6499270186383477</v>
      </c>
      <c r="K141" s="9">
        <f>Model_Data!A141</f>
        <v>9.5</v>
      </c>
      <c r="L141" s="9">
        <f>Model_Data!Y141</f>
        <v>478.27937371872196</v>
      </c>
      <c r="M141" s="9">
        <f>Model_Data!X141</f>
        <v>5.6499270186383477</v>
      </c>
      <c r="N141" s="9">
        <f>-(Model_Data!AC141-Model_Data!F141)*Inputs!$C$12</f>
        <v>470.94756565201129</v>
      </c>
      <c r="O141" s="10"/>
      <c r="P141" s="9">
        <f>Model_Data!A141</f>
        <v>9.5</v>
      </c>
      <c r="Q141" s="9">
        <f>Model_Data!P141</f>
        <v>-81.295908014544693</v>
      </c>
      <c r="R141" s="9">
        <f>Model_Data!AM141</f>
        <v>-124.45092927709993</v>
      </c>
      <c r="S141" s="9">
        <f>Model_Data!Q141</f>
        <v>-12.206592794976682</v>
      </c>
      <c r="T141" s="9">
        <f>Model_Data!AN141</f>
        <v>-18.686325717282273</v>
      </c>
      <c r="U141" s="10"/>
      <c r="V141" s="9">
        <f>Model_Data!A141</f>
        <v>9.5</v>
      </c>
      <c r="W141" s="9">
        <f>Model_Data!B141-Inputs!$C$5</f>
        <v>0.10027777777776237</v>
      </c>
      <c r="X141" s="10"/>
      <c r="Y141" s="9">
        <f>Model_Data!A141</f>
        <v>9.5</v>
      </c>
      <c r="Z141" s="9">
        <f>0</f>
        <v>0</v>
      </c>
      <c r="AA141" s="9">
        <f>((SQRT((Inputs!$C$52+Inputs!$C$5)^2+Inputs!$C$52^2-2*(Inputs!$C$52+Inputs!$C$5)*Inputs!$C$52*COS(SQRT((Model_Data!A141)^2+Inputs!$C$6^2)/Inputs!$C$52))-Inputs!$C$5)*1000/Inputs!$C$12)</f>
        <v>630.10778166691011</v>
      </c>
      <c r="AB141" s="9">
        <f>Model_Data!F141</f>
        <v>629.98246958254947</v>
      </c>
    </row>
    <row r="142" spans="1:28">
      <c r="A142" s="9">
        <f>Model_Data!A142</f>
        <v>10</v>
      </c>
      <c r="B142" s="9">
        <f>0</f>
        <v>0</v>
      </c>
      <c r="C142" s="9">
        <f>((SQRT((Inputs!$C$52+Inputs!$C$5)^2+Inputs!$C$52^2-2*(Inputs!$C$52+Inputs!$C$5)*Inputs!$C$52*COS(SQRT((Model_Data!A142)^2+Inputs!$C$6^2)/Inputs!$C$52))-Inputs!$C$5)*1000/Inputs!$C$12)</f>
        <v>638.68477273520386</v>
      </c>
      <c r="D142" s="9">
        <f>Model_Data!F142</f>
        <v>638.54404260123272</v>
      </c>
      <c r="E142" s="9">
        <f>Model_Data!AC142</f>
        <v>379.46937400007619</v>
      </c>
      <c r="F142" s="10"/>
      <c r="G142" s="9">
        <f>Model_Data!A142</f>
        <v>10</v>
      </c>
      <c r="H142" s="9">
        <f>Model_Data!Y142</f>
        <v>454.20220076904832</v>
      </c>
      <c r="I142" s="9">
        <f>Model_Data!Y142</f>
        <v>454.20220076904832</v>
      </c>
      <c r="J142" s="9">
        <f>Model_Data!X142</f>
        <v>-8.569441618173812</v>
      </c>
      <c r="K142" s="9">
        <f>Model_Data!A142</f>
        <v>10</v>
      </c>
      <c r="L142" s="9">
        <f>Model_Data!Y142</f>
        <v>454.20220076904832</v>
      </c>
      <c r="M142" s="9">
        <f>Model_Data!X142</f>
        <v>-8.569441618173812</v>
      </c>
      <c r="N142" s="9">
        <f>-(Model_Data!AC142-Model_Data!F142)*Inputs!$C$12</f>
        <v>461.15291011005866</v>
      </c>
      <c r="O142" s="10"/>
      <c r="P142" s="9">
        <f>Model_Data!A142</f>
        <v>10</v>
      </c>
      <c r="Q142" s="9">
        <f>Model_Data!P142</f>
        <v>-85.570559497045906</v>
      </c>
      <c r="R142" s="9">
        <f>Model_Data!AM142</f>
        <v>-149.95775995867007</v>
      </c>
      <c r="S142" s="9">
        <f>Model_Data!Q142</f>
        <v>-12.848432356913801</v>
      </c>
      <c r="T142" s="9">
        <f>Model_Data!AN142</f>
        <v>-22.516180173974487</v>
      </c>
      <c r="U142" s="10"/>
      <c r="V142" s="9">
        <f>Model_Data!A142</f>
        <v>10</v>
      </c>
      <c r="W142" s="9">
        <f>Model_Data!B142-Inputs!$C$5</f>
        <v>0.11111111111108585</v>
      </c>
      <c r="X142" s="10"/>
      <c r="Y142" s="9">
        <f>Model_Data!A142</f>
        <v>10</v>
      </c>
      <c r="Z142" s="9">
        <f>0</f>
        <v>0</v>
      </c>
      <c r="AA142" s="9">
        <f>((SQRT((Inputs!$C$52+Inputs!$C$5)^2+Inputs!$C$52^2-2*(Inputs!$C$52+Inputs!$C$5)*Inputs!$C$52*COS(SQRT((Model_Data!A142)^2+Inputs!$C$6^2)/Inputs!$C$52))-Inputs!$C$5)*1000/Inputs!$C$12)</f>
        <v>638.68477273520386</v>
      </c>
      <c r="AB142" s="9">
        <f>Model_Data!F142</f>
        <v>638.54404260123272</v>
      </c>
    </row>
    <row r="143" spans="1:28">
      <c r="A143" s="9">
        <f>Model_Data!A143</f>
        <v>10.5</v>
      </c>
      <c r="B143" s="9">
        <f>0</f>
        <v>0</v>
      </c>
      <c r="C143" s="9">
        <f>((SQRT((Inputs!$C$52+Inputs!$C$5)^2+Inputs!$C$52^2-2*(Inputs!$C$52+Inputs!$C$5)*Inputs!$C$52*COS(SQRT((Model_Data!A143)^2+Inputs!$C$6^2)/Inputs!$C$52))-Inputs!$C$5)*1000/Inputs!$C$12)</f>
        <v>647.7012513701045</v>
      </c>
      <c r="D143" s="9">
        <f>Model_Data!F143</f>
        <v>647.54391759570331</v>
      </c>
      <c r="E143" s="9">
        <f>Model_Data!AC143</f>
        <v>405.17357940787412</v>
      </c>
      <c r="F143" s="10"/>
      <c r="G143" s="9">
        <f>Model_Data!A143</f>
        <v>10.5</v>
      </c>
      <c r="H143" s="9">
        <f>Model_Data!Y143</f>
        <v>437.9381023255097</v>
      </c>
      <c r="I143" s="9">
        <f>Model_Data!Y143</f>
        <v>437.9381023255097</v>
      </c>
      <c r="J143" s="9">
        <f>Model_Data!X143</f>
        <v>4.9362904077748144</v>
      </c>
      <c r="K143" s="9">
        <f>Model_Data!A143</f>
        <v>10.5</v>
      </c>
      <c r="L143" s="9">
        <f>Model_Data!Y143</f>
        <v>437.9381023255097</v>
      </c>
      <c r="M143" s="9">
        <f>Model_Data!X143</f>
        <v>4.9362904077748144</v>
      </c>
      <c r="N143" s="9">
        <f>-(Model_Data!AC143-Model_Data!F143)*Inputs!$C$12</f>
        <v>431.41920197433598</v>
      </c>
      <c r="O143" s="10"/>
      <c r="P143" s="9">
        <f>Model_Data!A143</f>
        <v>10.5</v>
      </c>
      <c r="Q143" s="9">
        <f>Model_Data!P143</f>
        <v>-89.844584113598103</v>
      </c>
      <c r="R143" s="9">
        <f>Model_Data!AM143</f>
        <v>-104.68639668342803</v>
      </c>
      <c r="S143" s="9">
        <f>Model_Data!Q143</f>
        <v>-13.490177794834551</v>
      </c>
      <c r="T143" s="9">
        <f>Model_Data!AN143</f>
        <v>-15.718678180694901</v>
      </c>
      <c r="U143" s="10"/>
      <c r="V143" s="9">
        <f>Model_Data!A143</f>
        <v>10.5</v>
      </c>
      <c r="W143" s="9">
        <f>Model_Data!B143-Inputs!$C$5</f>
        <v>0.12250000000000227</v>
      </c>
      <c r="X143" s="10"/>
      <c r="Y143" s="9">
        <f>Model_Data!A143</f>
        <v>10.5</v>
      </c>
      <c r="Z143" s="9">
        <f>0</f>
        <v>0</v>
      </c>
      <c r="AA143" s="9">
        <f>((SQRT((Inputs!$C$52+Inputs!$C$5)^2+Inputs!$C$52^2-2*(Inputs!$C$52+Inputs!$C$5)*Inputs!$C$52*COS(SQRT((Model_Data!A143)^2+Inputs!$C$6^2)/Inputs!$C$52))-Inputs!$C$5)*1000/Inputs!$C$12)</f>
        <v>647.7012513701045</v>
      </c>
      <c r="AB143" s="9">
        <f>Model_Data!F143</f>
        <v>647.54391759570331</v>
      </c>
    </row>
    <row r="144" spans="1:28">
      <c r="A144" s="9">
        <f>Model_Data!A144</f>
        <v>11</v>
      </c>
      <c r="B144" s="9">
        <f>0</f>
        <v>0</v>
      </c>
      <c r="C144" s="9">
        <f>((SQRT((Inputs!$C$52+Inputs!$C$5)^2+Inputs!$C$52^2-2*(Inputs!$C$52+Inputs!$C$5)*Inputs!$C$52*COS(SQRT((Model_Data!A144)^2+Inputs!$C$6^2)/Inputs!$C$52))-Inputs!$C$5)*1000/Inputs!$C$12)</f>
        <v>657.1571638987466</v>
      </c>
      <c r="D144" s="9">
        <f>Model_Data!F144</f>
        <v>656.9819817796764</v>
      </c>
      <c r="E144" s="9">
        <f>Model_Data!AC144</f>
        <v>409.02301110703178</v>
      </c>
      <c r="F144" s="10"/>
      <c r="G144" s="9">
        <f>Model_Data!A144</f>
        <v>11</v>
      </c>
      <c r="H144" s="9">
        <f>Model_Data!Y144</f>
        <v>444.93860770344918</v>
      </c>
      <c r="I144" s="9">
        <f>Model_Data!Y144</f>
        <v>444.93860770344918</v>
      </c>
      <c r="J144" s="9">
        <f>Model_Data!X144</f>
        <v>1.9403678384373038</v>
      </c>
      <c r="K144" s="9">
        <f>Model_Data!A144</f>
        <v>11</v>
      </c>
      <c r="L144" s="9">
        <f>Model_Data!Y144</f>
        <v>444.93860770344918</v>
      </c>
      <c r="M144" s="9">
        <f>Model_Data!X144</f>
        <v>1.9403678384373038</v>
      </c>
      <c r="N144" s="9">
        <f>-(Model_Data!AC144-Model_Data!F144)*Inputs!$C$12</f>
        <v>441.36696779730744</v>
      </c>
      <c r="O144" s="10"/>
      <c r="P144" s="9">
        <f>Model_Data!A144</f>
        <v>11</v>
      </c>
      <c r="Q144" s="9">
        <f>Model_Data!P144</f>
        <v>-94.117950739109801</v>
      </c>
      <c r="R144" s="9">
        <f>Model_Data!AM144</f>
        <v>-99.761806059996161</v>
      </c>
      <c r="S144" s="9">
        <f>Model_Data!Q144</f>
        <v>-14.131824435301773</v>
      </c>
      <c r="T144" s="9">
        <f>Model_Data!AN144</f>
        <v>-14.979250159158584</v>
      </c>
      <c r="U144" s="10"/>
      <c r="V144" s="9">
        <f>Model_Data!A144</f>
        <v>11</v>
      </c>
      <c r="W144" s="9">
        <f>Model_Data!B144-Inputs!$C$5</f>
        <v>0.1344444444444548</v>
      </c>
      <c r="X144" s="10"/>
      <c r="Y144" s="9">
        <f>Model_Data!A144</f>
        <v>11</v>
      </c>
      <c r="Z144" s="9">
        <f>0</f>
        <v>0</v>
      </c>
      <c r="AA144" s="9">
        <f>((SQRT((Inputs!$C$52+Inputs!$C$5)^2+Inputs!$C$52^2-2*(Inputs!$C$52+Inputs!$C$5)*Inputs!$C$52*COS(SQRT((Model_Data!A144)^2+Inputs!$C$6^2)/Inputs!$C$52))-Inputs!$C$5)*1000/Inputs!$C$12)</f>
        <v>657.1571638987466</v>
      </c>
      <c r="AB144" s="9">
        <f>Model_Data!F144</f>
        <v>656.9819817796764</v>
      </c>
    </row>
    <row r="145" spans="1:28">
      <c r="A145" s="9">
        <f>Model_Data!A145</f>
        <v>11.5</v>
      </c>
      <c r="B145" s="9">
        <f>0</f>
        <v>0</v>
      </c>
      <c r="C145" s="9">
        <f>((SQRT((Inputs!$C$52+Inputs!$C$5)^2+Inputs!$C$52^2-2*(Inputs!$C$52+Inputs!$C$5)*Inputs!$C$52*COS(SQRT((Model_Data!A145)^2+Inputs!$C$6^2)/Inputs!$C$52))-Inputs!$C$5)*1000/Inputs!$C$12)</f>
        <v>667.05245404244101</v>
      </c>
      <c r="D145" s="9">
        <f>Model_Data!F145</f>
        <v>666.85811690328887</v>
      </c>
      <c r="E145" s="9">
        <f>Model_Data!AC145</f>
        <v>425.9686460478199</v>
      </c>
      <c r="F145" s="10"/>
      <c r="G145" s="9">
        <f>Model_Data!A145</f>
        <v>11.5</v>
      </c>
      <c r="H145" s="9">
        <f>Model_Data!Y145</f>
        <v>434.44467895572086</v>
      </c>
      <c r="I145" s="9">
        <f>Model_Data!Y145</f>
        <v>434.44467895572086</v>
      </c>
      <c r="J145" s="9">
        <f>Model_Data!X145</f>
        <v>4.0448246838212674</v>
      </c>
      <c r="K145" s="9">
        <f>Model_Data!A145</f>
        <v>11.5</v>
      </c>
      <c r="L145" s="9">
        <f>Model_Data!Y145</f>
        <v>434.44467895572086</v>
      </c>
      <c r="M145" s="9">
        <f>Model_Data!X145</f>
        <v>4.0448246838212674</v>
      </c>
      <c r="N145" s="9">
        <f>-(Model_Data!AC145-Model_Data!F145)*Inputs!$C$12</f>
        <v>428.78325812273476</v>
      </c>
      <c r="O145" s="10"/>
      <c r="P145" s="9">
        <f>Model_Data!A145</f>
        <v>11.5</v>
      </c>
      <c r="Q145" s="9">
        <f>Model_Data!P145</f>
        <v>-98.390628288507287</v>
      </c>
      <c r="R145" s="9">
        <f>Model_Data!AM145</f>
        <v>-133.6965623294418</v>
      </c>
      <c r="S145" s="9">
        <f>Model_Data!Q145</f>
        <v>-14.77336761088698</v>
      </c>
      <c r="T145" s="9">
        <f>Model_Data!AN145</f>
        <v>-20.074558908324597</v>
      </c>
      <c r="U145" s="10"/>
      <c r="V145" s="9">
        <f>Model_Data!A145</f>
        <v>11.5</v>
      </c>
      <c r="W145" s="9">
        <f>Model_Data!B145-Inputs!$C$5</f>
        <v>0.14694444444444343</v>
      </c>
      <c r="X145" s="10"/>
      <c r="Y145" s="9">
        <f>Model_Data!A145</f>
        <v>11.5</v>
      </c>
      <c r="Z145" s="9">
        <f>0</f>
        <v>0</v>
      </c>
      <c r="AA145" s="9">
        <f>((SQRT((Inputs!$C$52+Inputs!$C$5)^2+Inputs!$C$52^2-2*(Inputs!$C$52+Inputs!$C$5)*Inputs!$C$52*COS(SQRT((Model_Data!A145)^2+Inputs!$C$6^2)/Inputs!$C$52))-Inputs!$C$5)*1000/Inputs!$C$12)</f>
        <v>667.05245404244101</v>
      </c>
      <c r="AB145" s="9">
        <f>Model_Data!F145</f>
        <v>666.85811690328887</v>
      </c>
    </row>
    <row r="146" spans="1:28">
      <c r="A146" s="9">
        <f>Model_Data!A146</f>
        <v>12</v>
      </c>
      <c r="B146" s="9">
        <f>0</f>
        <v>0</v>
      </c>
      <c r="C146" s="9">
        <f>((SQRT((Inputs!$C$52+Inputs!$C$5)^2+Inputs!$C$52^2-2*(Inputs!$C$52+Inputs!$C$5)*Inputs!$C$52*COS(SQRT((Model_Data!A146)^2+Inputs!$C$6^2)/Inputs!$C$52))-Inputs!$C$5)*1000/Inputs!$C$12)</f>
        <v>677.38706291769699</v>
      </c>
      <c r="D146" s="9">
        <f>Model_Data!F146</f>
        <v>677.17219926548933</v>
      </c>
      <c r="E146" s="9">
        <f>Model_Data!AC146</f>
        <v>444.49397732505071</v>
      </c>
      <c r="F146" s="10"/>
      <c r="G146" s="9">
        <f>Model_Data!A146</f>
        <v>12</v>
      </c>
      <c r="H146" s="9">
        <f>Model_Data!Y146</f>
        <v>422.8387186345762</v>
      </c>
      <c r="I146" s="9">
        <f>Model_Data!Y146</f>
        <v>422.8387186345762</v>
      </c>
      <c r="J146" s="9">
        <f>Model_Data!X146</f>
        <v>7.073891806129688</v>
      </c>
      <c r="K146" s="9">
        <f>Model_Data!A146</f>
        <v>12</v>
      </c>
      <c r="L146" s="9">
        <f>Model_Data!Y146</f>
        <v>422.8387186345762</v>
      </c>
      <c r="M146" s="9">
        <f>Model_Data!X146</f>
        <v>7.073891806129688</v>
      </c>
      <c r="N146" s="9">
        <f>-(Model_Data!AC146-Model_Data!F146)*Inputs!$C$12</f>
        <v>414.16723505398073</v>
      </c>
      <c r="O146" s="10"/>
      <c r="P146" s="9">
        <f>Model_Data!A146</f>
        <v>12</v>
      </c>
      <c r="Q146" s="9">
        <f>Model_Data!P146</f>
        <v>-102.66258570945865</v>
      </c>
      <c r="R146" s="9">
        <f>Model_Data!AM146</f>
        <v>-103.25466974927622</v>
      </c>
      <c r="S146" s="9">
        <f>Model_Data!Q146</f>
        <v>-15.414802659077877</v>
      </c>
      <c r="T146" s="9">
        <f>Model_Data!AN146</f>
        <v>-15.503704166557991</v>
      </c>
      <c r="U146" s="10"/>
      <c r="V146" s="9">
        <f>Model_Data!A146</f>
        <v>12</v>
      </c>
      <c r="W146" s="9">
        <f>Model_Data!B146-Inputs!$C$5</f>
        <v>0.16000000000002501</v>
      </c>
      <c r="X146" s="10"/>
      <c r="Y146" s="9">
        <f>Model_Data!A146</f>
        <v>12</v>
      </c>
      <c r="Z146" s="9">
        <f>0</f>
        <v>0</v>
      </c>
      <c r="AA146" s="9">
        <f>((SQRT((Inputs!$C$52+Inputs!$C$5)^2+Inputs!$C$52^2-2*(Inputs!$C$52+Inputs!$C$5)*Inputs!$C$52*COS(SQRT((Model_Data!A146)^2+Inputs!$C$6^2)/Inputs!$C$52))-Inputs!$C$5)*1000/Inputs!$C$12)</f>
        <v>677.38706291769699</v>
      </c>
      <c r="AB146" s="9">
        <f>Model_Data!F146</f>
        <v>677.17219926548933</v>
      </c>
    </row>
    <row r="147" spans="1:28">
      <c r="A147" s="9">
        <f>Model_Data!A147</f>
        <v>12.5</v>
      </c>
      <c r="B147" s="9">
        <f>0</f>
        <v>0</v>
      </c>
      <c r="C147" s="9">
        <f>((SQRT((Inputs!$C$52+Inputs!$C$5)^2+Inputs!$C$52^2-2*(Inputs!$C$52+Inputs!$C$5)*Inputs!$C$52*COS(SQRT((Model_Data!A147)^2+Inputs!$C$6^2)/Inputs!$C$52))-Inputs!$C$5)*1000/Inputs!$C$12)</f>
        <v>688.1609290384572</v>
      </c>
      <c r="D147" s="9">
        <f>Model_Data!F147</f>
        <v>687.92409971327163</v>
      </c>
      <c r="E147" s="9">
        <f>Model_Data!AC147</f>
        <v>441.77495114183785</v>
      </c>
      <c r="F147" s="10"/>
      <c r="G147" s="9">
        <f>Model_Data!A147</f>
        <v>12.5</v>
      </c>
      <c r="H147" s="9">
        <f>Model_Data!Y147</f>
        <v>434.12423495839124</v>
      </c>
      <c r="I147" s="9">
        <f>Model_Data!Y147</f>
        <v>434.12423495839124</v>
      </c>
      <c r="J147" s="9">
        <f>Model_Data!X147</f>
        <v>-5.6874541754451418</v>
      </c>
      <c r="K147" s="9">
        <f>Model_Data!A147</f>
        <v>12.5</v>
      </c>
      <c r="L147" s="9">
        <f>Model_Data!Y147</f>
        <v>434.12423495839124</v>
      </c>
      <c r="M147" s="9">
        <f>Model_Data!X147</f>
        <v>-5.6874541754451418</v>
      </c>
      <c r="N147" s="9">
        <f>-(Model_Data!AC147-Model_Data!F147)*Inputs!$C$12</f>
        <v>438.14548445715212</v>
      </c>
      <c r="O147" s="10"/>
      <c r="P147" s="9">
        <f>Model_Data!A147</f>
        <v>12.5</v>
      </c>
      <c r="Q147" s="9">
        <f>Model_Data!P147</f>
        <v>-106.9337919834652</v>
      </c>
      <c r="R147" s="9">
        <f>Model_Data!AM147</f>
        <v>-97.459329212961165</v>
      </c>
      <c r="S147" s="9">
        <f>Model_Data!Q147</f>
        <v>-16.056124922442223</v>
      </c>
      <c r="T147" s="9">
        <f>Model_Data!AN147</f>
        <v>-14.633532914859035</v>
      </c>
      <c r="U147" s="10"/>
      <c r="V147" s="9">
        <f>Model_Data!A147</f>
        <v>12.5</v>
      </c>
      <c r="W147" s="9">
        <f>Model_Data!B147-Inputs!$C$5</f>
        <v>0.17361111111108585</v>
      </c>
      <c r="X147" s="10"/>
      <c r="Y147" s="9">
        <f>Model_Data!A147</f>
        <v>12.5</v>
      </c>
      <c r="Z147" s="9">
        <f>0</f>
        <v>0</v>
      </c>
      <c r="AA147" s="9">
        <f>((SQRT((Inputs!$C$52+Inputs!$C$5)^2+Inputs!$C$52^2-2*(Inputs!$C$52+Inputs!$C$5)*Inputs!$C$52*COS(SQRT((Model_Data!A147)^2+Inputs!$C$6^2)/Inputs!$C$52))-Inputs!$C$5)*1000/Inputs!$C$12)</f>
        <v>688.1609290384572</v>
      </c>
      <c r="AB147" s="9">
        <f>Model_Data!F147</f>
        <v>687.92409971327163</v>
      </c>
    </row>
    <row r="148" spans="1:28">
      <c r="A148" s="9">
        <f>Model_Data!A148</f>
        <v>13</v>
      </c>
      <c r="B148" s="9">
        <f>0</f>
        <v>0</v>
      </c>
      <c r="C148" s="9">
        <f>((SQRT((Inputs!$C$52+Inputs!$C$5)^2+Inputs!$C$52^2-2*(Inputs!$C$52+Inputs!$C$5)*Inputs!$C$52*COS(SQRT((Model_Data!A148)^2+Inputs!$C$6^2)/Inputs!$C$52))-Inputs!$C$5)*1000/Inputs!$C$12)</f>
        <v>699.3739883142141</v>
      </c>
      <c r="D148" s="9">
        <f>Model_Data!F148</f>
        <v>699.11368365419389</v>
      </c>
      <c r="E148" s="9">
        <f>Model_Data!AC148</f>
        <v>457.10179766639783</v>
      </c>
      <c r="F148" s="10"/>
      <c r="G148" s="9">
        <f>Model_Data!A148</f>
        <v>13</v>
      </c>
      <c r="H148" s="9">
        <f>Model_Data!Y148</f>
        <v>428.83519917040849</v>
      </c>
      <c r="I148" s="9">
        <f>Model_Data!Y148</f>
        <v>428.83519917040849</v>
      </c>
      <c r="J148" s="9">
        <f>Model_Data!X148</f>
        <v>-3.6184909665757639</v>
      </c>
      <c r="K148" s="9">
        <f>Model_Data!A148</f>
        <v>13</v>
      </c>
      <c r="L148" s="9">
        <f>Model_Data!Y148</f>
        <v>428.83519917040849</v>
      </c>
      <c r="M148" s="9">
        <f>Model_Data!X148</f>
        <v>-3.6184909665757639</v>
      </c>
      <c r="N148" s="9">
        <f>-(Model_Data!AC148-Model_Data!F148)*Inputs!$C$12</f>
        <v>430.78115705827702</v>
      </c>
      <c r="O148" s="10"/>
      <c r="P148" s="9">
        <f>Model_Data!A148</f>
        <v>13</v>
      </c>
      <c r="Q148" s="9">
        <f>Model_Data!P148</f>
        <v>-111.20421613486542</v>
      </c>
      <c r="R148" s="9">
        <f>Model_Data!AM148</f>
        <v>-151.57657912886862</v>
      </c>
      <c r="S148" s="9">
        <f>Model_Data!Q148</f>
        <v>-16.697329749979794</v>
      </c>
      <c r="T148" s="9">
        <f>Model_Data!AN148</f>
        <v>-22.759246115445741</v>
      </c>
      <c r="U148" s="10"/>
      <c r="V148" s="9">
        <f>Model_Data!A148</f>
        <v>13</v>
      </c>
      <c r="W148" s="9">
        <f>Model_Data!B148-Inputs!$C$5</f>
        <v>0.18777777777779647</v>
      </c>
      <c r="X148" s="10"/>
      <c r="Y148" s="9">
        <f>Model_Data!A148</f>
        <v>13</v>
      </c>
      <c r="Z148" s="9">
        <f>0</f>
        <v>0</v>
      </c>
      <c r="AA148" s="9">
        <f>((SQRT((Inputs!$C$52+Inputs!$C$5)^2+Inputs!$C$52^2-2*(Inputs!$C$52+Inputs!$C$5)*Inputs!$C$52*COS(SQRT((Model_Data!A148)^2+Inputs!$C$6^2)/Inputs!$C$52))-Inputs!$C$5)*1000/Inputs!$C$12)</f>
        <v>699.3739883142141</v>
      </c>
      <c r="AB148" s="9">
        <f>Model_Data!F148</f>
        <v>699.11368365419389</v>
      </c>
    </row>
    <row r="149" spans="1:28">
      <c r="A149" s="9">
        <f>Model_Data!A149</f>
        <v>13.5</v>
      </c>
      <c r="B149" s="9">
        <f>0</f>
        <v>0</v>
      </c>
      <c r="C149" s="9">
        <f>((SQRT((Inputs!$C$52+Inputs!$C$5)^2+Inputs!$C$52^2-2*(Inputs!$C$52+Inputs!$C$5)*Inputs!$C$52*COS(SQRT((Model_Data!A149)^2+Inputs!$C$6^2)/Inputs!$C$52))-Inputs!$C$5)*1000/Inputs!$C$12)</f>
        <v>711.02617405815272</v>
      </c>
      <c r="D149" s="9">
        <f>Model_Data!F149</f>
        <v>710.74081105899654</v>
      </c>
      <c r="E149" s="9">
        <f>Model_Data!AC149</f>
        <v>481.98825932573664</v>
      </c>
      <c r="F149" s="10"/>
      <c r="G149" s="9">
        <f>Model_Data!A149</f>
        <v>13.5</v>
      </c>
      <c r="H149" s="9">
        <f>Model_Data!Y149</f>
        <v>408.84619240872695</v>
      </c>
      <c r="I149" s="9">
        <f>Model_Data!Y149</f>
        <v>408.84619240872695</v>
      </c>
      <c r="J149" s="9">
        <f>Model_Data!X149</f>
        <v>4.5761325244330742E-2</v>
      </c>
      <c r="K149" s="9">
        <f>Model_Data!A149</f>
        <v>13.5</v>
      </c>
      <c r="L149" s="9">
        <f>Model_Data!Y149</f>
        <v>408.84619240872695</v>
      </c>
      <c r="M149" s="9">
        <f>Model_Data!X149</f>
        <v>4.5761325244330742E-2</v>
      </c>
      <c r="N149" s="9">
        <f>-(Model_Data!AC149-Model_Data!F149)*Inputs!$C$12</f>
        <v>407.17954208520263</v>
      </c>
      <c r="O149" s="10"/>
      <c r="P149" s="9">
        <f>Model_Data!A149</f>
        <v>13.5</v>
      </c>
      <c r="Q149" s="9">
        <f>Model_Data!P149</f>
        <v>-115.47382722346811</v>
      </c>
      <c r="R149" s="9">
        <f>Model_Data!AM149</f>
        <v>-141.51365191682999</v>
      </c>
      <c r="S149" s="9">
        <f>Model_Data!Q149</f>
        <v>-17.338412496016232</v>
      </c>
      <c r="T149" s="9">
        <f>Model_Data!AN149</f>
        <v>-21.248296083608107</v>
      </c>
      <c r="U149" s="10"/>
      <c r="V149" s="9">
        <f>Model_Data!A149</f>
        <v>13.5</v>
      </c>
      <c r="W149" s="9">
        <f>Model_Data!B149-Inputs!$C$5</f>
        <v>0.20249999999998636</v>
      </c>
      <c r="X149" s="10"/>
      <c r="Y149" s="9">
        <f>Model_Data!A149</f>
        <v>13.5</v>
      </c>
      <c r="Z149" s="9">
        <f>0</f>
        <v>0</v>
      </c>
      <c r="AA149" s="9">
        <f>((SQRT((Inputs!$C$52+Inputs!$C$5)^2+Inputs!$C$52^2-2*(Inputs!$C$52+Inputs!$C$5)*Inputs!$C$52*COS(SQRT((Model_Data!A149)^2+Inputs!$C$6^2)/Inputs!$C$52))-Inputs!$C$5)*1000/Inputs!$C$12)</f>
        <v>711.02617405815272</v>
      </c>
      <c r="AB149" s="9">
        <f>Model_Data!F149</f>
        <v>710.74081105899654</v>
      </c>
    </row>
    <row r="150" spans="1:28">
      <c r="A150" s="9">
        <f>Model_Data!A150</f>
        <v>14</v>
      </c>
      <c r="B150" s="9">
        <f>0</f>
        <v>0</v>
      </c>
      <c r="C150" s="9">
        <f>((SQRT((Inputs!$C$52+Inputs!$C$5)^2+Inputs!$C$52^2-2*(Inputs!$C$52+Inputs!$C$5)*Inputs!$C$52*COS(SQRT((Model_Data!A150)^2+Inputs!$C$6^2)/Inputs!$C$52))-Inputs!$C$5)*1000/Inputs!$C$12)</f>
        <v>723.11741698472406</v>
      </c>
      <c r="D150" s="9">
        <f>Model_Data!F150</f>
        <v>722.8053364714383</v>
      </c>
      <c r="E150" s="9">
        <f>Model_Data!AC150</f>
        <v>501.60324857019629</v>
      </c>
      <c r="F150" s="10"/>
      <c r="G150" s="9">
        <f>Model_Data!A150</f>
        <v>14</v>
      </c>
      <c r="H150" s="9">
        <f>Model_Data!Y150</f>
        <v>412.55100068044544</v>
      </c>
      <c r="I150" s="9">
        <f>Model_Data!Y150</f>
        <v>412.55100068044544</v>
      </c>
      <c r="J150" s="9">
        <f>Model_Data!X150</f>
        <v>17.148059194147212</v>
      </c>
      <c r="K150" s="9">
        <f>Model_Data!A150</f>
        <v>14</v>
      </c>
      <c r="L150" s="9">
        <f>Model_Data!Y150</f>
        <v>412.55100068044544</v>
      </c>
      <c r="M150" s="9">
        <f>Model_Data!X150</f>
        <v>17.148059194147212</v>
      </c>
      <c r="N150" s="9">
        <f>-(Model_Data!AC150-Model_Data!F150)*Inputs!$C$12</f>
        <v>393.7397164642108</v>
      </c>
      <c r="O150" s="10"/>
      <c r="P150" s="9">
        <f>Model_Data!A150</f>
        <v>14</v>
      </c>
      <c r="Q150" s="9">
        <f>Model_Data!P150</f>
        <v>-119.74259435310159</v>
      </c>
      <c r="R150" s="9">
        <f>Model_Data!AM150</f>
        <v>-109.12181689409408</v>
      </c>
      <c r="S150" s="9">
        <f>Model_Data!Q150</f>
        <v>-17.979368521486727</v>
      </c>
      <c r="T150" s="9">
        <f>Model_Data!AN150</f>
        <v>-16.384657191305418</v>
      </c>
      <c r="U150" s="10"/>
      <c r="V150" s="9">
        <f>Model_Data!A150</f>
        <v>14</v>
      </c>
      <c r="W150" s="9">
        <f>Model_Data!B150-Inputs!$C$5</f>
        <v>0.21777777777776919</v>
      </c>
      <c r="X150" s="10"/>
      <c r="Y150" s="9">
        <f>Model_Data!A150</f>
        <v>14</v>
      </c>
      <c r="Z150" s="9">
        <f>0</f>
        <v>0</v>
      </c>
      <c r="AA150" s="9">
        <f>((SQRT((Inputs!$C$52+Inputs!$C$5)^2+Inputs!$C$52^2-2*(Inputs!$C$52+Inputs!$C$5)*Inputs!$C$52*COS(SQRT((Model_Data!A150)^2+Inputs!$C$6^2)/Inputs!$C$52))-Inputs!$C$5)*1000/Inputs!$C$12)</f>
        <v>723.11741698472406</v>
      </c>
      <c r="AB150" s="9">
        <f>Model_Data!F150</f>
        <v>722.8053364714383</v>
      </c>
    </row>
    <row r="151" spans="1:28">
      <c r="A151" s="9">
        <f>Model_Data!A151</f>
        <v>14.5</v>
      </c>
      <c r="B151" s="9">
        <f>0</f>
        <v>0</v>
      </c>
      <c r="C151" s="9">
        <f>((SQRT((Inputs!$C$52+Inputs!$C$5)^2+Inputs!$C$52^2-2*(Inputs!$C$52+Inputs!$C$5)*Inputs!$C$52*COS(SQRT((Model_Data!A151)^2+Inputs!$C$6^2)/Inputs!$C$52))-Inputs!$C$5)*1000/Inputs!$C$12)</f>
        <v>735.64764521290215</v>
      </c>
      <c r="D151" s="9">
        <f>Model_Data!F151</f>
        <v>735.30710901382054</v>
      </c>
      <c r="E151" s="9">
        <f>Model_Data!AC151</f>
        <v>518.15100711969103</v>
      </c>
      <c r="F151" s="10"/>
      <c r="G151" s="9">
        <f>Model_Data!A151</f>
        <v>14.5</v>
      </c>
      <c r="H151" s="9">
        <f>Model_Data!Y151</f>
        <v>415.56752777059438</v>
      </c>
      <c r="I151" s="9">
        <f>Model_Data!Y151</f>
        <v>415.56752777059438</v>
      </c>
      <c r="J151" s="9">
        <f>Model_Data!X151</f>
        <v>27.325427950728567</v>
      </c>
      <c r="K151" s="9">
        <f>Model_Data!A151</f>
        <v>14.5</v>
      </c>
      <c r="L151" s="9">
        <f>Model_Data!Y151</f>
        <v>415.56752777059438</v>
      </c>
      <c r="M151" s="9">
        <f>Model_Data!X151</f>
        <v>27.325427950728567</v>
      </c>
      <c r="N151" s="9">
        <f>-(Model_Data!AC151-Model_Data!F151)*Inputs!$C$12</f>
        <v>386.53786137155055</v>
      </c>
      <c r="O151" s="10"/>
      <c r="P151" s="9">
        <f>Model_Data!A151</f>
        <v>14.5</v>
      </c>
      <c r="Q151" s="9">
        <f>Model_Data!P151</f>
        <v>-124.0104866564252</v>
      </c>
      <c r="R151" s="9">
        <f>Model_Data!AM151</f>
        <v>-145.14355631799845</v>
      </c>
      <c r="S151" s="9">
        <f>Model_Data!Q151</f>
        <v>-18.620193191655439</v>
      </c>
      <c r="T151" s="9">
        <f>Model_Data!AN151</f>
        <v>-21.793326774474242</v>
      </c>
      <c r="U151" s="10"/>
      <c r="V151" s="9">
        <f>Model_Data!A151</f>
        <v>14.5</v>
      </c>
      <c r="W151" s="9">
        <f>Model_Data!B151-Inputs!$C$5</f>
        <v>0.23361111111108812</v>
      </c>
      <c r="X151" s="10"/>
      <c r="Y151" s="9">
        <f>Model_Data!A151</f>
        <v>14.5</v>
      </c>
      <c r="Z151" s="9">
        <f>0</f>
        <v>0</v>
      </c>
      <c r="AA151" s="9">
        <f>((SQRT((Inputs!$C$52+Inputs!$C$5)^2+Inputs!$C$52^2-2*(Inputs!$C$52+Inputs!$C$5)*Inputs!$C$52*COS(SQRT((Model_Data!A151)^2+Inputs!$C$6^2)/Inputs!$C$52))-Inputs!$C$5)*1000/Inputs!$C$12)</f>
        <v>735.64764521290215</v>
      </c>
      <c r="AB151" s="9">
        <f>Model_Data!F151</f>
        <v>735.30710901382054</v>
      </c>
    </row>
    <row r="152" spans="1:28">
      <c r="A152" s="9">
        <f>Model_Data!A152</f>
        <v>15</v>
      </c>
      <c r="B152" s="9">
        <f>0</f>
        <v>0</v>
      </c>
      <c r="C152" s="9">
        <f>((SQRT((Inputs!$C$52+Inputs!$C$5)^2+Inputs!$C$52^2-2*(Inputs!$C$52+Inputs!$C$5)*Inputs!$C$52*COS(SQRT((Model_Data!A152)^2+Inputs!$C$6^2)/Inputs!$C$52))-Inputs!$C$5)*1000/Inputs!$C$12)</f>
        <v>748.61678426685467</v>
      </c>
      <c r="D152" s="9">
        <f>Model_Data!F152</f>
        <v>748.24597239168259</v>
      </c>
      <c r="E152" s="9">
        <f>Model_Data!AC152</f>
        <v>550.31524122273242</v>
      </c>
      <c r="F152" s="10"/>
      <c r="G152" s="9">
        <f>Model_Data!A152</f>
        <v>15</v>
      </c>
      <c r="H152" s="9">
        <f>Model_Data!Y152</f>
        <v>399.34593170493116</v>
      </c>
      <c r="I152" s="9">
        <f>Model_Data!Y152</f>
        <v>399.34593170493116</v>
      </c>
      <c r="J152" s="9">
        <f>Model_Data!X152</f>
        <v>45.362905639140564</v>
      </c>
      <c r="K152" s="9">
        <f>Model_Data!A152</f>
        <v>15</v>
      </c>
      <c r="L152" s="9">
        <f>Model_Data!Y152</f>
        <v>399.34593170493116</v>
      </c>
      <c r="M152" s="9">
        <f>Model_Data!X152</f>
        <v>45.362905639140564</v>
      </c>
      <c r="N152" s="9">
        <f>-(Model_Data!AC152-Model_Data!F152)*Inputs!$C$12</f>
        <v>352.3167014807313</v>
      </c>
      <c r="O152" s="10"/>
      <c r="P152" s="9">
        <f>Model_Data!A152</f>
        <v>15</v>
      </c>
      <c r="Q152" s="9">
        <f>Model_Data!P152</f>
        <v>-128.2774733243059</v>
      </c>
      <c r="R152" s="9">
        <f>Model_Data!AM152</f>
        <v>-160.16073489608971</v>
      </c>
      <c r="S152" s="9">
        <f>Model_Data!Q152</f>
        <v>-19.260881880526412</v>
      </c>
      <c r="T152" s="9">
        <f>Model_Data!AN152</f>
        <v>-24.048158392806265</v>
      </c>
      <c r="U152" s="10"/>
      <c r="V152" s="9">
        <f>Model_Data!A152</f>
        <v>15</v>
      </c>
      <c r="W152" s="9">
        <f>Model_Data!B152-Inputs!$C$5</f>
        <v>0.25</v>
      </c>
      <c r="X152" s="10"/>
      <c r="Y152" s="9">
        <f>Model_Data!A152</f>
        <v>15</v>
      </c>
      <c r="Z152" s="9">
        <f>0</f>
        <v>0</v>
      </c>
      <c r="AA152" s="9">
        <f>((SQRT((Inputs!$C$52+Inputs!$C$5)^2+Inputs!$C$52^2-2*(Inputs!$C$52+Inputs!$C$5)*Inputs!$C$52*COS(SQRT((Model_Data!A152)^2+Inputs!$C$6^2)/Inputs!$C$52))-Inputs!$C$5)*1000/Inputs!$C$12)</f>
        <v>748.61678426685467</v>
      </c>
      <c r="AB152" s="9">
        <f>Model_Data!F152</f>
        <v>748.24597239168259</v>
      </c>
    </row>
    <row r="153" spans="1:28">
      <c r="A153" s="9">
        <f>Model_Data!A153</f>
        <v>15.5</v>
      </c>
      <c r="B153" s="9">
        <f>0</f>
        <v>0</v>
      </c>
      <c r="C153" s="9">
        <f>((SQRT((Inputs!$C$52+Inputs!$C$5)^2+Inputs!$C$52^2-2*(Inputs!$C$52+Inputs!$C$5)*Inputs!$C$52*COS(SQRT((Model_Data!A153)^2+Inputs!$C$6^2)/Inputs!$C$52))-Inputs!$C$5)*1000/Inputs!$C$12)</f>
        <v>762.0247570816274</v>
      </c>
      <c r="D153" s="9">
        <f>Model_Data!F153</f>
        <v>761.62176490951231</v>
      </c>
      <c r="E153" s="9">
        <f>Model_Data!AC153</f>
        <v>567.88801704547188</v>
      </c>
      <c r="F153" s="10"/>
      <c r="G153" s="9">
        <f>Model_Data!A153</f>
        <v>15.5</v>
      </c>
      <c r="H153" s="9">
        <f>Model_Data!Y153</f>
        <v>395.61636103749299</v>
      </c>
      <c r="I153" s="9">
        <f>Model_Data!Y153</f>
        <v>395.61636103749299</v>
      </c>
      <c r="J153" s="9">
        <f>Model_Data!X153</f>
        <v>49.090179641950456</v>
      </c>
      <c r="K153" s="9">
        <f>Model_Data!A153</f>
        <v>15.5</v>
      </c>
      <c r="L153" s="9">
        <f>Model_Data!Y153</f>
        <v>395.61636103749299</v>
      </c>
      <c r="M153" s="9">
        <f>Model_Data!X153</f>
        <v>49.090179641950456</v>
      </c>
      <c r="N153" s="9">
        <f>-(Model_Data!AC153-Model_Data!F153)*Inputs!$C$12</f>
        <v>344.84607119799193</v>
      </c>
      <c r="O153" s="10"/>
      <c r="P153" s="9">
        <f>Model_Data!A153</f>
        <v>15.5</v>
      </c>
      <c r="Q153" s="9">
        <f>Model_Data!P153</f>
        <v>-132.5435235945406</v>
      </c>
      <c r="R153" s="9">
        <f>Model_Data!AM153</f>
        <v>-131.10580275870234</v>
      </c>
      <c r="S153" s="9">
        <f>Model_Data!Q153</f>
        <v>-19.901429969150243</v>
      </c>
      <c r="T153" s="9">
        <f>Model_Data!AN153</f>
        <v>-19.685555969775127</v>
      </c>
      <c r="U153" s="10"/>
      <c r="V153" s="9">
        <f>Model_Data!A153</f>
        <v>15.5</v>
      </c>
      <c r="W153" s="9">
        <f>Model_Data!B153-Inputs!$C$5</f>
        <v>0.26694444444444798</v>
      </c>
      <c r="X153" s="10"/>
      <c r="Y153" s="9">
        <f>Model_Data!A153</f>
        <v>15.5</v>
      </c>
      <c r="Z153" s="9">
        <f>0</f>
        <v>0</v>
      </c>
      <c r="AA153" s="9">
        <f>((SQRT((Inputs!$C$52+Inputs!$C$5)^2+Inputs!$C$52^2-2*(Inputs!$C$52+Inputs!$C$5)*Inputs!$C$52*COS(SQRT((Model_Data!A153)^2+Inputs!$C$6^2)/Inputs!$C$52))-Inputs!$C$5)*1000/Inputs!$C$12)</f>
        <v>762.0247570816274</v>
      </c>
      <c r="AB153" s="9">
        <f>Model_Data!F153</f>
        <v>761.62176490951231</v>
      </c>
    </row>
    <row r="154" spans="1:28">
      <c r="A154" s="9">
        <f>Model_Data!A154</f>
        <v>16</v>
      </c>
      <c r="B154" s="9">
        <f>0</f>
        <v>0</v>
      </c>
      <c r="C154" s="9">
        <f>((SQRT((Inputs!$C$52+Inputs!$C$5)^2+Inputs!$C$52^2-2*(Inputs!$C$52+Inputs!$C$5)*Inputs!$C$52*COS(SQRT((Model_Data!A154)^2+Inputs!$C$6^2)/Inputs!$C$52))-Inputs!$C$5)*1000/Inputs!$C$12)</f>
        <v>775.87148400062165</v>
      </c>
      <c r="D154" s="9">
        <f>Model_Data!F154</f>
        <v>775.43431947154545</v>
      </c>
      <c r="E154" s="9">
        <f>Model_Data!AC154</f>
        <v>590.6826371130727</v>
      </c>
      <c r="F154" s="10"/>
      <c r="G154" s="9">
        <f>Model_Data!A154</f>
        <v>16</v>
      </c>
      <c r="H154" s="9">
        <f>Model_Data!Y154</f>
        <v>400.30891755789503</v>
      </c>
      <c r="I154" s="9">
        <f>Model_Data!Y154</f>
        <v>400.30891755789503</v>
      </c>
      <c r="J154" s="9">
        <f>Model_Data!X154</f>
        <v>69.720188044182294</v>
      </c>
      <c r="K154" s="9">
        <f>Model_Data!A154</f>
        <v>16</v>
      </c>
      <c r="L154" s="9">
        <f>Model_Data!Y154</f>
        <v>400.30891755789503</v>
      </c>
      <c r="M154" s="9">
        <f>Model_Data!X154</f>
        <v>69.720188044182294</v>
      </c>
      <c r="N154" s="9">
        <f>-(Model_Data!AC154-Model_Data!F154)*Inputs!$C$12</f>
        <v>328.85799459808152</v>
      </c>
      <c r="O154" s="10"/>
      <c r="P154" s="9">
        <f>Model_Data!A154</f>
        <v>16</v>
      </c>
      <c r="Q154" s="9">
        <f>Model_Data!P154</f>
        <v>-136.80860673657662</v>
      </c>
      <c r="R154" s="9">
        <f>Model_Data!AM154</f>
        <v>-120.04510651404416</v>
      </c>
      <c r="S154" s="9">
        <f>Model_Data!Q154</f>
        <v>-20.541832843329825</v>
      </c>
      <c r="T154" s="9">
        <f>Model_Data!AN154</f>
        <v>-18.024790767874499</v>
      </c>
      <c r="U154" s="10"/>
      <c r="V154" s="9">
        <f>Model_Data!A154</f>
        <v>16</v>
      </c>
      <c r="W154" s="9">
        <f>Model_Data!B154-Inputs!$C$5</f>
        <v>0.28444444444443207</v>
      </c>
      <c r="X154" s="10"/>
      <c r="Y154" s="9">
        <f>Model_Data!A154</f>
        <v>16</v>
      </c>
      <c r="Z154" s="9">
        <f>0</f>
        <v>0</v>
      </c>
      <c r="AA154" s="9">
        <f>((SQRT((Inputs!$C$52+Inputs!$C$5)^2+Inputs!$C$52^2-2*(Inputs!$C$52+Inputs!$C$5)*Inputs!$C$52*COS(SQRT((Model_Data!A154)^2+Inputs!$C$6^2)/Inputs!$C$52))-Inputs!$C$5)*1000/Inputs!$C$12)</f>
        <v>775.87148400062165</v>
      </c>
      <c r="AB154" s="9">
        <f>Model_Data!F154</f>
        <v>775.43431947154545</v>
      </c>
    </row>
    <row r="155" spans="1:28">
      <c r="A155" s="9">
        <f>Model_Data!A155</f>
        <v>16.5</v>
      </c>
      <c r="B155" s="9">
        <f>0</f>
        <v>0</v>
      </c>
      <c r="C155" s="9">
        <f>((SQRT((Inputs!$C$52+Inputs!$C$5)^2+Inputs!$C$52^2-2*(Inputs!$C$52+Inputs!$C$5)*Inputs!$C$52*COS(SQRT((Model_Data!A155)^2+Inputs!$C$6^2)/Inputs!$C$52))-Inputs!$C$5)*1000/Inputs!$C$12)</f>
        <v>790.15688278319385</v>
      </c>
      <c r="D155" s="9">
        <f>Model_Data!F155</f>
        <v>789.68346359198381</v>
      </c>
      <c r="E155" s="9">
        <f>Model_Data!AC155</f>
        <v>602.65860962008549</v>
      </c>
      <c r="F155" s="10"/>
      <c r="G155" s="9">
        <f>Model_Data!A155</f>
        <v>16.5</v>
      </c>
      <c r="H155" s="9">
        <f>Model_Data!Y155</f>
        <v>406.20178346502695</v>
      </c>
      <c r="I155" s="9">
        <f>Model_Data!Y155</f>
        <v>406.20178346502695</v>
      </c>
      <c r="J155" s="9">
        <f>Model_Data!X155</f>
        <v>71.50919840907298</v>
      </c>
      <c r="K155" s="9">
        <f>Model_Data!A155</f>
        <v>16.5</v>
      </c>
      <c r="L155" s="9">
        <f>Model_Data!Y155</f>
        <v>406.20178346502695</v>
      </c>
      <c r="M155" s="9">
        <f>Model_Data!X155</f>
        <v>71.50919840907298</v>
      </c>
      <c r="N155" s="9">
        <f>-(Model_Data!AC155-Model_Data!F155)*Inputs!$C$12</f>
        <v>332.90424006997904</v>
      </c>
      <c r="O155" s="10"/>
      <c r="P155" s="9">
        <f>Model_Data!A155</f>
        <v>16.5</v>
      </c>
      <c r="Q155" s="9">
        <f>Model_Data!P155</f>
        <v>-141.07269207324862</v>
      </c>
      <c r="R155" s="9">
        <f>Model_Data!AM155</f>
        <v>-137.05256517414455</v>
      </c>
      <c r="S155" s="9">
        <f>Model_Data!Q155</f>
        <v>-21.182085896884178</v>
      </c>
      <c r="T155" s="9">
        <f>Model_Data!AN155</f>
        <v>-20.578463239361046</v>
      </c>
      <c r="U155" s="10"/>
      <c r="V155" s="9">
        <f>Model_Data!A155</f>
        <v>16.5</v>
      </c>
      <c r="W155" s="9">
        <f>Model_Data!B155-Inputs!$C$5</f>
        <v>0.30250000000000909</v>
      </c>
      <c r="X155" s="10"/>
      <c r="Y155" s="9">
        <f>Model_Data!A155</f>
        <v>16.5</v>
      </c>
      <c r="Z155" s="9">
        <f>0</f>
        <v>0</v>
      </c>
      <c r="AA155" s="9">
        <f>((SQRT((Inputs!$C$52+Inputs!$C$5)^2+Inputs!$C$52^2-2*(Inputs!$C$52+Inputs!$C$5)*Inputs!$C$52*COS(SQRT((Model_Data!A155)^2+Inputs!$C$6^2)/Inputs!$C$52))-Inputs!$C$5)*1000/Inputs!$C$12)</f>
        <v>790.15688278319385</v>
      </c>
      <c r="AB155" s="9">
        <f>Model_Data!F155</f>
        <v>789.68346359198381</v>
      </c>
    </row>
    <row r="156" spans="1:28">
      <c r="A156" s="9">
        <f>Model_Data!A156</f>
        <v>17</v>
      </c>
      <c r="B156" s="9">
        <f>0</f>
        <v>0</v>
      </c>
      <c r="C156" s="9">
        <f>((SQRT((Inputs!$C$52+Inputs!$C$5)^2+Inputs!$C$52^2-2*(Inputs!$C$52+Inputs!$C$5)*Inputs!$C$52*COS(SQRT((Model_Data!A156)^2+Inputs!$C$6^2)/Inputs!$C$52))-Inputs!$C$5)*1000/Inputs!$C$12)</f>
        <v>804.88086860178259</v>
      </c>
      <c r="D156" s="9">
        <f>Model_Data!F156</f>
        <v>804.36901940361861</v>
      </c>
      <c r="E156" s="9">
        <f>Model_Data!AC156</f>
        <v>611.95071892033604</v>
      </c>
      <c r="F156" s="10"/>
      <c r="G156" s="9">
        <f>Model_Data!A156</f>
        <v>17</v>
      </c>
      <c r="H156" s="9">
        <f>Model_Data!Y156</f>
        <v>402.89735855020393</v>
      </c>
      <c r="I156" s="9">
        <f>Model_Data!Y156</f>
        <v>402.89735855020393</v>
      </c>
      <c r="J156" s="9">
        <f>Model_Data!X156</f>
        <v>58.586187093984584</v>
      </c>
      <c r="K156" s="9">
        <f>Model_Data!A156</f>
        <v>17</v>
      </c>
      <c r="L156" s="9">
        <f>Model_Data!Y156</f>
        <v>402.89735855020393</v>
      </c>
      <c r="M156" s="9">
        <f>Model_Data!X156</f>
        <v>58.586187093984584</v>
      </c>
      <c r="N156" s="9">
        <f>-(Model_Data!AC156-Model_Data!F156)*Inputs!$C$12</f>
        <v>342.504574860243</v>
      </c>
      <c r="O156" s="10"/>
      <c r="P156" s="9">
        <f>Model_Data!A156</f>
        <v>17</v>
      </c>
      <c r="Q156" s="9">
        <f>Model_Data!P156</f>
        <v>-145.33574898605366</v>
      </c>
      <c r="R156" s="9">
        <f>Model_Data!AM156</f>
        <v>-135.2580367196424</v>
      </c>
      <c r="S156" s="9">
        <f>Model_Data!Q156</f>
        <v>-21.822184532440492</v>
      </c>
      <c r="T156" s="9">
        <f>Model_Data!AN156</f>
        <v>-20.309014522468832</v>
      </c>
      <c r="U156" s="10"/>
      <c r="V156" s="9">
        <f>Model_Data!A156</f>
        <v>17</v>
      </c>
      <c r="W156" s="9">
        <f>Model_Data!B156-Inputs!$C$5</f>
        <v>0.32111111111112223</v>
      </c>
      <c r="X156" s="10"/>
      <c r="Y156" s="9">
        <f>Model_Data!A156</f>
        <v>17</v>
      </c>
      <c r="Z156" s="9">
        <f>0</f>
        <v>0</v>
      </c>
      <c r="AA156" s="9">
        <f>((SQRT((Inputs!$C$52+Inputs!$C$5)^2+Inputs!$C$52^2-2*(Inputs!$C$52+Inputs!$C$5)*Inputs!$C$52*COS(SQRT((Model_Data!A156)^2+Inputs!$C$6^2)/Inputs!$C$52))-Inputs!$C$5)*1000/Inputs!$C$12)</f>
        <v>804.88086860178259</v>
      </c>
      <c r="AB156" s="9">
        <f>Model_Data!F156</f>
        <v>804.36901940361861</v>
      </c>
    </row>
    <row r="157" spans="1:28">
      <c r="A157" s="9">
        <f>Model_Data!A157</f>
        <v>17.5</v>
      </c>
      <c r="B157" s="9">
        <f>0</f>
        <v>0</v>
      </c>
      <c r="C157" s="9">
        <f>((SQRT((Inputs!$C$52+Inputs!$C$5)^2+Inputs!$C$52^2-2*(Inputs!$C$52+Inputs!$C$5)*Inputs!$C$52*COS(SQRT((Model_Data!A157)^2+Inputs!$C$6^2)/Inputs!$C$52))-Inputs!$C$5)*1000/Inputs!$C$12)</f>
        <v>820.04335404845415</v>
      </c>
      <c r="D157" s="9">
        <f>Model_Data!F157</f>
        <v>819.49080366980468</v>
      </c>
      <c r="E157" s="9">
        <f>Model_Data!AC157</f>
        <v>625.67072303534258</v>
      </c>
      <c r="F157" s="10"/>
      <c r="G157" s="9">
        <f>Model_Data!A157</f>
        <v>17.5</v>
      </c>
      <c r="H157" s="9">
        <f>Model_Data!Y157</f>
        <v>412.59673853511725</v>
      </c>
      <c r="I157" s="9">
        <f>Model_Data!Y157</f>
        <v>412.59673853511725</v>
      </c>
      <c r="J157" s="9">
        <f>Model_Data!X157</f>
        <v>65.712265116192313</v>
      </c>
      <c r="K157" s="9">
        <f>Model_Data!A157</f>
        <v>17.5</v>
      </c>
      <c r="L157" s="9">
        <f>Model_Data!Y157</f>
        <v>412.59673853511725</v>
      </c>
      <c r="M157" s="9">
        <f>Model_Data!X157</f>
        <v>65.712265116192313</v>
      </c>
      <c r="N157" s="9">
        <f>-(Model_Data!AC157-Model_Data!F157)*Inputs!$C$12</f>
        <v>344.99974352934254</v>
      </c>
      <c r="O157" s="10"/>
      <c r="P157" s="9">
        <f>Model_Data!A157</f>
        <v>17.5</v>
      </c>
      <c r="Q157" s="9">
        <f>Model_Data!P157</f>
        <v>-149.59774689641563</v>
      </c>
      <c r="R157" s="9">
        <f>Model_Data!AM157</f>
        <v>-126.66363410589838</v>
      </c>
      <c r="S157" s="9">
        <f>Model_Data!Q157</f>
        <v>-22.462124158620966</v>
      </c>
      <c r="T157" s="9">
        <f>Model_Data!AN157</f>
        <v>-19.018563679564323</v>
      </c>
      <c r="U157" s="10"/>
      <c r="V157" s="9">
        <f>Model_Data!A157</f>
        <v>17.5</v>
      </c>
      <c r="W157" s="9">
        <f>Model_Data!B157-Inputs!$C$5</f>
        <v>0.34027777777777146</v>
      </c>
      <c r="X157" s="10"/>
      <c r="Y157" s="9">
        <f>Model_Data!A157</f>
        <v>17.5</v>
      </c>
      <c r="Z157" s="9">
        <f>0</f>
        <v>0</v>
      </c>
      <c r="AA157" s="9">
        <f>((SQRT((Inputs!$C$52+Inputs!$C$5)^2+Inputs!$C$52^2-2*(Inputs!$C$52+Inputs!$C$5)*Inputs!$C$52*COS(SQRT((Model_Data!A157)^2+Inputs!$C$6^2)/Inputs!$C$52))-Inputs!$C$5)*1000/Inputs!$C$12)</f>
        <v>820.04335404845415</v>
      </c>
      <c r="AB157" s="9">
        <f>Model_Data!F157</f>
        <v>819.49080366980468</v>
      </c>
    </row>
    <row r="158" spans="1:28">
      <c r="A158" s="9">
        <f>Model_Data!A158</f>
        <v>18</v>
      </c>
      <c r="B158" s="9">
        <f>0</f>
        <v>0</v>
      </c>
      <c r="C158" s="9">
        <f>((SQRT((Inputs!$C$52+Inputs!$C$5)^2+Inputs!$C$52^2-2*(Inputs!$C$52+Inputs!$C$5)*Inputs!$C$52*COS(SQRT((Model_Data!A158)^2+Inputs!$C$6^2)/Inputs!$C$52))-Inputs!$C$5)*1000/Inputs!$C$12)</f>
        <v>835.64424913528626</v>
      </c>
      <c r="D158" s="9">
        <f>Model_Data!F158</f>
        <v>835.04862778640972</v>
      </c>
      <c r="E158" s="9">
        <f>Model_Data!AC158</f>
        <v>641.27245008353896</v>
      </c>
      <c r="F158" s="10"/>
      <c r="G158" s="9">
        <f>Model_Data!A158</f>
        <v>18</v>
      </c>
      <c r="H158" s="9">
        <f>Model_Data!Y158</f>
        <v>417.36712485558922</v>
      </c>
      <c r="I158" s="9">
        <f>Model_Data!Y158</f>
        <v>417.36712485558922</v>
      </c>
      <c r="J158" s="9">
        <f>Model_Data!X158</f>
        <v>70.502986137150288</v>
      </c>
      <c r="K158" s="9">
        <f>Model_Data!A158</f>
        <v>18</v>
      </c>
      <c r="L158" s="9">
        <f>Model_Data!Y158</f>
        <v>417.36712485558922</v>
      </c>
      <c r="M158" s="9">
        <f>Model_Data!X158</f>
        <v>70.502986137150288</v>
      </c>
      <c r="N158" s="9">
        <f>-(Model_Data!AC158-Model_Data!F158)*Inputs!$C$12</f>
        <v>344.92159631110997</v>
      </c>
      <c r="O158" s="10"/>
      <c r="P158" s="9">
        <f>Model_Data!A158</f>
        <v>18</v>
      </c>
      <c r="Q158" s="9">
        <f>Model_Data!P158</f>
        <v>-153.85865527787246</v>
      </c>
      <c r="R158" s="9">
        <f>Model_Data!AM158</f>
        <v>-151.69053844329028</v>
      </c>
      <c r="S158" s="9">
        <f>Model_Data!Q158</f>
        <v>-23.101900191872744</v>
      </c>
      <c r="T158" s="9">
        <f>Model_Data!AN158</f>
        <v>-22.77635712361716</v>
      </c>
      <c r="U158" s="10"/>
      <c r="V158" s="9">
        <f>Model_Data!A158</f>
        <v>18</v>
      </c>
      <c r="W158" s="9">
        <f>Model_Data!B158-Inputs!$C$5</f>
        <v>0.36000000000001364</v>
      </c>
      <c r="X158" s="10"/>
      <c r="Y158" s="9">
        <f>Model_Data!A158</f>
        <v>18</v>
      </c>
      <c r="Z158" s="9">
        <f>0</f>
        <v>0</v>
      </c>
      <c r="AA158" s="9">
        <f>((SQRT((Inputs!$C$52+Inputs!$C$5)^2+Inputs!$C$52^2-2*(Inputs!$C$52+Inputs!$C$5)*Inputs!$C$52*COS(SQRT((Model_Data!A158)^2+Inputs!$C$6^2)/Inputs!$C$52))-Inputs!$C$5)*1000/Inputs!$C$12)</f>
        <v>835.64424913528626</v>
      </c>
      <c r="AB158" s="9">
        <f>Model_Data!F158</f>
        <v>835.04862778640972</v>
      </c>
    </row>
    <row r="159" spans="1:28">
      <c r="A159" s="9">
        <f>Model_Data!A159</f>
        <v>18.5</v>
      </c>
      <c r="B159" s="9">
        <f>0</f>
        <v>0</v>
      </c>
      <c r="C159" s="9">
        <f>((SQRT((Inputs!$C$52+Inputs!$C$5)^2+Inputs!$C$52^2-2*(Inputs!$C$52+Inputs!$C$5)*Inputs!$C$52*COS(SQRT((Model_Data!A159)^2+Inputs!$C$6^2)/Inputs!$C$52))-Inputs!$C$5)*1000/Inputs!$C$12)</f>
        <v>851.68346129772124</v>
      </c>
      <c r="D159" s="9">
        <f>Model_Data!F159</f>
        <v>851.04229779825971</v>
      </c>
      <c r="E159" s="9">
        <f>Model_Data!AC159</f>
        <v>666.82136039925524</v>
      </c>
      <c r="F159" s="10"/>
      <c r="G159" s="9">
        <f>Model_Data!A159</f>
        <v>18.5</v>
      </c>
      <c r="H159" s="9">
        <f>Model_Data!Y159</f>
        <v>414.03078360213277</v>
      </c>
      <c r="I159" s="9">
        <f>Model_Data!Y159</f>
        <v>414.03078360213277</v>
      </c>
      <c r="J159" s="9">
        <f>Model_Data!X159</f>
        <v>84.15381309689964</v>
      </c>
      <c r="K159" s="9">
        <f>Model_Data!A159</f>
        <v>18.5</v>
      </c>
      <c r="L159" s="9">
        <f>Model_Data!Y159</f>
        <v>414.03078360213277</v>
      </c>
      <c r="M159" s="9">
        <f>Model_Data!X159</f>
        <v>84.15381309689964</v>
      </c>
      <c r="N159" s="9">
        <f>-(Model_Data!AC159-Model_Data!F159)*Inputs!$C$12</f>
        <v>327.91326857022796</v>
      </c>
      <c r="O159" s="10"/>
      <c r="P159" s="9">
        <f>Model_Data!A159</f>
        <v>18.5</v>
      </c>
      <c r="Q159" s="9">
        <f>Model_Data!P159</f>
        <v>-158.1184436692638</v>
      </c>
      <c r="R159" s="9">
        <f>Model_Data!AM159</f>
        <v>-139.17571677347951</v>
      </c>
      <c r="S159" s="9">
        <f>Model_Data!Q159</f>
        <v>-23.741508058448019</v>
      </c>
      <c r="T159" s="9">
        <f>Model_Data!AN159</f>
        <v>-20.897254770792721</v>
      </c>
      <c r="U159" s="10"/>
      <c r="V159" s="9">
        <f>Model_Data!A159</f>
        <v>18.5</v>
      </c>
      <c r="W159" s="9">
        <f>Model_Data!B159-Inputs!$C$5</f>
        <v>0.38027777777779193</v>
      </c>
      <c r="X159" s="10"/>
      <c r="Y159" s="9">
        <f>Model_Data!A159</f>
        <v>18.5</v>
      </c>
      <c r="Z159" s="9">
        <f>0</f>
        <v>0</v>
      </c>
      <c r="AA159" s="9">
        <f>((SQRT((Inputs!$C$52+Inputs!$C$5)^2+Inputs!$C$52^2-2*(Inputs!$C$52+Inputs!$C$5)*Inputs!$C$52*COS(SQRT((Model_Data!A159)^2+Inputs!$C$6^2)/Inputs!$C$52))-Inputs!$C$5)*1000/Inputs!$C$12)</f>
        <v>851.68346129772124</v>
      </c>
      <c r="AB159" s="9">
        <f>Model_Data!F159</f>
        <v>851.04229779825971</v>
      </c>
    </row>
    <row r="160" spans="1:28">
      <c r="A160" s="9">
        <f>Model_Data!A160</f>
        <v>19</v>
      </c>
      <c r="B160" s="9">
        <f>0</f>
        <v>0</v>
      </c>
      <c r="C160" s="9">
        <f>((SQRT((Inputs!$C$52+Inputs!$C$5)^2+Inputs!$C$52^2-2*(Inputs!$C$52+Inputs!$C$5)*Inputs!$C$52*COS(SQRT((Model_Data!A160)^2+Inputs!$C$6^2)/Inputs!$C$52))-Inputs!$C$5)*1000/Inputs!$C$12)</f>
        <v>868.16089539728011</v>
      </c>
      <c r="D160" s="9">
        <f>Model_Data!F160</f>
        <v>867.47161440562172</v>
      </c>
      <c r="E160" s="9">
        <f>Model_Data!AC160</f>
        <v>676.75890358421725</v>
      </c>
      <c r="F160" s="10"/>
      <c r="G160" s="9">
        <f>Model_Data!A160</f>
        <v>19</v>
      </c>
      <c r="H160" s="9">
        <f>Model_Data!Y160</f>
        <v>429.33926339108206</v>
      </c>
      <c r="I160" s="9">
        <f>Model_Data!Y160</f>
        <v>429.33926339108206</v>
      </c>
      <c r="J160" s="9">
        <f>Model_Data!X160</f>
        <v>87.795161496026481</v>
      </c>
      <c r="K160" s="9">
        <f>Model_Data!A160</f>
        <v>19</v>
      </c>
      <c r="L160" s="9">
        <f>Model_Data!Y160</f>
        <v>429.33926339108206</v>
      </c>
      <c r="M160" s="9">
        <f>Model_Data!X160</f>
        <v>87.795161496026481</v>
      </c>
      <c r="N160" s="9">
        <f>-(Model_Data!AC160-Model_Data!F160)*Inputs!$C$12</f>
        <v>339.46862526209998</v>
      </c>
      <c r="O160" s="10"/>
      <c r="P160" s="9">
        <f>Model_Data!A160</f>
        <v>19</v>
      </c>
      <c r="Q160" s="9">
        <f>Model_Data!P160</f>
        <v>-162.37708165526783</v>
      </c>
      <c r="R160" s="9">
        <f>Model_Data!AM160</f>
        <v>-126.46437359499032</v>
      </c>
      <c r="S160" s="9">
        <f>Model_Data!Q160</f>
        <v>-24.380943191481659</v>
      </c>
      <c r="T160" s="9">
        <f>Model_Data!AN160</f>
        <v>-18.988644683932481</v>
      </c>
      <c r="U160" s="10"/>
      <c r="V160" s="9">
        <f>Model_Data!A160</f>
        <v>19</v>
      </c>
      <c r="W160" s="9">
        <f>Model_Data!B160-Inputs!$C$5</f>
        <v>0.40111111111110631</v>
      </c>
      <c r="X160" s="10"/>
      <c r="Y160" s="9">
        <f>Model_Data!A160</f>
        <v>19</v>
      </c>
      <c r="Z160" s="9">
        <f>0</f>
        <v>0</v>
      </c>
      <c r="AA160" s="9">
        <f>((SQRT((Inputs!$C$52+Inputs!$C$5)^2+Inputs!$C$52^2-2*(Inputs!$C$52+Inputs!$C$5)*Inputs!$C$52*COS(SQRT((Model_Data!A160)^2+Inputs!$C$6^2)/Inputs!$C$52))-Inputs!$C$5)*1000/Inputs!$C$12)</f>
        <v>868.16089539728011</v>
      </c>
      <c r="AB160" s="9">
        <f>Model_Data!F160</f>
        <v>867.47161440562172</v>
      </c>
    </row>
    <row r="161" spans="1:28">
      <c r="A161" s="9">
        <f>Model_Data!A161</f>
        <v>19.5</v>
      </c>
      <c r="B161" s="9">
        <f>0</f>
        <v>0</v>
      </c>
      <c r="C161" s="9">
        <f>((SQRT((Inputs!$C$52+Inputs!$C$5)^2+Inputs!$C$52^2-2*(Inputs!$C$52+Inputs!$C$5)*Inputs!$C$52*COS(SQRT((Model_Data!A161)^2+Inputs!$C$6^2)/Inputs!$C$52))-Inputs!$C$5)*1000/Inputs!$C$12)</f>
        <v>885.07645372370268</v>
      </c>
      <c r="D161" s="9">
        <f>Model_Data!F161</f>
        <v>884.3363729737207</v>
      </c>
      <c r="E161" s="9">
        <f>Model_Data!AC161</f>
        <v>685.22022893912333</v>
      </c>
      <c r="F161" s="10"/>
      <c r="G161" s="9">
        <f>Model_Data!A161</f>
        <v>19.5</v>
      </c>
      <c r="H161" s="9">
        <f>Model_Data!Y161</f>
        <v>436.66425250955575</v>
      </c>
      <c r="I161" s="9">
        <f>Model_Data!Y161</f>
        <v>436.66425250955575</v>
      </c>
      <c r="J161" s="9">
        <f>Model_Data!X161</f>
        <v>80.085787823255487</v>
      </c>
      <c r="K161" s="9">
        <f>Model_Data!A161</f>
        <v>19.5</v>
      </c>
      <c r="L161" s="9">
        <f>Model_Data!Y161</f>
        <v>436.66425250955575</v>
      </c>
      <c r="M161" s="9">
        <f>Model_Data!X161</f>
        <v>80.085787823255487</v>
      </c>
      <c r="N161" s="9">
        <f>-(Model_Data!AC161-Model_Data!F161)*Inputs!$C$12</f>
        <v>354.42673638158334</v>
      </c>
      <c r="O161" s="10"/>
      <c r="P161" s="9">
        <f>Model_Data!A161</f>
        <v>19.5</v>
      </c>
      <c r="Q161" s="9">
        <f>Model_Data!P161</f>
        <v>-166.6345388791342</v>
      </c>
      <c r="R161" s="9">
        <f>Model_Data!AM161</f>
        <v>-151.36712018684193</v>
      </c>
      <c r="S161" s="9">
        <f>Model_Data!Q161</f>
        <v>-25.020201032903035</v>
      </c>
      <c r="T161" s="9">
        <f>Model_Data!AN161</f>
        <v>-22.727795823850141</v>
      </c>
      <c r="U161" s="10"/>
      <c r="V161" s="9">
        <f>Model_Data!A161</f>
        <v>19.5</v>
      </c>
      <c r="W161" s="9">
        <f>Model_Data!B161-Inputs!$C$5</f>
        <v>0.42250000000001364</v>
      </c>
      <c r="X161" s="10"/>
      <c r="Y161" s="9">
        <f>Model_Data!A161</f>
        <v>19.5</v>
      </c>
      <c r="Z161" s="9">
        <f>0</f>
        <v>0</v>
      </c>
      <c r="AA161" s="9">
        <f>((SQRT((Inputs!$C$52+Inputs!$C$5)^2+Inputs!$C$52^2-2*(Inputs!$C$52+Inputs!$C$5)*Inputs!$C$52*COS(SQRT((Model_Data!A161)^2+Inputs!$C$6^2)/Inputs!$C$52))-Inputs!$C$5)*1000/Inputs!$C$12)</f>
        <v>885.07645372370268</v>
      </c>
      <c r="AB161" s="9">
        <f>Model_Data!F161</f>
        <v>884.3363729737207</v>
      </c>
    </row>
    <row r="162" spans="1:28">
      <c r="A162" s="9">
        <f>Model_Data!A162</f>
        <v>20</v>
      </c>
      <c r="B162" s="9">
        <f>0</f>
        <v>0</v>
      </c>
      <c r="C162" s="9">
        <f>((SQRT((Inputs!$C$52+Inputs!$C$5)^2+Inputs!$C$52^2-2*(Inputs!$C$52+Inputs!$C$5)*Inputs!$C$52*COS(SQRT((Model_Data!A162)^2+Inputs!$C$6^2)/Inputs!$C$52))-Inputs!$C$5)*1000/Inputs!$C$12)</f>
        <v>902.43003599890687</v>
      </c>
      <c r="D162" s="9">
        <f>Model_Data!F162</f>
        <v>901.63636354388461</v>
      </c>
      <c r="E162" s="9">
        <f>Model_Data!AC162</f>
        <v>697.99914174516266</v>
      </c>
      <c r="F162" s="10"/>
      <c r="G162" s="9">
        <f>Model_Data!A162</f>
        <v>20</v>
      </c>
      <c r="H162" s="9">
        <f>Model_Data!Y162</f>
        <v>439.01130208847866</v>
      </c>
      <c r="I162" s="9">
        <f>Model_Data!Y162</f>
        <v>439.01130208847866</v>
      </c>
      <c r="J162" s="9">
        <f>Model_Data!X162</f>
        <v>74.331668639094204</v>
      </c>
      <c r="K162" s="9">
        <f>Model_Data!A162</f>
        <v>20</v>
      </c>
      <c r="L162" s="9">
        <f>Model_Data!Y162</f>
        <v>439.01130208847866</v>
      </c>
      <c r="M162" s="9">
        <f>Model_Data!X162</f>
        <v>74.331668639094204</v>
      </c>
      <c r="N162" s="9">
        <f>-(Model_Data!AC162-Model_Data!F162)*Inputs!$C$12</f>
        <v>362.47425480172507</v>
      </c>
      <c r="O162" s="10"/>
      <c r="P162" s="9">
        <f>Model_Data!A162</f>
        <v>20</v>
      </c>
      <c r="Q162" s="9">
        <f>Model_Data!P162</f>
        <v>-170.89078503895507</v>
      </c>
      <c r="R162" s="9">
        <f>Model_Data!AM162</f>
        <v>-162.90904520274125</v>
      </c>
      <c r="S162" s="9">
        <f>Model_Data!Q162</f>
        <v>-25.65927703287614</v>
      </c>
      <c r="T162" s="9">
        <f>Model_Data!AN162</f>
        <v>-24.4608175980092</v>
      </c>
      <c r="U162" s="10"/>
      <c r="V162" s="9">
        <f>Model_Data!A162</f>
        <v>20</v>
      </c>
      <c r="W162" s="9">
        <f>Model_Data!B162-Inputs!$C$5</f>
        <v>0.44444444444445708</v>
      </c>
      <c r="X162" s="10"/>
      <c r="Y162" s="9">
        <f>Model_Data!A162</f>
        <v>20</v>
      </c>
      <c r="Z162" s="9">
        <f>0</f>
        <v>0</v>
      </c>
      <c r="AA162" s="9">
        <f>((SQRT((Inputs!$C$52+Inputs!$C$5)^2+Inputs!$C$52^2-2*(Inputs!$C$52+Inputs!$C$5)*Inputs!$C$52*COS(SQRT((Model_Data!A162)^2+Inputs!$C$6^2)/Inputs!$C$52))-Inputs!$C$5)*1000/Inputs!$C$12)</f>
        <v>902.43003599890687</v>
      </c>
      <c r="AB162" s="9">
        <f>Model_Data!F162</f>
        <v>901.63636354388461</v>
      </c>
    </row>
    <row r="163" spans="1:28">
      <c r="A163" s="9">
        <f>Model_Data!A163</f>
        <v>20.5</v>
      </c>
      <c r="B163" s="9">
        <f>0</f>
        <v>0</v>
      </c>
      <c r="C163" s="9">
        <f>((SQRT((Inputs!$C$52+Inputs!$C$5)^2+Inputs!$C$52^2-2*(Inputs!$C$52+Inputs!$C$5)*Inputs!$C$52*COS(SQRT((Model_Data!A163)^2+Inputs!$C$6^2)/Inputs!$C$52))-Inputs!$C$5)*1000/Inputs!$C$12)</f>
        <v>920.22153937887322</v>
      </c>
      <c r="D163" s="9">
        <f>Model_Data!F163</f>
        <v>919.37137084165556</v>
      </c>
      <c r="E163" s="9">
        <f>Model_Data!AC163</f>
        <v>715.76568363121146</v>
      </c>
      <c r="F163" s="10"/>
      <c r="G163" s="9">
        <f>Model_Data!A163</f>
        <v>20.5</v>
      </c>
      <c r="H163" s="9">
        <f>Model_Data!Y163</f>
        <v>441.76372328978528</v>
      </c>
      <c r="I163" s="9">
        <f>Model_Data!Y163</f>
        <v>441.76372328978528</v>
      </c>
      <c r="J163" s="9">
        <f>Model_Data!X163</f>
        <v>77.082988367878912</v>
      </c>
      <c r="K163" s="9">
        <f>Model_Data!A163</f>
        <v>20.5</v>
      </c>
      <c r="L163" s="9">
        <f>Model_Data!Y163</f>
        <v>441.76372328978528</v>
      </c>
      <c r="M163" s="9">
        <f>Model_Data!X163</f>
        <v>77.082988367878912</v>
      </c>
      <c r="N163" s="9">
        <f>-(Model_Data!AC163-Model_Data!F163)*Inputs!$C$12</f>
        <v>362.4181232345905</v>
      </c>
      <c r="O163" s="10"/>
      <c r="P163" s="9">
        <f>Model_Data!A163</f>
        <v>20.5</v>
      </c>
      <c r="Q163" s="9">
        <f>Model_Data!P163</f>
        <v>-175.14578990121663</v>
      </c>
      <c r="R163" s="9">
        <f>Model_Data!AM163</f>
        <v>-171.71634810874821</v>
      </c>
      <c r="S163" s="9">
        <f>Model_Data!Q163</f>
        <v>-26.298166651834332</v>
      </c>
      <c r="T163" s="9">
        <f>Model_Data!AN163</f>
        <v>-25.783235451763996</v>
      </c>
      <c r="U163" s="10"/>
      <c r="V163" s="9">
        <f>Model_Data!A163</f>
        <v>20.5</v>
      </c>
      <c r="W163" s="9">
        <f>Model_Data!B163-Inputs!$C$5</f>
        <v>0.46694444444443661</v>
      </c>
      <c r="X163" s="10"/>
      <c r="Y163" s="9">
        <f>Model_Data!A163</f>
        <v>20.5</v>
      </c>
      <c r="Z163" s="9">
        <f>0</f>
        <v>0</v>
      </c>
      <c r="AA163" s="9">
        <f>((SQRT((Inputs!$C$52+Inputs!$C$5)^2+Inputs!$C$52^2-2*(Inputs!$C$52+Inputs!$C$5)*Inputs!$C$52*COS(SQRT((Model_Data!A163)^2+Inputs!$C$6^2)/Inputs!$C$52))-Inputs!$C$5)*1000/Inputs!$C$12)</f>
        <v>920.22153937887322</v>
      </c>
      <c r="AB163" s="9">
        <f>Model_Data!F163</f>
        <v>919.37137084165556</v>
      </c>
    </row>
    <row r="164" spans="1:28">
      <c r="A164" s="9">
        <f>Model_Data!A164</f>
        <v>21</v>
      </c>
      <c r="B164" s="9">
        <f>0</f>
        <v>0</v>
      </c>
      <c r="C164" s="9">
        <f>((SQRT((Inputs!$C$52+Inputs!$C$5)^2+Inputs!$C$52^2-2*(Inputs!$C$52+Inputs!$C$5)*Inputs!$C$52*COS(SQRT((Model_Data!A164)^2+Inputs!$C$6^2)/Inputs!$C$52))-Inputs!$C$5)*1000/Inputs!$C$12)</f>
        <v>938.45085845699805</v>
      </c>
      <c r="D164" s="9">
        <f>Model_Data!F164</f>
        <v>937.54117429259725</v>
      </c>
      <c r="E164" s="9">
        <f>Model_Data!AC164</f>
        <v>738.47193610302463</v>
      </c>
      <c r="F164" s="10"/>
      <c r="G164" s="9">
        <f>Model_Data!A164</f>
        <v>21</v>
      </c>
      <c r="H164" s="9">
        <f>Model_Data!Y164</f>
        <v>441.25371433177679</v>
      </c>
      <c r="I164" s="9">
        <f>Model_Data!Y164</f>
        <v>441.25371433177679</v>
      </c>
      <c r="J164" s="9">
        <f>Model_Data!X164</f>
        <v>84.606080583689305</v>
      </c>
      <c r="K164" s="9">
        <f>Model_Data!A164</f>
        <v>21</v>
      </c>
      <c r="L164" s="9">
        <f>Model_Data!Y164</f>
        <v>441.25371433177679</v>
      </c>
      <c r="M164" s="9">
        <f>Model_Data!X164</f>
        <v>84.606080583689305</v>
      </c>
      <c r="N164" s="9">
        <f>-(Model_Data!AC164-Model_Data!F164)*Inputs!$C$12</f>
        <v>354.34324397743927</v>
      </c>
      <c r="O164" s="10"/>
      <c r="P164" s="9">
        <f>Model_Data!A164</f>
        <v>21</v>
      </c>
      <c r="Q164" s="9">
        <f>Model_Data!P164</f>
        <v>-179.3995232830639</v>
      </c>
      <c r="R164" s="9">
        <f>Model_Data!AM164</f>
        <v>-175.76256821785137</v>
      </c>
      <c r="S164" s="9">
        <f>Model_Data!Q164</f>
        <v>-26.936865357817403</v>
      </c>
      <c r="T164" s="9">
        <f>Model_Data!AN164</f>
        <v>-26.390776008686395</v>
      </c>
      <c r="U164" s="10"/>
      <c r="V164" s="9">
        <f>Model_Data!A164</f>
        <v>21</v>
      </c>
      <c r="W164" s="9">
        <f>Model_Data!B164-Inputs!$C$5</f>
        <v>0.49000000000000909</v>
      </c>
      <c r="X164" s="10"/>
      <c r="Y164" s="9">
        <f>Model_Data!A164</f>
        <v>21</v>
      </c>
      <c r="Z164" s="9">
        <f>0</f>
        <v>0</v>
      </c>
      <c r="AA164" s="9">
        <f>((SQRT((Inputs!$C$52+Inputs!$C$5)^2+Inputs!$C$52^2-2*(Inputs!$C$52+Inputs!$C$5)*Inputs!$C$52*COS(SQRT((Model_Data!A164)^2+Inputs!$C$6^2)/Inputs!$C$52))-Inputs!$C$5)*1000/Inputs!$C$12)</f>
        <v>938.45085845699805</v>
      </c>
      <c r="AB164" s="9">
        <f>Model_Data!F164</f>
        <v>937.54117429259725</v>
      </c>
    </row>
    <row r="165" spans="1:28">
      <c r="A165" s="9">
        <f>Model_Data!A165</f>
        <v>21.5</v>
      </c>
      <c r="B165" s="9">
        <f>0</f>
        <v>0</v>
      </c>
      <c r="C165" s="9">
        <f>((SQRT((Inputs!$C$52+Inputs!$C$5)^2+Inputs!$C$52^2-2*(Inputs!$C$52+Inputs!$C$5)*Inputs!$C$52*COS(SQRT((Model_Data!A165)^2+Inputs!$C$6^2)/Inputs!$C$52))-Inputs!$C$5)*1000/Inputs!$C$12)</f>
        <v>957.11788526674366</v>
      </c>
      <c r="D165" s="9">
        <f>Model_Data!F165</f>
        <v>956.14554802437124</v>
      </c>
      <c r="E165" s="9">
        <f>Model_Data!AC165</f>
        <v>754.95311309827878</v>
      </c>
      <c r="F165" s="10"/>
      <c r="G165" s="9">
        <f>Model_Data!A165</f>
        <v>21.5</v>
      </c>
      <c r="H165" s="9">
        <f>Model_Data!Y165</f>
        <v>444.13942667643141</v>
      </c>
      <c r="I165" s="9">
        <f>Model_Data!Y165</f>
        <v>444.13942667643141</v>
      </c>
      <c r="J165" s="9">
        <f>Model_Data!X165</f>
        <v>83.651674349785893</v>
      </c>
      <c r="K165" s="9">
        <f>Model_Data!A165</f>
        <v>21.5</v>
      </c>
      <c r="L165" s="9">
        <f>Model_Data!Y165</f>
        <v>444.13942667643141</v>
      </c>
      <c r="M165" s="9">
        <f>Model_Data!X165</f>
        <v>83.651674349785893</v>
      </c>
      <c r="N165" s="9">
        <f>-(Model_Data!AC165-Model_Data!F165)*Inputs!$C$12</f>
        <v>358.12253416844459</v>
      </c>
      <c r="O165" s="10"/>
      <c r="P165" s="9">
        <f>Model_Data!A165</f>
        <v>21.5</v>
      </c>
      <c r="Q165" s="9">
        <f>Model_Data!P165</f>
        <v>-183.65195507121825</v>
      </c>
      <c r="R165" s="9">
        <f>Model_Data!AM165</f>
        <v>-173.41463906941499</v>
      </c>
      <c r="S165" s="9">
        <f>Model_Data!Q165</f>
        <v>-27.575368629312052</v>
      </c>
      <c r="T165" s="9">
        <f>Model_Data!AN165</f>
        <v>-26.038234094506759</v>
      </c>
      <c r="U165" s="10"/>
      <c r="V165" s="9">
        <f>Model_Data!A165</f>
        <v>21.5</v>
      </c>
      <c r="W165" s="9">
        <f>Model_Data!B165-Inputs!$C$5</f>
        <v>0.51361111111111768</v>
      </c>
      <c r="X165" s="10"/>
      <c r="Y165" s="9">
        <f>Model_Data!A165</f>
        <v>21.5</v>
      </c>
      <c r="Z165" s="9">
        <f>0</f>
        <v>0</v>
      </c>
      <c r="AA165" s="9">
        <f>((SQRT((Inputs!$C$52+Inputs!$C$5)^2+Inputs!$C$52^2-2*(Inputs!$C$52+Inputs!$C$5)*Inputs!$C$52*COS(SQRT((Model_Data!A165)^2+Inputs!$C$6^2)/Inputs!$C$52))-Inputs!$C$5)*1000/Inputs!$C$12)</f>
        <v>957.11788526674366</v>
      </c>
      <c r="AB165" s="9">
        <f>Model_Data!F165</f>
        <v>956.14554802437124</v>
      </c>
    </row>
    <row r="166" spans="1:28">
      <c r="A166" s="9">
        <f>Model_Data!A166</f>
        <v>22</v>
      </c>
      <c r="B166" s="9">
        <f>0</f>
        <v>0</v>
      </c>
      <c r="C166" s="9">
        <f>((SQRT((Inputs!$C$52+Inputs!$C$5)^2+Inputs!$C$52^2-2*(Inputs!$C$52+Inputs!$C$5)*Inputs!$C$52*COS(SQRT((Model_Data!A166)^2+Inputs!$C$6^2)/Inputs!$C$52))-Inputs!$C$5)*1000/Inputs!$C$12)</f>
        <v>976.22250928585402</v>
      </c>
      <c r="D166" s="9">
        <f>Model_Data!F166</f>
        <v>975.18426088909052</v>
      </c>
      <c r="E166" s="9">
        <f>Model_Data!AC166</f>
        <v>766.20575032811735</v>
      </c>
      <c r="F166" s="10"/>
      <c r="G166" s="9">
        <f>Model_Data!A166</f>
        <v>22</v>
      </c>
      <c r="H166" s="9">
        <f>Model_Data!Y166</f>
        <v>447.7794532624074</v>
      </c>
      <c r="I166" s="9">
        <f>Model_Data!Y166</f>
        <v>447.7794532624074</v>
      </c>
      <c r="J166" s="9">
        <f>Model_Data!X166</f>
        <v>73.365898263722698</v>
      </c>
      <c r="K166" s="9">
        <f>Model_Data!A166</f>
        <v>22</v>
      </c>
      <c r="L166" s="9">
        <f>Model_Data!Y166</f>
        <v>447.7794532624074</v>
      </c>
      <c r="M166" s="9">
        <f>Model_Data!X166</f>
        <v>73.365898263722698</v>
      </c>
      <c r="N166" s="9">
        <f>-(Model_Data!AC166-Model_Data!F166)*Inputs!$C$12</f>
        <v>371.98174879853224</v>
      </c>
      <c r="O166" s="10"/>
      <c r="P166" s="9">
        <f>Model_Data!A166</f>
        <v>22</v>
      </c>
      <c r="Q166" s="9">
        <f>Model_Data!P166</f>
        <v>-187.90305521988557</v>
      </c>
      <c r="R166" s="9">
        <f>Model_Data!AM166</f>
        <v>-190.64828334176127</v>
      </c>
      <c r="S166" s="9">
        <f>Model_Data!Q166</f>
        <v>-28.213671954937777</v>
      </c>
      <c r="T166" s="9">
        <f>Model_Data!AN166</f>
        <v>-28.625868369633828</v>
      </c>
      <c r="U166" s="10"/>
      <c r="V166" s="9">
        <f>Model_Data!A166</f>
        <v>22</v>
      </c>
      <c r="W166" s="9">
        <f>Model_Data!B166-Inputs!$C$5</f>
        <v>0.53777777777776237</v>
      </c>
      <c r="X166" s="10"/>
      <c r="Y166" s="9">
        <f>Model_Data!A166</f>
        <v>22</v>
      </c>
      <c r="Z166" s="9">
        <f>0</f>
        <v>0</v>
      </c>
      <c r="AA166" s="9">
        <f>((SQRT((Inputs!$C$52+Inputs!$C$5)^2+Inputs!$C$52^2-2*(Inputs!$C$52+Inputs!$C$5)*Inputs!$C$52*COS(SQRT((Model_Data!A166)^2+Inputs!$C$6^2)/Inputs!$C$52))-Inputs!$C$5)*1000/Inputs!$C$12)</f>
        <v>976.22250928585402</v>
      </c>
      <c r="AB166" s="9">
        <f>Model_Data!F166</f>
        <v>975.18426088909052</v>
      </c>
    </row>
    <row r="167" spans="1:28">
      <c r="A167" s="9">
        <f>Model_Data!A167</f>
        <v>22.5</v>
      </c>
      <c r="B167" s="9">
        <f>0</f>
        <v>0</v>
      </c>
      <c r="C167" s="9">
        <f>((SQRT((Inputs!$C$52+Inputs!$C$5)^2+Inputs!$C$52^2-2*(Inputs!$C$52+Inputs!$C$5)*Inputs!$C$52*COS(SQRT((Model_Data!A167)^2+Inputs!$C$6^2)/Inputs!$C$52))-Inputs!$C$5)*1000/Inputs!$C$12)</f>
        <v>995.76461743903735</v>
      </c>
      <c r="D167" s="9">
        <f>Model_Data!F167</f>
        <v>994.65707646456565</v>
      </c>
      <c r="E167" s="9">
        <f>Model_Data!AC167</f>
        <v>788.92942429868094</v>
      </c>
      <c r="F167" s="10"/>
      <c r="G167" s="9">
        <f>Model_Data!A167</f>
        <v>22.5</v>
      </c>
      <c r="H167" s="9">
        <f>Model_Data!Y167</f>
        <v>442.50927153418206</v>
      </c>
      <c r="I167" s="9">
        <f>Model_Data!Y167</f>
        <v>442.50927153418206</v>
      </c>
      <c r="J167" s="9">
        <f>Model_Data!X167</f>
        <v>73.863220086762837</v>
      </c>
      <c r="K167" s="9">
        <f>Model_Data!A167</f>
        <v>22.5</v>
      </c>
      <c r="L167" s="9">
        <f>Model_Data!Y167</f>
        <v>442.50927153418206</v>
      </c>
      <c r="M167" s="9">
        <f>Model_Data!X167</f>
        <v>73.863220086762837</v>
      </c>
      <c r="N167" s="9">
        <f>-(Model_Data!AC167-Model_Data!F167)*Inputs!$C$12</f>
        <v>366.19522085527478</v>
      </c>
      <c r="O167" s="10"/>
      <c r="P167" s="9">
        <f>Model_Data!A167</f>
        <v>22.5</v>
      </c>
      <c r="Q167" s="9">
        <f>Model_Data!P167</f>
        <v>-192.15279373456724</v>
      </c>
      <c r="R167" s="9">
        <f>Model_Data!AM167</f>
        <v>-207.66237126308624</v>
      </c>
      <c r="S167" s="9">
        <f>Model_Data!Q167</f>
        <v>-28.851770831016104</v>
      </c>
      <c r="T167" s="9">
        <f>Model_Data!AN167</f>
        <v>-31.180536225688627</v>
      </c>
      <c r="U167" s="10"/>
      <c r="V167" s="9">
        <f>Model_Data!A167</f>
        <v>22.5</v>
      </c>
      <c r="W167" s="9">
        <f>Model_Data!B167-Inputs!$C$5</f>
        <v>0.5625</v>
      </c>
      <c r="X167" s="10"/>
      <c r="Y167" s="9">
        <f>Model_Data!A167</f>
        <v>22.5</v>
      </c>
      <c r="Z167" s="9">
        <f>0</f>
        <v>0</v>
      </c>
      <c r="AA167" s="9">
        <f>((SQRT((Inputs!$C$52+Inputs!$C$5)^2+Inputs!$C$52^2-2*(Inputs!$C$52+Inputs!$C$5)*Inputs!$C$52*COS(SQRT((Model_Data!A167)^2+Inputs!$C$6^2)/Inputs!$C$52))-Inputs!$C$5)*1000/Inputs!$C$12)</f>
        <v>995.76461743903735</v>
      </c>
      <c r="AB167" s="9">
        <f>Model_Data!F167</f>
        <v>994.65707646456565</v>
      </c>
    </row>
    <row r="168" spans="1:28">
      <c r="A168" s="9">
        <f>Model_Data!A168</f>
        <v>23</v>
      </c>
      <c r="B168" s="9">
        <f>0</f>
        <v>0</v>
      </c>
      <c r="C168" s="9">
        <f>((SQRT((Inputs!$C$52+Inputs!$C$5)^2+Inputs!$C$52^2-2*(Inputs!$C$52+Inputs!$C$5)*Inputs!$C$52*COS(SQRT((Model_Data!A168)^2+Inputs!$C$6^2)/Inputs!$C$52))-Inputs!$C$5)*1000/Inputs!$C$12)</f>
        <v>1015.7440940999775</v>
      </c>
      <c r="D168" s="9">
        <f>Model_Data!F168</f>
        <v>1014.5637530711654</v>
      </c>
      <c r="E168" s="9">
        <f>Model_Data!AC168</f>
        <v>804.522959392281</v>
      </c>
      <c r="F168" s="10"/>
      <c r="G168" s="9">
        <f>Model_Data!A168</f>
        <v>23</v>
      </c>
      <c r="H168" s="9">
        <f>Model_Data!Y168</f>
        <v>438.1289491107309</v>
      </c>
      <c r="I168" s="9">
        <f>Model_Data!Y168</f>
        <v>438.1289491107309</v>
      </c>
      <c r="J168" s="9">
        <f>Model_Data!X168</f>
        <v>61.781548358505674</v>
      </c>
      <c r="K168" s="9">
        <f>Model_Data!A168</f>
        <v>23</v>
      </c>
      <c r="L168" s="9">
        <f>Model_Data!Y168</f>
        <v>438.1289491107309</v>
      </c>
      <c r="M168" s="9">
        <f>Model_Data!X168</f>
        <v>61.781548358505674</v>
      </c>
      <c r="N168" s="9">
        <f>-(Model_Data!AC168-Model_Data!F168)*Inputs!$C$12</f>
        <v>373.87261274841416</v>
      </c>
      <c r="O168" s="10"/>
      <c r="P168" s="9">
        <f>Model_Data!A168</f>
        <v>23</v>
      </c>
      <c r="Q168" s="9">
        <f>Model_Data!P168</f>
        <v>-196.40114070170966</v>
      </c>
      <c r="R168" s="9">
        <f>Model_Data!AM168</f>
        <v>-214.52838117938882</v>
      </c>
      <c r="S168" s="9">
        <f>Model_Data!Q168</f>
        <v>-29.489660766022475</v>
      </c>
      <c r="T168" s="9">
        <f>Model_Data!AN168</f>
        <v>-32.211468645553879</v>
      </c>
      <c r="U168" s="10"/>
      <c r="V168" s="9">
        <f>Model_Data!A168</f>
        <v>23</v>
      </c>
      <c r="W168" s="9">
        <f>Model_Data!B168-Inputs!$C$5</f>
        <v>0.58777777777777374</v>
      </c>
      <c r="X168" s="10"/>
      <c r="Y168" s="9">
        <f>Model_Data!A168</f>
        <v>23</v>
      </c>
      <c r="Z168" s="9">
        <f>0</f>
        <v>0</v>
      </c>
      <c r="AA168" s="9">
        <f>((SQRT((Inputs!$C$52+Inputs!$C$5)^2+Inputs!$C$52^2-2*(Inputs!$C$52+Inputs!$C$5)*Inputs!$C$52*COS(SQRT((Model_Data!A168)^2+Inputs!$C$6^2)/Inputs!$C$52))-Inputs!$C$5)*1000/Inputs!$C$12)</f>
        <v>1015.7440940999775</v>
      </c>
      <c r="AB168" s="9">
        <f>Model_Data!F168</f>
        <v>1014.5637530711654</v>
      </c>
    </row>
    <row r="169" spans="1:28">
      <c r="A169" s="9">
        <f>Model_Data!A169</f>
        <v>23.5</v>
      </c>
      <c r="B169" s="9">
        <f>0</f>
        <v>0</v>
      </c>
      <c r="C169" s="9">
        <f>((SQRT((Inputs!$C$52+Inputs!$C$5)^2+Inputs!$C$52^2-2*(Inputs!$C$52+Inputs!$C$5)*Inputs!$C$52*COS(SQRT((Model_Data!A169)^2+Inputs!$C$6^2)/Inputs!$C$52))-Inputs!$C$5)*1000/Inputs!$C$12)</f>
        <v>1036.1608210971144</v>
      </c>
      <c r="D169" s="9">
        <f>Model_Data!F169</f>
        <v>1034.9040437833773</v>
      </c>
      <c r="E169" s="9">
        <f>Model_Data!AC169</f>
        <v>833.92637704681476</v>
      </c>
      <c r="F169" s="10"/>
      <c r="G169" s="9">
        <f>Model_Data!A169</f>
        <v>23.5</v>
      </c>
      <c r="H169" s="9">
        <f>Model_Data!Y169</f>
        <v>431.2131008039683</v>
      </c>
      <c r="I169" s="9">
        <f>Model_Data!Y169</f>
        <v>431.2131008039683</v>
      </c>
      <c r="J169" s="9">
        <f>Model_Data!X169</f>
        <v>70.988668852426656</v>
      </c>
      <c r="K169" s="9">
        <f>Model_Data!A169</f>
        <v>23.5</v>
      </c>
      <c r="L169" s="9">
        <f>Model_Data!Y169</f>
        <v>431.2131008039683</v>
      </c>
      <c r="M169" s="9">
        <f>Model_Data!X169</f>
        <v>70.988668852426656</v>
      </c>
      <c r="N169" s="9">
        <f>-(Model_Data!AC169-Model_Data!F169)*Inputs!$C$12</f>
        <v>357.7402467910814</v>
      </c>
      <c r="O169" s="10"/>
      <c r="P169" s="9">
        <f>Model_Data!A169</f>
        <v>23.5</v>
      </c>
      <c r="Q169" s="9">
        <f>Model_Data!P169</f>
        <v>-200.64806626696736</v>
      </c>
      <c r="R169" s="9">
        <f>Model_Data!AM169</f>
        <v>-195.82322653741357</v>
      </c>
      <c r="S169" s="9">
        <f>Model_Data!Q169</f>
        <v>-30.127337277322429</v>
      </c>
      <c r="T169" s="9">
        <f>Model_Data!AN169</f>
        <v>-29.40288686747952</v>
      </c>
      <c r="U169" s="10"/>
      <c r="V169" s="9">
        <f>Model_Data!A169</f>
        <v>23.5</v>
      </c>
      <c r="W169" s="9">
        <f>Model_Data!B169-Inputs!$C$5</f>
        <v>0.61361111111108357</v>
      </c>
      <c r="X169" s="10"/>
      <c r="Y169" s="9">
        <f>Model_Data!A169</f>
        <v>23.5</v>
      </c>
      <c r="Z169" s="9">
        <f>0</f>
        <v>0</v>
      </c>
      <c r="AA169" s="9">
        <f>((SQRT((Inputs!$C$52+Inputs!$C$5)^2+Inputs!$C$52^2-2*(Inputs!$C$52+Inputs!$C$5)*Inputs!$C$52*COS(SQRT((Model_Data!A169)^2+Inputs!$C$6^2)/Inputs!$C$52))-Inputs!$C$5)*1000/Inputs!$C$12)</f>
        <v>1036.1608210971144</v>
      </c>
      <c r="AB169" s="9">
        <f>Model_Data!F169</f>
        <v>1034.9040437833773</v>
      </c>
    </row>
    <row r="170" spans="1:28">
      <c r="A170" s="9">
        <f>Model_Data!A170</f>
        <v>24</v>
      </c>
      <c r="B170" s="9">
        <f>0</f>
        <v>0</v>
      </c>
      <c r="C170" s="9">
        <f>((SQRT((Inputs!$C$52+Inputs!$C$5)^2+Inputs!$C$52^2-2*(Inputs!$C$52+Inputs!$C$5)*Inputs!$C$52*COS(SQRT((Model_Data!A170)^2+Inputs!$C$6^2)/Inputs!$C$52))-Inputs!$C$5)*1000/Inputs!$C$12)</f>
        <v>1057.0146777139</v>
      </c>
      <c r="D170" s="9">
        <f>Model_Data!F170</f>
        <v>1055.6776964389417</v>
      </c>
      <c r="E170" s="9">
        <f>Model_Data!AC170</f>
        <v>851.63188982809754</v>
      </c>
      <c r="F170" s="10"/>
      <c r="G170" s="9">
        <f>Model_Data!A170</f>
        <v>24</v>
      </c>
      <c r="H170" s="9">
        <f>Model_Data!Y170</f>
        <v>441.26250725072242</v>
      </c>
      <c r="I170" s="9">
        <f>Model_Data!Y170</f>
        <v>441.26250725072242</v>
      </c>
      <c r="J170" s="9">
        <f>Model_Data!X170</f>
        <v>75.468150170569217</v>
      </c>
      <c r="K170" s="9">
        <f>Model_Data!A170</f>
        <v>24</v>
      </c>
      <c r="L170" s="9">
        <f>Model_Data!Y170</f>
        <v>441.26250725072242</v>
      </c>
      <c r="M170" s="9">
        <f>Model_Data!X170</f>
        <v>75.468150170569217</v>
      </c>
      <c r="N170" s="9">
        <f>-(Model_Data!AC170-Model_Data!F170)*Inputs!$C$12</f>
        <v>363.20153576730257</v>
      </c>
      <c r="O170" s="10"/>
      <c r="P170" s="9">
        <f>Model_Data!A170</f>
        <v>24</v>
      </c>
      <c r="Q170" s="9">
        <f>Model_Data!P170</f>
        <v>-204.89354065312</v>
      </c>
      <c r="R170" s="9">
        <f>Model_Data!AM170</f>
        <v>-230.14401414493477</v>
      </c>
      <c r="S170" s="9">
        <f>Model_Data!Q170</f>
        <v>-30.764795893861866</v>
      </c>
      <c r="T170" s="9">
        <f>Model_Data!AN170</f>
        <v>-34.556158280020242</v>
      </c>
      <c r="U170" s="10"/>
      <c r="V170" s="9">
        <f>Model_Data!A170</f>
        <v>24</v>
      </c>
      <c r="W170" s="9">
        <f>Model_Data!B170-Inputs!$C$5</f>
        <v>0.63999999999998636</v>
      </c>
      <c r="X170" s="10"/>
      <c r="Y170" s="9">
        <f>Model_Data!A170</f>
        <v>24</v>
      </c>
      <c r="Z170" s="9">
        <f>0</f>
        <v>0</v>
      </c>
      <c r="AA170" s="9">
        <f>((SQRT((Inputs!$C$52+Inputs!$C$5)^2+Inputs!$C$52^2-2*(Inputs!$C$52+Inputs!$C$5)*Inputs!$C$52*COS(SQRT((Model_Data!A170)^2+Inputs!$C$6^2)/Inputs!$C$52))-Inputs!$C$5)*1000/Inputs!$C$12)</f>
        <v>1057.0146777139</v>
      </c>
      <c r="AB170" s="9">
        <f>Model_Data!F170</f>
        <v>1055.6776964389417</v>
      </c>
    </row>
    <row r="171" spans="1:28">
      <c r="A171" s="9">
        <f>Model_Data!A171</f>
        <v>24.5</v>
      </c>
      <c r="B171" s="9">
        <f>0</f>
        <v>0</v>
      </c>
      <c r="C171" s="9">
        <f>((SQRT((Inputs!$C$52+Inputs!$C$5)^2+Inputs!$C$52^2-2*(Inputs!$C$52+Inputs!$C$5)*Inputs!$C$52*COS(SQRT((Model_Data!A171)^2+Inputs!$C$6^2)/Inputs!$C$52))-Inputs!$C$5)*1000/Inputs!$C$12)</f>
        <v>1078.3055406969088</v>
      </c>
      <c r="D171" s="9">
        <f>Model_Data!F171</f>
        <v>1076.8844536568934</v>
      </c>
      <c r="E171" s="9">
        <f>Model_Data!AC171</f>
        <v>889.99725872606712</v>
      </c>
      <c r="F171" s="10"/>
      <c r="G171" s="9">
        <f>Model_Data!A171</f>
        <v>24.5</v>
      </c>
      <c r="H171" s="9">
        <f>Model_Data!Y171</f>
        <v>415.43697734419459</v>
      </c>
      <c r="I171" s="9">
        <f>Model_Data!Y171</f>
        <v>415.43697734419459</v>
      </c>
      <c r="J171" s="9">
        <f>Model_Data!X171</f>
        <v>80.288162734236394</v>
      </c>
      <c r="K171" s="9">
        <f>Model_Data!A171</f>
        <v>24.5</v>
      </c>
      <c r="L171" s="9">
        <f>Model_Data!Y171</f>
        <v>415.43697734419459</v>
      </c>
      <c r="M171" s="9">
        <f>Model_Data!X171</f>
        <v>80.288162734236394</v>
      </c>
      <c r="N171" s="9">
        <f>-(Model_Data!AC171-Model_Data!F171)*Inputs!$C$12</f>
        <v>332.65920697687073</v>
      </c>
      <c r="O171" s="10"/>
      <c r="P171" s="9">
        <f>Model_Data!A171</f>
        <v>24.5</v>
      </c>
      <c r="Q171" s="9">
        <f>Model_Data!P171</f>
        <v>-209.13753414824896</v>
      </c>
      <c r="R171" s="9">
        <f>Model_Data!AM171</f>
        <v>-244.97379562135393</v>
      </c>
      <c r="S171" s="9">
        <f>Model_Data!Q171</f>
        <v>-31.402032154391737</v>
      </c>
      <c r="T171" s="9">
        <f>Model_Data!AN171</f>
        <v>-36.78285219539849</v>
      </c>
      <c r="U171" s="10"/>
      <c r="V171" s="9">
        <f>Model_Data!A171</f>
        <v>24.5</v>
      </c>
      <c r="W171" s="9">
        <f>Model_Data!B171-Inputs!$C$5</f>
        <v>0.66694444444442524</v>
      </c>
      <c r="X171" s="10"/>
      <c r="Y171" s="9">
        <f>Model_Data!A171</f>
        <v>24.5</v>
      </c>
      <c r="Z171" s="9">
        <f>0</f>
        <v>0</v>
      </c>
      <c r="AA171" s="9">
        <f>((SQRT((Inputs!$C$52+Inputs!$C$5)^2+Inputs!$C$52^2-2*(Inputs!$C$52+Inputs!$C$5)*Inputs!$C$52*COS(SQRT((Model_Data!A171)^2+Inputs!$C$6^2)/Inputs!$C$52))-Inputs!$C$5)*1000/Inputs!$C$12)</f>
        <v>1078.3055406969088</v>
      </c>
      <c r="AB171" s="9">
        <f>Model_Data!F171</f>
        <v>1076.8844536568934</v>
      </c>
    </row>
    <row r="172" spans="1:28">
      <c r="A172" s="9">
        <f>Model_Data!A172</f>
        <v>25</v>
      </c>
      <c r="B172" s="9">
        <f>0</f>
        <v>0</v>
      </c>
      <c r="C172" s="9">
        <f>((SQRT((Inputs!$C$52+Inputs!$C$5)^2+Inputs!$C$52^2-2*(Inputs!$C$52+Inputs!$C$5)*Inputs!$C$52*COS(SQRT((Model_Data!A172)^2+Inputs!$C$6^2)/Inputs!$C$52))-Inputs!$C$5)*1000/Inputs!$C$12)</f>
        <v>1100.033284253411</v>
      </c>
      <c r="D172" s="9">
        <f>Model_Data!F172</f>
        <v>1098.5240528424165</v>
      </c>
      <c r="E172" s="9">
        <f>Model_Data!AC172</f>
        <v>899.21311239354611</v>
      </c>
      <c r="F172" s="10"/>
      <c r="G172" s="9">
        <f>Model_Data!A172</f>
        <v>25</v>
      </c>
      <c r="H172" s="9">
        <f>Model_Data!Y172</f>
        <v>418.83207484781849</v>
      </c>
      <c r="I172" s="9">
        <f>Model_Data!Y172</f>
        <v>418.83207484781849</v>
      </c>
      <c r="J172" s="9">
        <f>Model_Data!X172</f>
        <v>61.498548518191555</v>
      </c>
      <c r="K172" s="9">
        <f>Model_Data!A172</f>
        <v>25</v>
      </c>
      <c r="L172" s="9">
        <f>Model_Data!Y172</f>
        <v>418.83207484781849</v>
      </c>
      <c r="M172" s="9">
        <f>Model_Data!X172</f>
        <v>61.498548518191555</v>
      </c>
      <c r="N172" s="9">
        <f>-(Model_Data!AC172-Model_Data!F172)*Inputs!$C$12</f>
        <v>354.77347399898929</v>
      </c>
      <c r="O172" s="10"/>
      <c r="P172" s="9">
        <f>Model_Data!A172</f>
        <v>25</v>
      </c>
      <c r="Q172" s="9">
        <f>Model_Data!P172</f>
        <v>-213.38001711119432</v>
      </c>
      <c r="R172" s="9">
        <f>Model_Data!AM172</f>
        <v>-253.73623064069761</v>
      </c>
      <c r="S172" s="9">
        <f>Model_Data!Q172</f>
        <v>-32.039041608287441</v>
      </c>
      <c r="T172" s="9">
        <f>Model_Data!AN172</f>
        <v>-38.098533129233878</v>
      </c>
      <c r="U172" s="10"/>
      <c r="V172" s="9">
        <f>Model_Data!A172</f>
        <v>25</v>
      </c>
      <c r="W172" s="9">
        <f>Model_Data!B172-Inputs!$C$5</f>
        <v>0.69444444444445708</v>
      </c>
      <c r="X172" s="10"/>
      <c r="Y172" s="9">
        <f>Model_Data!A172</f>
        <v>25</v>
      </c>
      <c r="Z172" s="9">
        <f>0</f>
        <v>0</v>
      </c>
      <c r="AA172" s="9">
        <f>((SQRT((Inputs!$C$52+Inputs!$C$5)^2+Inputs!$C$52^2-2*(Inputs!$C$52+Inputs!$C$5)*Inputs!$C$52*COS(SQRT((Model_Data!A172)^2+Inputs!$C$6^2)/Inputs!$C$52))-Inputs!$C$5)*1000/Inputs!$C$12)</f>
        <v>1100.033284253411</v>
      </c>
      <c r="AB172" s="9">
        <f>Model_Data!F172</f>
        <v>1098.5240528424165</v>
      </c>
    </row>
    <row r="173" spans="1:28">
      <c r="A173" s="9">
        <f>Model_Data!A173</f>
        <v>25.5</v>
      </c>
      <c r="B173" s="9">
        <f>0</f>
        <v>0</v>
      </c>
      <c r="C173" s="9">
        <f>((SQRT((Inputs!$C$52+Inputs!$C$5)^2+Inputs!$C$52^2-2*(Inputs!$C$52+Inputs!$C$5)*Inputs!$C$52*COS(SQRT((Model_Data!A173)^2+Inputs!$C$6^2)/Inputs!$C$52))-Inputs!$C$5)*1000/Inputs!$C$12)</f>
        <v>1122.1977800602508</v>
      </c>
      <c r="D173" s="9">
        <f>Model_Data!F173</f>
        <v>1120.5962262068354</v>
      </c>
      <c r="E173" s="9">
        <f>Model_Data!AC173</f>
        <v>940.92046451796216</v>
      </c>
      <c r="F173" s="10"/>
      <c r="G173" s="9">
        <f>Model_Data!A173</f>
        <v>25.5</v>
      </c>
      <c r="H173" s="9">
        <f>Model_Data!Y173</f>
        <v>390.15691093624679</v>
      </c>
      <c r="I173" s="9">
        <f>Model_Data!Y173</f>
        <v>390.15691093624679</v>
      </c>
      <c r="J173" s="9">
        <f>Model_Data!X173</f>
        <v>67.901880448960824</v>
      </c>
      <c r="K173" s="9">
        <f>Model_Data!A173</f>
        <v>25.5</v>
      </c>
      <c r="L173" s="9">
        <f>Model_Data!Y173</f>
        <v>390.15691093624679</v>
      </c>
      <c r="M173" s="9">
        <f>Model_Data!X173</f>
        <v>67.901880448960824</v>
      </c>
      <c r="N173" s="9">
        <f>-(Model_Data!AC173-Model_Data!F173)*Inputs!$C$12</f>
        <v>319.8228558061943</v>
      </c>
      <c r="O173" s="10"/>
      <c r="P173" s="9">
        <f>Model_Data!A173</f>
        <v>25.5</v>
      </c>
      <c r="Q173" s="9">
        <f>Model_Data!P173</f>
        <v>-217.62095997992219</v>
      </c>
      <c r="R173" s="9">
        <f>Model_Data!AM173</f>
        <v>-267.79701353816563</v>
      </c>
      <c r="S173" s="9">
        <f>Model_Data!Q173</f>
        <v>-32.675819816805138</v>
      </c>
      <c r="T173" s="9">
        <f>Model_Data!AN173</f>
        <v>-40.209761792517362</v>
      </c>
      <c r="U173" s="10"/>
      <c r="V173" s="9">
        <f>Model_Data!A173</f>
        <v>25.5</v>
      </c>
      <c r="W173" s="9">
        <f>Model_Data!B173-Inputs!$C$5</f>
        <v>0.72250000000002501</v>
      </c>
      <c r="X173" s="10"/>
      <c r="Y173" s="9">
        <f>Model_Data!A173</f>
        <v>25.5</v>
      </c>
      <c r="Z173" s="9">
        <f>0</f>
        <v>0</v>
      </c>
      <c r="AA173" s="9">
        <f>((SQRT((Inputs!$C$52+Inputs!$C$5)^2+Inputs!$C$52^2-2*(Inputs!$C$52+Inputs!$C$5)*Inputs!$C$52*COS(SQRT((Model_Data!A173)^2+Inputs!$C$6^2)/Inputs!$C$52))-Inputs!$C$5)*1000/Inputs!$C$12)</f>
        <v>1122.1977800602508</v>
      </c>
      <c r="AB173" s="9">
        <f>Model_Data!F173</f>
        <v>1120.5962262068354</v>
      </c>
    </row>
    <row r="174" spans="1:28">
      <c r="A174" s="9">
        <f>Model_Data!A174</f>
        <v>26</v>
      </c>
      <c r="B174" s="9">
        <f>0</f>
        <v>0</v>
      </c>
      <c r="C174" s="9">
        <f>((SQRT((Inputs!$C$52+Inputs!$C$5)^2+Inputs!$C$52^2-2*(Inputs!$C$52+Inputs!$C$5)*Inputs!$C$52*COS(SQRT((Model_Data!A174)^2+Inputs!$C$6^2)/Inputs!$C$52))-Inputs!$C$5)*1000/Inputs!$C$12)</f>
        <v>1144.7988972650598</v>
      </c>
      <c r="D174" s="9">
        <f>Model_Data!F174</f>
        <v>1143.1007007754386</v>
      </c>
      <c r="E174" s="9">
        <f>Model_Data!AC174</f>
        <v>963.39321921301223</v>
      </c>
      <c r="F174" s="10"/>
      <c r="G174" s="9">
        <f>Model_Data!A174</f>
        <v>26</v>
      </c>
      <c r="H174" s="9">
        <f>Model_Data!Y174</f>
        <v>387.37494101799217</v>
      </c>
      <c r="I174" s="9">
        <f>Model_Data!Y174</f>
        <v>387.37494101799217</v>
      </c>
      <c r="J174" s="9">
        <f>Model_Data!X174</f>
        <v>65.032671862171824</v>
      </c>
      <c r="K174" s="9">
        <f>Model_Data!A174</f>
        <v>26</v>
      </c>
      <c r="L174" s="9">
        <f>Model_Data!Y174</f>
        <v>387.37494101799217</v>
      </c>
      <c r="M174" s="9">
        <f>Model_Data!X174</f>
        <v>65.032671862171824</v>
      </c>
      <c r="N174" s="9">
        <f>-(Model_Data!AC174-Model_Data!F174)*Inputs!$C$12</f>
        <v>319.87931718111884</v>
      </c>
      <c r="O174" s="10"/>
      <c r="P174" s="9">
        <f>Model_Data!A174</f>
        <v>26</v>
      </c>
      <c r="Q174" s="9">
        <f>Model_Data!P174</f>
        <v>-221.86033326770485</v>
      </c>
      <c r="R174" s="9">
        <f>Model_Data!AM174</f>
        <v>-232.61930903145185</v>
      </c>
      <c r="S174" s="9">
        <f>Model_Data!Q174</f>
        <v>-33.312362352508238</v>
      </c>
      <c r="T174" s="9">
        <f>Model_Data!AN174</f>
        <v>-34.927824178896678</v>
      </c>
      <c r="U174" s="10"/>
      <c r="V174" s="9">
        <f>Model_Data!A174</f>
        <v>26</v>
      </c>
      <c r="W174" s="9">
        <f>Model_Data!B174-Inputs!$C$5</f>
        <v>0.75111111111112905</v>
      </c>
      <c r="X174" s="10"/>
      <c r="Y174" s="9">
        <f>Model_Data!A174</f>
        <v>26</v>
      </c>
      <c r="Z174" s="9">
        <f>0</f>
        <v>0</v>
      </c>
      <c r="AA174" s="9">
        <f>((SQRT((Inputs!$C$52+Inputs!$C$5)^2+Inputs!$C$52^2-2*(Inputs!$C$52+Inputs!$C$5)*Inputs!$C$52*COS(SQRT((Model_Data!A174)^2+Inputs!$C$6^2)/Inputs!$C$52))-Inputs!$C$5)*1000/Inputs!$C$12)</f>
        <v>1144.7988972650598</v>
      </c>
      <c r="AB174" s="9">
        <f>Model_Data!F174</f>
        <v>1143.1007007754386</v>
      </c>
    </row>
    <row r="175" spans="1:28">
      <c r="A175" s="9">
        <f>Model_Data!A175</f>
        <v>26.5</v>
      </c>
      <c r="B175" s="9">
        <f>0</f>
        <v>0</v>
      </c>
      <c r="C175" s="9">
        <f>((SQRT((Inputs!$C$52+Inputs!$C$5)^2+Inputs!$C$52^2-2*(Inputs!$C$52+Inputs!$C$5)*Inputs!$C$52*COS(SQRT((Model_Data!A175)^2+Inputs!$C$6^2)/Inputs!$C$52))-Inputs!$C$5)*1000/Inputs!$C$12)</f>
        <v>1167.8365024904399</v>
      </c>
      <c r="D175" s="9">
        <f>Model_Data!F175</f>
        <v>1166.0371984060328</v>
      </c>
      <c r="E175" s="9">
        <f>Model_Data!AC175</f>
        <v>991.04631178199293</v>
      </c>
      <c r="F175" s="10"/>
      <c r="G175" s="9">
        <f>Model_Data!A175</f>
        <v>26.5</v>
      </c>
      <c r="H175" s="9">
        <f>Model_Data!Y175</f>
        <v>383.48713922986474</v>
      </c>
      <c r="I175" s="9">
        <f>Model_Data!Y175</f>
        <v>383.48713922986474</v>
      </c>
      <c r="J175" s="9">
        <f>Model_Data!X175</f>
        <v>69.516598212008631</v>
      </c>
      <c r="K175" s="9">
        <f>Model_Data!A175</f>
        <v>26.5</v>
      </c>
      <c r="L175" s="9">
        <f>Model_Data!Y175</f>
        <v>383.48713922986474</v>
      </c>
      <c r="M175" s="9">
        <f>Model_Data!X175</f>
        <v>69.516598212008631</v>
      </c>
      <c r="N175" s="9">
        <f>-(Model_Data!AC175-Model_Data!F175)*Inputs!$C$12</f>
        <v>311.48377819079093</v>
      </c>
      <c r="O175" s="10"/>
      <c r="P175" s="9">
        <f>Model_Data!A175</f>
        <v>26.5</v>
      </c>
      <c r="Q175" s="9">
        <f>Model_Data!P175</f>
        <v>-226.0981075584823</v>
      </c>
      <c r="R175" s="9">
        <f>Model_Data!AM175</f>
        <v>-291.65466653967087</v>
      </c>
      <c r="S175" s="9">
        <f>Model_Data!Q175</f>
        <v>-33.948664798570917</v>
      </c>
      <c r="T175" s="9">
        <f>Model_Data!AN175</f>
        <v>-43.791991972923554</v>
      </c>
      <c r="U175" s="10"/>
      <c r="V175" s="9">
        <f>Model_Data!A175</f>
        <v>26.5</v>
      </c>
      <c r="W175" s="9">
        <f>Model_Data!B175-Inputs!$C$5</f>
        <v>0.78027777777776919</v>
      </c>
      <c r="X175" s="10"/>
      <c r="Y175" s="9">
        <f>Model_Data!A175</f>
        <v>26.5</v>
      </c>
      <c r="Z175" s="9">
        <f>0</f>
        <v>0</v>
      </c>
      <c r="AA175" s="9">
        <f>((SQRT((Inputs!$C$52+Inputs!$C$5)^2+Inputs!$C$52^2-2*(Inputs!$C$52+Inputs!$C$5)*Inputs!$C$52*COS(SQRT((Model_Data!A175)^2+Inputs!$C$6^2)/Inputs!$C$52))-Inputs!$C$5)*1000/Inputs!$C$12)</f>
        <v>1167.8365024904399</v>
      </c>
      <c r="AB175" s="9">
        <f>Model_Data!F175</f>
        <v>1166.0371984060328</v>
      </c>
    </row>
    <row r="176" spans="1:28">
      <c r="A176" s="9">
        <f>Model_Data!A176</f>
        <v>27</v>
      </c>
      <c r="B176" s="9">
        <f>0</f>
        <v>0</v>
      </c>
      <c r="C176" s="9">
        <f>((SQRT((Inputs!$C$52+Inputs!$C$5)^2+Inputs!$C$52^2-2*(Inputs!$C$52+Inputs!$C$5)*Inputs!$C$52*COS(SQRT((Model_Data!A176)^2+Inputs!$C$6^2)/Inputs!$C$52))-Inputs!$C$5)*1000/Inputs!$C$12)</f>
        <v>1191.3104598367102</v>
      </c>
      <c r="D176" s="9">
        <f>Model_Data!F176</f>
        <v>1189.4054357952016</v>
      </c>
      <c r="E176" s="9">
        <f>Model_Data!AC176</f>
        <v>1032.3915762449658</v>
      </c>
      <c r="F176" s="10"/>
      <c r="G176" s="9">
        <f>Model_Data!A176</f>
        <v>27</v>
      </c>
      <c r="H176" s="9">
        <f>Model_Data!Y176</f>
        <v>346.22873286462408</v>
      </c>
      <c r="I176" s="9">
        <f>Model_Data!Y176</f>
        <v>346.22873286462408</v>
      </c>
      <c r="J176" s="9">
        <f>Model_Data!X176</f>
        <v>64.454469680614793</v>
      </c>
      <c r="K176" s="9">
        <f>Model_Data!A176</f>
        <v>27</v>
      </c>
      <c r="L176" s="9">
        <f>Model_Data!Y176</f>
        <v>346.22873286462408</v>
      </c>
      <c r="M176" s="9">
        <f>Model_Data!X176</f>
        <v>64.454469680614793</v>
      </c>
      <c r="N176" s="9">
        <f>-(Model_Data!AC176-Model_Data!F176)*Inputs!$C$12</f>
        <v>279.48466999941974</v>
      </c>
      <c r="O176" s="10"/>
      <c r="P176" s="9">
        <f>Model_Data!A176</f>
        <v>27</v>
      </c>
      <c r="Q176" s="9">
        <f>Model_Data!P176</f>
        <v>-230.3342535144111</v>
      </c>
      <c r="R176" s="9">
        <f>Model_Data!AM176</f>
        <v>-304.31541811476563</v>
      </c>
      <c r="S176" s="9">
        <f>Model_Data!Q176</f>
        <v>-34.584722749911577</v>
      </c>
      <c r="T176" s="9">
        <f>Model_Data!AN176</f>
        <v>-45.693005722937784</v>
      </c>
      <c r="U176" s="10"/>
      <c r="V176" s="9">
        <f>Model_Data!A176</f>
        <v>27</v>
      </c>
      <c r="W176" s="9">
        <f>Model_Data!B176-Inputs!$C$5</f>
        <v>0.81000000000000227</v>
      </c>
      <c r="X176" s="10"/>
      <c r="Y176" s="9">
        <f>Model_Data!A176</f>
        <v>27</v>
      </c>
      <c r="Z176" s="9">
        <f>0</f>
        <v>0</v>
      </c>
      <c r="AA176" s="9">
        <f>((SQRT((Inputs!$C$52+Inputs!$C$5)^2+Inputs!$C$52^2-2*(Inputs!$C$52+Inputs!$C$5)*Inputs!$C$52*COS(SQRT((Model_Data!A176)^2+Inputs!$C$6^2)/Inputs!$C$52))-Inputs!$C$5)*1000/Inputs!$C$12)</f>
        <v>1191.3104598367102</v>
      </c>
      <c r="AB176" s="9">
        <f>Model_Data!F176</f>
        <v>1189.4054357952016</v>
      </c>
    </row>
    <row r="177" spans="1:28">
      <c r="A177" s="9">
        <f>Model_Data!A177</f>
        <v>27.5</v>
      </c>
      <c r="B177" s="9">
        <f>0</f>
        <v>0</v>
      </c>
      <c r="C177" s="9">
        <f>((SQRT((Inputs!$C$52+Inputs!$C$5)^2+Inputs!$C$52^2-2*(Inputs!$C$52+Inputs!$C$5)*Inputs!$C$52*COS(SQRT((Model_Data!A177)^2+Inputs!$C$6^2)/Inputs!$C$52))-Inputs!$C$5)*1000/Inputs!$C$12)</f>
        <v>1215.2206308890595</v>
      </c>
      <c r="D177" s="9">
        <f>Model_Data!F177</f>
        <v>1213.2051244995746</v>
      </c>
      <c r="E177" s="9">
        <f>Model_Data!AC177</f>
        <v>1050.8589069580808</v>
      </c>
      <c r="F177" s="10"/>
      <c r="G177" s="9">
        <f>Model_Data!A177</f>
        <v>27.5</v>
      </c>
      <c r="H177" s="9">
        <f>Model_Data!Y177</f>
        <v>337.03514018583576</v>
      </c>
      <c r="I177" s="9">
        <f>Model_Data!Y177</f>
        <v>337.03514018583576</v>
      </c>
      <c r="J177" s="9">
        <f>Model_Data!X177</f>
        <v>45.785881303759091</v>
      </c>
      <c r="K177" s="9">
        <f>Model_Data!A177</f>
        <v>27.5</v>
      </c>
      <c r="L177" s="9">
        <f>Model_Data!Y177</f>
        <v>337.03514018583576</v>
      </c>
      <c r="M177" s="9">
        <f>Model_Data!X177</f>
        <v>45.785881303759091</v>
      </c>
      <c r="N177" s="9">
        <f>-(Model_Data!AC177-Model_Data!F177)*Inputs!$C$12</f>
        <v>288.97626722385905</v>
      </c>
      <c r="O177" s="10"/>
      <c r="P177" s="9">
        <f>Model_Data!A177</f>
        <v>27.5</v>
      </c>
      <c r="Q177" s="9">
        <f>Model_Data!P177</f>
        <v>-234.56874188968868</v>
      </c>
      <c r="R177" s="9">
        <f>Model_Data!AM177</f>
        <v>-288.8126042343174</v>
      </c>
      <c r="S177" s="9">
        <f>Model_Data!Q177</f>
        <v>-35.220531815268572</v>
      </c>
      <c r="T177" s="9">
        <f>Model_Data!AN177</f>
        <v>-43.36525589103865</v>
      </c>
      <c r="U177" s="10"/>
      <c r="V177" s="9">
        <f>Model_Data!A177</f>
        <v>27.5</v>
      </c>
      <c r="W177" s="9">
        <f>Model_Data!B177-Inputs!$C$5</f>
        <v>0.84027777777777146</v>
      </c>
      <c r="X177" s="10"/>
      <c r="Y177" s="9">
        <f>Model_Data!A177</f>
        <v>27.5</v>
      </c>
      <c r="Z177" s="9">
        <f>0</f>
        <v>0</v>
      </c>
      <c r="AA177" s="9">
        <f>((SQRT((Inputs!$C$52+Inputs!$C$5)^2+Inputs!$C$52^2-2*(Inputs!$C$52+Inputs!$C$5)*Inputs!$C$52*COS(SQRT((Model_Data!A177)^2+Inputs!$C$6^2)/Inputs!$C$52))-Inputs!$C$5)*1000/Inputs!$C$12)</f>
        <v>1215.2206308890595</v>
      </c>
      <c r="AB177" s="9">
        <f>Model_Data!F177</f>
        <v>1213.2051244995746</v>
      </c>
    </row>
    <row r="178" spans="1:28">
      <c r="A178" s="9">
        <f>Model_Data!A178</f>
        <v>28</v>
      </c>
      <c r="B178" s="9">
        <f>0</f>
        <v>0</v>
      </c>
      <c r="C178" s="9">
        <f>((SQRT((Inputs!$C$52+Inputs!$C$5)^2+Inputs!$C$52^2-2*(Inputs!$C$52+Inputs!$C$5)*Inputs!$C$52*COS(SQRT((Model_Data!A178)^2+Inputs!$C$6^2)/Inputs!$C$52))-Inputs!$C$5)*1000/Inputs!$C$12)</f>
        <v>1239.5668747174202</v>
      </c>
      <c r="D178" s="9">
        <f>Model_Data!F178</f>
        <v>1237.4359709468442</v>
      </c>
      <c r="E178" s="9">
        <f>Model_Data!AC178</f>
        <v>1096.372861991217</v>
      </c>
      <c r="F178" s="10"/>
      <c r="G178" s="9">
        <f>Model_Data!A178</f>
        <v>28</v>
      </c>
      <c r="H178" s="9">
        <f>Model_Data!Y178</f>
        <v>312.18369818898617</v>
      </c>
      <c r="I178" s="9">
        <f>Model_Data!Y178</f>
        <v>312.18369818898617</v>
      </c>
      <c r="J178" s="9">
        <f>Model_Data!X178</f>
        <v>58.944391773626705</v>
      </c>
      <c r="K178" s="9">
        <f>Model_Data!A178</f>
        <v>28</v>
      </c>
      <c r="L178" s="9">
        <f>Model_Data!Y178</f>
        <v>312.18369818898617</v>
      </c>
      <c r="M178" s="9">
        <f>Model_Data!X178</f>
        <v>58.944391773626705</v>
      </c>
      <c r="N178" s="9">
        <f>-(Model_Data!AC178-Model_Data!F178)*Inputs!$C$12</f>
        <v>251.09233394101656</v>
      </c>
      <c r="O178" s="10"/>
      <c r="P178" s="9">
        <f>Model_Data!A178</f>
        <v>28</v>
      </c>
      <c r="Q178" s="9">
        <f>Model_Data!P178</f>
        <v>-238.80154350053999</v>
      </c>
      <c r="R178" s="9">
        <f>Model_Data!AM178</f>
        <v>-281.15917075083416</v>
      </c>
      <c r="S178" s="9">
        <f>Model_Data!Q178</f>
        <v>-35.856087612693699</v>
      </c>
      <c r="T178" s="9">
        <f>Model_Data!AN178</f>
        <v>-42.216091704329457</v>
      </c>
      <c r="U178" s="10"/>
      <c r="V178" s="9">
        <f>Model_Data!A178</f>
        <v>28</v>
      </c>
      <c r="W178" s="9">
        <f>Model_Data!B178-Inputs!$C$5</f>
        <v>0.8711111111111336</v>
      </c>
      <c r="X178" s="10"/>
      <c r="Y178" s="9">
        <f>Model_Data!A178</f>
        <v>28</v>
      </c>
      <c r="Z178" s="9">
        <f>0</f>
        <v>0</v>
      </c>
      <c r="AA178" s="9">
        <f>((SQRT((Inputs!$C$52+Inputs!$C$5)^2+Inputs!$C$52^2-2*(Inputs!$C$52+Inputs!$C$5)*Inputs!$C$52*COS(SQRT((Model_Data!A178)^2+Inputs!$C$6^2)/Inputs!$C$52))-Inputs!$C$5)*1000/Inputs!$C$12)</f>
        <v>1239.5668747174202</v>
      </c>
      <c r="AB178" s="9">
        <f>Model_Data!F178</f>
        <v>1237.4359709468442</v>
      </c>
    </row>
    <row r="179" spans="1:28">
      <c r="A179" s="9">
        <f>Model_Data!A179</f>
        <v>28.5</v>
      </c>
      <c r="B179" s="9">
        <f>0</f>
        <v>0</v>
      </c>
      <c r="C179" s="9">
        <f>((SQRT((Inputs!$C$52+Inputs!$C$5)^2+Inputs!$C$52^2-2*(Inputs!$C$52+Inputs!$C$5)*Inputs!$C$52*COS(SQRT((Model_Data!A179)^2+Inputs!$C$6^2)/Inputs!$C$52))-Inputs!$C$5)*1000/Inputs!$C$12)</f>
        <v>1264.3490478827257</v>
      </c>
      <c r="D179" s="9">
        <f>Model_Data!F179</f>
        <v>1262.0976764465599</v>
      </c>
      <c r="E179" s="9">
        <f>Model_Data!AC179</f>
        <v>1119.085556794183</v>
      </c>
      <c r="F179" s="10"/>
      <c r="G179" s="9">
        <f>Model_Data!A179</f>
        <v>28.5</v>
      </c>
      <c r="H179" s="9">
        <f>Model_Data!Y179</f>
        <v>310.46598665119308</v>
      </c>
      <c r="I179" s="9">
        <f>Model_Data!Y179</f>
        <v>310.46598665119308</v>
      </c>
      <c r="J179" s="9">
        <f>Model_Data!X179</f>
        <v>53.727058514925652</v>
      </c>
      <c r="K179" s="9">
        <f>Model_Data!A179</f>
        <v>28.5</v>
      </c>
      <c r="L179" s="9">
        <f>Model_Data!Y179</f>
        <v>310.46598665119308</v>
      </c>
      <c r="M179" s="9">
        <f>Model_Data!X179</f>
        <v>53.727058514925652</v>
      </c>
      <c r="N179" s="9">
        <f>-(Model_Data!AC179-Model_Data!F179)*Inputs!$C$12</f>
        <v>254.56157298123088</v>
      </c>
      <c r="O179" s="10"/>
      <c r="P179" s="9">
        <f>Model_Data!A179</f>
        <v>28.5</v>
      </c>
      <c r="Q179" s="9">
        <f>Model_Data!P179</f>
        <v>-243.03262925423041</v>
      </c>
      <c r="R179" s="9">
        <f>Model_Data!AM179</f>
        <v>-287.96985247545308</v>
      </c>
      <c r="S179" s="9">
        <f>Model_Data!Q179</f>
        <v>-36.491385773908476</v>
      </c>
      <c r="T179" s="9">
        <f>Model_Data!AN179</f>
        <v>-43.23871658790587</v>
      </c>
      <c r="U179" s="10"/>
      <c r="V179" s="9">
        <f>Model_Data!A179</f>
        <v>28.5</v>
      </c>
      <c r="W179" s="9">
        <f>Model_Data!B179-Inputs!$C$5</f>
        <v>0.90249999999997499</v>
      </c>
      <c r="X179" s="10"/>
      <c r="Y179" s="9">
        <f>Model_Data!A179</f>
        <v>28.5</v>
      </c>
      <c r="Z179" s="9">
        <f>0</f>
        <v>0</v>
      </c>
      <c r="AA179" s="9">
        <f>((SQRT((Inputs!$C$52+Inputs!$C$5)^2+Inputs!$C$52^2-2*(Inputs!$C$52+Inputs!$C$5)*Inputs!$C$52*COS(SQRT((Model_Data!A179)^2+Inputs!$C$6^2)/Inputs!$C$52))-Inputs!$C$5)*1000/Inputs!$C$12)</f>
        <v>1264.3490478827257</v>
      </c>
      <c r="AB179" s="9">
        <f>Model_Data!F179</f>
        <v>1262.0976764465599</v>
      </c>
    </row>
    <row r="180" spans="1:28">
      <c r="A180" s="9">
        <f>Model_Data!A180</f>
        <v>29</v>
      </c>
      <c r="B180" s="9">
        <f>0</f>
        <v>0</v>
      </c>
      <c r="C180" s="9">
        <f>((SQRT((Inputs!$C$52+Inputs!$C$5)^2+Inputs!$C$52^2-2*(Inputs!$C$52+Inputs!$C$5)*Inputs!$C$52*COS(SQRT((Model_Data!A180)^2+Inputs!$C$6^2)/Inputs!$C$52))-Inputs!$C$5)*1000/Inputs!$C$12)</f>
        <v>1289.5670044428514</v>
      </c>
      <c r="D180" s="9">
        <f>Model_Data!F180</f>
        <v>1287.1899372112048</v>
      </c>
      <c r="E180" s="9">
        <f>Model_Data!AC180</f>
        <v>1145.2861149607133</v>
      </c>
      <c r="F180" s="10"/>
      <c r="G180" s="9">
        <f>Model_Data!A180</f>
        <v>29</v>
      </c>
      <c r="H180" s="9">
        <f>Model_Data!Y180</f>
        <v>283.98171018669603</v>
      </c>
      <c r="I180" s="9">
        <f>Model_Data!Y180</f>
        <v>283.98171018669603</v>
      </c>
      <c r="J180" s="9">
        <f>Model_Data!X180</f>
        <v>29.3621575955436</v>
      </c>
      <c r="K180" s="9">
        <f>Model_Data!A180</f>
        <v>29</v>
      </c>
      <c r="L180" s="9">
        <f>Model_Data!Y180</f>
        <v>283.98171018669603</v>
      </c>
      <c r="M180" s="9">
        <f>Model_Data!X180</f>
        <v>29.3621575955436</v>
      </c>
      <c r="N180" s="9">
        <f>-(Model_Data!AC180-Model_Data!F180)*Inputs!$C$12</f>
        <v>252.58880360587474</v>
      </c>
      <c r="O180" s="10"/>
      <c r="P180" s="9">
        <f>Model_Data!A180</f>
        <v>29</v>
      </c>
      <c r="Q180" s="9">
        <f>Model_Data!P180</f>
        <v>-247.26197014497302</v>
      </c>
      <c r="R180" s="9">
        <f>Model_Data!AM180</f>
        <v>-321.95858402801605</v>
      </c>
      <c r="S180" s="9">
        <f>Model_Data!Q180</f>
        <v>-37.126421943689643</v>
      </c>
      <c r="T180" s="9">
        <f>Model_Data!AN180</f>
        <v>-48.342129733936346</v>
      </c>
      <c r="U180" s="10"/>
      <c r="V180" s="9">
        <f>Model_Data!A180</f>
        <v>29</v>
      </c>
      <c r="W180" s="9">
        <f>Model_Data!B180-Inputs!$C$5</f>
        <v>0.93444444444446617</v>
      </c>
      <c r="X180" s="10"/>
      <c r="Y180" s="9">
        <f>Model_Data!A180</f>
        <v>29</v>
      </c>
      <c r="Z180" s="9">
        <f>0</f>
        <v>0</v>
      </c>
      <c r="AA180" s="9">
        <f>((SQRT((Inputs!$C$52+Inputs!$C$5)^2+Inputs!$C$52^2-2*(Inputs!$C$52+Inputs!$C$5)*Inputs!$C$52*COS(SQRT((Model_Data!A180)^2+Inputs!$C$6^2)/Inputs!$C$52))-Inputs!$C$5)*1000/Inputs!$C$12)</f>
        <v>1289.5670044428514</v>
      </c>
      <c r="AB180" s="9">
        <f>Model_Data!F180</f>
        <v>1287.1899372112048</v>
      </c>
    </row>
    <row r="181" spans="1:28">
      <c r="A181" s="9">
        <f>Model_Data!A181</f>
        <v>29.5</v>
      </c>
      <c r="B181" s="9">
        <f>0</f>
        <v>0</v>
      </c>
      <c r="C181" s="9">
        <f>((SQRT((Inputs!$C$52+Inputs!$C$5)^2+Inputs!$C$52^2-2*(Inputs!$C$52+Inputs!$C$5)*Inputs!$C$52*COS(SQRT((Model_Data!A181)^2+Inputs!$C$6^2)/Inputs!$C$52))-Inputs!$C$5)*1000/Inputs!$C$12)</f>
        <v>1315.2205959528692</v>
      </c>
      <c r="D181" s="9">
        <f>Model_Data!F181</f>
        <v>1312.7124443657435</v>
      </c>
      <c r="E181" s="9">
        <f>Model_Data!AC181</f>
        <v>1177.2307489554819</v>
      </c>
      <c r="F181" s="10"/>
      <c r="G181" s="9">
        <f>Model_Data!A181</f>
        <v>29.5</v>
      </c>
      <c r="H181" s="9">
        <f>Model_Data!Y181</f>
        <v>263.5246591496981</v>
      </c>
      <c r="I181" s="9">
        <f>Model_Data!Y181</f>
        <v>263.5246591496981</v>
      </c>
      <c r="J181" s="9">
        <f>Model_Data!X181</f>
        <v>20.445829988997222</v>
      </c>
      <c r="K181" s="9">
        <f>Model_Data!A181</f>
        <v>29.5</v>
      </c>
      <c r="L181" s="9">
        <f>Model_Data!Y181</f>
        <v>263.5246591496981</v>
      </c>
      <c r="M181" s="9">
        <f>Model_Data!X181</f>
        <v>20.445829988997222</v>
      </c>
      <c r="N181" s="9">
        <f>-(Model_Data!AC181-Model_Data!F181)*Inputs!$C$12</f>
        <v>241.15741783026573</v>
      </c>
      <c r="O181" s="10"/>
      <c r="P181" s="9">
        <f>Model_Data!A181</f>
        <v>29.5</v>
      </c>
      <c r="Q181" s="9">
        <f>Model_Data!P181</f>
        <v>-251.48953723855811</v>
      </c>
      <c r="R181" s="9">
        <f>Model_Data!AM181</f>
        <v>-292.27470798450668</v>
      </c>
      <c r="S181" s="9">
        <f>Model_Data!Q181</f>
        <v>-37.76119177756128</v>
      </c>
      <c r="T181" s="9">
        <f>Model_Data!AN181</f>
        <v>-43.885091288964972</v>
      </c>
      <c r="U181" s="10"/>
      <c r="V181" s="9">
        <f>Model_Data!A181</f>
        <v>29.5</v>
      </c>
      <c r="W181" s="9">
        <f>Model_Data!B181-Inputs!$C$5</f>
        <v>0.96694444444443661</v>
      </c>
      <c r="X181" s="10"/>
      <c r="Y181" s="9">
        <f>Model_Data!A181</f>
        <v>29.5</v>
      </c>
      <c r="Z181" s="9">
        <f>0</f>
        <v>0</v>
      </c>
      <c r="AA181" s="9">
        <f>((SQRT((Inputs!$C$52+Inputs!$C$5)^2+Inputs!$C$52^2-2*(Inputs!$C$52+Inputs!$C$5)*Inputs!$C$52*COS(SQRT((Model_Data!A181)^2+Inputs!$C$6^2)/Inputs!$C$52))-Inputs!$C$5)*1000/Inputs!$C$12)</f>
        <v>1315.2205959528692</v>
      </c>
      <c r="AB181" s="9">
        <f>Model_Data!F181</f>
        <v>1312.7124443657435</v>
      </c>
    </row>
    <row r="182" spans="1:28">
      <c r="A182" s="9">
        <f>Model_Data!A182</f>
        <v>30</v>
      </c>
      <c r="B182" s="9">
        <f>0</f>
        <v>0</v>
      </c>
      <c r="C182" s="9">
        <f>((SQRT((Inputs!$C$52+Inputs!$C$5)^2+Inputs!$C$52^2-2*(Inputs!$C$52+Inputs!$C$5)*Inputs!$C$52*COS(SQRT((Model_Data!A182)^2+Inputs!$C$6^2)/Inputs!$C$52))-Inputs!$C$5)*1000/Inputs!$C$12)</f>
        <v>1341.3096714700305</v>
      </c>
      <c r="D182" s="9">
        <f>Model_Data!F182</f>
        <v>1338.6648839632076</v>
      </c>
      <c r="E182" s="9">
        <f>Model_Data!AC182</f>
        <v>1201.2597654401989</v>
      </c>
      <c r="F182" s="10"/>
      <c r="G182" s="9">
        <f>Model_Data!A182</f>
        <v>30</v>
      </c>
      <c r="H182" s="9">
        <f>Model_Data!Y182</f>
        <v>258.38103540276461</v>
      </c>
      <c r="I182" s="9">
        <f>Model_Data!Y182</f>
        <v>258.38103540276461</v>
      </c>
      <c r="J182" s="9">
        <f>Model_Data!X182</f>
        <v>11.879118514207924</v>
      </c>
      <c r="K182" s="9">
        <f>Model_Data!A182</f>
        <v>30</v>
      </c>
      <c r="L182" s="9">
        <f>Model_Data!Y182</f>
        <v>258.38103540276461</v>
      </c>
      <c r="M182" s="9">
        <f>Model_Data!X182</f>
        <v>11.879118514207924</v>
      </c>
      <c r="N182" s="9">
        <f>-(Model_Data!AC182-Model_Data!F182)*Inputs!$C$12</f>
        <v>244.58111097095548</v>
      </c>
      <c r="O182" s="10"/>
      <c r="P182" s="9">
        <f>Model_Data!A182</f>
        <v>30</v>
      </c>
      <c r="Q182" s="9">
        <f>Model_Data!P182</f>
        <v>-255.71530170509504</v>
      </c>
      <c r="R182" s="9">
        <f>Model_Data!AM182</f>
        <v>-293.21279433806922</v>
      </c>
      <c r="S182" s="9">
        <f>Model_Data!Q182</f>
        <v>-38.395690946710971</v>
      </c>
      <c r="T182" s="9">
        <f>Model_Data!AN182</f>
        <v>-44.025945095806193</v>
      </c>
      <c r="U182" s="10"/>
      <c r="V182" s="9">
        <f>Model_Data!A182</f>
        <v>30</v>
      </c>
      <c r="W182" s="9">
        <f>Model_Data!B182-Inputs!$C$5</f>
        <v>1</v>
      </c>
      <c r="X182" s="10"/>
      <c r="Y182" s="9">
        <f>Model_Data!A182</f>
        <v>30</v>
      </c>
      <c r="Z182" s="9">
        <f>0</f>
        <v>0</v>
      </c>
      <c r="AA182" s="9">
        <f>((SQRT((Inputs!$C$52+Inputs!$C$5)^2+Inputs!$C$52^2-2*(Inputs!$C$52+Inputs!$C$5)*Inputs!$C$52*COS(SQRT((Model_Data!A182)^2+Inputs!$C$6^2)/Inputs!$C$52))-Inputs!$C$5)*1000/Inputs!$C$12)</f>
        <v>1341.3096714700305</v>
      </c>
      <c r="AB182" s="9">
        <f>Model_Data!F182</f>
        <v>1338.6648839632076</v>
      </c>
    </row>
    <row r="183" spans="1:28">
      <c r="A183" s="9">
        <f>Model_Data!A183</f>
        <v>30.5</v>
      </c>
      <c r="B183" s="9">
        <f>0</f>
        <v>0</v>
      </c>
      <c r="C183" s="9">
        <f>((SQRT((Inputs!$C$52+Inputs!$C$5)^2+Inputs!$C$52^2-2*(Inputs!$C$52+Inputs!$C$5)*Inputs!$C$52*COS(SQRT((Model_Data!A183)^2+Inputs!$C$6^2)/Inputs!$C$52))-Inputs!$C$5)*1000/Inputs!$C$12)</f>
        <v>1367.8340775619401</v>
      </c>
      <c r="D183" s="9">
        <f>Model_Data!F183</f>
        <v>1365.0469370056433</v>
      </c>
      <c r="E183" s="9">
        <f>Model_Data!AC183</f>
        <v>1233.6522677251489</v>
      </c>
      <c r="F183" s="10"/>
      <c r="G183" s="9">
        <f>Model_Data!A183</f>
        <v>30.5</v>
      </c>
      <c r="H183" s="9">
        <f>Model_Data!Y183</f>
        <v>239.98613946244137</v>
      </c>
      <c r="I183" s="9">
        <f>Model_Data!Y183</f>
        <v>239.98613946244137</v>
      </c>
      <c r="J183" s="9">
        <f>Model_Data!X183</f>
        <v>4.284803604386866</v>
      </c>
      <c r="K183" s="9">
        <f>Model_Data!A183</f>
        <v>30.5</v>
      </c>
      <c r="L183" s="9">
        <f>Model_Data!Y183</f>
        <v>239.98613946244137</v>
      </c>
      <c r="M183" s="9">
        <f>Model_Data!X183</f>
        <v>4.284803604386866</v>
      </c>
      <c r="N183" s="9">
        <f>-(Model_Data!AC183-Model_Data!F183)*Inputs!$C$12</f>
        <v>233.8825113192799</v>
      </c>
      <c r="O183" s="10"/>
      <c r="P183" s="9">
        <f>Model_Data!A183</f>
        <v>30.5</v>
      </c>
      <c r="Q183" s="9">
        <f>Model_Data!P183</f>
        <v>-259.93923478881698</v>
      </c>
      <c r="R183" s="9">
        <f>Model_Data!AM183</f>
        <v>-289.90851073058366</v>
      </c>
      <c r="S183" s="9">
        <f>Model_Data!Q183</f>
        <v>-39.029915133456008</v>
      </c>
      <c r="T183" s="9">
        <f>Model_Data!AN183</f>
        <v>-43.529806416003559</v>
      </c>
      <c r="U183" s="10"/>
      <c r="V183" s="9">
        <f>Model_Data!A183</f>
        <v>30.5</v>
      </c>
      <c r="W183" s="9">
        <f>Model_Data!B183-Inputs!$C$5</f>
        <v>1.0336111111110995</v>
      </c>
      <c r="X183" s="10"/>
      <c r="Y183" s="9">
        <f>Model_Data!A183</f>
        <v>30.5</v>
      </c>
      <c r="Z183" s="9">
        <f>0</f>
        <v>0</v>
      </c>
      <c r="AA183" s="9">
        <f>((SQRT((Inputs!$C$52+Inputs!$C$5)^2+Inputs!$C$52^2-2*(Inputs!$C$52+Inputs!$C$5)*Inputs!$C$52*COS(SQRT((Model_Data!A183)^2+Inputs!$C$6^2)/Inputs!$C$52))-Inputs!$C$5)*1000/Inputs!$C$12)</f>
        <v>1367.8340775619401</v>
      </c>
      <c r="AB183" s="9">
        <f>Model_Data!F183</f>
        <v>1365.0469370056433</v>
      </c>
    </row>
    <row r="184" spans="1:28">
      <c r="A184" s="9">
        <f>Model_Data!A184</f>
        <v>31</v>
      </c>
      <c r="B184" s="9">
        <f>0</f>
        <v>0</v>
      </c>
      <c r="C184" s="9">
        <f>((SQRT((Inputs!$C$52+Inputs!$C$5)^2+Inputs!$C$52^2-2*(Inputs!$C$52+Inputs!$C$5)*Inputs!$C$52*COS(SQRT((Model_Data!A184)^2+Inputs!$C$6^2)/Inputs!$C$52))-Inputs!$C$5)*1000/Inputs!$C$12)</f>
        <v>1394.7936583071323</v>
      </c>
      <c r="D184" s="9">
        <f>Model_Data!F184</f>
        <v>1391.8582794492854</v>
      </c>
      <c r="E184" s="9">
        <f>Model_Data!AC184</f>
        <v>1268.8037272244458</v>
      </c>
      <c r="F184" s="10"/>
      <c r="G184" s="9">
        <f>Model_Data!A184</f>
        <v>31</v>
      </c>
      <c r="H184" s="9">
        <f>Model_Data!Y184</f>
        <v>239.58052306016251</v>
      </c>
      <c r="I184" s="9">
        <f>Model_Data!Y184</f>
        <v>239.58052306016251</v>
      </c>
      <c r="J184" s="9">
        <f>Model_Data!X184</f>
        <v>18.692329061381155</v>
      </c>
      <c r="K184" s="9">
        <f>Model_Data!A184</f>
        <v>31</v>
      </c>
      <c r="L184" s="9">
        <f>Model_Data!Y184</f>
        <v>239.58052306016251</v>
      </c>
      <c r="M184" s="9">
        <f>Model_Data!X184</f>
        <v>18.692329061381155</v>
      </c>
      <c r="N184" s="9">
        <f>-(Model_Data!AC184-Model_Data!F184)*Inputs!$C$12</f>
        <v>219.03710296021458</v>
      </c>
      <c r="O184" s="10"/>
      <c r="P184" s="9">
        <f>Model_Data!A184</f>
        <v>31</v>
      </c>
      <c r="Q184" s="9">
        <f>Model_Data!P184</f>
        <v>-264.16130781663014</v>
      </c>
      <c r="R184" s="9">
        <f>Model_Data!AM184</f>
        <v>-301.45943187817466</v>
      </c>
      <c r="S184" s="9">
        <f>Model_Data!Q184</f>
        <v>-39.663860032527054</v>
      </c>
      <c r="T184" s="9">
        <f>Model_Data!AN184</f>
        <v>-45.264178960686891</v>
      </c>
      <c r="U184" s="10"/>
      <c r="V184" s="9">
        <f>Model_Data!A184</f>
        <v>31</v>
      </c>
      <c r="W184" s="9">
        <f>Model_Data!B184-Inputs!$C$5</f>
        <v>1.0677777777777919</v>
      </c>
      <c r="X184" s="10"/>
      <c r="Y184" s="9">
        <f>Model_Data!A184</f>
        <v>31</v>
      </c>
      <c r="Z184" s="9">
        <f>0</f>
        <v>0</v>
      </c>
      <c r="AA184" s="9">
        <f>((SQRT((Inputs!$C$52+Inputs!$C$5)^2+Inputs!$C$52^2-2*(Inputs!$C$52+Inputs!$C$5)*Inputs!$C$52*COS(SQRT((Model_Data!A184)^2+Inputs!$C$6^2)/Inputs!$C$52))-Inputs!$C$5)*1000/Inputs!$C$12)</f>
        <v>1394.7936583071323</v>
      </c>
      <c r="AB184" s="9">
        <f>Model_Data!F184</f>
        <v>1391.8582794492854</v>
      </c>
    </row>
    <row r="185" spans="1:28">
      <c r="A185" s="9">
        <f>Model_Data!A185</f>
        <v>31.5</v>
      </c>
      <c r="B185" s="9">
        <f>0</f>
        <v>0</v>
      </c>
      <c r="C185" s="9">
        <f>((SQRT((Inputs!$C$52+Inputs!$C$5)^2+Inputs!$C$52^2-2*(Inputs!$C$52+Inputs!$C$5)*Inputs!$C$52*COS(SQRT((Model_Data!A185)^2+Inputs!$C$6^2)/Inputs!$C$52))-Inputs!$C$5)*1000/Inputs!$C$12)</f>
        <v>1422.1882553000517</v>
      </c>
      <c r="D185" s="9">
        <f>Model_Data!F185</f>
        <v>1419.0985822283808</v>
      </c>
      <c r="E185" s="9">
        <f>Model_Data!AC185</f>
        <v>1308.8310653148674</v>
      </c>
      <c r="F185" s="10"/>
      <c r="G185" s="9">
        <f>Model_Data!A185</f>
        <v>31.5</v>
      </c>
      <c r="H185" s="9">
        <f>Model_Data!Y185</f>
        <v>216.56157473379682</v>
      </c>
      <c r="I185" s="9">
        <f>Model_Data!Y185</f>
        <v>216.56157473379682</v>
      </c>
      <c r="J185" s="9">
        <f>Model_Data!X185</f>
        <v>18.579807279110426</v>
      </c>
      <c r="K185" s="9">
        <f>Model_Data!A185</f>
        <v>31.5</v>
      </c>
      <c r="L185" s="9">
        <f>Model_Data!Y185</f>
        <v>216.56157473379682</v>
      </c>
      <c r="M185" s="9">
        <f>Model_Data!X185</f>
        <v>18.579807279110426</v>
      </c>
      <c r="N185" s="9">
        <f>-(Model_Data!AC185-Model_Data!F185)*Inputs!$C$12</f>
        <v>196.27618010605389</v>
      </c>
      <c r="O185" s="10"/>
      <c r="P185" s="9">
        <f>Model_Data!A185</f>
        <v>31.5</v>
      </c>
      <c r="Q185" s="9">
        <f>Model_Data!P185</f>
        <v>-268.38149222203356</v>
      </c>
      <c r="R185" s="9">
        <f>Model_Data!AM185</f>
        <v>-295.70542531273531</v>
      </c>
      <c r="S185" s="9">
        <f>Model_Data!Q185</f>
        <v>-40.297521354659693</v>
      </c>
      <c r="T185" s="9">
        <f>Model_Data!AN185</f>
        <v>-44.400214010921225</v>
      </c>
      <c r="U185" s="10"/>
      <c r="V185" s="9">
        <f>Model_Data!A185</f>
        <v>31.5</v>
      </c>
      <c r="W185" s="9">
        <f>Model_Data!B185-Inputs!$C$5</f>
        <v>1.1025000000000205</v>
      </c>
      <c r="X185" s="10"/>
      <c r="Y185" s="9">
        <f>Model_Data!A185</f>
        <v>31.5</v>
      </c>
      <c r="Z185" s="9">
        <f>0</f>
        <v>0</v>
      </c>
      <c r="AA185" s="9">
        <f>((SQRT((Inputs!$C$52+Inputs!$C$5)^2+Inputs!$C$52^2-2*(Inputs!$C$52+Inputs!$C$5)*Inputs!$C$52*COS(SQRT((Model_Data!A185)^2+Inputs!$C$6^2)/Inputs!$C$52))-Inputs!$C$5)*1000/Inputs!$C$12)</f>
        <v>1422.1882553000517</v>
      </c>
      <c r="AB185" s="9">
        <f>Model_Data!F185</f>
        <v>1419.0985822283808</v>
      </c>
    </row>
    <row r="186" spans="1:28">
      <c r="A186" s="9">
        <f>Model_Data!A186</f>
        <v>32</v>
      </c>
      <c r="B186" s="9">
        <f>0</f>
        <v>0</v>
      </c>
      <c r="C186" s="9">
        <f>((SQRT((Inputs!$C$52+Inputs!$C$5)^2+Inputs!$C$52^2-2*(Inputs!$C$52+Inputs!$C$5)*Inputs!$C$52*COS(SQRT((Model_Data!A186)^2+Inputs!$C$6^2)/Inputs!$C$52))-Inputs!$C$5)*1000/Inputs!$C$12)</f>
        <v>1450.0177076562909</v>
      </c>
      <c r="D186" s="9">
        <f>Model_Data!F186</f>
        <v>1446.7675112688235</v>
      </c>
      <c r="E186" s="9">
        <f>Model_Data!AC186</f>
        <v>1322.0423396394713</v>
      </c>
      <c r="F186" s="10"/>
      <c r="G186" s="9">
        <f>Model_Data!A186</f>
        <v>32</v>
      </c>
      <c r="H186" s="9">
        <f>Model_Data!Y186</f>
        <v>222.43770342187699</v>
      </c>
      <c r="I186" s="9">
        <f>Model_Data!Y186</f>
        <v>222.43770342187699</v>
      </c>
      <c r="J186" s="9">
        <f>Model_Data!X186</f>
        <v>-1.3588316603362678</v>
      </c>
      <c r="K186" s="9">
        <f>Model_Data!A186</f>
        <v>32</v>
      </c>
      <c r="L186" s="9">
        <f>Model_Data!Y186</f>
        <v>222.43770342187699</v>
      </c>
      <c r="M186" s="9">
        <f>Model_Data!X186</f>
        <v>-1.3588316603362678</v>
      </c>
      <c r="N186" s="9">
        <f>-(Model_Data!AC186-Model_Data!F186)*Inputs!$C$12</f>
        <v>222.0108055002469</v>
      </c>
      <c r="O186" s="10"/>
      <c r="P186" s="9">
        <f>Model_Data!A186</f>
        <v>32</v>
      </c>
      <c r="Q186" s="9">
        <f>Model_Data!P186</f>
        <v>-272.59975951992601</v>
      </c>
      <c r="R186" s="9">
        <f>Model_Data!AM186</f>
        <v>-254.59907467848097</v>
      </c>
      <c r="S186" s="9">
        <f>Model_Data!Q186</f>
        <v>-40.930894822811716</v>
      </c>
      <c r="T186" s="9">
        <f>Model_Data!AN186</f>
        <v>-38.228089291063213</v>
      </c>
      <c r="U186" s="10"/>
      <c r="V186" s="9">
        <f>Model_Data!A186</f>
        <v>32</v>
      </c>
      <c r="W186" s="9">
        <f>Model_Data!B186-Inputs!$C$5</f>
        <v>1.1377777777777851</v>
      </c>
      <c r="X186" s="10"/>
      <c r="Y186" s="9">
        <f>Model_Data!A186</f>
        <v>32</v>
      </c>
      <c r="Z186" s="9">
        <f>0</f>
        <v>0</v>
      </c>
      <c r="AA186" s="9">
        <f>((SQRT((Inputs!$C$52+Inputs!$C$5)^2+Inputs!$C$52^2-2*(Inputs!$C$52+Inputs!$C$5)*Inputs!$C$52*COS(SQRT((Model_Data!A186)^2+Inputs!$C$6^2)/Inputs!$C$52))-Inputs!$C$5)*1000/Inputs!$C$12)</f>
        <v>1450.0177076562909</v>
      </c>
      <c r="AB186" s="9">
        <f>Model_Data!F186</f>
        <v>1446.7675112688235</v>
      </c>
    </row>
    <row r="187" spans="1:28">
      <c r="A187" s="9">
        <f>Model_Data!A187</f>
        <v>32.5</v>
      </c>
      <c r="B187" s="9">
        <f>0</f>
        <v>0</v>
      </c>
      <c r="C187" s="9">
        <f>((SQRT((Inputs!$C$52+Inputs!$C$5)^2+Inputs!$C$52^2-2*(Inputs!$C$52+Inputs!$C$5)*Inputs!$C$52*COS(SQRT((Model_Data!A187)^2+Inputs!$C$6^2)/Inputs!$C$52))-Inputs!$C$5)*1000/Inputs!$C$12)</f>
        <v>1478.281852017923</v>
      </c>
      <c r="D187" s="9">
        <f>Model_Data!F187</f>
        <v>1474.8647275030371</v>
      </c>
      <c r="E187" s="9">
        <f>Model_Data!AC187</f>
        <v>1351.1233946981142</v>
      </c>
      <c r="F187" s="10"/>
      <c r="G187" s="9">
        <f>Model_Data!A187</f>
        <v>32.5</v>
      </c>
      <c r="H187" s="9">
        <f>Model_Data!Y187</f>
        <v>227.97180197682223</v>
      </c>
      <c r="I187" s="9">
        <f>Model_Data!Y187</f>
        <v>227.97180197682223</v>
      </c>
      <c r="J187" s="9">
        <f>Model_Data!X187</f>
        <v>5.8468430183224456</v>
      </c>
      <c r="K187" s="9">
        <f>Model_Data!A187</f>
        <v>32.5</v>
      </c>
      <c r="L187" s="9">
        <f>Model_Data!Y187</f>
        <v>227.97180197682223</v>
      </c>
      <c r="M187" s="9">
        <f>Model_Data!X187</f>
        <v>5.8468430183224456</v>
      </c>
      <c r="N187" s="9">
        <f>-(Model_Data!AC187-Model_Data!F187)*Inputs!$C$12</f>
        <v>220.25957239276272</v>
      </c>
      <c r="O187" s="10"/>
      <c r="P187" s="9">
        <f>Model_Data!A187</f>
        <v>32.5</v>
      </c>
      <c r="Q187" s="9">
        <f>Model_Data!P187</f>
        <v>-276.81608131206303</v>
      </c>
      <c r="R187" s="9">
        <f>Model_Data!AM187</f>
        <v>-271.14112996578115</v>
      </c>
      <c r="S187" s="9">
        <f>Model_Data!Q187</f>
        <v>-41.563976172982443</v>
      </c>
      <c r="T187" s="9">
        <f>Model_Data!AN187</f>
        <v>-40.711881376243419</v>
      </c>
      <c r="U187" s="10"/>
      <c r="V187" s="9">
        <f>Model_Data!A187</f>
        <v>32.5</v>
      </c>
      <c r="W187" s="9">
        <f>Model_Data!B187-Inputs!$C$5</f>
        <v>1.1736111111110858</v>
      </c>
      <c r="X187" s="10"/>
      <c r="Y187" s="9">
        <f>Model_Data!A187</f>
        <v>32.5</v>
      </c>
      <c r="Z187" s="9">
        <f>0</f>
        <v>0</v>
      </c>
      <c r="AA187" s="9">
        <f>((SQRT((Inputs!$C$52+Inputs!$C$5)^2+Inputs!$C$52^2-2*(Inputs!$C$52+Inputs!$C$5)*Inputs!$C$52*COS(SQRT((Model_Data!A187)^2+Inputs!$C$6^2)/Inputs!$C$52))-Inputs!$C$5)*1000/Inputs!$C$12)</f>
        <v>1478.281852017923</v>
      </c>
      <c r="AB187" s="9">
        <f>Model_Data!F187</f>
        <v>1474.8647275030371</v>
      </c>
    </row>
    <row r="188" spans="1:28">
      <c r="A188" s="9">
        <f>Model_Data!A188</f>
        <v>33</v>
      </c>
      <c r="B188" s="9">
        <f>0</f>
        <v>0</v>
      </c>
      <c r="C188" s="9">
        <f>((SQRT((Inputs!$C$52+Inputs!$C$5)^2+Inputs!$C$52^2-2*(Inputs!$C$52+Inputs!$C$5)*Inputs!$C$52*COS(SQRT((Model_Data!A188)^2+Inputs!$C$6^2)/Inputs!$C$52))-Inputs!$C$5)*1000/Inputs!$C$12)</f>
        <v>1506.9805225566647</v>
      </c>
      <c r="D188" s="9">
        <f>Model_Data!F188</f>
        <v>1503.3898868855904</v>
      </c>
      <c r="E188" s="9">
        <f>Model_Data!AC188</f>
        <v>1375.4072411425598</v>
      </c>
      <c r="F188" s="10"/>
      <c r="G188" s="9">
        <f>Model_Data!A188</f>
        <v>33</v>
      </c>
      <c r="H188" s="9">
        <f>Model_Data!Y188</f>
        <v>226.08418221808537</v>
      </c>
      <c r="I188" s="9">
        <f>Model_Data!Y188</f>
        <v>226.08418221808537</v>
      </c>
      <c r="J188" s="9">
        <f>Model_Data!X188</f>
        <v>-3.6102909912474139</v>
      </c>
      <c r="K188" s="9">
        <f>Model_Data!A188</f>
        <v>33</v>
      </c>
      <c r="L188" s="9">
        <f>Model_Data!Y188</f>
        <v>226.08418221808537</v>
      </c>
      <c r="M188" s="9">
        <f>Model_Data!X188</f>
        <v>-3.6102909912474139</v>
      </c>
      <c r="N188" s="9">
        <f>-(Model_Data!AC188-Model_Data!F188)*Inputs!$C$12</f>
        <v>227.8091094225945</v>
      </c>
      <c r="O188" s="10"/>
      <c r="P188" s="9">
        <f>Model_Data!A188</f>
        <v>33</v>
      </c>
      <c r="Q188" s="9">
        <f>Model_Data!P188</f>
        <v>-281.0304293043373</v>
      </c>
      <c r="R188" s="9">
        <f>Model_Data!AM188</f>
        <v>-283.89382672230568</v>
      </c>
      <c r="S188" s="9">
        <f>Model_Data!Q188</f>
        <v>-42.196761156807405</v>
      </c>
      <c r="T188" s="9">
        <f>Model_Data!AN188</f>
        <v>-42.626700709054909</v>
      </c>
      <c r="U188" s="10"/>
      <c r="V188" s="9">
        <f>Model_Data!A188</f>
        <v>33</v>
      </c>
      <c r="W188" s="9">
        <f>Model_Data!B188-Inputs!$C$5</f>
        <v>1.2099999999999795</v>
      </c>
      <c r="X188" s="10"/>
      <c r="Y188" s="9">
        <f>Model_Data!A188</f>
        <v>33</v>
      </c>
      <c r="Z188" s="9">
        <f>0</f>
        <v>0</v>
      </c>
      <c r="AA188" s="9">
        <f>((SQRT((Inputs!$C$52+Inputs!$C$5)^2+Inputs!$C$52^2-2*(Inputs!$C$52+Inputs!$C$5)*Inputs!$C$52*COS(SQRT((Model_Data!A188)^2+Inputs!$C$6^2)/Inputs!$C$52))-Inputs!$C$5)*1000/Inputs!$C$12)</f>
        <v>1506.9805225566647</v>
      </c>
      <c r="AB188" s="9">
        <f>Model_Data!F188</f>
        <v>1503.3898868855904</v>
      </c>
    </row>
    <row r="189" spans="1:28">
      <c r="A189" s="9">
        <f>Model_Data!A189</f>
        <v>33.5</v>
      </c>
      <c r="B189" s="9">
        <f>0</f>
        <v>0</v>
      </c>
      <c r="C189" s="9">
        <f>((SQRT((Inputs!$C$52+Inputs!$C$5)^2+Inputs!$C$52^2-2*(Inputs!$C$52+Inputs!$C$5)*Inputs!$C$52*COS(SQRT((Model_Data!A189)^2+Inputs!$C$6^2)/Inputs!$C$52))-Inputs!$C$5)*1000/Inputs!$C$12)</f>
        <v>1536.1135509787923</v>
      </c>
      <c r="D189" s="9">
        <f>Model_Data!F189</f>
        <v>1532.3426404141778</v>
      </c>
      <c r="E189" s="9">
        <f>Model_Data!AC189</f>
        <v>1407.9058931489919</v>
      </c>
      <c r="F189" s="10"/>
      <c r="G189" s="9">
        <f>Model_Data!A189</f>
        <v>33.5</v>
      </c>
      <c r="H189" s="9">
        <f>Model_Data!Y189</f>
        <v>226.23942491258683</v>
      </c>
      <c r="I189" s="9">
        <f>Model_Data!Y189</f>
        <v>226.23942491258683</v>
      </c>
      <c r="J189" s="9">
        <f>Model_Data!X189</f>
        <v>2.8193818928466783</v>
      </c>
      <c r="K189" s="9">
        <f>Model_Data!A189</f>
        <v>33.5</v>
      </c>
      <c r="L189" s="9">
        <f>Model_Data!Y189</f>
        <v>226.23942491258683</v>
      </c>
      <c r="M189" s="9">
        <f>Model_Data!X189</f>
        <v>2.8193818928466783</v>
      </c>
      <c r="N189" s="9">
        <f>-(Model_Data!AC189-Model_Data!F189)*Inputs!$C$12</f>
        <v>221.49741013203089</v>
      </c>
      <c r="O189" s="10"/>
      <c r="P189" s="9">
        <f>Model_Data!A189</f>
        <v>33.5</v>
      </c>
      <c r="Q189" s="9">
        <f>Model_Data!P189</f>
        <v>-285.24277529395476</v>
      </c>
      <c r="R189" s="9">
        <f>Model_Data!AM189</f>
        <v>-258.09890866003116</v>
      </c>
      <c r="S189" s="9">
        <f>Model_Data!Q189</f>
        <v>-42.829245539632851</v>
      </c>
      <c r="T189" s="9">
        <f>Model_Data!AN189</f>
        <v>-38.753589888893572</v>
      </c>
      <c r="U189" s="10"/>
      <c r="V189" s="9">
        <f>Model_Data!A189</f>
        <v>33.5</v>
      </c>
      <c r="W189" s="9">
        <f>Model_Data!B189-Inputs!$C$5</f>
        <v>1.2469444444444662</v>
      </c>
      <c r="X189" s="10"/>
      <c r="Y189" s="9">
        <f>Model_Data!A189</f>
        <v>33.5</v>
      </c>
      <c r="Z189" s="9">
        <f>0</f>
        <v>0</v>
      </c>
      <c r="AA189" s="9">
        <f>((SQRT((Inputs!$C$52+Inputs!$C$5)^2+Inputs!$C$52^2-2*(Inputs!$C$52+Inputs!$C$5)*Inputs!$C$52*COS(SQRT((Model_Data!A189)^2+Inputs!$C$6^2)/Inputs!$C$52))-Inputs!$C$5)*1000/Inputs!$C$12)</f>
        <v>1536.1135509787923</v>
      </c>
      <c r="AB189" s="9">
        <f>Model_Data!F189</f>
        <v>1532.3426404141778</v>
      </c>
    </row>
    <row r="190" spans="1:28">
      <c r="A190" s="9">
        <f>Model_Data!A190</f>
        <v>34</v>
      </c>
      <c r="B190" s="9">
        <f>0</f>
        <v>0</v>
      </c>
      <c r="C190" s="9">
        <f>((SQRT((Inputs!$C$52+Inputs!$C$5)^2+Inputs!$C$52^2-2*(Inputs!$C$52+Inputs!$C$5)*Inputs!$C$52*COS(SQRT((Model_Data!A190)^2+Inputs!$C$6^2)/Inputs!$C$52))-Inputs!$C$5)*1000/Inputs!$C$12)</f>
        <v>1565.6807665318488</v>
      </c>
      <c r="D190" s="9">
        <f>Model_Data!F190</f>
        <v>1561.7226341407977</v>
      </c>
      <c r="E190" s="9">
        <f>Model_Data!AC190</f>
        <v>1431.800074093966</v>
      </c>
      <c r="F190" s="10"/>
      <c r="G190" s="9">
        <f>Model_Data!A190</f>
        <v>34</v>
      </c>
      <c r="H190" s="9">
        <f>Model_Data!Y190</f>
        <v>243.27042748832011</v>
      </c>
      <c r="I190" s="9">
        <f>Model_Data!Y190</f>
        <v>243.27042748832011</v>
      </c>
      <c r="J190" s="9">
        <f>Model_Data!X190</f>
        <v>9.9015781941524494</v>
      </c>
      <c r="K190" s="9">
        <f>Model_Data!A190</f>
        <v>34</v>
      </c>
      <c r="L190" s="9">
        <f>Model_Data!Y190</f>
        <v>243.27042748832011</v>
      </c>
      <c r="M190" s="9">
        <f>Model_Data!X190</f>
        <v>9.9015781941524494</v>
      </c>
      <c r="N190" s="9">
        <f>-(Model_Data!AC190-Model_Data!F190)*Inputs!$C$12</f>
        <v>231.26215688336038</v>
      </c>
      <c r="O190" s="10"/>
      <c r="P190" s="9">
        <f>Model_Data!A190</f>
        <v>34</v>
      </c>
      <c r="Q190" s="9">
        <f>Model_Data!P190</f>
        <v>-289.4530911666152</v>
      </c>
      <c r="R190" s="9">
        <f>Model_Data!AM190</f>
        <v>-253.72673676783961</v>
      </c>
      <c r="S190" s="9">
        <f>Model_Data!Q190</f>
        <v>-43.461425100092377</v>
      </c>
      <c r="T190" s="9">
        <f>Model_Data!AN190</f>
        <v>-38.097107622798745</v>
      </c>
      <c r="U190" s="10"/>
      <c r="V190" s="9">
        <f>Model_Data!A190</f>
        <v>34</v>
      </c>
      <c r="W190" s="9">
        <f>Model_Data!B190-Inputs!$C$5</f>
        <v>1.2844444444444321</v>
      </c>
      <c r="X190" s="10"/>
      <c r="Y190" s="9">
        <f>Model_Data!A190</f>
        <v>34</v>
      </c>
      <c r="Z190" s="9">
        <f>0</f>
        <v>0</v>
      </c>
      <c r="AA190" s="9">
        <f>((SQRT((Inputs!$C$52+Inputs!$C$5)^2+Inputs!$C$52^2-2*(Inputs!$C$52+Inputs!$C$5)*Inputs!$C$52*COS(SQRT((Model_Data!A190)^2+Inputs!$C$6^2)/Inputs!$C$52))-Inputs!$C$5)*1000/Inputs!$C$12)</f>
        <v>1565.6807665318488</v>
      </c>
      <c r="AB190" s="9">
        <f>Model_Data!F190</f>
        <v>1561.7226341407977</v>
      </c>
    </row>
    <row r="191" spans="1:28">
      <c r="A191" s="9">
        <f>Model_Data!A191</f>
        <v>34.5</v>
      </c>
      <c r="B191" s="9">
        <f>0</f>
        <v>0</v>
      </c>
      <c r="C191" s="9">
        <f>((SQRT((Inputs!$C$52+Inputs!$C$5)^2+Inputs!$C$52^2-2*(Inputs!$C$52+Inputs!$C$5)*Inputs!$C$52*COS(SQRT((Model_Data!A191)^2+Inputs!$C$6^2)/Inputs!$C$52))-Inputs!$C$5)*1000/Inputs!$C$12)</f>
        <v>1595.6819960061448</v>
      </c>
      <c r="D191" s="9">
        <f>Model_Data!F191</f>
        <v>1591.5295091914868</v>
      </c>
      <c r="E191" s="9">
        <f>Model_Data!AC191</f>
        <v>1465.4960413270337</v>
      </c>
      <c r="F191" s="10"/>
      <c r="G191" s="9">
        <f>Model_Data!A191</f>
        <v>34.5</v>
      </c>
      <c r="H191" s="9">
        <f>Model_Data!Y191</f>
        <v>248.84143597822731</v>
      </c>
      <c r="I191" s="9">
        <f>Model_Data!Y191</f>
        <v>248.84143597822731</v>
      </c>
      <c r="J191" s="9">
        <f>Model_Data!X191</f>
        <v>22.306190725387925</v>
      </c>
      <c r="K191" s="9">
        <f>Model_Data!A191</f>
        <v>34.5</v>
      </c>
      <c r="L191" s="9">
        <f>Model_Data!Y191</f>
        <v>248.84143597822731</v>
      </c>
      <c r="M191" s="9">
        <f>Model_Data!X191</f>
        <v>22.306190725387925</v>
      </c>
      <c r="N191" s="9">
        <f>-(Model_Data!AC191-Model_Data!F191)*Inputs!$C$12</f>
        <v>224.33957279872649</v>
      </c>
      <c r="O191" s="10"/>
      <c r="P191" s="9">
        <f>Model_Data!A191</f>
        <v>34.5</v>
      </c>
      <c r="Q191" s="9">
        <f>Model_Data!P191</f>
        <v>-293.66134891224647</v>
      </c>
      <c r="R191" s="9">
        <f>Model_Data!AM191</f>
        <v>-295.78985259904584</v>
      </c>
      <c r="S191" s="9">
        <f>Model_Data!Q191</f>
        <v>-44.093295632469442</v>
      </c>
      <c r="T191" s="9">
        <f>Model_Data!AN191</f>
        <v>-44.412890780637518</v>
      </c>
      <c r="U191" s="10"/>
      <c r="V191" s="9">
        <f>Model_Data!A191</f>
        <v>34.5</v>
      </c>
      <c r="W191" s="9">
        <f>Model_Data!B191-Inputs!$C$5</f>
        <v>1.3224999999999909</v>
      </c>
      <c r="X191" s="10"/>
      <c r="Y191" s="9">
        <f>Model_Data!A191</f>
        <v>34.5</v>
      </c>
      <c r="Z191" s="9">
        <f>0</f>
        <v>0</v>
      </c>
      <c r="AA191" s="9">
        <f>((SQRT((Inputs!$C$52+Inputs!$C$5)^2+Inputs!$C$52^2-2*(Inputs!$C$52+Inputs!$C$5)*Inputs!$C$52*COS(SQRT((Model_Data!A191)^2+Inputs!$C$6^2)/Inputs!$C$52))-Inputs!$C$5)*1000/Inputs!$C$12)</f>
        <v>1595.6819960061448</v>
      </c>
      <c r="AB191" s="9">
        <f>Model_Data!F191</f>
        <v>1591.5295091914868</v>
      </c>
    </row>
    <row r="192" spans="1:28">
      <c r="A192" s="9">
        <f>Model_Data!A192</f>
        <v>35</v>
      </c>
      <c r="B192" s="9">
        <f>0</f>
        <v>0</v>
      </c>
      <c r="C192" s="9">
        <f>((SQRT((Inputs!$C$52+Inputs!$C$5)^2+Inputs!$C$52^2-2*(Inputs!$C$52+Inputs!$C$5)*Inputs!$C$52*COS(SQRT((Model_Data!A192)^2+Inputs!$C$6^2)/Inputs!$C$52))-Inputs!$C$5)*1000/Inputs!$C$12)</f>
        <v>1626.1170637436685</v>
      </c>
      <c r="D192" s="9">
        <f>Model_Data!F192</f>
        <v>1621.7629017832137</v>
      </c>
      <c r="E192" s="9">
        <f>Model_Data!AC192</f>
        <v>1503.2744465409978</v>
      </c>
      <c r="F192" s="10"/>
      <c r="G192" s="9">
        <f>Model_Data!A192</f>
        <v>35</v>
      </c>
      <c r="H192" s="9">
        <f>Model_Data!Y192</f>
        <v>242.00890812042311</v>
      </c>
      <c r="I192" s="9">
        <f>Model_Data!Y192</f>
        <v>242.00890812042311</v>
      </c>
      <c r="J192" s="9">
        <f>Model_Data!X192</f>
        <v>28.92396994213728</v>
      </c>
      <c r="K192" s="9">
        <f>Model_Data!A192</f>
        <v>35</v>
      </c>
      <c r="L192" s="9">
        <f>Model_Data!Y192</f>
        <v>242.00890812042311</v>
      </c>
      <c r="M192" s="9">
        <f>Model_Data!X192</f>
        <v>28.92396994213728</v>
      </c>
      <c r="N192" s="9">
        <f>-(Model_Data!AC192-Model_Data!F192)*Inputs!$C$12</f>
        <v>210.90945033114426</v>
      </c>
      <c r="O192" s="10"/>
      <c r="P192" s="9">
        <f>Model_Data!A192</f>
        <v>35</v>
      </c>
      <c r="Q192" s="9">
        <f>Model_Data!P192</f>
        <v>-297.86752062109372</v>
      </c>
      <c r="R192" s="9">
        <f>Model_Data!AM192</f>
        <v>-307.83523316185892</v>
      </c>
      <c r="S192" s="9">
        <f>Model_Data!Q192</f>
        <v>-44.724852946110168</v>
      </c>
      <c r="T192" s="9">
        <f>Model_Data!AN192</f>
        <v>-46.221506480759601</v>
      </c>
      <c r="U192" s="10"/>
      <c r="V192" s="9">
        <f>Model_Data!A192</f>
        <v>35</v>
      </c>
      <c r="W192" s="9">
        <f>Model_Data!B192-Inputs!$C$5</f>
        <v>1.3611111111110858</v>
      </c>
      <c r="X192" s="10"/>
      <c r="Y192" s="9">
        <f>Model_Data!A192</f>
        <v>35</v>
      </c>
      <c r="Z192" s="9">
        <f>0</f>
        <v>0</v>
      </c>
      <c r="AA192" s="9">
        <f>((SQRT((Inputs!$C$52+Inputs!$C$5)^2+Inputs!$C$52^2-2*(Inputs!$C$52+Inputs!$C$5)*Inputs!$C$52*COS(SQRT((Model_Data!A192)^2+Inputs!$C$6^2)/Inputs!$C$52))-Inputs!$C$5)*1000/Inputs!$C$12)</f>
        <v>1626.1170637436685</v>
      </c>
      <c r="AB192" s="9">
        <f>Model_Data!F192</f>
        <v>1621.7629017832137</v>
      </c>
    </row>
    <row r="193" spans="1:28">
      <c r="A193" s="9">
        <f>Model_Data!A193</f>
        <v>35.5</v>
      </c>
      <c r="B193" s="9">
        <f>0</f>
        <v>0</v>
      </c>
      <c r="C193" s="9">
        <f>((SQRT((Inputs!$C$52+Inputs!$C$5)^2+Inputs!$C$52^2-2*(Inputs!$C$52+Inputs!$C$5)*Inputs!$C$52*COS(SQRT((Model_Data!A193)^2+Inputs!$C$6^2)/Inputs!$C$52))-Inputs!$C$5)*1000/Inputs!$C$12)</f>
        <v>1656.9857916385645</v>
      </c>
      <c r="D193" s="9">
        <f>Model_Data!F193</f>
        <v>1652.4224432422736</v>
      </c>
      <c r="E193" s="9">
        <f>Model_Data!AC193</f>
        <v>1535.4627090121364</v>
      </c>
      <c r="F193" s="10"/>
      <c r="G193" s="9">
        <f>Model_Data!A193</f>
        <v>35.5</v>
      </c>
      <c r="H193" s="9">
        <f>Model_Data!Y193</f>
        <v>242.63788270086079</v>
      </c>
      <c r="I193" s="9">
        <f>Model_Data!Y193</f>
        <v>242.63788270086079</v>
      </c>
      <c r="J193" s="9">
        <f>Model_Data!X193</f>
        <v>32.227616256478356</v>
      </c>
      <c r="K193" s="9">
        <f>Model_Data!A193</f>
        <v>35.5</v>
      </c>
      <c r="L193" s="9">
        <f>Model_Data!Y193</f>
        <v>242.63788270086079</v>
      </c>
      <c r="M193" s="9">
        <f>Model_Data!X193</f>
        <v>32.227616256478356</v>
      </c>
      <c r="N193" s="9">
        <f>-(Model_Data!AC193-Model_Data!F193)*Inputs!$C$12</f>
        <v>208.18832692964423</v>
      </c>
      <c r="O193" s="10"/>
      <c r="P193" s="9">
        <f>Model_Data!A193</f>
        <v>35.5</v>
      </c>
      <c r="Q193" s="9">
        <f>Model_Data!P193</f>
        <v>-302.07157848089992</v>
      </c>
      <c r="R193" s="9">
        <f>Model_Data!AM193</f>
        <v>-286.60699439151358</v>
      </c>
      <c r="S193" s="9">
        <f>Model_Data!Q193</f>
        <v>-45.356092864999994</v>
      </c>
      <c r="T193" s="9">
        <f>Model_Data!AN193</f>
        <v>-43.034083241969007</v>
      </c>
      <c r="U193" s="10"/>
      <c r="V193" s="9">
        <f>Model_Data!A193</f>
        <v>35.5</v>
      </c>
      <c r="W193" s="9">
        <f>Model_Data!B193-Inputs!$C$5</f>
        <v>1.4002777777777737</v>
      </c>
      <c r="X193" s="10"/>
      <c r="Y193" s="9">
        <f>Model_Data!A193</f>
        <v>35.5</v>
      </c>
      <c r="Z193" s="9">
        <f>0</f>
        <v>0</v>
      </c>
      <c r="AA193" s="9">
        <f>((SQRT((Inputs!$C$52+Inputs!$C$5)^2+Inputs!$C$52^2-2*(Inputs!$C$52+Inputs!$C$5)*Inputs!$C$52*COS(SQRT((Model_Data!A193)^2+Inputs!$C$6^2)/Inputs!$C$52))-Inputs!$C$5)*1000/Inputs!$C$12)</f>
        <v>1656.9857916385645</v>
      </c>
      <c r="AB193" s="9">
        <f>Model_Data!F193</f>
        <v>1652.4224432422736</v>
      </c>
    </row>
    <row r="194" spans="1:28">
      <c r="A194" s="9">
        <f>Model_Data!A194</f>
        <v>36</v>
      </c>
      <c r="B194" s="9">
        <f>0</f>
        <v>0</v>
      </c>
      <c r="C194" s="9">
        <f>((SQRT((Inputs!$C$52+Inputs!$C$5)^2+Inputs!$C$52^2-2*(Inputs!$C$52+Inputs!$C$5)*Inputs!$C$52*COS(SQRT((Model_Data!A194)^2+Inputs!$C$6^2)/Inputs!$C$52))-Inputs!$C$5)*1000/Inputs!$C$12)</f>
        <v>1688.2879991473199</v>
      </c>
      <c r="D194" s="9">
        <f>Model_Data!F194</f>
        <v>1683.5077600200959</v>
      </c>
      <c r="E194" s="9">
        <f>Model_Data!AC194</f>
        <v>1568.8581820072843</v>
      </c>
      <c r="F194" s="10"/>
      <c r="G194" s="9">
        <f>Model_Data!A194</f>
        <v>36</v>
      </c>
      <c r="H194" s="9">
        <f>Model_Data!Y194</f>
        <v>251.84803304144381</v>
      </c>
      <c r="I194" s="9">
        <f>Model_Data!Y194</f>
        <v>251.84803304144381</v>
      </c>
      <c r="J194" s="9">
        <f>Model_Data!X194</f>
        <v>45.422536466318</v>
      </c>
      <c r="K194" s="9">
        <f>Model_Data!A194</f>
        <v>36</v>
      </c>
      <c r="L194" s="9">
        <f>Model_Data!Y194</f>
        <v>251.84803304144381</v>
      </c>
      <c r="M194" s="9">
        <f>Model_Data!X194</f>
        <v>45.422536466318</v>
      </c>
      <c r="N194" s="9">
        <f>-(Model_Data!AC194-Model_Data!F194)*Inputs!$C$12</f>
        <v>204.07624886280468</v>
      </c>
      <c r="O194" s="10"/>
      <c r="P194" s="9">
        <f>Model_Data!A194</f>
        <v>36</v>
      </c>
      <c r="Q194" s="9">
        <f>Model_Data!P194</f>
        <v>-306.2734947710851</v>
      </c>
      <c r="R194" s="9">
        <f>Model_Data!AM194</f>
        <v>-256.20808419480454</v>
      </c>
      <c r="S194" s="9">
        <f>Model_Data!Q194</f>
        <v>-45.987011226889656</v>
      </c>
      <c r="T194" s="9">
        <f>Model_Data!AN194</f>
        <v>-38.469682311532218</v>
      </c>
      <c r="U194" s="10"/>
      <c r="V194" s="9">
        <f>Model_Data!A194</f>
        <v>36</v>
      </c>
      <c r="W194" s="9">
        <f>Model_Data!B194-Inputs!$C$5</f>
        <v>1.4399999999999977</v>
      </c>
      <c r="X194" s="10"/>
      <c r="Y194" s="9">
        <f>Model_Data!A194</f>
        <v>36</v>
      </c>
      <c r="Z194" s="9">
        <f>0</f>
        <v>0</v>
      </c>
      <c r="AA194" s="9">
        <f>((SQRT((Inputs!$C$52+Inputs!$C$5)^2+Inputs!$C$52^2-2*(Inputs!$C$52+Inputs!$C$5)*Inputs!$C$52*COS(SQRT((Model_Data!A194)^2+Inputs!$C$6^2)/Inputs!$C$52))-Inputs!$C$5)*1000/Inputs!$C$12)</f>
        <v>1688.2879991473199</v>
      </c>
      <c r="AB194" s="9">
        <f>Model_Data!F194</f>
        <v>1683.5077600200959</v>
      </c>
    </row>
    <row r="195" spans="1:28">
      <c r="A195" s="9">
        <f>Model_Data!A195</f>
        <v>36.5</v>
      </c>
      <c r="B195" s="9">
        <f>0</f>
        <v>0</v>
      </c>
      <c r="C195" s="9">
        <f>((SQRT((Inputs!$C$52+Inputs!$C$5)^2+Inputs!$C$52^2-2*(Inputs!$C$52+Inputs!$C$5)*Inputs!$C$52*COS(SQRT((Model_Data!A195)^2+Inputs!$C$6^2)/Inputs!$C$52))-Inputs!$C$5)*1000/Inputs!$C$12)</f>
        <v>1720.0235032886708</v>
      </c>
      <c r="D195" s="9">
        <f>Model_Data!F195</f>
        <v>1715.0184737096579</v>
      </c>
      <c r="E195" s="9">
        <f>Model_Data!AC195</f>
        <v>1587.6450860711047</v>
      </c>
      <c r="F195" s="10"/>
      <c r="G195" s="9">
        <f>Model_Data!A195</f>
        <v>36.5</v>
      </c>
      <c r="H195" s="9">
        <f>Model_Data!Y195</f>
        <v>274.31313500223371</v>
      </c>
      <c r="I195" s="9">
        <f>Model_Data!Y195</f>
        <v>274.31313500223371</v>
      </c>
      <c r="J195" s="9">
        <f>Model_Data!X195</f>
        <v>44.982194799694888</v>
      </c>
      <c r="K195" s="9">
        <f>Model_Data!A195</f>
        <v>36.5</v>
      </c>
      <c r="L195" s="9">
        <f>Model_Data!Y195</f>
        <v>274.31313500223371</v>
      </c>
      <c r="M195" s="9">
        <f>Model_Data!X195</f>
        <v>44.982194799694888</v>
      </c>
      <c r="N195" s="9">
        <f>-(Model_Data!AC195-Model_Data!F195)*Inputs!$C$12</f>
        <v>226.7246299966246</v>
      </c>
      <c r="O195" s="10"/>
      <c r="P195" s="9">
        <f>Model_Data!A195</f>
        <v>36.5</v>
      </c>
      <c r="Q195" s="9">
        <f>Model_Data!P195</f>
        <v>-310.47324188575658</v>
      </c>
      <c r="R195" s="9">
        <f>Model_Data!AM195</f>
        <v>-270.33211644011317</v>
      </c>
      <c r="S195" s="9">
        <f>Model_Data!Q195</f>
        <v>-46.617603886750238</v>
      </c>
      <c r="T195" s="9">
        <f>Model_Data!AN195</f>
        <v>-40.590407873890868</v>
      </c>
      <c r="U195" s="10"/>
      <c r="V195" s="9">
        <f>Model_Data!A195</f>
        <v>36.5</v>
      </c>
      <c r="W195" s="9">
        <f>Model_Data!B195-Inputs!$C$5</f>
        <v>1.4802777777777578</v>
      </c>
      <c r="X195" s="10"/>
      <c r="Y195" s="9">
        <f>Model_Data!A195</f>
        <v>36.5</v>
      </c>
      <c r="Z195" s="9">
        <f>0</f>
        <v>0</v>
      </c>
      <c r="AA195" s="9">
        <f>((SQRT((Inputs!$C$52+Inputs!$C$5)^2+Inputs!$C$52^2-2*(Inputs!$C$52+Inputs!$C$5)*Inputs!$C$52*COS(SQRT((Model_Data!A195)^2+Inputs!$C$6^2)/Inputs!$C$52))-Inputs!$C$5)*1000/Inputs!$C$12)</f>
        <v>1720.0235032886708</v>
      </c>
      <c r="AB195" s="9">
        <f>Model_Data!F195</f>
        <v>1715.0184737096579</v>
      </c>
    </row>
    <row r="196" spans="1:28">
      <c r="A196" s="9">
        <f>Model_Data!A196</f>
        <v>37</v>
      </c>
      <c r="B196" s="9">
        <f>0</f>
        <v>0</v>
      </c>
      <c r="C196" s="9">
        <f>((SQRT((Inputs!$C$52+Inputs!$C$5)^2+Inputs!$C$52^2-2*(Inputs!$C$52+Inputs!$C$5)*Inputs!$C$52*COS(SQRT((Model_Data!A196)^2+Inputs!$C$6^2)/Inputs!$C$52))-Inputs!$C$5)*1000/Inputs!$C$12)</f>
        <v>1752.1921186527331</v>
      </c>
      <c r="D196" s="9">
        <f>Model_Data!F196</f>
        <v>1746.9542010692446</v>
      </c>
      <c r="E196" s="9">
        <f>Model_Data!AC196</f>
        <v>1625.4789197829355</v>
      </c>
      <c r="F196" s="10"/>
      <c r="G196" s="9">
        <f>Model_Data!A196</f>
        <v>37</v>
      </c>
      <c r="H196" s="9">
        <f>Model_Data!Y196</f>
        <v>277.26991348245565</v>
      </c>
      <c r="I196" s="9">
        <f>Model_Data!Y196</f>
        <v>277.26991348245565</v>
      </c>
      <c r="J196" s="9">
        <f>Model_Data!X196</f>
        <v>58.360988043050376</v>
      </c>
      <c r="K196" s="9">
        <f>Model_Data!A196</f>
        <v>37</v>
      </c>
      <c r="L196" s="9">
        <f>Model_Data!Y196</f>
        <v>277.26991348245565</v>
      </c>
      <c r="M196" s="9">
        <f>Model_Data!X196</f>
        <v>58.360988043050376</v>
      </c>
      <c r="N196" s="9">
        <f>-(Model_Data!AC196-Model_Data!F196)*Inputs!$C$12</f>
        <v>216.2260006896303</v>
      </c>
      <c r="O196" s="10"/>
      <c r="P196" s="9">
        <f>Model_Data!A196</f>
        <v>37</v>
      </c>
      <c r="Q196" s="9">
        <f>Model_Data!P196</f>
        <v>-314.67079231433672</v>
      </c>
      <c r="R196" s="9">
        <f>Model_Data!AM196</f>
        <v>-304.73200256828932</v>
      </c>
      <c r="S196" s="9">
        <f>Model_Data!Q196</f>
        <v>-47.247866713864376</v>
      </c>
      <c r="T196" s="9">
        <f>Model_Data!AN196</f>
        <v>-45.755555941184589</v>
      </c>
      <c r="U196" s="10"/>
      <c r="V196" s="9">
        <f>Model_Data!A196</f>
        <v>37</v>
      </c>
      <c r="W196" s="9">
        <f>Model_Data!B196-Inputs!$C$5</f>
        <v>1.5211111111111109</v>
      </c>
      <c r="X196" s="10"/>
      <c r="Y196" s="9">
        <f>Model_Data!A196</f>
        <v>37</v>
      </c>
      <c r="Z196" s="9">
        <f>0</f>
        <v>0</v>
      </c>
      <c r="AA196" s="9">
        <f>((SQRT((Inputs!$C$52+Inputs!$C$5)^2+Inputs!$C$52^2-2*(Inputs!$C$52+Inputs!$C$5)*Inputs!$C$52*COS(SQRT((Model_Data!A196)^2+Inputs!$C$6^2)/Inputs!$C$52))-Inputs!$C$5)*1000/Inputs!$C$12)</f>
        <v>1752.1921186527331</v>
      </c>
      <c r="AB196" s="9">
        <f>Model_Data!F196</f>
        <v>1746.9542010692446</v>
      </c>
    </row>
    <row r="197" spans="1:28">
      <c r="A197" s="9">
        <f>Model_Data!A197</f>
        <v>37.5</v>
      </c>
      <c r="B197" s="9">
        <f>0</f>
        <v>0</v>
      </c>
      <c r="C197" s="9">
        <f>((SQRT((Inputs!$C$52+Inputs!$C$5)^2+Inputs!$C$52^2-2*(Inputs!$C$52+Inputs!$C$5)*Inputs!$C$52*COS(SQRT((Model_Data!A197)^2+Inputs!$C$6^2)/Inputs!$C$52))-Inputs!$C$5)*1000/Inputs!$C$12)</f>
        <v>1784.7936574050277</v>
      </c>
      <c r="D197" s="9">
        <f>Model_Data!F197</f>
        <v>1779.3145540322525</v>
      </c>
      <c r="E197" s="9">
        <f>Model_Data!AC197</f>
        <v>1654.6867542325188</v>
      </c>
      <c r="F197" s="10"/>
      <c r="G197" s="9">
        <f>Model_Data!A197</f>
        <v>37.5</v>
      </c>
      <c r="H197" s="9">
        <f>Model_Data!Y197</f>
        <v>280.68428636923539</v>
      </c>
      <c r="I197" s="9">
        <f>Model_Data!Y197</f>
        <v>280.68428636923539</v>
      </c>
      <c r="J197" s="9">
        <f>Model_Data!X197</f>
        <v>56.081084744036659</v>
      </c>
      <c r="K197" s="9">
        <f>Model_Data!A197</f>
        <v>37.5</v>
      </c>
      <c r="L197" s="9">
        <f>Model_Data!Y197</f>
        <v>280.68428636923539</v>
      </c>
      <c r="M197" s="9">
        <f>Model_Data!X197</f>
        <v>56.081084744036659</v>
      </c>
      <c r="N197" s="9">
        <f>-(Model_Data!AC197-Model_Data!F197)*Inputs!$C$12</f>
        <v>221.83748364352616</v>
      </c>
      <c r="O197" s="10"/>
      <c r="P197" s="9">
        <f>Model_Data!A197</f>
        <v>37.5</v>
      </c>
      <c r="Q197" s="9">
        <f>Model_Data!P197</f>
        <v>-318.86611864902079</v>
      </c>
      <c r="R197" s="9">
        <f>Model_Data!AM197</f>
        <v>-310.94330885744057</v>
      </c>
      <c r="S197" s="9">
        <f>Model_Data!Q197</f>
        <v>-47.877795592946072</v>
      </c>
      <c r="T197" s="9">
        <f>Model_Data!AN197</f>
        <v>-46.688184513129215</v>
      </c>
      <c r="U197" s="10"/>
      <c r="V197" s="9">
        <f>Model_Data!A197</f>
        <v>37.5</v>
      </c>
      <c r="W197" s="9">
        <f>Model_Data!B197-Inputs!$C$5</f>
        <v>1.5625</v>
      </c>
      <c r="X197" s="10"/>
      <c r="Y197" s="9">
        <f>Model_Data!A197</f>
        <v>37.5</v>
      </c>
      <c r="Z197" s="9">
        <f>0</f>
        <v>0</v>
      </c>
      <c r="AA197" s="9">
        <f>((SQRT((Inputs!$C$52+Inputs!$C$5)^2+Inputs!$C$52^2-2*(Inputs!$C$52+Inputs!$C$5)*Inputs!$C$52*COS(SQRT((Model_Data!A197)^2+Inputs!$C$6^2)/Inputs!$C$52))-Inputs!$C$5)*1000/Inputs!$C$12)</f>
        <v>1784.7936574050277</v>
      </c>
      <c r="AB197" s="9">
        <f>Model_Data!F197</f>
        <v>1779.3145540322525</v>
      </c>
    </row>
    <row r="198" spans="1:28">
      <c r="A198" s="9">
        <f>Model_Data!A198</f>
        <v>38</v>
      </c>
      <c r="B198" s="9">
        <f>0</f>
        <v>0</v>
      </c>
      <c r="C198" s="9">
        <f>((SQRT((Inputs!$C$52+Inputs!$C$5)^2+Inputs!$C$52^2-2*(Inputs!$C$52+Inputs!$C$5)*Inputs!$C$52*COS(SQRT((Model_Data!A198)^2+Inputs!$C$6^2)/Inputs!$C$52))-Inputs!$C$5)*1000/Inputs!$C$12)</f>
        <v>1817.8279292902807</v>
      </c>
      <c r="D198" s="9">
        <f>Model_Data!F198</f>
        <v>1812.0991397334715</v>
      </c>
      <c r="E198" s="9">
        <f>Model_Data!AC198</f>
        <v>1697.1287035508037</v>
      </c>
      <c r="F198" s="10"/>
      <c r="G198" s="9">
        <f>Model_Data!A198</f>
        <v>38</v>
      </c>
      <c r="H198" s="9">
        <f>Model_Data!Y198</f>
        <v>282.3717678695042</v>
      </c>
      <c r="I198" s="9">
        <f>Model_Data!Y198</f>
        <v>282.3717678695042</v>
      </c>
      <c r="J198" s="9">
        <f>Model_Data!X198</f>
        <v>74.89136844725374</v>
      </c>
      <c r="K198" s="9">
        <f>Model_Data!A198</f>
        <v>38</v>
      </c>
      <c r="L198" s="9">
        <f>Model_Data!Y198</f>
        <v>282.3717678695042</v>
      </c>
      <c r="M198" s="9">
        <f>Model_Data!X198</f>
        <v>74.89136844725374</v>
      </c>
      <c r="N198" s="9">
        <f>-(Model_Data!AC198-Model_Data!F198)*Inputs!$C$12</f>
        <v>204.64737640514861</v>
      </c>
      <c r="O198" s="10"/>
      <c r="P198" s="9">
        <f>Model_Data!A198</f>
        <v>38</v>
      </c>
      <c r="Q198" s="9">
        <f>Model_Data!P198</f>
        <v>-323.05919359660038</v>
      </c>
      <c r="R198" s="9">
        <f>Model_Data!AM198</f>
        <v>-274.92396347497561</v>
      </c>
      <c r="S198" s="9">
        <f>Model_Data!Q198</f>
        <v>-48.507386425915975</v>
      </c>
      <c r="T198" s="9">
        <f>Model_Data!AN198</f>
        <v>-41.27987439564199</v>
      </c>
      <c r="U198" s="10"/>
      <c r="V198" s="9">
        <f>Model_Data!A198</f>
        <v>38</v>
      </c>
      <c r="W198" s="9">
        <f>Model_Data!B198-Inputs!$C$5</f>
        <v>1.6044444444444252</v>
      </c>
      <c r="X198" s="10"/>
      <c r="Y198" s="9">
        <f>Model_Data!A198</f>
        <v>38</v>
      </c>
      <c r="Z198" s="9">
        <f>0</f>
        <v>0</v>
      </c>
      <c r="AA198" s="9">
        <f>((SQRT((Inputs!$C$52+Inputs!$C$5)^2+Inputs!$C$52^2-2*(Inputs!$C$52+Inputs!$C$5)*Inputs!$C$52*COS(SQRT((Model_Data!A198)^2+Inputs!$C$6^2)/Inputs!$C$52))-Inputs!$C$5)*1000/Inputs!$C$12)</f>
        <v>1817.8279292902807</v>
      </c>
      <c r="AB198" s="9">
        <f>Model_Data!F198</f>
        <v>1812.0991397334715</v>
      </c>
    </row>
    <row r="199" spans="1:28">
      <c r="A199" s="9">
        <f>Model_Data!A199</f>
        <v>38.5</v>
      </c>
      <c r="B199" s="9">
        <f>0</f>
        <v>0</v>
      </c>
      <c r="C199" s="9">
        <f>((SQRT((Inputs!$C$52+Inputs!$C$5)^2+Inputs!$C$52^2-2*(Inputs!$C$52+Inputs!$C$5)*Inputs!$C$52*COS(SQRT((Model_Data!A199)^2+Inputs!$C$6^2)/Inputs!$C$52))-Inputs!$C$5)*1000/Inputs!$C$12)</f>
        <v>1851.2947416406298</v>
      </c>
      <c r="D199" s="9">
        <f>Model_Data!F199</f>
        <v>1845.3075605229446</v>
      </c>
      <c r="E199" s="9">
        <f>Model_Data!AC199</f>
        <v>1717.9066332410525</v>
      </c>
      <c r="F199" s="10"/>
      <c r="G199" s="9">
        <f>Model_Data!A199</f>
        <v>38.5</v>
      </c>
      <c r="H199" s="9">
        <f>Model_Data!Y199</f>
        <v>311.18191933727104</v>
      </c>
      <c r="I199" s="9">
        <f>Model_Data!Y199</f>
        <v>311.18191933727104</v>
      </c>
      <c r="J199" s="9">
        <f>Model_Data!X199</f>
        <v>81.229436651819583</v>
      </c>
      <c r="K199" s="9">
        <f>Model_Data!A199</f>
        <v>38.5</v>
      </c>
      <c r="L199" s="9">
        <f>Model_Data!Y199</f>
        <v>311.18191933727104</v>
      </c>
      <c r="M199" s="9">
        <f>Model_Data!X199</f>
        <v>81.229436651819583</v>
      </c>
      <c r="N199" s="9">
        <f>-(Model_Data!AC199-Model_Data!F199)*Inputs!$C$12</f>
        <v>226.77365056176797</v>
      </c>
      <c r="O199" s="10"/>
      <c r="P199" s="9">
        <f>Model_Data!A199</f>
        <v>38.5</v>
      </c>
      <c r="Q199" s="9">
        <f>Model_Data!P199</f>
        <v>-327.24998996245631</v>
      </c>
      <c r="R199" s="9">
        <f>Model_Data!AM199</f>
        <v>-295.00116253339002</v>
      </c>
      <c r="S199" s="9">
        <f>Model_Data!Q199</f>
        <v>-49.136635129497947</v>
      </c>
      <c r="T199" s="9">
        <f>Model_Data!AN199</f>
        <v>-44.294468848857363</v>
      </c>
      <c r="U199" s="10"/>
      <c r="V199" s="9">
        <f>Model_Data!A199</f>
        <v>38.5</v>
      </c>
      <c r="W199" s="9">
        <f>Model_Data!B199-Inputs!$C$5</f>
        <v>1.6469444444444434</v>
      </c>
      <c r="X199" s="10"/>
      <c r="Y199" s="9">
        <f>Model_Data!A199</f>
        <v>38.5</v>
      </c>
      <c r="Z199" s="9">
        <f>0</f>
        <v>0</v>
      </c>
      <c r="AA199" s="9">
        <f>((SQRT((Inputs!$C$52+Inputs!$C$5)^2+Inputs!$C$52^2-2*(Inputs!$C$52+Inputs!$C$5)*Inputs!$C$52*COS(SQRT((Model_Data!A199)^2+Inputs!$C$6^2)/Inputs!$C$52))-Inputs!$C$5)*1000/Inputs!$C$12)</f>
        <v>1851.2947416406298</v>
      </c>
      <c r="AB199" s="9">
        <f>Model_Data!F199</f>
        <v>1845.3075605229446</v>
      </c>
    </row>
    <row r="200" spans="1:28">
      <c r="A200" s="9">
        <f>Model_Data!A200</f>
        <v>39</v>
      </c>
      <c r="B200" s="9">
        <f>0</f>
        <v>0</v>
      </c>
      <c r="C200" s="9">
        <f>((SQRT((Inputs!$C$52+Inputs!$C$5)^2+Inputs!$C$52^2-2*(Inputs!$C$52+Inputs!$C$5)*Inputs!$C$52*COS(SQRT((Model_Data!A200)^2+Inputs!$C$6^2)/Inputs!$C$52))-Inputs!$C$5)*1000/Inputs!$C$12)</f>
        <v>1885.1938993782433</v>
      </c>
      <c r="D200" s="9">
        <f>Model_Data!F200</f>
        <v>1878.9394139868214</v>
      </c>
      <c r="E200" s="9">
        <f>Model_Data!AC200</f>
        <v>1757.064950521521</v>
      </c>
      <c r="F200" s="10"/>
      <c r="G200" s="9">
        <f>Model_Data!A200</f>
        <v>39</v>
      </c>
      <c r="H200" s="9">
        <f>Model_Data!Y200</f>
        <v>302.84354967777892</v>
      </c>
      <c r="I200" s="9">
        <f>Model_Data!Y200</f>
        <v>302.84354967777892</v>
      </c>
      <c r="J200" s="9">
        <f>Model_Data!X200</f>
        <v>82.757717027313632</v>
      </c>
      <c r="K200" s="9">
        <f>Model_Data!A200</f>
        <v>39</v>
      </c>
      <c r="L200" s="9">
        <f>Model_Data!Y200</f>
        <v>302.84354967777892</v>
      </c>
      <c r="M200" s="9">
        <f>Model_Data!X200</f>
        <v>82.757717027313632</v>
      </c>
      <c r="N200" s="9">
        <f>-(Model_Data!AC200-Model_Data!F200)*Inputs!$C$12</f>
        <v>216.93654496823459</v>
      </c>
      <c r="O200" s="10"/>
      <c r="P200" s="9">
        <f>Model_Data!A200</f>
        <v>39</v>
      </c>
      <c r="Q200" s="9">
        <f>Model_Data!P200</f>
        <v>-331.43848065974453</v>
      </c>
      <c r="R200" s="9">
        <f>Model_Data!AM200</f>
        <v>-351.01909148434061</v>
      </c>
      <c r="S200" s="9">
        <f>Model_Data!Q200</f>
        <v>-49.765537636598282</v>
      </c>
      <c r="T200" s="9">
        <f>Model_Data!AN200</f>
        <v>-52.705569291943036</v>
      </c>
      <c r="U200" s="10"/>
      <c r="V200" s="9">
        <f>Model_Data!A200</f>
        <v>39</v>
      </c>
      <c r="W200" s="9">
        <f>Model_Data!B200-Inputs!$C$5</f>
        <v>1.6899999999999977</v>
      </c>
      <c r="X200" s="10"/>
      <c r="Y200" s="9">
        <f>Model_Data!A200</f>
        <v>39</v>
      </c>
      <c r="Z200" s="9">
        <f>0</f>
        <v>0</v>
      </c>
      <c r="AA200" s="9">
        <f>((SQRT((Inputs!$C$52+Inputs!$C$5)^2+Inputs!$C$52^2-2*(Inputs!$C$52+Inputs!$C$5)*Inputs!$C$52*COS(SQRT((Model_Data!A200)^2+Inputs!$C$6^2)/Inputs!$C$52))-Inputs!$C$5)*1000/Inputs!$C$12)</f>
        <v>1885.1938993782433</v>
      </c>
      <c r="AB200" s="9">
        <f>Model_Data!F200</f>
        <v>1878.9394139868214</v>
      </c>
    </row>
    <row r="201" spans="1:28">
      <c r="A201" s="9">
        <f>Model_Data!A201</f>
        <v>39.5</v>
      </c>
      <c r="B201" s="9">
        <f>0</f>
        <v>0</v>
      </c>
      <c r="C201" s="9">
        <f>((SQRT((Inputs!$C$52+Inputs!$C$5)^2+Inputs!$C$52^2-2*(Inputs!$C$52+Inputs!$C$5)*Inputs!$C$52*COS(SQRT((Model_Data!A201)^2+Inputs!$C$6^2)/Inputs!$C$52))-Inputs!$C$5)*1000/Inputs!$C$12)</f>
        <v>1919.5252050223141</v>
      </c>
      <c r="D201" s="9">
        <f>Model_Data!F201</f>
        <v>1912.9942929643466</v>
      </c>
      <c r="E201" s="9">
        <f>Model_Data!AC201</f>
        <v>1789.7063769262995</v>
      </c>
      <c r="F201" s="10"/>
      <c r="G201" s="9">
        <f>Model_Data!A201</f>
        <v>39.5</v>
      </c>
      <c r="H201" s="9">
        <f>Model_Data!Y201</f>
        <v>298.92940490778824</v>
      </c>
      <c r="I201" s="9">
        <f>Model_Data!Y201</f>
        <v>298.92940490778824</v>
      </c>
      <c r="J201" s="9">
        <f>Model_Data!X201</f>
        <v>76.312714900519723</v>
      </c>
      <c r="K201" s="9">
        <f>Model_Data!A201</f>
        <v>39.5</v>
      </c>
      <c r="L201" s="9">
        <f>Model_Data!Y201</f>
        <v>298.92940490778824</v>
      </c>
      <c r="M201" s="9">
        <f>Model_Data!X201</f>
        <v>76.312714900519723</v>
      </c>
      <c r="N201" s="9">
        <f>-(Model_Data!AC201-Model_Data!F201)*Inputs!$C$12</f>
        <v>219.45249054772387</v>
      </c>
      <c r="O201" s="10"/>
      <c r="P201" s="9">
        <f>Model_Data!A201</f>
        <v>39.5</v>
      </c>
      <c r="Q201" s="9">
        <f>Model_Data!P201</f>
        <v>-335.62463871039654</v>
      </c>
      <c r="R201" s="9">
        <f>Model_Data!AM201</f>
        <v>-332.67603342701477</v>
      </c>
      <c r="S201" s="9">
        <f>Model_Data!Q201</f>
        <v>-50.394089896455938</v>
      </c>
      <c r="T201" s="9">
        <f>Model_Data!AN201</f>
        <v>-49.951356370422644</v>
      </c>
      <c r="U201" s="10"/>
      <c r="V201" s="9">
        <f>Model_Data!A201</f>
        <v>39.5</v>
      </c>
      <c r="W201" s="9">
        <f>Model_Data!B201-Inputs!$C$5</f>
        <v>1.7336111111110881</v>
      </c>
      <c r="X201" s="10"/>
      <c r="Y201" s="9">
        <f>Model_Data!A201</f>
        <v>39.5</v>
      </c>
      <c r="Z201" s="9">
        <f>0</f>
        <v>0</v>
      </c>
      <c r="AA201" s="9">
        <f>((SQRT((Inputs!$C$52+Inputs!$C$5)^2+Inputs!$C$52^2-2*(Inputs!$C$52+Inputs!$C$5)*Inputs!$C$52*COS(SQRT((Model_Data!A201)^2+Inputs!$C$6^2)/Inputs!$C$52))-Inputs!$C$5)*1000/Inputs!$C$12)</f>
        <v>1919.5252050223141</v>
      </c>
      <c r="AB201" s="9">
        <f>Model_Data!F201</f>
        <v>1912.9942929643466</v>
      </c>
    </row>
    <row r="202" spans="1:28">
      <c r="A202" s="9">
        <f>Model_Data!A202</f>
        <v>40</v>
      </c>
      <c r="B202" s="9">
        <f>0</f>
        <v>0</v>
      </c>
      <c r="C202" s="9">
        <f>((SQRT((Inputs!$C$52+Inputs!$C$5)^2+Inputs!$C$52^2-2*(Inputs!$C$52+Inputs!$C$5)*Inputs!$C$52*COS(SQRT((Model_Data!A202)^2+Inputs!$C$6^2)/Inputs!$C$52))-Inputs!$C$5)*1000/Inputs!$C$12)</f>
        <v>1954.2884586951907</v>
      </c>
      <c r="D202" s="9">
        <f>Model_Data!F202</f>
        <v>1947.4717855689696</v>
      </c>
      <c r="E202" s="9">
        <f>Model_Data!AC202</f>
        <v>1815.2970383237368</v>
      </c>
      <c r="F202" s="10"/>
      <c r="G202" s="9">
        <f>Model_Data!A202</f>
        <v>40</v>
      </c>
      <c r="H202" s="9">
        <f>Model_Data!Y202</f>
        <v>304.82117281226778</v>
      </c>
      <c r="I202" s="9">
        <f>Model_Data!Y202</f>
        <v>304.82117281226778</v>
      </c>
      <c r="J202" s="9">
        <f>Model_Data!X202</f>
        <v>66.26609020115302</v>
      </c>
      <c r="K202" s="9">
        <f>Model_Data!A202</f>
        <v>40</v>
      </c>
      <c r="L202" s="9">
        <f>Model_Data!Y202</f>
        <v>304.82117281226778</v>
      </c>
      <c r="M202" s="9">
        <f>Model_Data!X202</f>
        <v>66.26609020115302</v>
      </c>
      <c r="N202" s="9">
        <f>-(Model_Data!AC202-Model_Data!F202)*Inputs!$C$12</f>
        <v>235.27105009651433</v>
      </c>
      <c r="O202" s="10"/>
      <c r="P202" s="9">
        <f>Model_Data!A202</f>
        <v>40</v>
      </c>
      <c r="Q202" s="9">
        <f>Model_Data!P202</f>
        <v>-339.80843724993974</v>
      </c>
      <c r="R202" s="9">
        <f>Model_Data!AM202</f>
        <v>-337.19177191396739</v>
      </c>
      <c r="S202" s="9">
        <f>Model_Data!Q202</f>
        <v>-51.022287875366331</v>
      </c>
      <c r="T202" s="9">
        <f>Model_Data!AN202</f>
        <v>-50.629395182277392</v>
      </c>
      <c r="U202" s="10"/>
      <c r="V202" s="9">
        <f>Model_Data!A202</f>
        <v>40</v>
      </c>
      <c r="W202" s="9">
        <f>Model_Data!B202-Inputs!$C$5</f>
        <v>1.7777777777777715</v>
      </c>
      <c r="X202" s="10"/>
      <c r="Y202" s="9">
        <f>Model_Data!A202</f>
        <v>40</v>
      </c>
      <c r="Z202" s="9">
        <f>0</f>
        <v>0</v>
      </c>
      <c r="AA202" s="9">
        <f>((SQRT((Inputs!$C$52+Inputs!$C$5)^2+Inputs!$C$52^2-2*(Inputs!$C$52+Inputs!$C$5)*Inputs!$C$52*COS(SQRT((Model_Data!A202)^2+Inputs!$C$6^2)/Inputs!$C$52))-Inputs!$C$5)*1000/Inputs!$C$12)</f>
        <v>1954.2884586951907</v>
      </c>
      <c r="AB202" s="9">
        <f>Model_Data!F202</f>
        <v>1947.4717855689696</v>
      </c>
    </row>
    <row r="203" spans="1:28">
      <c r="A203" s="9">
        <f>Model_Data!A203</f>
        <v>40.5</v>
      </c>
      <c r="B203" s="9">
        <f>0</f>
        <v>0</v>
      </c>
      <c r="C203" s="9">
        <f>((SQRT((Inputs!$C$52+Inputs!$C$5)^2+Inputs!$C$52^2-2*(Inputs!$C$52+Inputs!$C$5)*Inputs!$C$52*COS(SQRT((Model_Data!A203)^2+Inputs!$C$6^2)/Inputs!$C$52))-Inputs!$C$5)*1000/Inputs!$C$12)</f>
        <v>1989.4834581273269</v>
      </c>
      <c r="D203" s="9">
        <f>Model_Data!F203</f>
        <v>1982.3714752072171</v>
      </c>
      <c r="E203" s="9">
        <f>Model_Data!AC203</f>
        <v>1849.0858481752039</v>
      </c>
      <c r="F203" s="10"/>
      <c r="G203" s="9">
        <f>Model_Data!A203</f>
        <v>40.5</v>
      </c>
      <c r="H203" s="9">
        <f>Model_Data!Y203</f>
        <v>300.69750601512629</v>
      </c>
      <c r="I203" s="9">
        <f>Model_Data!Y203</f>
        <v>300.69750601512629</v>
      </c>
      <c r="J203" s="9">
        <f>Model_Data!X203</f>
        <v>60.152205166209214</v>
      </c>
      <c r="K203" s="9">
        <f>Model_Data!A203</f>
        <v>40.5</v>
      </c>
      <c r="L203" s="9">
        <f>Model_Data!Y203</f>
        <v>300.69750601512629</v>
      </c>
      <c r="M203" s="9">
        <f>Model_Data!X203</f>
        <v>60.152205166209214</v>
      </c>
      <c r="N203" s="9">
        <f>-(Model_Data!AC203-Model_Data!F203)*Inputs!$C$12</f>
        <v>237.24841611698363</v>
      </c>
      <c r="O203" s="10"/>
      <c r="P203" s="9">
        <f>Model_Data!A203</f>
        <v>40.5</v>
      </c>
      <c r="Q203" s="9">
        <f>Model_Data!P203</f>
        <v>-343.98984952458704</v>
      </c>
      <c r="R203" s="9">
        <f>Model_Data!AM203</f>
        <v>-388.89445723843892</v>
      </c>
      <c r="S203" s="9">
        <f>Model_Data!Q203</f>
        <v>-51.650127556244307</v>
      </c>
      <c r="T203" s="9">
        <f>Model_Data!AN203</f>
        <v>-58.392561146912755</v>
      </c>
      <c r="U203" s="10"/>
      <c r="V203" s="9">
        <f>Model_Data!A203</f>
        <v>40.5</v>
      </c>
      <c r="W203" s="9">
        <f>Model_Data!B203-Inputs!$C$5</f>
        <v>1.8224999999999909</v>
      </c>
      <c r="X203" s="10"/>
      <c r="Y203" s="9">
        <f>Model_Data!A203</f>
        <v>40.5</v>
      </c>
      <c r="Z203" s="9">
        <f>0</f>
        <v>0</v>
      </c>
      <c r="AA203" s="9">
        <f>((SQRT((Inputs!$C$52+Inputs!$C$5)^2+Inputs!$C$52^2-2*(Inputs!$C$52+Inputs!$C$5)*Inputs!$C$52*COS(SQRT((Model_Data!A203)^2+Inputs!$C$6^2)/Inputs!$C$52))-Inputs!$C$5)*1000/Inputs!$C$12)</f>
        <v>1989.4834581273269</v>
      </c>
      <c r="AB203" s="9">
        <f>Model_Data!F203</f>
        <v>1982.3714752072171</v>
      </c>
    </row>
    <row r="204" spans="1:28">
      <c r="A204" s="9">
        <f>Model_Data!A204</f>
        <v>41</v>
      </c>
      <c r="B204" s="9">
        <f>0</f>
        <v>0</v>
      </c>
      <c r="C204" s="9">
        <f>((SQRT((Inputs!$C$52+Inputs!$C$5)^2+Inputs!$C$52^2-2*(Inputs!$C$52+Inputs!$C$5)*Inputs!$C$52*COS(SQRT((Model_Data!A204)^2+Inputs!$C$6^2)/Inputs!$C$52))-Inputs!$C$5)*1000/Inputs!$C$12)</f>
        <v>2025.1099986616898</v>
      </c>
      <c r="D204" s="9">
        <f>Model_Data!F204</f>
        <v>2017.6929405986523</v>
      </c>
      <c r="E204" s="9">
        <f>Model_Data!AC204</f>
        <v>1893.6129285270972</v>
      </c>
      <c r="F204" s="10"/>
      <c r="G204" s="9">
        <f>Model_Data!A204</f>
        <v>41</v>
      </c>
      <c r="H204" s="9">
        <f>Model_Data!Y204</f>
        <v>276.55710773826542</v>
      </c>
      <c r="I204" s="9">
        <f>Model_Data!Y204</f>
        <v>276.55710773826542</v>
      </c>
      <c r="J204" s="9">
        <f>Model_Data!X204</f>
        <v>52.609338989159092</v>
      </c>
      <c r="K204" s="9">
        <f>Model_Data!A204</f>
        <v>41</v>
      </c>
      <c r="L204" s="9">
        <f>Model_Data!Y204</f>
        <v>276.55710773826542</v>
      </c>
      <c r="M204" s="9">
        <f>Model_Data!X204</f>
        <v>52.609338989159092</v>
      </c>
      <c r="N204" s="9">
        <f>-(Model_Data!AC204-Model_Data!F204)*Inputs!$C$12</f>
        <v>220.86242148736804</v>
      </c>
      <c r="O204" s="10"/>
      <c r="P204" s="9">
        <f>Model_Data!A204</f>
        <v>41</v>
      </c>
      <c r="Q204" s="9">
        <f>Model_Data!P204</f>
        <v>-348.16884888314235</v>
      </c>
      <c r="R204" s="9">
        <f>Model_Data!AM204</f>
        <v>-398.15439784842965</v>
      </c>
      <c r="S204" s="9">
        <f>Model_Data!Q204</f>
        <v>-52.277604937408768</v>
      </c>
      <c r="T204" s="9">
        <f>Model_Data!AN204</f>
        <v>-59.782942619884338</v>
      </c>
      <c r="U204" s="10"/>
      <c r="V204" s="9">
        <f>Model_Data!A204</f>
        <v>41</v>
      </c>
      <c r="W204" s="9">
        <f>Model_Data!B204-Inputs!$C$5</f>
        <v>1.8677777777778033</v>
      </c>
      <c r="X204" s="10"/>
      <c r="Y204" s="9">
        <f>Model_Data!A204</f>
        <v>41</v>
      </c>
      <c r="Z204" s="9">
        <f>0</f>
        <v>0</v>
      </c>
      <c r="AA204" s="9">
        <f>((SQRT((Inputs!$C$52+Inputs!$C$5)^2+Inputs!$C$52^2-2*(Inputs!$C$52+Inputs!$C$5)*Inputs!$C$52*COS(SQRT((Model_Data!A204)^2+Inputs!$C$6^2)/Inputs!$C$52))-Inputs!$C$5)*1000/Inputs!$C$12)</f>
        <v>2025.1099986616898</v>
      </c>
      <c r="AB204" s="9">
        <f>Model_Data!F204</f>
        <v>2017.6929405986523</v>
      </c>
    </row>
    <row r="205" spans="1:28">
      <c r="A205" s="9">
        <f>Model_Data!A205</f>
        <v>41.5</v>
      </c>
      <c r="B205" s="9">
        <f>0</f>
        <v>0</v>
      </c>
      <c r="C205" s="9">
        <f>((SQRT((Inputs!$C$52+Inputs!$C$5)^2+Inputs!$C$52^2-2*(Inputs!$C$52+Inputs!$C$5)*Inputs!$C$52*COS(SQRT((Model_Data!A205)^2+Inputs!$C$6^2)/Inputs!$C$52))-Inputs!$C$5)*1000/Inputs!$C$12)</f>
        <v>2061.1678732608475</v>
      </c>
      <c r="D205" s="9">
        <f>Model_Data!F205</f>
        <v>2053.4357557919698</v>
      </c>
      <c r="E205" s="9">
        <f>Model_Data!AC205</f>
        <v>1936.7061483302066</v>
      </c>
      <c r="F205" s="10"/>
      <c r="G205" s="9">
        <f>Model_Data!A205</f>
        <v>41.5</v>
      </c>
      <c r="H205" s="9">
        <f>Model_Data!Y205</f>
        <v>269.21554101681534</v>
      </c>
      <c r="I205" s="9">
        <f>Model_Data!Y205</f>
        <v>269.21554101681534</v>
      </c>
      <c r="J205" s="9">
        <f>Model_Data!X205</f>
        <v>58.380951897935333</v>
      </c>
      <c r="K205" s="9">
        <f>Model_Data!A205</f>
        <v>41.5</v>
      </c>
      <c r="L205" s="9">
        <f>Model_Data!Y205</f>
        <v>269.21554101681534</v>
      </c>
      <c r="M205" s="9">
        <f>Model_Data!X205</f>
        <v>58.380951897935333</v>
      </c>
      <c r="N205" s="9">
        <f>-(Model_Data!AC205-Model_Data!F205)*Inputs!$C$12</f>
        <v>207.77870128193845</v>
      </c>
      <c r="O205" s="10"/>
      <c r="P205" s="9">
        <f>Model_Data!A205</f>
        <v>41.5</v>
      </c>
      <c r="Q205" s="9">
        <f>Model_Data!P205</f>
        <v>-352.34540879673659</v>
      </c>
      <c r="R205" s="9">
        <f>Model_Data!AM205</f>
        <v>-361.10799848111128</v>
      </c>
      <c r="S205" s="9">
        <f>Model_Data!Q205</f>
        <v>-52.904716035546038</v>
      </c>
      <c r="T205" s="9">
        <f>Model_Data!AN205</f>
        <v>-54.220420192359057</v>
      </c>
      <c r="U205" s="10"/>
      <c r="V205" s="9">
        <f>Model_Data!A205</f>
        <v>41.5</v>
      </c>
      <c r="W205" s="9">
        <f>Model_Data!B205-Inputs!$C$5</f>
        <v>1.9136111111110949</v>
      </c>
      <c r="X205" s="10"/>
      <c r="Y205" s="9">
        <f>Model_Data!A205</f>
        <v>41.5</v>
      </c>
      <c r="Z205" s="9">
        <f>0</f>
        <v>0</v>
      </c>
      <c r="AA205" s="9">
        <f>((SQRT((Inputs!$C$52+Inputs!$C$5)^2+Inputs!$C$52^2-2*(Inputs!$C$52+Inputs!$C$5)*Inputs!$C$52*COS(SQRT((Model_Data!A205)^2+Inputs!$C$6^2)/Inputs!$C$52))-Inputs!$C$5)*1000/Inputs!$C$12)</f>
        <v>2061.1678732608475</v>
      </c>
      <c r="AB205" s="9">
        <f>Model_Data!F205</f>
        <v>2053.4357557919698</v>
      </c>
    </row>
    <row r="206" spans="1:28">
      <c r="A206" s="9">
        <f>Model_Data!A206</f>
        <v>42</v>
      </c>
      <c r="B206" s="9">
        <f>0</f>
        <v>0</v>
      </c>
      <c r="C206" s="9">
        <f>((SQRT((Inputs!$C$52+Inputs!$C$5)^2+Inputs!$C$52^2-2*(Inputs!$C$52+Inputs!$C$5)*Inputs!$C$52*COS(SQRT((Model_Data!A206)^2+Inputs!$C$6^2)/Inputs!$C$52))-Inputs!$C$5)*1000/Inputs!$C$12)</f>
        <v>2097.6568725133261</v>
      </c>
      <c r="D206" s="9">
        <f>Model_Data!F206</f>
        <v>2089.5994901917893</v>
      </c>
      <c r="E206" s="9">
        <f>Model_Data!AC206</f>
        <v>1958.434377938433</v>
      </c>
      <c r="F206" s="10"/>
      <c r="G206" s="9">
        <f>Model_Data!A206</f>
        <v>42</v>
      </c>
      <c r="H206" s="9">
        <f>Model_Data!Y206</f>
        <v>271.12620211290232</v>
      </c>
      <c r="I206" s="9">
        <f>Model_Data!Y206</f>
        <v>271.12620211290232</v>
      </c>
      <c r="J206" s="9">
        <f>Model_Data!X206</f>
        <v>34.521242112789622</v>
      </c>
      <c r="K206" s="9">
        <f>Model_Data!A206</f>
        <v>42</v>
      </c>
      <c r="L206" s="9">
        <f>Model_Data!Y206</f>
        <v>271.12620211290232</v>
      </c>
      <c r="M206" s="9">
        <f>Model_Data!X206</f>
        <v>34.521242112789622</v>
      </c>
      <c r="N206" s="9">
        <f>-(Model_Data!AC206-Model_Data!F206)*Inputs!$C$12</f>
        <v>233.47389981097413</v>
      </c>
      <c r="O206" s="10"/>
      <c r="P206" s="9">
        <f>Model_Data!A206</f>
        <v>42</v>
      </c>
      <c r="Q206" s="9">
        <f>Model_Data!P206</f>
        <v>-356.5195028526432</v>
      </c>
      <c r="R206" s="9">
        <f>Model_Data!AM206</f>
        <v>-371.61471890167377</v>
      </c>
      <c r="S206" s="9">
        <f>Model_Data!Q206</f>
        <v>-53.531456884781264</v>
      </c>
      <c r="T206" s="9">
        <f>Model_Data!AN206</f>
        <v>-55.798005841092163</v>
      </c>
      <c r="U206" s="10"/>
      <c r="V206" s="9">
        <f>Model_Data!A206</f>
        <v>42</v>
      </c>
      <c r="W206" s="9">
        <f>Model_Data!B206-Inputs!$C$5</f>
        <v>1.9599999999999795</v>
      </c>
      <c r="X206" s="10"/>
      <c r="Y206" s="9">
        <f>Model_Data!A206</f>
        <v>42</v>
      </c>
      <c r="Z206" s="9">
        <f>0</f>
        <v>0</v>
      </c>
      <c r="AA206" s="9">
        <f>((SQRT((Inputs!$C$52+Inputs!$C$5)^2+Inputs!$C$52^2-2*(Inputs!$C$52+Inputs!$C$5)*Inputs!$C$52*COS(SQRT((Model_Data!A206)^2+Inputs!$C$6^2)/Inputs!$C$52))-Inputs!$C$5)*1000/Inputs!$C$12)</f>
        <v>2097.6568725133261</v>
      </c>
      <c r="AB206" s="9">
        <f>Model_Data!F206</f>
        <v>2089.5994901917893</v>
      </c>
    </row>
    <row r="207" spans="1:28">
      <c r="A207" s="9">
        <f>Model_Data!A207</f>
        <v>42.5</v>
      </c>
      <c r="B207" s="9">
        <f>0</f>
        <v>0</v>
      </c>
      <c r="C207" s="9">
        <f>((SQRT((Inputs!$C$52+Inputs!$C$5)^2+Inputs!$C$52^2-2*(Inputs!$C$52+Inputs!$C$5)*Inputs!$C$52*COS(SQRT((Model_Data!A207)^2+Inputs!$C$6^2)/Inputs!$C$52))-Inputs!$C$5)*1000/Inputs!$C$12)</f>
        <v>2134.5767846396111</v>
      </c>
      <c r="D207" s="9">
        <f>Model_Data!F207</f>
        <v>2126.1837085726102</v>
      </c>
      <c r="E207" s="9">
        <f>Model_Data!AC207</f>
        <v>2004.5691766690359</v>
      </c>
      <c r="F207" s="10"/>
      <c r="G207" s="9">
        <f>Model_Data!A207</f>
        <v>42.5</v>
      </c>
      <c r="H207" s="9">
        <f>Model_Data!Y207</f>
        <v>259.77685513673219</v>
      </c>
      <c r="I207" s="9">
        <f>Model_Data!Y207</f>
        <v>259.77685513673219</v>
      </c>
      <c r="J207" s="9">
        <f>Model_Data!X207</f>
        <v>40.251276360901549</v>
      </c>
      <c r="K207" s="9">
        <f>Model_Data!A207</f>
        <v>42.5</v>
      </c>
      <c r="L207" s="9">
        <f>Model_Data!Y207</f>
        <v>259.77685513673219</v>
      </c>
      <c r="M207" s="9">
        <f>Model_Data!X207</f>
        <v>40.251276360901549</v>
      </c>
      <c r="N207" s="9">
        <f>-(Model_Data!AC207-Model_Data!F207)*Inputs!$C$12</f>
        <v>216.47386678836224</v>
      </c>
      <c r="O207" s="10"/>
      <c r="P207" s="9">
        <f>Model_Data!A207</f>
        <v>42.5</v>
      </c>
      <c r="Q207" s="9">
        <f>Model_Data!P207</f>
        <v>-360.69110474018089</v>
      </c>
      <c r="R207" s="9">
        <f>Model_Data!AM207</f>
        <v>-398.58972229558276</v>
      </c>
      <c r="S207" s="9">
        <f>Model_Data!Q207</f>
        <v>-54.1578235345617</v>
      </c>
      <c r="T207" s="9">
        <f>Model_Data!AN207</f>
        <v>-59.848306650988405</v>
      </c>
      <c r="U207" s="10"/>
      <c r="V207" s="9">
        <f>Model_Data!A207</f>
        <v>42.5</v>
      </c>
      <c r="W207" s="9">
        <f>Model_Data!B207-Inputs!$C$5</f>
        <v>2.0069444444444571</v>
      </c>
      <c r="X207" s="10"/>
      <c r="Y207" s="9">
        <f>Model_Data!A207</f>
        <v>42.5</v>
      </c>
      <c r="Z207" s="9">
        <f>0</f>
        <v>0</v>
      </c>
      <c r="AA207" s="9">
        <f>((SQRT((Inputs!$C$52+Inputs!$C$5)^2+Inputs!$C$52^2-2*(Inputs!$C$52+Inputs!$C$5)*Inputs!$C$52*COS(SQRT((Model_Data!A207)^2+Inputs!$C$6^2)/Inputs!$C$52))-Inputs!$C$5)*1000/Inputs!$C$12)</f>
        <v>2134.5767846396111</v>
      </c>
      <c r="AB207" s="9">
        <f>Model_Data!F207</f>
        <v>2126.1837085726102</v>
      </c>
    </row>
    <row r="208" spans="1:28">
      <c r="A208" s="9">
        <f>Model_Data!A208</f>
        <v>43</v>
      </c>
      <c r="B208" s="9">
        <f>0</f>
        <v>0</v>
      </c>
      <c r="C208" s="9">
        <f>((SQRT((Inputs!$C$52+Inputs!$C$5)^2+Inputs!$C$52^2-2*(Inputs!$C$52+Inputs!$C$5)*Inputs!$C$52*COS(SQRT((Model_Data!A208)^2+Inputs!$C$6^2)/Inputs!$C$52))-Inputs!$C$5)*1000/Inputs!$C$12)</f>
        <v>2171.9273954940345</v>
      </c>
      <c r="D208" s="9">
        <f>Model_Data!F208</f>
        <v>2163.1879711008464</v>
      </c>
      <c r="E208" s="9">
        <f>Model_Data!AC208</f>
        <v>2044.6595852299038</v>
      </c>
      <c r="F208" s="10"/>
      <c r="G208" s="9">
        <f>Model_Data!A208</f>
        <v>43</v>
      </c>
      <c r="H208" s="9">
        <f>Model_Data!Y208</f>
        <v>247.2629698422237</v>
      </c>
      <c r="I208" s="9">
        <f>Model_Data!Y208</f>
        <v>247.2629698422237</v>
      </c>
      <c r="J208" s="9">
        <f>Model_Data!X208</f>
        <v>33.32797910139238</v>
      </c>
      <c r="K208" s="9">
        <f>Model_Data!A208</f>
        <v>43</v>
      </c>
      <c r="L208" s="9">
        <f>Model_Data!Y208</f>
        <v>247.2629698422237</v>
      </c>
      <c r="M208" s="9">
        <f>Model_Data!X208</f>
        <v>33.32797910139238</v>
      </c>
      <c r="N208" s="9">
        <f>-(Model_Data!AC208-Model_Data!F208)*Inputs!$C$12</f>
        <v>210.98052685027793</v>
      </c>
      <c r="O208" s="10"/>
      <c r="P208" s="9">
        <f>Model_Data!A208</f>
        <v>43</v>
      </c>
      <c r="Q208" s="9">
        <f>Model_Data!P208</f>
        <v>-364.86018827936277</v>
      </c>
      <c r="R208" s="9">
        <f>Model_Data!AM208</f>
        <v>-419.43352169901118</v>
      </c>
      <c r="S208" s="9">
        <f>Model_Data!Q208</f>
        <v>-54.783812053958378</v>
      </c>
      <c r="T208" s="9">
        <f>Model_Data!AN208</f>
        <v>-62.978006261112796</v>
      </c>
      <c r="U208" s="10"/>
      <c r="V208" s="9">
        <f>Model_Data!A208</f>
        <v>43</v>
      </c>
      <c r="W208" s="9">
        <f>Model_Data!B208-Inputs!$C$5</f>
        <v>2.0544444444444707</v>
      </c>
      <c r="X208" s="10"/>
      <c r="Y208" s="9">
        <f>Model_Data!A208</f>
        <v>43</v>
      </c>
      <c r="Z208" s="9">
        <f>0</f>
        <v>0</v>
      </c>
      <c r="AA208" s="9">
        <f>((SQRT((Inputs!$C$52+Inputs!$C$5)^2+Inputs!$C$52^2-2*(Inputs!$C$52+Inputs!$C$5)*Inputs!$C$52*COS(SQRT((Model_Data!A208)^2+Inputs!$C$6^2)/Inputs!$C$52))-Inputs!$C$5)*1000/Inputs!$C$12)</f>
        <v>2171.9273954940345</v>
      </c>
      <c r="AB208" s="9">
        <f>Model_Data!F208</f>
        <v>2163.1879711008464</v>
      </c>
    </row>
    <row r="209" spans="1:28">
      <c r="A209" s="9">
        <f>Model_Data!A209</f>
        <v>43.5</v>
      </c>
      <c r="B209" s="9">
        <f>0</f>
        <v>0</v>
      </c>
      <c r="C209" s="9">
        <f>((SQRT((Inputs!$C$52+Inputs!$C$5)^2+Inputs!$C$52^2-2*(Inputs!$C$52+Inputs!$C$5)*Inputs!$C$52*COS(SQRT((Model_Data!A209)^2+Inputs!$C$6^2)/Inputs!$C$52))-Inputs!$C$5)*1000/Inputs!$C$12)</f>
        <v>2209.7084885780559</v>
      </c>
      <c r="D209" s="9">
        <f>Model_Data!F209</f>
        <v>2200.6118333585869</v>
      </c>
      <c r="E209" s="9">
        <f>Model_Data!AC209</f>
        <v>2087.0759561504979</v>
      </c>
      <c r="F209" s="10"/>
      <c r="G209" s="9">
        <f>Model_Data!A209</f>
        <v>43.5</v>
      </c>
      <c r="H209" s="9">
        <f>Model_Data!Y209</f>
        <v>225.35528260314678</v>
      </c>
      <c r="I209" s="9">
        <f>Model_Data!Y209</f>
        <v>225.35528260314678</v>
      </c>
      <c r="J209" s="9">
        <f>Model_Data!X209</f>
        <v>20.522948331557505</v>
      </c>
      <c r="K209" s="9">
        <f>Model_Data!A209</f>
        <v>43.5</v>
      </c>
      <c r="L209" s="9">
        <f>Model_Data!Y209</f>
        <v>225.35528260314678</v>
      </c>
      <c r="M209" s="9">
        <f>Model_Data!X209</f>
        <v>20.522948331557505</v>
      </c>
      <c r="N209" s="9">
        <f>-(Model_Data!AC209-Model_Data!F209)*Inputs!$C$12</f>
        <v>202.09386143039842</v>
      </c>
      <c r="O209" s="10"/>
      <c r="P209" s="9">
        <f>Model_Data!A209</f>
        <v>43.5</v>
      </c>
      <c r="Q209" s="9">
        <f>Model_Data!P209</f>
        <v>-369.02672739852278</v>
      </c>
      <c r="R209" s="9">
        <f>Model_Data!AM209</f>
        <v>-429.90518775532109</v>
      </c>
      <c r="S209" s="9">
        <f>Model_Data!Q209</f>
        <v>-55.40941852830673</v>
      </c>
      <c r="T209" s="9">
        <f>Model_Data!AN209</f>
        <v>-64.550328491789955</v>
      </c>
      <c r="U209" s="10"/>
      <c r="V209" s="9">
        <f>Model_Data!A209</f>
        <v>43.5</v>
      </c>
      <c r="W209" s="9">
        <f>Model_Data!B209-Inputs!$C$5</f>
        <v>2.1025000000000205</v>
      </c>
      <c r="X209" s="10"/>
      <c r="Y209" s="9">
        <f>Model_Data!A209</f>
        <v>43.5</v>
      </c>
      <c r="Z209" s="9">
        <f>0</f>
        <v>0</v>
      </c>
      <c r="AA209" s="9">
        <f>((SQRT((Inputs!$C$52+Inputs!$C$5)^2+Inputs!$C$52^2-2*(Inputs!$C$52+Inputs!$C$5)*Inputs!$C$52*COS(SQRT((Model_Data!A209)^2+Inputs!$C$6^2)/Inputs!$C$52))-Inputs!$C$5)*1000/Inputs!$C$12)</f>
        <v>2209.7084885780559</v>
      </c>
      <c r="AB209" s="9">
        <f>Model_Data!F209</f>
        <v>2200.6118333585869</v>
      </c>
    </row>
    <row r="210" spans="1:28">
      <c r="A210" s="9">
        <f>Model_Data!A210</f>
        <v>44</v>
      </c>
      <c r="B210" s="9">
        <f>0</f>
        <v>0</v>
      </c>
      <c r="C210" s="9">
        <f>((SQRT((Inputs!$C$52+Inputs!$C$5)^2+Inputs!$C$52^2-2*(Inputs!$C$52+Inputs!$C$5)*Inputs!$C$52*COS(SQRT((Model_Data!A210)^2+Inputs!$C$6^2)/Inputs!$C$52))-Inputs!$C$5)*1000/Inputs!$C$12)</f>
        <v>2247.9198450390527</v>
      </c>
      <c r="D210" s="9">
        <f>Model_Data!F210</f>
        <v>2238.4548463578362</v>
      </c>
      <c r="E210" s="9">
        <f>Model_Data!AC210</f>
        <v>2126.5404819811456</v>
      </c>
      <c r="F210" s="10"/>
      <c r="G210" s="9">
        <f>Model_Data!A210</f>
        <v>44</v>
      </c>
      <c r="H210" s="9">
        <f>Model_Data!Y210</f>
        <v>208.84015984832814</v>
      </c>
      <c r="I210" s="9">
        <f>Model_Data!Y210</f>
        <v>208.84015984832814</v>
      </c>
      <c r="J210" s="9">
        <f>Model_Data!X210</f>
        <v>7.0518996381457164</v>
      </c>
      <c r="K210" s="9">
        <f>Model_Data!A210</f>
        <v>44</v>
      </c>
      <c r="L210" s="9">
        <f>Model_Data!Y210</f>
        <v>208.84015984832814</v>
      </c>
      <c r="M210" s="9">
        <f>Model_Data!X210</f>
        <v>7.0518996381457164</v>
      </c>
      <c r="N210" s="9">
        <f>-(Model_Data!AC210-Model_Data!F210)*Inputs!$C$12</f>
        <v>199.20756859050931</v>
      </c>
      <c r="O210" s="10"/>
      <c r="P210" s="9">
        <f>Model_Data!A210</f>
        <v>44</v>
      </c>
      <c r="Q210" s="9">
        <f>Model_Data!P210</f>
        <v>-373.19069614577529</v>
      </c>
      <c r="R210" s="9">
        <f>Model_Data!AM210</f>
        <v>-446.63456761463749</v>
      </c>
      <c r="S210" s="9">
        <f>Model_Data!Q210</f>
        <v>-56.034639060927226</v>
      </c>
      <c r="T210" s="9">
        <f>Model_Data!AN210</f>
        <v>-67.06224738958521</v>
      </c>
      <c r="U210" s="10"/>
      <c r="V210" s="9">
        <f>Model_Data!A210</f>
        <v>44</v>
      </c>
      <c r="W210" s="9">
        <f>Model_Data!B210-Inputs!$C$5</f>
        <v>2.1511111111111063</v>
      </c>
      <c r="X210" s="10"/>
      <c r="Y210" s="9">
        <f>Model_Data!A210</f>
        <v>44</v>
      </c>
      <c r="Z210" s="9">
        <f>0</f>
        <v>0</v>
      </c>
      <c r="AA210" s="9">
        <f>((SQRT((Inputs!$C$52+Inputs!$C$5)^2+Inputs!$C$52^2-2*(Inputs!$C$52+Inputs!$C$5)*Inputs!$C$52*COS(SQRT((Model_Data!A210)^2+Inputs!$C$6^2)/Inputs!$C$52))-Inputs!$C$5)*1000/Inputs!$C$12)</f>
        <v>2247.9198450390527</v>
      </c>
      <c r="AB210" s="9">
        <f>Model_Data!F210</f>
        <v>2238.4548463578362</v>
      </c>
    </row>
    <row r="211" spans="1:28">
      <c r="A211" s="9">
        <f>Model_Data!A211</f>
        <v>44.5</v>
      </c>
      <c r="B211" s="9">
        <f>0</f>
        <v>0</v>
      </c>
      <c r="C211" s="9">
        <f>((SQRT((Inputs!$C$52+Inputs!$C$5)^2+Inputs!$C$52^2-2*(Inputs!$C$52+Inputs!$C$5)*Inputs!$C$52*COS(SQRT((Model_Data!A211)^2+Inputs!$C$6^2)/Inputs!$C$52))-Inputs!$C$5)*1000/Inputs!$C$12)</f>
        <v>2286.5612436822921</v>
      </c>
      <c r="D211" s="9">
        <f>Model_Data!F211</f>
        <v>2276.7165565683313</v>
      </c>
      <c r="E211" s="9">
        <f>Model_Data!AC211</f>
        <v>2175.5940249936671</v>
      </c>
      <c r="F211" s="10"/>
      <c r="G211" s="9">
        <f>Model_Data!A211</f>
        <v>44.5</v>
      </c>
      <c r="H211" s="9">
        <f>Model_Data!Y211</f>
        <v>178.96296340227542</v>
      </c>
      <c r="I211" s="9">
        <f>Model_Data!Y211</f>
        <v>178.96296340227542</v>
      </c>
      <c r="J211" s="9">
        <f>Model_Data!X211</f>
        <v>-3.2837161089439029</v>
      </c>
      <c r="K211" s="9">
        <f>Model_Data!A211</f>
        <v>44.5</v>
      </c>
      <c r="L211" s="9">
        <f>Model_Data!Y211</f>
        <v>178.96296340227542</v>
      </c>
      <c r="M211" s="9">
        <f>Model_Data!X211</f>
        <v>-3.2837161089439029</v>
      </c>
      <c r="N211" s="9">
        <f>-(Model_Data!AC211-Model_Data!F211)*Inputs!$C$12</f>
        <v>179.99810620290231</v>
      </c>
      <c r="O211" s="10"/>
      <c r="P211" s="9">
        <f>Model_Data!A211</f>
        <v>44.5</v>
      </c>
      <c r="Q211" s="9">
        <f>Model_Data!P211</f>
        <v>-377.35206869019748</v>
      </c>
      <c r="R211" s="9">
        <f>Model_Data!AM211</f>
        <v>-446.31989555336986</v>
      </c>
      <c r="S211" s="9">
        <f>Model_Data!Q211</f>
        <v>-56.659469773302931</v>
      </c>
      <c r="T211" s="9">
        <f>Model_Data!AN211</f>
        <v>-67.014999332337823</v>
      </c>
      <c r="U211" s="10"/>
      <c r="V211" s="9">
        <f>Model_Data!A211</f>
        <v>44.5</v>
      </c>
      <c r="W211" s="9">
        <f>Model_Data!B211-Inputs!$C$5</f>
        <v>2.2002777777777851</v>
      </c>
      <c r="X211" s="10"/>
      <c r="Y211" s="9">
        <f>Model_Data!A211</f>
        <v>44.5</v>
      </c>
      <c r="Z211" s="9">
        <f>0</f>
        <v>0</v>
      </c>
      <c r="AA211" s="9">
        <f>((SQRT((Inputs!$C$52+Inputs!$C$5)^2+Inputs!$C$52^2-2*(Inputs!$C$52+Inputs!$C$5)*Inputs!$C$52*COS(SQRT((Model_Data!A211)^2+Inputs!$C$6^2)/Inputs!$C$52))-Inputs!$C$5)*1000/Inputs!$C$12)</f>
        <v>2286.5612436822921</v>
      </c>
      <c r="AB211" s="9">
        <f>Model_Data!F211</f>
        <v>2276.7165565683313</v>
      </c>
    </row>
    <row r="212" spans="1:28">
      <c r="A212" s="9">
        <f>Model_Data!A212</f>
        <v>45</v>
      </c>
      <c r="B212" s="9">
        <f>0</f>
        <v>0</v>
      </c>
      <c r="C212" s="9">
        <f>((SQRT((Inputs!$C$52+Inputs!$C$5)^2+Inputs!$C$52^2-2*(Inputs!$C$52+Inputs!$C$5)*Inputs!$C$52*COS(SQRT((Model_Data!A212)^2+Inputs!$C$6^2)/Inputs!$C$52))-Inputs!$C$5)*1000/Inputs!$C$12)</f>
        <v>2325.6324609706467</v>
      </c>
      <c r="D212" s="9">
        <f>Model_Data!F212</f>
        <v>2315.3965059322627</v>
      </c>
      <c r="E212" s="9">
        <f>Model_Data!AC212</f>
        <v>2221.0702225572986</v>
      </c>
      <c r="F212" s="10"/>
      <c r="G212" s="9">
        <f>Model_Data!A212</f>
        <v>45</v>
      </c>
      <c r="H212" s="9">
        <f>Model_Data!Y212</f>
        <v>165.26573251393552</v>
      </c>
      <c r="I212" s="9">
        <f>Model_Data!Y212</f>
        <v>165.26573251393552</v>
      </c>
      <c r="J212" s="9">
        <f>Model_Data!X212</f>
        <v>-4.7462079682678002</v>
      </c>
      <c r="K212" s="9">
        <f>Model_Data!A212</f>
        <v>45</v>
      </c>
      <c r="L212" s="9">
        <f>Model_Data!Y212</f>
        <v>165.26573251393552</v>
      </c>
      <c r="M212" s="9">
        <f>Model_Data!X212</f>
        <v>-4.7462079682678002</v>
      </c>
      <c r="N212" s="9">
        <f>-(Model_Data!AC212-Model_Data!F212)*Inputs!$C$12</f>
        <v>167.90078440743605</v>
      </c>
      <c r="O212" s="10"/>
      <c r="P212" s="9">
        <f>Model_Data!A212</f>
        <v>45</v>
      </c>
      <c r="Q212" s="9">
        <f>Model_Data!P212</f>
        <v>-381.5108193193737</v>
      </c>
      <c r="R212" s="9">
        <f>Model_Data!AM212</f>
        <v>-397.70995031030907</v>
      </c>
      <c r="S212" s="9">
        <f>Model_Data!Q212</f>
        <v>-57.283906804710767</v>
      </c>
      <c r="T212" s="9">
        <f>Model_Data!AN212</f>
        <v>-59.716208755301665</v>
      </c>
      <c r="U212" s="10"/>
      <c r="V212" s="9">
        <f>Model_Data!A212</f>
        <v>45</v>
      </c>
      <c r="W212" s="9">
        <f>Model_Data!B212-Inputs!$C$5</f>
        <v>2.25</v>
      </c>
      <c r="X212" s="10"/>
      <c r="Y212" s="9">
        <f>Model_Data!A212</f>
        <v>45</v>
      </c>
      <c r="Z212" s="9">
        <f>0</f>
        <v>0</v>
      </c>
      <c r="AA212" s="9">
        <f>((SQRT((Inputs!$C$52+Inputs!$C$5)^2+Inputs!$C$52^2-2*(Inputs!$C$52+Inputs!$C$5)*Inputs!$C$52*COS(SQRT((Model_Data!A212)^2+Inputs!$C$6^2)/Inputs!$C$52))-Inputs!$C$5)*1000/Inputs!$C$12)</f>
        <v>2325.6324609706467</v>
      </c>
      <c r="AB212" s="9">
        <f>Model_Data!F212</f>
        <v>2315.3965059322627</v>
      </c>
    </row>
    <row r="213" spans="1:28">
      <c r="A213" s="9">
        <f>Model_Data!A213</f>
        <v>45.5</v>
      </c>
      <c r="B213" s="9">
        <f>0</f>
        <v>0</v>
      </c>
      <c r="C213" s="9">
        <f>((SQRT((Inputs!$C$52+Inputs!$C$5)^2+Inputs!$C$52^2-2*(Inputs!$C$52+Inputs!$C$5)*Inputs!$C$52*COS(SQRT((Model_Data!A213)^2+Inputs!$C$6^2)/Inputs!$C$52))-Inputs!$C$5)*1000/Inputs!$C$12)</f>
        <v>2365.1332710378779</v>
      </c>
      <c r="D213" s="9">
        <f>Model_Data!F213</f>
        <v>2354.494231891164</v>
      </c>
      <c r="E213" s="9">
        <f>Model_Data!AC213</f>
        <v>2258.1207995071682</v>
      </c>
      <c r="F213" s="10"/>
      <c r="G213" s="9">
        <f>Model_Data!A213</f>
        <v>45.5</v>
      </c>
      <c r="H213" s="9">
        <f>Model_Data!Y213</f>
        <v>168.78187987738474</v>
      </c>
      <c r="I213" s="9">
        <f>Model_Data!Y213</f>
        <v>168.78187987738474</v>
      </c>
      <c r="J213" s="9">
        <f>Model_Data!X213</f>
        <v>-4.9547764189191454</v>
      </c>
      <c r="K213" s="9">
        <f>Model_Data!A213</f>
        <v>45.5</v>
      </c>
      <c r="L213" s="9">
        <f>Model_Data!Y213</f>
        <v>168.78187987738474</v>
      </c>
      <c r="M213" s="9">
        <f>Model_Data!X213</f>
        <v>-4.9547764189191454</v>
      </c>
      <c r="N213" s="9">
        <f>-(Model_Data!AC213-Model_Data!F213)*Inputs!$C$12</f>
        <v>171.54470964351253</v>
      </c>
      <c r="O213" s="10"/>
      <c r="P213" s="9">
        <f>Model_Data!A213</f>
        <v>45.5</v>
      </c>
      <c r="Q213" s="9">
        <f>Model_Data!P213</f>
        <v>-385.66692243821308</v>
      </c>
      <c r="R213" s="9">
        <f>Model_Data!AM213</f>
        <v>-414.26594574604678</v>
      </c>
      <c r="S213" s="9">
        <f>Model_Data!Q213</f>
        <v>-57.907946312044011</v>
      </c>
      <c r="T213" s="9">
        <f>Model_Data!AN213</f>
        <v>-62.202093955862885</v>
      </c>
      <c r="U213" s="10"/>
      <c r="V213" s="9">
        <f>Model_Data!A213</f>
        <v>45.5</v>
      </c>
      <c r="W213" s="9">
        <f>Model_Data!B213-Inputs!$C$5</f>
        <v>2.300277777777751</v>
      </c>
      <c r="X213" s="10"/>
      <c r="Y213" s="9">
        <f>Model_Data!A213</f>
        <v>45.5</v>
      </c>
      <c r="Z213" s="9">
        <f>0</f>
        <v>0</v>
      </c>
      <c r="AA213" s="9">
        <f>((SQRT((Inputs!$C$52+Inputs!$C$5)^2+Inputs!$C$52^2-2*(Inputs!$C$52+Inputs!$C$5)*Inputs!$C$52*COS(SQRT((Model_Data!A213)^2+Inputs!$C$6^2)/Inputs!$C$52))-Inputs!$C$5)*1000/Inputs!$C$12)</f>
        <v>2365.1332710378779</v>
      </c>
      <c r="AB213" s="9">
        <f>Model_Data!F213</f>
        <v>2354.494231891164</v>
      </c>
    </row>
    <row r="214" spans="1:28">
      <c r="A214" s="9">
        <f>Model_Data!A214</f>
        <v>46</v>
      </c>
      <c r="B214" s="9">
        <f>0</f>
        <v>0</v>
      </c>
      <c r="C214" s="9">
        <f>((SQRT((Inputs!$C$52+Inputs!$C$5)^2+Inputs!$C$52^2-2*(Inputs!$C$52+Inputs!$C$5)*Inputs!$C$52*COS(SQRT((Model_Data!A214)^2+Inputs!$C$6^2)/Inputs!$C$52))-Inputs!$C$5)*1000/Inputs!$C$12)</f>
        <v>2405.0634456911571</v>
      </c>
      <c r="D214" s="9">
        <f>Model_Data!F214</f>
        <v>2394.0092674001216</v>
      </c>
      <c r="E214" s="9">
        <f>Model_Data!AC214</f>
        <v>2312.3641104130807</v>
      </c>
      <c r="F214" s="10"/>
      <c r="G214" s="9">
        <f>Model_Data!A214</f>
        <v>46</v>
      </c>
      <c r="H214" s="9">
        <f>Model_Data!Y214</f>
        <v>147.22365110398141</v>
      </c>
      <c r="I214" s="9">
        <f>Model_Data!Y214</f>
        <v>147.22365110398141</v>
      </c>
      <c r="J214" s="9">
        <f>Model_Data!X214</f>
        <v>-4.8192565136201182E-2</v>
      </c>
      <c r="K214" s="9">
        <f>Model_Data!A214</f>
        <v>46</v>
      </c>
      <c r="L214" s="9">
        <f>Model_Data!Y214</f>
        <v>147.22365110398141</v>
      </c>
      <c r="M214" s="9">
        <f>Model_Data!X214</f>
        <v>-4.8192565136201182E-2</v>
      </c>
      <c r="N214" s="9">
        <f>-(Model_Data!AC214-Model_Data!F214)*Inputs!$C$12</f>
        <v>145.32837943693298</v>
      </c>
      <c r="O214" s="10"/>
      <c r="P214" s="9">
        <f>Model_Data!A214</f>
        <v>46</v>
      </c>
      <c r="Q214" s="9">
        <f>Model_Data!P214</f>
        <v>-389.82035258295582</v>
      </c>
      <c r="R214" s="9">
        <f>Model_Data!AM214</f>
        <v>-458.6307151440451</v>
      </c>
      <c r="S214" s="9">
        <f>Model_Data!Q214</f>
        <v>-58.531584471915295</v>
      </c>
      <c r="T214" s="9">
        <f>Model_Data!AN214</f>
        <v>-68.863470742349122</v>
      </c>
      <c r="U214" s="10"/>
      <c r="V214" s="9">
        <f>Model_Data!A214</f>
        <v>46</v>
      </c>
      <c r="W214" s="9">
        <f>Model_Data!B214-Inputs!$C$5</f>
        <v>2.3511111111110949</v>
      </c>
      <c r="X214" s="10"/>
      <c r="Y214" s="9">
        <f>Model_Data!A214</f>
        <v>46</v>
      </c>
      <c r="Z214" s="9">
        <f>0</f>
        <v>0</v>
      </c>
      <c r="AA214" s="9">
        <f>((SQRT((Inputs!$C$52+Inputs!$C$5)^2+Inputs!$C$52^2-2*(Inputs!$C$52+Inputs!$C$5)*Inputs!$C$52*COS(SQRT((Model_Data!A214)^2+Inputs!$C$6^2)/Inputs!$C$52))-Inputs!$C$5)*1000/Inputs!$C$12)</f>
        <v>2405.0634456911571</v>
      </c>
      <c r="AB214" s="9">
        <f>Model_Data!F214</f>
        <v>2394.0092674001216</v>
      </c>
    </row>
    <row r="215" spans="1:28">
      <c r="A215" s="9">
        <f>Model_Data!A215</f>
        <v>46.5</v>
      </c>
      <c r="B215" s="9">
        <f>0</f>
        <v>0</v>
      </c>
      <c r="C215" s="9">
        <f>((SQRT((Inputs!$C$52+Inputs!$C$5)^2+Inputs!$C$52^2-2*(Inputs!$C$52+Inputs!$C$5)*Inputs!$C$52*COS(SQRT((Model_Data!A215)^2+Inputs!$C$6^2)/Inputs!$C$52))-Inputs!$C$5)*1000/Inputs!$C$12)</f>
        <v>2445.4227544159553</v>
      </c>
      <c r="D215" s="9">
        <f>Model_Data!F215</f>
        <v>2433.9411409597728</v>
      </c>
      <c r="E215" s="9">
        <f>Model_Data!AC215</f>
        <v>2357.5887684713825</v>
      </c>
      <c r="F215" s="10"/>
      <c r="G215" s="9">
        <f>Model_Data!A215</f>
        <v>46.5</v>
      </c>
      <c r="H215" s="9">
        <f>Model_Data!Y215</f>
        <v>125.26409736726505</v>
      </c>
      <c r="I215" s="9">
        <f>Model_Data!Y215</f>
        <v>125.26409736726505</v>
      </c>
      <c r="J215" s="9">
        <f>Model_Data!X215</f>
        <v>-12.323766405407561</v>
      </c>
      <c r="K215" s="9">
        <f>Model_Data!A215</f>
        <v>46.5</v>
      </c>
      <c r="L215" s="9">
        <f>Model_Data!Y215</f>
        <v>125.26409736726505</v>
      </c>
      <c r="M215" s="9">
        <f>Model_Data!X215</f>
        <v>-12.323766405407561</v>
      </c>
      <c r="N215" s="9">
        <f>-(Model_Data!AC215-Model_Data!F215)*Inputs!$C$12</f>
        <v>135.90722302933474</v>
      </c>
      <c r="O215" s="10"/>
      <c r="P215" s="9">
        <f>Model_Data!A215</f>
        <v>46.5</v>
      </c>
      <c r="Q215" s="9">
        <f>Model_Data!P215</f>
        <v>-393.9710844109868</v>
      </c>
      <c r="R215" s="9">
        <f>Model_Data!AM215</f>
        <v>-438.49745370152959</v>
      </c>
      <c r="S215" s="9">
        <f>Model_Data!Q215</f>
        <v>-59.154817479127153</v>
      </c>
      <c r="T215" s="9">
        <f>Model_Data!AN215</f>
        <v>-65.840458513743187</v>
      </c>
      <c r="U215" s="10"/>
      <c r="V215" s="9">
        <f>Model_Data!A215</f>
        <v>46.5</v>
      </c>
      <c r="W215" s="9">
        <f>Model_Data!B215-Inputs!$C$5</f>
        <v>2.402499999999975</v>
      </c>
      <c r="X215" s="10"/>
      <c r="Y215" s="9">
        <f>Model_Data!A215</f>
        <v>46.5</v>
      </c>
      <c r="Z215" s="9">
        <f>0</f>
        <v>0</v>
      </c>
      <c r="AA215" s="9">
        <f>((SQRT((Inputs!$C$52+Inputs!$C$5)^2+Inputs!$C$52^2-2*(Inputs!$C$52+Inputs!$C$5)*Inputs!$C$52*COS(SQRT((Model_Data!A215)^2+Inputs!$C$6^2)/Inputs!$C$52))-Inputs!$C$5)*1000/Inputs!$C$12)</f>
        <v>2445.4227544159553</v>
      </c>
      <c r="AB215" s="9">
        <f>Model_Data!F215</f>
        <v>2433.9411409597728</v>
      </c>
    </row>
    <row r="216" spans="1:28">
      <c r="A216" s="9">
        <f>Model_Data!A216</f>
        <v>47</v>
      </c>
      <c r="B216" s="9">
        <f>0</f>
        <v>0</v>
      </c>
      <c r="C216" s="9">
        <f>((SQRT((Inputs!$C$52+Inputs!$C$5)^2+Inputs!$C$52^2-2*(Inputs!$C$52+Inputs!$C$5)*Inputs!$C$52*COS(SQRT((Model_Data!A216)^2+Inputs!$C$6^2)/Inputs!$C$52))-Inputs!$C$5)*1000/Inputs!$C$12)</f>
        <v>2486.2109643863873</v>
      </c>
      <c r="D216" s="9">
        <f>Model_Data!F216</f>
        <v>2474.2893766268148</v>
      </c>
      <c r="E216" s="9">
        <f>Model_Data!AC216</f>
        <v>2411.4655156005692</v>
      </c>
      <c r="F216" s="10"/>
      <c r="G216" s="9">
        <f>Model_Data!A216</f>
        <v>47</v>
      </c>
      <c r="H216" s="9">
        <f>Model_Data!Y216</f>
        <v>119.07484471646131</v>
      </c>
      <c r="I216" s="9">
        <f>Model_Data!Y216</f>
        <v>119.07484471646131</v>
      </c>
      <c r="J216" s="9">
        <f>Model_Data!X216</f>
        <v>5.6247334384920968</v>
      </c>
      <c r="K216" s="9">
        <f>Model_Data!A216</f>
        <v>47</v>
      </c>
      <c r="L216" s="9">
        <f>Model_Data!Y216</f>
        <v>119.07484471646131</v>
      </c>
      <c r="M216" s="9">
        <f>Model_Data!X216</f>
        <v>5.6247334384920968</v>
      </c>
      <c r="N216" s="9">
        <f>-(Model_Data!AC216-Model_Data!F216)*Inputs!$C$12</f>
        <v>111.82647262671716</v>
      </c>
      <c r="O216" s="10"/>
      <c r="P216" s="9">
        <f>Model_Data!A216</f>
        <v>47</v>
      </c>
      <c r="Q216" s="9">
        <f>Model_Data!P216</f>
        <v>-398.11909268910313</v>
      </c>
      <c r="R216" s="9">
        <f>Model_Data!AM216</f>
        <v>-425.83713410422206</v>
      </c>
      <c r="S216" s="9">
        <f>Model_Data!Q216</f>
        <v>-59.777641544910388</v>
      </c>
      <c r="T216" s="9">
        <f>Model_Data!AN216</f>
        <v>-63.939509625258573</v>
      </c>
      <c r="U216" s="10"/>
      <c r="V216" s="9">
        <f>Model_Data!A216</f>
        <v>47</v>
      </c>
      <c r="W216" s="9">
        <f>Model_Data!B216-Inputs!$C$5</f>
        <v>2.454444444444448</v>
      </c>
      <c r="X216" s="10"/>
      <c r="Y216" s="9">
        <f>Model_Data!A216</f>
        <v>47</v>
      </c>
      <c r="Z216" s="9">
        <f>0</f>
        <v>0</v>
      </c>
      <c r="AA216" s="9">
        <f>((SQRT((Inputs!$C$52+Inputs!$C$5)^2+Inputs!$C$52^2-2*(Inputs!$C$52+Inputs!$C$5)*Inputs!$C$52*COS(SQRT((Model_Data!A216)^2+Inputs!$C$6^2)/Inputs!$C$52))-Inputs!$C$5)*1000/Inputs!$C$12)</f>
        <v>2486.2109643863873</v>
      </c>
      <c r="AB216" s="9">
        <f>Model_Data!F216</f>
        <v>2474.2893766268148</v>
      </c>
    </row>
    <row r="217" spans="1:28">
      <c r="A217" s="9">
        <f>Model_Data!A217</f>
        <v>47.5</v>
      </c>
      <c r="B217" s="9">
        <f>0</f>
        <v>0</v>
      </c>
      <c r="C217" s="9">
        <f>((SQRT((Inputs!$C$52+Inputs!$C$5)^2+Inputs!$C$52^2-2*(Inputs!$C$52+Inputs!$C$5)*Inputs!$C$52*COS(SQRT((Model_Data!A217)^2+Inputs!$C$6^2)/Inputs!$C$52))-Inputs!$C$5)*1000/Inputs!$C$12)</f>
        <v>2527.4278404684369</v>
      </c>
      <c r="D217" s="9">
        <f>Model_Data!F217</f>
        <v>2515.0534940419116</v>
      </c>
      <c r="E217" s="9">
        <f>Model_Data!AC217</f>
        <v>2458.0119989601626</v>
      </c>
      <c r="F217" s="10"/>
      <c r="G217" s="9">
        <f>Model_Data!A217</f>
        <v>47.5</v>
      </c>
      <c r="H217" s="9">
        <f>Model_Data!Y217</f>
        <v>107.7527102272833</v>
      </c>
      <c r="I217" s="9">
        <f>Model_Data!Y217</f>
        <v>107.7527102272833</v>
      </c>
      <c r="J217" s="9">
        <f>Model_Data!X217</f>
        <v>4.7258194939479337</v>
      </c>
      <c r="K217" s="9">
        <f>Model_Data!A217</f>
        <v>47.5</v>
      </c>
      <c r="L217" s="9">
        <f>Model_Data!Y217</f>
        <v>107.7527102272833</v>
      </c>
      <c r="M217" s="9">
        <f>Model_Data!X217</f>
        <v>4.7258194939479337</v>
      </c>
      <c r="N217" s="9">
        <f>-(Model_Data!AC217-Model_Data!F217)*Inputs!$C$12</f>
        <v>101.53386124551315</v>
      </c>
      <c r="O217" s="10"/>
      <c r="P217" s="9">
        <f>Model_Data!A217</f>
        <v>47.5</v>
      </c>
      <c r="Q217" s="9">
        <f>Model_Data!P217</f>
        <v>-402.26435232361837</v>
      </c>
      <c r="R217" s="9">
        <f>Model_Data!AM217</f>
        <v>-393.00673283623837</v>
      </c>
      <c r="S217" s="9">
        <f>Model_Data!Q217</f>
        <v>-60.400052901444205</v>
      </c>
      <c r="T217" s="9">
        <f>Model_Data!AN217</f>
        <v>-59.010019945381138</v>
      </c>
      <c r="U217" s="10"/>
      <c r="V217" s="9">
        <f>Model_Data!A217</f>
        <v>47.5</v>
      </c>
      <c r="W217" s="9">
        <f>Model_Data!B217-Inputs!$C$5</f>
        <v>2.5069444444444571</v>
      </c>
      <c r="X217" s="10"/>
      <c r="Y217" s="9">
        <f>Model_Data!A217</f>
        <v>47.5</v>
      </c>
      <c r="Z217" s="9">
        <f>0</f>
        <v>0</v>
      </c>
      <c r="AA217" s="9">
        <f>((SQRT((Inputs!$C$52+Inputs!$C$5)^2+Inputs!$C$52^2-2*(Inputs!$C$52+Inputs!$C$5)*Inputs!$C$52*COS(SQRT((Model_Data!A217)^2+Inputs!$C$6^2)/Inputs!$C$52))-Inputs!$C$5)*1000/Inputs!$C$12)</f>
        <v>2527.4278404684369</v>
      </c>
      <c r="AB217" s="9">
        <f>Model_Data!F217</f>
        <v>2515.0534940419116</v>
      </c>
    </row>
    <row r="218" spans="1:28">
      <c r="A218" s="9">
        <f>Model_Data!A218</f>
        <v>48</v>
      </c>
      <c r="B218" s="9">
        <f>0</f>
        <v>0</v>
      </c>
      <c r="C218" s="9">
        <f>((SQRT((Inputs!$C$52+Inputs!$C$5)^2+Inputs!$C$52^2-2*(Inputs!$C$52+Inputs!$C$5)*Inputs!$C$52*COS(SQRT((Model_Data!A218)^2+Inputs!$C$6^2)/Inputs!$C$52))-Inputs!$C$5)*1000/Inputs!$C$12)</f>
        <v>2569.0731452277819</v>
      </c>
      <c r="D218" s="9">
        <f>Model_Data!F218</f>
        <v>2556.2330084508071</v>
      </c>
      <c r="E218" s="9">
        <f>Model_Data!AC218</f>
        <v>2481.8992258812787</v>
      </c>
      <c r="F218" s="10"/>
      <c r="G218" s="9">
        <f>Model_Data!A218</f>
        <v>48</v>
      </c>
      <c r="H218" s="9">
        <f>Model_Data!Y218</f>
        <v>124.99715373473305</v>
      </c>
      <c r="I218" s="9">
        <f>Model_Data!Y218</f>
        <v>124.99715373473305</v>
      </c>
      <c r="J218" s="9">
        <f>Model_Data!X218</f>
        <v>-9.0769147289597925</v>
      </c>
      <c r="K218" s="9">
        <f>Model_Data!A218</f>
        <v>48</v>
      </c>
      <c r="L218" s="9">
        <f>Model_Data!Y218</f>
        <v>124.99715373473305</v>
      </c>
      <c r="M218" s="9">
        <f>Model_Data!X218</f>
        <v>-9.0769147289597925</v>
      </c>
      <c r="N218" s="9">
        <f>-(Model_Data!AC218-Model_Data!F218)*Inputs!$C$12</f>
        <v>132.31413297376068</v>
      </c>
      <c r="O218" s="10"/>
      <c r="P218" s="9">
        <f>Model_Data!A218</f>
        <v>48</v>
      </c>
      <c r="Q218" s="9">
        <f>Model_Data!P218</f>
        <v>-406.40683834462834</v>
      </c>
      <c r="R218" s="9">
        <f>Model_Data!AM218</f>
        <v>-396.2138094164402</v>
      </c>
      <c r="S218" s="9">
        <f>Model_Data!Q218</f>
        <v>-61.022047799493748</v>
      </c>
      <c r="T218" s="9">
        <f>Model_Data!AN218</f>
        <v>-59.491562975441475</v>
      </c>
      <c r="U218" s="10"/>
      <c r="V218" s="9">
        <f>Model_Data!A218</f>
        <v>48</v>
      </c>
      <c r="W218" s="9">
        <f>Model_Data!B218-Inputs!$C$5</f>
        <v>2.5600000000000023</v>
      </c>
      <c r="X218" s="10"/>
      <c r="Y218" s="9">
        <f>Model_Data!A218</f>
        <v>48</v>
      </c>
      <c r="Z218" s="9">
        <f>0</f>
        <v>0</v>
      </c>
      <c r="AA218" s="9">
        <f>((SQRT((Inputs!$C$52+Inputs!$C$5)^2+Inputs!$C$52^2-2*(Inputs!$C$52+Inputs!$C$5)*Inputs!$C$52*COS(SQRT((Model_Data!A218)^2+Inputs!$C$6^2)/Inputs!$C$52))-Inputs!$C$5)*1000/Inputs!$C$12)</f>
        <v>2569.0731452277819</v>
      </c>
      <c r="AB218" s="9">
        <f>Model_Data!F218</f>
        <v>2556.2330084508071</v>
      </c>
    </row>
    <row r="219" spans="1:28">
      <c r="A219" s="9">
        <f>Model_Data!A219</f>
        <v>48.5</v>
      </c>
      <c r="B219" s="9">
        <f>0</f>
        <v>0</v>
      </c>
      <c r="C219" s="9">
        <f>((SQRT((Inputs!$C$52+Inputs!$C$5)^2+Inputs!$C$52^2-2*(Inputs!$C$52+Inputs!$C$5)*Inputs!$C$52*COS(SQRT((Model_Data!A219)^2+Inputs!$C$6^2)/Inputs!$C$52))-Inputs!$C$5)*1000/Inputs!$C$12)</f>
        <v>2611.1466389368852</v>
      </c>
      <c r="D219" s="9">
        <f>Model_Data!F219</f>
        <v>2597.8274307266115</v>
      </c>
      <c r="E219" s="9">
        <f>Model_Data!AC219</f>
        <v>2533.405410159417</v>
      </c>
      <c r="F219" s="10"/>
      <c r="G219" s="9">
        <f>Model_Data!A219</f>
        <v>48.5</v>
      </c>
      <c r="H219" s="9">
        <f>Model_Data!Y219</f>
        <v>114.26484888006172</v>
      </c>
      <c r="I219" s="9">
        <f>Model_Data!Y219</f>
        <v>114.26484888006172</v>
      </c>
      <c r="J219" s="9">
        <f>Model_Data!X219</f>
        <v>-2.0408727900443155</v>
      </c>
      <c r="K219" s="9">
        <f>Model_Data!A219</f>
        <v>48.5</v>
      </c>
      <c r="L219" s="9">
        <f>Model_Data!Y219</f>
        <v>114.26484888006172</v>
      </c>
      <c r="M219" s="9">
        <f>Model_Data!X219</f>
        <v>-2.0408727900443155</v>
      </c>
      <c r="N219" s="9">
        <f>-(Model_Data!AC219-Model_Data!F219)*Inputs!$C$12</f>
        <v>114.67119660960626</v>
      </c>
      <c r="O219" s="10"/>
      <c r="P219" s="9">
        <f>Model_Data!A219</f>
        <v>48.5</v>
      </c>
      <c r="Q219" s="9">
        <f>Model_Data!P219</f>
        <v>-410.54652591110425</v>
      </c>
      <c r="R219" s="9">
        <f>Model_Data!AM219</f>
        <v>-435.00265504499112</v>
      </c>
      <c r="S219" s="9">
        <f>Model_Data!Q219</f>
        <v>-61.643622509174818</v>
      </c>
      <c r="T219" s="9">
        <f>Model_Data!AN219</f>
        <v>-65.315713970719386</v>
      </c>
      <c r="U219" s="10"/>
      <c r="V219" s="9">
        <f>Model_Data!A219</f>
        <v>48.5</v>
      </c>
      <c r="W219" s="9">
        <f>Model_Data!B219-Inputs!$C$5</f>
        <v>2.6136111111110836</v>
      </c>
      <c r="X219" s="10"/>
      <c r="Y219" s="9">
        <f>Model_Data!A219</f>
        <v>48.5</v>
      </c>
      <c r="Z219" s="9">
        <f>0</f>
        <v>0</v>
      </c>
      <c r="AA219" s="9">
        <f>((SQRT((Inputs!$C$52+Inputs!$C$5)^2+Inputs!$C$52^2-2*(Inputs!$C$52+Inputs!$C$5)*Inputs!$C$52*COS(SQRT((Model_Data!A219)^2+Inputs!$C$6^2)/Inputs!$C$52))-Inputs!$C$5)*1000/Inputs!$C$12)</f>
        <v>2611.1466389368852</v>
      </c>
      <c r="AB219" s="9">
        <f>Model_Data!F219</f>
        <v>2597.8274307266115</v>
      </c>
    </row>
    <row r="220" spans="1:28">
      <c r="A220" s="9">
        <f>Model_Data!A220</f>
        <v>49</v>
      </c>
      <c r="B220" s="9">
        <f>0</f>
        <v>0</v>
      </c>
      <c r="C220" s="9">
        <f>((SQRT((Inputs!$C$52+Inputs!$C$5)^2+Inputs!$C$52^2-2*(Inputs!$C$52+Inputs!$C$5)*Inputs!$C$52*COS(SQRT((Model_Data!A220)^2+Inputs!$C$6^2)/Inputs!$C$52))-Inputs!$C$5)*1000/Inputs!$C$12)</f>
        <v>2653.6480795811526</v>
      </c>
      <c r="D220" s="9">
        <f>Model_Data!F220</f>
        <v>2639.8362673927654</v>
      </c>
      <c r="E220" s="9">
        <f>Model_Data!AC220</f>
        <v>2585.04912675488</v>
      </c>
      <c r="F220" s="10"/>
      <c r="G220" s="9">
        <f>Model_Data!A220</f>
        <v>49</v>
      </c>
      <c r="H220" s="9">
        <f>Model_Data!Y220</f>
        <v>109.54402369059221</v>
      </c>
      <c r="I220" s="9">
        <f>Model_Data!Y220</f>
        <v>109.54402369059221</v>
      </c>
      <c r="J220" s="9">
        <f>Model_Data!X220</f>
        <v>10.431027200722241</v>
      </c>
      <c r="K220" s="9">
        <f>Model_Data!A220</f>
        <v>49</v>
      </c>
      <c r="L220" s="9">
        <f>Model_Data!Y220</f>
        <v>109.54402369059221</v>
      </c>
      <c r="M220" s="9">
        <f>Model_Data!X220</f>
        <v>10.431027200722241</v>
      </c>
      <c r="N220" s="9">
        <f>-(Model_Data!AC220-Model_Data!F220)*Inputs!$C$12</f>
        <v>97.521110335435992</v>
      </c>
      <c r="O220" s="10"/>
      <c r="P220" s="9">
        <f>Model_Data!A220</f>
        <v>49</v>
      </c>
      <c r="Q220" s="9">
        <f>Model_Data!P220</f>
        <v>-414.68339030034258</v>
      </c>
      <c r="R220" s="9">
        <f>Model_Data!AM220</f>
        <v>-412.31740714465559</v>
      </c>
      <c r="S220" s="9">
        <f>Model_Data!Q220</f>
        <v>-62.264773318369762</v>
      </c>
      <c r="T220" s="9">
        <f>Model_Data!AN220</f>
        <v>-61.909520592290633</v>
      </c>
      <c r="U220" s="10"/>
      <c r="V220" s="9">
        <f>Model_Data!A220</f>
        <v>49</v>
      </c>
      <c r="W220" s="9">
        <f>Model_Data!B220-Inputs!$C$5</f>
        <v>2.6677777777777578</v>
      </c>
      <c r="X220" s="10"/>
      <c r="Y220" s="9">
        <f>Model_Data!A220</f>
        <v>49</v>
      </c>
      <c r="Z220" s="9">
        <f>0</f>
        <v>0</v>
      </c>
      <c r="AA220" s="9">
        <f>((SQRT((Inputs!$C$52+Inputs!$C$5)^2+Inputs!$C$52^2-2*(Inputs!$C$52+Inputs!$C$5)*Inputs!$C$52*COS(SQRT((Model_Data!A220)^2+Inputs!$C$6^2)/Inputs!$C$52))-Inputs!$C$5)*1000/Inputs!$C$12)</f>
        <v>2653.6480795811526</v>
      </c>
      <c r="AB220" s="9">
        <f>Model_Data!F220</f>
        <v>2639.8362673927654</v>
      </c>
    </row>
    <row r="221" spans="1:28">
      <c r="A221" s="9">
        <f>Model_Data!A221</f>
        <v>49.5</v>
      </c>
      <c r="B221" s="9">
        <f>0</f>
        <v>0</v>
      </c>
      <c r="C221" s="9">
        <f>((SQRT((Inputs!$C$52+Inputs!$C$5)^2+Inputs!$C$52^2-2*(Inputs!$C$52+Inputs!$C$5)*Inputs!$C$52*COS(SQRT((Model_Data!A221)^2+Inputs!$C$6^2)/Inputs!$C$52))-Inputs!$C$5)*1000/Inputs!$C$12)</f>
        <v>2696.577222862134</v>
      </c>
      <c r="D221" s="9">
        <f>Model_Data!F221</f>
        <v>2682.2590206416526</v>
      </c>
      <c r="E221" s="9">
        <f>Model_Data!AC221</f>
        <v>2616.8775635060647</v>
      </c>
      <c r="F221" s="10"/>
      <c r="G221" s="9">
        <f>Model_Data!A221</f>
        <v>49.5</v>
      </c>
      <c r="H221" s="9">
        <f>Model_Data!Y221</f>
        <v>115.81874031490976</v>
      </c>
      <c r="I221" s="9">
        <f>Model_Data!Y221</f>
        <v>115.81874031490976</v>
      </c>
      <c r="J221" s="9">
        <f>Model_Data!X221</f>
        <v>-2.2699304094542576</v>
      </c>
      <c r="K221" s="9">
        <f>Model_Data!A221</f>
        <v>49.5</v>
      </c>
      <c r="L221" s="9">
        <f>Model_Data!Y221</f>
        <v>115.81874031490976</v>
      </c>
      <c r="M221" s="9">
        <f>Model_Data!X221</f>
        <v>-2.2699304094542576</v>
      </c>
      <c r="N221" s="9">
        <f>-(Model_Data!AC221-Model_Data!F221)*Inputs!$C$12</f>
        <v>116.37899370134643</v>
      </c>
      <c r="O221" s="10"/>
      <c r="P221" s="9">
        <f>Model_Data!A221</f>
        <v>49.5</v>
      </c>
      <c r="Q221" s="9">
        <f>Model_Data!P221</f>
        <v>-418.81740692178937</v>
      </c>
      <c r="R221" s="9">
        <f>Model_Data!AM221</f>
        <v>-409.92882733689839</v>
      </c>
      <c r="S221" s="9">
        <f>Model_Data!Q221</f>
        <v>-62.885496534803217</v>
      </c>
      <c r="T221" s="9">
        <f>Model_Data!AN221</f>
        <v>-61.550874975510276</v>
      </c>
      <c r="U221" s="10"/>
      <c r="V221" s="9">
        <f>Model_Data!A221</f>
        <v>49.5</v>
      </c>
      <c r="W221" s="9">
        <f>Model_Data!B221-Inputs!$C$5</f>
        <v>2.722500000000025</v>
      </c>
      <c r="X221" s="10"/>
      <c r="Y221" s="9">
        <f>Model_Data!A221</f>
        <v>49.5</v>
      </c>
      <c r="Z221" s="9">
        <f>0</f>
        <v>0</v>
      </c>
      <c r="AA221" s="9">
        <f>((SQRT((Inputs!$C$52+Inputs!$C$5)^2+Inputs!$C$52^2-2*(Inputs!$C$52+Inputs!$C$5)*Inputs!$C$52*COS(SQRT((Model_Data!A221)^2+Inputs!$C$6^2)/Inputs!$C$52))-Inputs!$C$5)*1000/Inputs!$C$12)</f>
        <v>2696.577222862134</v>
      </c>
      <c r="AB221" s="9">
        <f>Model_Data!F221</f>
        <v>2682.2590206416526</v>
      </c>
    </row>
    <row r="222" spans="1:28">
      <c r="A222" s="9">
        <f>Model_Data!A222</f>
        <v>50</v>
      </c>
      <c r="B222" s="9">
        <f>0</f>
        <v>0</v>
      </c>
      <c r="C222" s="9">
        <f>((SQRT((Inputs!$C$52+Inputs!$C$5)^2+Inputs!$C$52^2-2*(Inputs!$C$52+Inputs!$C$5)*Inputs!$C$52*COS(SQRT((Model_Data!A222)^2+Inputs!$C$6^2)/Inputs!$C$52))-Inputs!$C$5)*1000/Inputs!$C$12)</f>
        <v>2739.9338222122688</v>
      </c>
      <c r="D222" s="9">
        <f>Model_Data!F222</f>
        <v>2725.0951883624866</v>
      </c>
      <c r="E222" s="9">
        <f>Model_Data!AC222</f>
        <v>2665.9182718461079</v>
      </c>
      <c r="F222" s="10"/>
      <c r="G222" s="9">
        <f>Model_Data!A222</f>
        <v>50</v>
      </c>
      <c r="H222" s="9">
        <f>Model_Data!Y222</f>
        <v>115.23525161719914</v>
      </c>
      <c r="I222" s="9">
        <f>Model_Data!Y222</f>
        <v>115.23525161719914</v>
      </c>
      <c r="J222" s="9">
        <f>Model_Data!X222</f>
        <v>8.1725883775596202</v>
      </c>
      <c r="K222" s="9">
        <f>Model_Data!A222</f>
        <v>50</v>
      </c>
      <c r="L222" s="9">
        <f>Model_Data!Y222</f>
        <v>115.23525161719914</v>
      </c>
      <c r="M222" s="9">
        <f>Model_Data!X222</f>
        <v>8.1725883775596202</v>
      </c>
      <c r="N222" s="9">
        <f>-(Model_Data!AC222-Model_Data!F222)*Inputs!$C$12</f>
        <v>105.33491139915408</v>
      </c>
      <c r="O222" s="10"/>
      <c r="P222" s="9">
        <f>Model_Data!A222</f>
        <v>50</v>
      </c>
      <c r="Q222" s="9">
        <f>Model_Data!P222</f>
        <v>-422.94855132149678</v>
      </c>
      <c r="R222" s="9">
        <f>Model_Data!AM222</f>
        <v>-389.68272555466683</v>
      </c>
      <c r="S222" s="9">
        <f>Model_Data!Q222</f>
        <v>-63.505788486711232</v>
      </c>
      <c r="T222" s="9">
        <f>Model_Data!AN222</f>
        <v>-58.510919752952979</v>
      </c>
      <c r="U222" s="10"/>
      <c r="V222" s="9">
        <f>Model_Data!A222</f>
        <v>50</v>
      </c>
      <c r="W222" s="9">
        <f>Model_Data!B222-Inputs!$C$5</f>
        <v>2.7777777777777715</v>
      </c>
      <c r="X222" s="10"/>
      <c r="Y222" s="9">
        <f>Model_Data!A222</f>
        <v>50</v>
      </c>
      <c r="Z222" s="9">
        <f>0</f>
        <v>0</v>
      </c>
      <c r="AA222" s="9">
        <f>((SQRT((Inputs!$C$52+Inputs!$C$5)^2+Inputs!$C$52^2-2*(Inputs!$C$52+Inputs!$C$5)*Inputs!$C$52*COS(SQRT((Model_Data!A222)^2+Inputs!$C$6^2)/Inputs!$C$52))-Inputs!$C$5)*1000/Inputs!$C$12)</f>
        <v>2739.9338222122688</v>
      </c>
      <c r="AB222" s="9">
        <f>Model_Data!F222</f>
        <v>2725.0951883624866</v>
      </c>
    </row>
    <row r="223" spans="1:28">
      <c r="A223" s="9">
        <f>Model_Data!A223</f>
        <v>50.5</v>
      </c>
      <c r="B223" s="9">
        <f>0</f>
        <v>0</v>
      </c>
      <c r="C223" s="9">
        <f>((SQRT((Inputs!$C$52+Inputs!$C$5)^2+Inputs!$C$52^2-2*(Inputs!$C$52+Inputs!$C$5)*Inputs!$C$52*COS(SQRT((Model_Data!A223)^2+Inputs!$C$6^2)/Inputs!$C$52))-Inputs!$C$5)*1000/Inputs!$C$12)</f>
        <v>2783.7176287943189</v>
      </c>
      <c r="D223" s="9">
        <f>Model_Data!F223</f>
        <v>2768.3442641612314</v>
      </c>
      <c r="E223" s="9">
        <f>Model_Data!AC223</f>
        <v>2696.5887627519924</v>
      </c>
      <c r="F223" s="10"/>
      <c r="G223" s="9">
        <f>Model_Data!A223</f>
        <v>50.5</v>
      </c>
      <c r="H223" s="9">
        <f>Model_Data!Y223</f>
        <v>136.98620076238512</v>
      </c>
      <c r="I223" s="9">
        <f>Model_Data!Y223</f>
        <v>136.98620076238512</v>
      </c>
      <c r="J223" s="9">
        <f>Model_Data!X223</f>
        <v>7.1754118877202355</v>
      </c>
      <c r="K223" s="9">
        <f>Model_Data!A223</f>
        <v>50.5</v>
      </c>
      <c r="L223" s="9">
        <f>Model_Data!Y223</f>
        <v>136.98620076238512</v>
      </c>
      <c r="M223" s="9">
        <f>Model_Data!X223</f>
        <v>7.1754118877202355</v>
      </c>
      <c r="N223" s="9">
        <f>-(Model_Data!AC223-Model_Data!F223)*Inputs!$C$12</f>
        <v>127.72479250844553</v>
      </c>
      <c r="O223" s="10"/>
      <c r="P223" s="9">
        <f>Model_Data!A223</f>
        <v>50.5</v>
      </c>
      <c r="Q223" s="9">
        <f>Model_Data!P223</f>
        <v>-427.07679916102279</v>
      </c>
      <c r="R223" s="9">
        <f>Model_Data!AM223</f>
        <v>-392.74784064245978</v>
      </c>
      <c r="S223" s="9">
        <f>Model_Data!Q223</f>
        <v>-64.1256455196731</v>
      </c>
      <c r="T223" s="9">
        <f>Model_Data!AN223</f>
        <v>-58.971147243612585</v>
      </c>
      <c r="U223" s="10"/>
      <c r="V223" s="9">
        <f>Model_Data!A223</f>
        <v>50.5</v>
      </c>
      <c r="W223" s="9">
        <f>Model_Data!B223-Inputs!$C$5</f>
        <v>2.8336111111111109</v>
      </c>
      <c r="X223" s="10"/>
      <c r="Y223" s="9">
        <f>Model_Data!A223</f>
        <v>50.5</v>
      </c>
      <c r="Z223" s="9">
        <f>0</f>
        <v>0</v>
      </c>
      <c r="AA223" s="9">
        <f>((SQRT((Inputs!$C$52+Inputs!$C$5)^2+Inputs!$C$52^2-2*(Inputs!$C$52+Inputs!$C$5)*Inputs!$C$52*COS(SQRT((Model_Data!A223)^2+Inputs!$C$6^2)/Inputs!$C$52))-Inputs!$C$5)*1000/Inputs!$C$12)</f>
        <v>2783.7176287943189</v>
      </c>
      <c r="AB223" s="9">
        <f>Model_Data!F223</f>
        <v>2768.3442641612314</v>
      </c>
    </row>
    <row r="224" spans="1:28">
      <c r="A224" s="9">
        <f>Model_Data!A224</f>
        <v>51</v>
      </c>
      <c r="B224" s="9">
        <f>0</f>
        <v>0</v>
      </c>
      <c r="C224" s="9">
        <f>((SQRT((Inputs!$C$52+Inputs!$C$5)^2+Inputs!$C$52^2-2*(Inputs!$C$52+Inputs!$C$5)*Inputs!$C$52*COS(SQRT((Model_Data!A224)^2+Inputs!$C$6^2)/Inputs!$C$52))-Inputs!$C$5)*1000/Inputs!$C$12)</f>
        <v>2827.9283915103379</v>
      </c>
      <c r="D224" s="9">
        <f>Model_Data!F224</f>
        <v>2812.0057373812642</v>
      </c>
      <c r="E224" s="9">
        <f>Model_Data!AC224</f>
        <v>2742.6586243969336</v>
      </c>
      <c r="F224" s="10"/>
      <c r="G224" s="9">
        <f>Model_Data!A224</f>
        <v>51</v>
      </c>
      <c r="H224" s="9">
        <f>Model_Data!Y224</f>
        <v>137.08289632779307</v>
      </c>
      <c r="I224" s="9">
        <f>Model_Data!Y224</f>
        <v>137.08289632779307</v>
      </c>
      <c r="J224" s="9">
        <f>Model_Data!X224</f>
        <v>11.525237738664625</v>
      </c>
      <c r="K224" s="9">
        <f>Model_Data!A224</f>
        <v>51</v>
      </c>
      <c r="L224" s="9">
        <f>Model_Data!Y224</f>
        <v>137.08289632779307</v>
      </c>
      <c r="M224" s="9">
        <f>Model_Data!X224</f>
        <v>11.525237738664625</v>
      </c>
      <c r="N224" s="9">
        <f>-(Model_Data!AC224-Model_Data!F224)*Inputs!$C$12</f>
        <v>123.43786111210844</v>
      </c>
      <c r="O224" s="10"/>
      <c r="P224" s="9">
        <f>Model_Data!A224</f>
        <v>51</v>
      </c>
      <c r="Q224" s="9">
        <f>Model_Data!P224</f>
        <v>-431.2021262460803</v>
      </c>
      <c r="R224" s="9">
        <f>Model_Data!AM224</f>
        <v>-395.66337661017315</v>
      </c>
      <c r="S224" s="9">
        <f>Model_Data!Q224</f>
        <v>-64.745064000912961</v>
      </c>
      <c r="T224" s="9">
        <f>Model_Data!AN224</f>
        <v>-59.408915406932913</v>
      </c>
      <c r="U224" s="10"/>
      <c r="V224" s="9">
        <f>Model_Data!A224</f>
        <v>51</v>
      </c>
      <c r="W224" s="9">
        <f>Model_Data!B224-Inputs!$C$5</f>
        <v>2.8899999999999864</v>
      </c>
      <c r="X224" s="10"/>
      <c r="Y224" s="9">
        <f>Model_Data!A224</f>
        <v>51</v>
      </c>
      <c r="Z224" s="9">
        <f>0</f>
        <v>0</v>
      </c>
      <c r="AA224" s="9">
        <f>((SQRT((Inputs!$C$52+Inputs!$C$5)^2+Inputs!$C$52^2-2*(Inputs!$C$52+Inputs!$C$5)*Inputs!$C$52*COS(SQRT((Model_Data!A224)^2+Inputs!$C$6^2)/Inputs!$C$52))-Inputs!$C$5)*1000/Inputs!$C$12)</f>
        <v>2827.9283915103379</v>
      </c>
      <c r="AB224" s="9">
        <f>Model_Data!F224</f>
        <v>2812.0057373812642</v>
      </c>
    </row>
    <row r="225" spans="1:28">
      <c r="A225" s="9">
        <f>Model_Data!A225</f>
        <v>51.5</v>
      </c>
      <c r="B225" s="9">
        <f>0</f>
        <v>0</v>
      </c>
      <c r="C225" s="9">
        <f>((SQRT((Inputs!$C$52+Inputs!$C$5)^2+Inputs!$C$52^2-2*(Inputs!$C$52+Inputs!$C$5)*Inputs!$C$52*COS(SQRT((Model_Data!A225)^2+Inputs!$C$6^2)/Inputs!$C$52))-Inputs!$C$5)*1000/Inputs!$C$12)</f>
        <v>2872.5658570103246</v>
      </c>
      <c r="D225" s="9">
        <f>Model_Data!F225</f>
        <v>2856.0790931333977</v>
      </c>
      <c r="E225" s="9">
        <f>Model_Data!AC225</f>
        <v>2765.2572563634326</v>
      </c>
      <c r="F225" s="10"/>
      <c r="G225" s="9">
        <f>Model_Data!A225</f>
        <v>51.5</v>
      </c>
      <c r="H225" s="9">
        <f>Model_Data!Y225</f>
        <v>159.61831316527434</v>
      </c>
      <c r="I225" s="9">
        <f>Model_Data!Y225</f>
        <v>159.61831316527434</v>
      </c>
      <c r="J225" s="9">
        <f>Model_Data!X225</f>
        <v>-4.5509465319165372</v>
      </c>
      <c r="K225" s="9">
        <f>Model_Data!A225</f>
        <v>51.5</v>
      </c>
      <c r="L225" s="9">
        <f>Model_Data!Y225</f>
        <v>159.61831316527434</v>
      </c>
      <c r="M225" s="9">
        <f>Model_Data!X225</f>
        <v>-4.5509465319165372</v>
      </c>
      <c r="N225" s="9">
        <f>-(Model_Data!AC225-Model_Data!F225)*Inputs!$C$12</f>
        <v>161.6628694505379</v>
      </c>
      <c r="O225" s="10"/>
      <c r="P225" s="9">
        <f>Model_Data!A225</f>
        <v>51.5</v>
      </c>
      <c r="Q225" s="9">
        <f>Model_Data!P225</f>
        <v>-435.32450851025715</v>
      </c>
      <c r="R225" s="9">
        <f>Model_Data!AM225</f>
        <v>-388.33618470589499</v>
      </c>
      <c r="S225" s="9">
        <f>Model_Data!Q225</f>
        <v>-65.364040316855437</v>
      </c>
      <c r="T225" s="9">
        <f>Model_Data!AN225</f>
        <v>-58.308736442326584</v>
      </c>
      <c r="U225" s="10"/>
      <c r="V225" s="9">
        <f>Model_Data!A225</f>
        <v>51.5</v>
      </c>
      <c r="W225" s="9">
        <f>Model_Data!B225-Inputs!$C$5</f>
        <v>2.9469444444444548</v>
      </c>
      <c r="X225" s="10"/>
      <c r="Y225" s="9">
        <f>Model_Data!A225</f>
        <v>51.5</v>
      </c>
      <c r="Z225" s="9">
        <f>0</f>
        <v>0</v>
      </c>
      <c r="AA225" s="9">
        <f>((SQRT((Inputs!$C$52+Inputs!$C$5)^2+Inputs!$C$52^2-2*(Inputs!$C$52+Inputs!$C$5)*Inputs!$C$52*COS(SQRT((Model_Data!A225)^2+Inputs!$C$6^2)/Inputs!$C$52))-Inputs!$C$5)*1000/Inputs!$C$12)</f>
        <v>2872.5658570103246</v>
      </c>
      <c r="AB225" s="9">
        <f>Model_Data!F225</f>
        <v>2856.0790931333977</v>
      </c>
    </row>
    <row r="226" spans="1:28">
      <c r="A226" s="9">
        <f>Model_Data!A226</f>
        <v>52</v>
      </c>
      <c r="B226" s="9">
        <f>0</f>
        <v>0</v>
      </c>
      <c r="C226" s="9">
        <f>((SQRT((Inputs!$C$52+Inputs!$C$5)^2+Inputs!$C$52^2-2*(Inputs!$C$52+Inputs!$C$5)*Inputs!$C$52*COS(SQRT((Model_Data!A226)^2+Inputs!$C$6^2)/Inputs!$C$52))-Inputs!$C$5)*1000/Inputs!$C$12)</f>
        <v>2917.6297696966649</v>
      </c>
      <c r="D226" s="9">
        <f>Model_Data!F226</f>
        <v>2900.5638123107237</v>
      </c>
      <c r="E226" s="9">
        <f>Model_Data!AC226</f>
        <v>2803.8324919454967</v>
      </c>
      <c r="F226" s="10"/>
      <c r="G226" s="9">
        <f>Model_Data!A226</f>
        <v>52</v>
      </c>
      <c r="H226" s="9">
        <f>Model_Data!Y226</f>
        <v>166.99312244433131</v>
      </c>
      <c r="I226" s="9">
        <f>Model_Data!Y226</f>
        <v>166.99312244433131</v>
      </c>
      <c r="J226" s="9">
        <f>Model_Data!X226</f>
        <v>-7.8509490215719673</v>
      </c>
      <c r="K226" s="9">
        <f>Model_Data!A226</f>
        <v>52</v>
      </c>
      <c r="L226" s="9">
        <f>Model_Data!Y226</f>
        <v>166.99312244433131</v>
      </c>
      <c r="M226" s="9">
        <f>Model_Data!X226</f>
        <v>-7.8509490215719673</v>
      </c>
      <c r="N226" s="9">
        <f>-(Model_Data!AC226-Model_Data!F226)*Inputs!$C$12</f>
        <v>172.1817502501041</v>
      </c>
      <c r="O226" s="10"/>
      <c r="P226" s="9">
        <f>Model_Data!A226</f>
        <v>52</v>
      </c>
      <c r="Q226" s="9">
        <f>Model_Data!P226</f>
        <v>-439.44392201619848</v>
      </c>
      <c r="R226" s="9">
        <f>Model_Data!AM226</f>
        <v>-432.56215303044883</v>
      </c>
      <c r="S226" s="9">
        <f>Model_Data!Q226</f>
        <v>-65.982570873303075</v>
      </c>
      <c r="T226" s="9">
        <f>Model_Data!AN226</f>
        <v>-64.949272226794122</v>
      </c>
      <c r="U226" s="10"/>
      <c r="V226" s="9">
        <f>Model_Data!A226</f>
        <v>52</v>
      </c>
      <c r="W226" s="9">
        <f>Model_Data!B226-Inputs!$C$5</f>
        <v>3.0044444444444594</v>
      </c>
      <c r="X226" s="10"/>
      <c r="Y226" s="9">
        <f>Model_Data!A226</f>
        <v>52</v>
      </c>
      <c r="Z226" s="9">
        <f>0</f>
        <v>0</v>
      </c>
      <c r="AA226" s="9">
        <f>((SQRT((Inputs!$C$52+Inputs!$C$5)^2+Inputs!$C$52^2-2*(Inputs!$C$52+Inputs!$C$5)*Inputs!$C$52*COS(SQRT((Model_Data!A226)^2+Inputs!$C$6^2)/Inputs!$C$52))-Inputs!$C$5)*1000/Inputs!$C$12)</f>
        <v>2917.6297696966649</v>
      </c>
      <c r="AB226" s="9">
        <f>Model_Data!F226</f>
        <v>2900.5638123107237</v>
      </c>
    </row>
    <row r="227" spans="1:28">
      <c r="A227" s="9">
        <f>Model_Data!A227</f>
        <v>52.5</v>
      </c>
      <c r="B227" s="9">
        <f>0</f>
        <v>0</v>
      </c>
      <c r="C227" s="9">
        <f>((SQRT((Inputs!$C$52+Inputs!$C$5)^2+Inputs!$C$52^2-2*(Inputs!$C$52+Inputs!$C$5)*Inputs!$C$52*COS(SQRT((Model_Data!A227)^2+Inputs!$C$6^2)/Inputs!$C$52))-Inputs!$C$5)*1000/Inputs!$C$12)</f>
        <v>2963.1198717330712</v>
      </c>
      <c r="D227" s="9">
        <f>Model_Data!F227</f>
        <v>2945.4593716191162</v>
      </c>
      <c r="E227" s="9">
        <f>Model_Data!AC227</f>
        <v>2858.4792134153258</v>
      </c>
      <c r="F227" s="10"/>
      <c r="G227" s="9">
        <f>Model_Data!A227</f>
        <v>52.5</v>
      </c>
      <c r="H227" s="9">
        <f>Model_Data!Y227</f>
        <v>164.06842387185546</v>
      </c>
      <c r="I227" s="9">
        <f>Model_Data!Y227</f>
        <v>164.06842387185546</v>
      </c>
      <c r="J227" s="9">
        <f>Model_Data!X227</f>
        <v>6.5883469319652015</v>
      </c>
      <c r="K227" s="9">
        <f>Model_Data!A227</f>
        <v>52.5</v>
      </c>
      <c r="L227" s="9">
        <f>Model_Data!Y227</f>
        <v>164.06842387185546</v>
      </c>
      <c r="M227" s="9">
        <f>Model_Data!X227</f>
        <v>6.5883469319652015</v>
      </c>
      <c r="N227" s="9">
        <f>-(Model_Data!AC227-Model_Data!F227)*Inputs!$C$12</f>
        <v>154.82468160274678</v>
      </c>
      <c r="O227" s="10"/>
      <c r="P227" s="9">
        <f>Model_Data!A227</f>
        <v>52.5</v>
      </c>
      <c r="Q227" s="9">
        <f>Model_Data!P227</f>
        <v>-443.56034297125007</v>
      </c>
      <c r="R227" s="9">
        <f>Model_Data!AM227</f>
        <v>-417.67672557143669</v>
      </c>
      <c r="S227" s="9">
        <f>Model_Data!Q227</f>
        <v>-66.6006520977853</v>
      </c>
      <c r="T227" s="9">
        <f>Model_Data!AN227</f>
        <v>-62.71422305877428</v>
      </c>
      <c r="U227" s="10"/>
      <c r="V227" s="9">
        <f>Model_Data!A227</f>
        <v>52.5</v>
      </c>
      <c r="W227" s="9">
        <f>Model_Data!B227-Inputs!$C$5</f>
        <v>3.0625</v>
      </c>
      <c r="X227" s="10"/>
      <c r="Y227" s="9">
        <f>Model_Data!A227</f>
        <v>52.5</v>
      </c>
      <c r="Z227" s="9">
        <f>0</f>
        <v>0</v>
      </c>
      <c r="AA227" s="9">
        <f>((SQRT((Inputs!$C$52+Inputs!$C$5)^2+Inputs!$C$52^2-2*(Inputs!$C$52+Inputs!$C$5)*Inputs!$C$52*COS(SQRT((Model_Data!A227)^2+Inputs!$C$6^2)/Inputs!$C$52))-Inputs!$C$5)*1000/Inputs!$C$12)</f>
        <v>2963.1198717330712</v>
      </c>
      <c r="AB227" s="9">
        <f>Model_Data!F227</f>
        <v>2945.4593716191162</v>
      </c>
    </row>
    <row r="228" spans="1:28">
      <c r="A228" s="9">
        <f>Model_Data!A228</f>
        <v>53</v>
      </c>
      <c r="B228" s="9">
        <f>0</f>
        <v>0</v>
      </c>
      <c r="C228" s="9">
        <f>((SQRT((Inputs!$C$52+Inputs!$C$5)^2+Inputs!$C$52^2-2*(Inputs!$C$52+Inputs!$C$5)*Inputs!$C$52*COS(SQRT((Model_Data!A228)^2+Inputs!$C$6^2)/Inputs!$C$52))-Inputs!$C$5)*1000/Inputs!$C$12)</f>
        <v>3009.035903051642</v>
      </c>
      <c r="D228" s="9">
        <f>Model_Data!F228</f>
        <v>2990.7652435974414</v>
      </c>
      <c r="E228" s="9">
        <f>Model_Data!AC228</f>
        <v>2891.8890269892154</v>
      </c>
      <c r="F228" s="10"/>
      <c r="G228" s="9">
        <f>Model_Data!A228</f>
        <v>53</v>
      </c>
      <c r="H228" s="9">
        <f>Model_Data!Y228</f>
        <v>183.52328091519169</v>
      </c>
      <c r="I228" s="9">
        <f>Model_Data!Y228</f>
        <v>183.52328091519169</v>
      </c>
      <c r="J228" s="9">
        <f>Model_Data!X228</f>
        <v>4.5083965407611828</v>
      </c>
      <c r="K228" s="9">
        <f>Model_Data!A228</f>
        <v>53</v>
      </c>
      <c r="L228" s="9">
        <f>Model_Data!Y228</f>
        <v>183.52328091519169</v>
      </c>
      <c r="M228" s="9">
        <f>Model_Data!X228</f>
        <v>4.5083965407611828</v>
      </c>
      <c r="N228" s="9">
        <f>-(Model_Data!AC228-Model_Data!F228)*Inputs!$C$12</f>
        <v>175.99966556264238</v>
      </c>
      <c r="O228" s="10"/>
      <c r="P228" s="9">
        <f>Model_Data!A228</f>
        <v>53</v>
      </c>
      <c r="Q228" s="9">
        <f>Model_Data!P228</f>
        <v>-447.67374769307935</v>
      </c>
      <c r="R228" s="9">
        <f>Model_Data!AM228</f>
        <v>-421.09802518143624</v>
      </c>
      <c r="S228" s="9">
        <f>Model_Data!Q228</f>
        <v>-67.218280434396306</v>
      </c>
      <c r="T228" s="9">
        <f>Model_Data!AN228</f>
        <v>-63.227931708924366</v>
      </c>
      <c r="U228" s="10"/>
      <c r="V228" s="9">
        <f>Model_Data!A228</f>
        <v>53</v>
      </c>
      <c r="W228" s="9">
        <f>Model_Data!B228-Inputs!$C$5</f>
        <v>3.1211111111111336</v>
      </c>
      <c r="X228" s="10"/>
      <c r="Y228" s="9">
        <f>Model_Data!A228</f>
        <v>53</v>
      </c>
      <c r="Z228" s="9">
        <f>0</f>
        <v>0</v>
      </c>
      <c r="AA228" s="9">
        <f>((SQRT((Inputs!$C$52+Inputs!$C$5)^2+Inputs!$C$52^2-2*(Inputs!$C$52+Inputs!$C$5)*Inputs!$C$52*COS(SQRT((Model_Data!A228)^2+Inputs!$C$6^2)/Inputs!$C$52))-Inputs!$C$5)*1000/Inputs!$C$12)</f>
        <v>3009.035903051642</v>
      </c>
      <c r="AB228" s="9">
        <f>Model_Data!F228</f>
        <v>2990.7652435974414</v>
      </c>
    </row>
    <row r="229" spans="1:28">
      <c r="A229" s="9">
        <f>Model_Data!A229</f>
        <v>53.5</v>
      </c>
      <c r="B229" s="9">
        <f>0</f>
        <v>0</v>
      </c>
      <c r="C229" s="9">
        <f>((SQRT((Inputs!$C$52+Inputs!$C$5)^2+Inputs!$C$52^2-2*(Inputs!$C$52+Inputs!$C$5)*Inputs!$C$52*COS(SQRT((Model_Data!A229)^2+Inputs!$C$6^2)/Inputs!$C$52))-Inputs!$C$5)*1000/Inputs!$C$12)</f>
        <v>3055.3776013572988</v>
      </c>
      <c r="D229" s="9">
        <f>Model_Data!F229</f>
        <v>3036.4808966361788</v>
      </c>
      <c r="E229" s="9">
        <f>Model_Data!AC229</f>
        <v>2936.3961150667737</v>
      </c>
      <c r="F229" s="10"/>
      <c r="G229" s="9">
        <f>Model_Data!A229</f>
        <v>53.5</v>
      </c>
      <c r="H229" s="9">
        <f>Model_Data!Y229</f>
        <v>181.04186719105834</v>
      </c>
      <c r="I229" s="9">
        <f>Model_Data!Y229</f>
        <v>181.04186719105834</v>
      </c>
      <c r="J229" s="9">
        <f>Model_Data!X229</f>
        <v>-0.1280560890739677</v>
      </c>
      <c r="K229" s="9">
        <f>Model_Data!A229</f>
        <v>53.5</v>
      </c>
      <c r="L229" s="9">
        <f>Model_Data!Y229</f>
        <v>181.04186719105834</v>
      </c>
      <c r="M229" s="9">
        <f>Model_Data!X229</f>
        <v>-0.1280560890739677</v>
      </c>
      <c r="N229" s="9">
        <f>-(Model_Data!AC229-Model_Data!F229)*Inputs!$C$12</f>
        <v>178.15091119354108</v>
      </c>
      <c r="O229" s="10"/>
      <c r="P229" s="9">
        <f>Model_Data!A229</f>
        <v>53.5</v>
      </c>
      <c r="Q229" s="9">
        <f>Model_Data!P229</f>
        <v>-451.78411265633258</v>
      </c>
      <c r="R229" s="9">
        <f>Model_Data!AM229</f>
        <v>-455.04595231805069</v>
      </c>
      <c r="S229" s="9">
        <f>Model_Data!Q229</f>
        <v>-67.835452350800693</v>
      </c>
      <c r="T229" s="9">
        <f>Model_Data!AN229</f>
        <v>-68.325218065773385</v>
      </c>
      <c r="U229" s="10"/>
      <c r="V229" s="9">
        <f>Model_Data!A229</f>
        <v>53.5</v>
      </c>
      <c r="W229" s="9">
        <f>Model_Data!B229-Inputs!$C$5</f>
        <v>3.1802777777778033</v>
      </c>
      <c r="X229" s="10"/>
      <c r="Y229" s="9">
        <f>Model_Data!A229</f>
        <v>53.5</v>
      </c>
      <c r="Z229" s="9">
        <f>0</f>
        <v>0</v>
      </c>
      <c r="AA229" s="9">
        <f>((SQRT((Inputs!$C$52+Inputs!$C$5)^2+Inputs!$C$52^2-2*(Inputs!$C$52+Inputs!$C$5)*Inputs!$C$52*COS(SQRT((Model_Data!A229)^2+Inputs!$C$6^2)/Inputs!$C$52))-Inputs!$C$5)*1000/Inputs!$C$12)</f>
        <v>3055.3776013572988</v>
      </c>
      <c r="AB229" s="9">
        <f>Model_Data!F229</f>
        <v>3036.4808966361788</v>
      </c>
    </row>
    <row r="230" spans="1:28">
      <c r="A230" s="9">
        <f>Model_Data!A230</f>
        <v>54</v>
      </c>
      <c r="B230" s="9">
        <f>0</f>
        <v>0</v>
      </c>
      <c r="C230" s="9">
        <f>((SQRT((Inputs!$C$52+Inputs!$C$5)^2+Inputs!$C$52^2-2*(Inputs!$C$52+Inputs!$C$5)*Inputs!$C$52*COS(SQRT((Model_Data!A230)^2+Inputs!$C$6^2)/Inputs!$C$52))-Inputs!$C$5)*1000/Inputs!$C$12)</f>
        <v>3102.1447021381323</v>
      </c>
      <c r="D230" s="9">
        <f>Model_Data!F230</f>
        <v>3082.6057950139202</v>
      </c>
      <c r="E230" s="9">
        <f>Model_Data!AC230</f>
        <v>2977.9303735869566</v>
      </c>
      <c r="F230" s="10"/>
      <c r="G230" s="9">
        <f>Model_Data!A230</f>
        <v>54</v>
      </c>
      <c r="H230" s="9">
        <f>Model_Data!Y230</f>
        <v>181.54184215615243</v>
      </c>
      <c r="I230" s="9">
        <f>Model_Data!Y230</f>
        <v>181.54184215615243</v>
      </c>
      <c r="J230" s="9">
        <f>Model_Data!X230</f>
        <v>-7.8528378251423838</v>
      </c>
      <c r="K230" s="9">
        <f>Model_Data!A230</f>
        <v>54</v>
      </c>
      <c r="L230" s="9">
        <f>Model_Data!Y230</f>
        <v>181.54184215615243</v>
      </c>
      <c r="M230" s="9">
        <f>Model_Data!X230</f>
        <v>-7.8528378251423838</v>
      </c>
      <c r="N230" s="9">
        <f>-(Model_Data!AC230-Model_Data!F230)*Inputs!$C$12</f>
        <v>186.32225013999516</v>
      </c>
      <c r="O230" s="10"/>
      <c r="P230" s="9">
        <f>Model_Data!A230</f>
        <v>54</v>
      </c>
      <c r="Q230" s="9">
        <f>Model_Data!P230</f>
        <v>-455.89141447326256</v>
      </c>
      <c r="R230" s="9">
        <f>Model_Data!AM230</f>
        <v>-462.89568268011863</v>
      </c>
      <c r="S230" s="9">
        <f>Model_Data!Q230</f>
        <v>-68.45216433532471</v>
      </c>
      <c r="T230" s="9">
        <f>Model_Data!AN230</f>
        <v>-69.503856258276073</v>
      </c>
      <c r="U230" s="10"/>
      <c r="V230" s="9">
        <f>Model_Data!A230</f>
        <v>54</v>
      </c>
      <c r="W230" s="9">
        <f>Model_Data!B230-Inputs!$C$5</f>
        <v>3.2400000000000091</v>
      </c>
      <c r="X230" s="10"/>
      <c r="Y230" s="9">
        <f>Model_Data!A230</f>
        <v>54</v>
      </c>
      <c r="Z230" s="9">
        <f>0</f>
        <v>0</v>
      </c>
      <c r="AA230" s="9">
        <f>((SQRT((Inputs!$C$52+Inputs!$C$5)^2+Inputs!$C$52^2-2*(Inputs!$C$52+Inputs!$C$5)*Inputs!$C$52*COS(SQRT((Model_Data!A230)^2+Inputs!$C$6^2)/Inputs!$C$52))-Inputs!$C$5)*1000/Inputs!$C$12)</f>
        <v>3102.1447021381323</v>
      </c>
      <c r="AB230" s="9">
        <f>Model_Data!F230</f>
        <v>3082.6057950139202</v>
      </c>
    </row>
    <row r="231" spans="1:28">
      <c r="A231" s="9">
        <f>Model_Data!A231</f>
        <v>54.5</v>
      </c>
      <c r="B231" s="9">
        <f>0</f>
        <v>0</v>
      </c>
      <c r="C231" s="9">
        <f>((SQRT((Inputs!$C$52+Inputs!$C$5)^2+Inputs!$C$52^2-2*(Inputs!$C$52+Inputs!$C$5)*Inputs!$C$52*COS(SQRT((Model_Data!A231)^2+Inputs!$C$6^2)/Inputs!$C$52))-Inputs!$C$5)*1000/Inputs!$C$12)</f>
        <v>3149.3369386695581</v>
      </c>
      <c r="D231" s="9">
        <f>Model_Data!F231</f>
        <v>3129.139398909123</v>
      </c>
      <c r="E231" s="9">
        <f>Model_Data!AC231</f>
        <v>3025.4702328946814</v>
      </c>
      <c r="F231" s="10"/>
      <c r="G231" s="9">
        <f>Model_Data!A231</f>
        <v>54.5</v>
      </c>
      <c r="H231" s="9">
        <f>Model_Data!Y231</f>
        <v>176.67952286622949</v>
      </c>
      <c r="I231" s="9">
        <f>Model_Data!Y231</f>
        <v>176.67952286622949</v>
      </c>
      <c r="J231" s="9">
        <f>Model_Data!X231</f>
        <v>-10.88592803052483</v>
      </c>
      <c r="K231" s="9">
        <f>Model_Data!A231</f>
        <v>54.5</v>
      </c>
      <c r="L231" s="9">
        <f>Model_Data!Y231</f>
        <v>176.67952286622949</v>
      </c>
      <c r="M231" s="9">
        <f>Model_Data!X231</f>
        <v>-10.88592803052483</v>
      </c>
      <c r="N231" s="9">
        <f>-(Model_Data!AC231-Model_Data!F231)*Inputs!$C$12</f>
        <v>184.53111550570594</v>
      </c>
      <c r="O231" s="10"/>
      <c r="P231" s="9">
        <f>Model_Data!A231</f>
        <v>54.5</v>
      </c>
      <c r="Q231" s="9">
        <f>Model_Data!P231</f>
        <v>-459.99562987453828</v>
      </c>
      <c r="R231" s="9">
        <f>Model_Data!AM231</f>
        <v>-449.19318341535472</v>
      </c>
      <c r="S231" s="9">
        <f>Model_Data!Q231</f>
        <v>-69.068412894074825</v>
      </c>
      <c r="T231" s="9">
        <f>Model_Data!AN231</f>
        <v>-67.446423936239455</v>
      </c>
      <c r="U231" s="10"/>
      <c r="V231" s="9">
        <f>Model_Data!A231</f>
        <v>54.5</v>
      </c>
      <c r="W231" s="9">
        <f>Model_Data!B231-Inputs!$C$5</f>
        <v>3.300277777777751</v>
      </c>
      <c r="X231" s="10"/>
      <c r="Y231" s="9">
        <f>Model_Data!A231</f>
        <v>54.5</v>
      </c>
      <c r="Z231" s="9">
        <f>0</f>
        <v>0</v>
      </c>
      <c r="AA231" s="9">
        <f>((SQRT((Inputs!$C$52+Inputs!$C$5)^2+Inputs!$C$52^2-2*(Inputs!$C$52+Inputs!$C$5)*Inputs!$C$52*COS(SQRT((Model_Data!A231)^2+Inputs!$C$6^2)/Inputs!$C$52))-Inputs!$C$5)*1000/Inputs!$C$12)</f>
        <v>3149.3369386695581</v>
      </c>
      <c r="AB231" s="9">
        <f>Model_Data!F231</f>
        <v>3129.139398909123</v>
      </c>
    </row>
    <row r="232" spans="1:28">
      <c r="A232" s="9">
        <f>Model_Data!A232</f>
        <v>55</v>
      </c>
      <c r="B232" s="9">
        <f>0</f>
        <v>0</v>
      </c>
      <c r="C232" s="9">
        <f>((SQRT((Inputs!$C$52+Inputs!$C$5)^2+Inputs!$C$52^2-2*(Inputs!$C$52+Inputs!$C$5)*Inputs!$C$52*COS(SQRT((Model_Data!A232)^2+Inputs!$C$6^2)/Inputs!$C$52))-Inputs!$C$5)*1000/Inputs!$C$12)</f>
        <v>3196.954042025839</v>
      </c>
      <c r="D232" s="9">
        <f>Model_Data!F232</f>
        <v>3176.081164429937</v>
      </c>
      <c r="E232" s="9">
        <f>Model_Data!AC232</f>
        <v>3070.4856030945648</v>
      </c>
      <c r="F232" s="10"/>
      <c r="G232" s="9">
        <f>Model_Data!A232</f>
        <v>55</v>
      </c>
      <c r="H232" s="9">
        <f>Model_Data!Y232</f>
        <v>188.50605986382979</v>
      </c>
      <c r="I232" s="9">
        <f>Model_Data!Y232</f>
        <v>188.50605986382979</v>
      </c>
      <c r="J232" s="9">
        <f>Model_Data!X232</f>
        <v>-2.7391578251359494</v>
      </c>
      <c r="K232" s="9">
        <f>Model_Data!A232</f>
        <v>55</v>
      </c>
      <c r="L232" s="9">
        <f>Model_Data!Y232</f>
        <v>188.50605986382979</v>
      </c>
      <c r="M232" s="9">
        <f>Model_Data!X232</f>
        <v>-2.7391578251359494</v>
      </c>
      <c r="N232" s="9">
        <f>-(Model_Data!AC232-Model_Data!F232)*Inputs!$C$12</f>
        <v>187.96009917696247</v>
      </c>
      <c r="O232" s="10"/>
      <c r="P232" s="9">
        <f>Model_Data!A232</f>
        <v>55</v>
      </c>
      <c r="Q232" s="9">
        <f>Model_Data!P232</f>
        <v>-464.09673573907639</v>
      </c>
      <c r="R232" s="9">
        <f>Model_Data!AM232</f>
        <v>-455.00982441953965</v>
      </c>
      <c r="S232" s="9">
        <f>Model_Data!Q232</f>
        <v>-69.68419455541688</v>
      </c>
      <c r="T232" s="9">
        <f>Model_Data!AN232</f>
        <v>-68.319793456387345</v>
      </c>
      <c r="U232" s="10"/>
      <c r="V232" s="9">
        <f>Model_Data!A232</f>
        <v>55</v>
      </c>
      <c r="W232" s="9">
        <f>Model_Data!B232-Inputs!$C$5</f>
        <v>3.3611111111110858</v>
      </c>
      <c r="X232" s="10"/>
      <c r="Y232" s="9">
        <f>Model_Data!A232</f>
        <v>55</v>
      </c>
      <c r="Z232" s="9">
        <f>0</f>
        <v>0</v>
      </c>
      <c r="AA232" s="9">
        <f>((SQRT((Inputs!$C$52+Inputs!$C$5)^2+Inputs!$C$52^2-2*(Inputs!$C$52+Inputs!$C$5)*Inputs!$C$52*COS(SQRT((Model_Data!A232)^2+Inputs!$C$6^2)/Inputs!$C$52))-Inputs!$C$5)*1000/Inputs!$C$12)</f>
        <v>3196.954042025839</v>
      </c>
      <c r="AB232" s="9">
        <f>Model_Data!F232</f>
        <v>3176.081164429937</v>
      </c>
    </row>
    <row r="233" spans="1:28">
      <c r="A233" s="9">
        <f>Model_Data!A233</f>
        <v>55.5</v>
      </c>
      <c r="B233" s="9">
        <f>0</f>
        <v>0</v>
      </c>
      <c r="C233" s="9">
        <f>((SQRT((Inputs!$C$52+Inputs!$C$5)^2+Inputs!$C$52^2-2*(Inputs!$C$52+Inputs!$C$5)*Inputs!$C$52*COS(SQRT((Model_Data!A233)^2+Inputs!$C$6^2)/Inputs!$C$52))-Inputs!$C$5)*1000/Inputs!$C$12)</f>
        <v>3244.9957410837319</v>
      </c>
      <c r="D233" s="9">
        <f>Model_Data!F233</f>
        <v>3223.4305436364602</v>
      </c>
      <c r="E233" s="9">
        <f>Model_Data!AC233</f>
        <v>3119.0133518780485</v>
      </c>
      <c r="F233" s="10"/>
      <c r="G233" s="9">
        <f>Model_Data!A233</f>
        <v>55.5</v>
      </c>
      <c r="H233" s="9">
        <f>Model_Data!Y233</f>
        <v>182.552269274569</v>
      </c>
      <c r="I233" s="9">
        <f>Model_Data!Y233</f>
        <v>182.552269274569</v>
      </c>
      <c r="J233" s="9">
        <f>Model_Data!X233</f>
        <v>-6.5380942800848239</v>
      </c>
      <c r="K233" s="9">
        <f>Model_Data!A233</f>
        <v>55.5</v>
      </c>
      <c r="L233" s="9">
        <f>Model_Data!Y233</f>
        <v>182.552269274569</v>
      </c>
      <c r="M233" s="9">
        <f>Model_Data!X233</f>
        <v>-6.5380942800848239</v>
      </c>
      <c r="N233" s="9">
        <f>-(Model_Data!AC233-Model_Data!F233)*Inputs!$C$12</f>
        <v>185.86260132997285</v>
      </c>
      <c r="O233" s="10"/>
      <c r="P233" s="9">
        <f>Model_Data!A233</f>
        <v>55.5</v>
      </c>
      <c r="Q233" s="9">
        <f>Model_Data!P233</f>
        <v>-468.1947090801259</v>
      </c>
      <c r="R233" s="9">
        <f>Model_Data!AM233</f>
        <v>-470.86624457688231</v>
      </c>
      <c r="S233" s="9">
        <f>Model_Data!Q233</f>
        <v>-70.299505867886779</v>
      </c>
      <c r="T233" s="9">
        <f>Model_Data!AN233</f>
        <v>-70.700637323856213</v>
      </c>
      <c r="U233" s="10"/>
      <c r="V233" s="9">
        <f>Model_Data!A233</f>
        <v>55.5</v>
      </c>
      <c r="W233" s="9">
        <f>Model_Data!B233-Inputs!$C$5</f>
        <v>3.4225000000000136</v>
      </c>
      <c r="X233" s="10"/>
      <c r="Y233" s="9">
        <f>Model_Data!A233</f>
        <v>55.5</v>
      </c>
      <c r="Z233" s="9">
        <f>0</f>
        <v>0</v>
      </c>
      <c r="AA233" s="9">
        <f>((SQRT((Inputs!$C$52+Inputs!$C$5)^2+Inputs!$C$52^2-2*(Inputs!$C$52+Inputs!$C$5)*Inputs!$C$52*COS(SQRT((Model_Data!A233)^2+Inputs!$C$6^2)/Inputs!$C$52))-Inputs!$C$5)*1000/Inputs!$C$12)</f>
        <v>3244.9957410837319</v>
      </c>
      <c r="AB233" s="9">
        <f>Model_Data!F233</f>
        <v>3223.4305436364602</v>
      </c>
    </row>
    <row r="234" spans="1:28">
      <c r="A234" s="9">
        <f>Model_Data!A234</f>
        <v>56</v>
      </c>
      <c r="B234" s="9">
        <f>0</f>
        <v>0</v>
      </c>
      <c r="C234" s="9">
        <f>((SQRT((Inputs!$C$52+Inputs!$C$5)^2+Inputs!$C$52^2-2*(Inputs!$C$52+Inputs!$C$5)*Inputs!$C$52*COS(SQRT((Model_Data!A234)^2+Inputs!$C$6^2)/Inputs!$C$52))-Inputs!$C$5)*1000/Inputs!$C$12)</f>
        <v>3293.4617625296032</v>
      </c>
      <c r="D234" s="9">
        <f>Model_Data!F234</f>
        <v>3271.1869845657479</v>
      </c>
      <c r="E234" s="9">
        <f>Model_Data!AC234</f>
        <v>3165.6203992601249</v>
      </c>
      <c r="F234" s="10"/>
      <c r="G234" s="9">
        <f>Model_Data!A234</f>
        <v>56</v>
      </c>
      <c r="H234" s="9">
        <f>Model_Data!Y234</f>
        <v>186.90390563134164</v>
      </c>
      <c r="I234" s="9">
        <f>Model_Data!Y234</f>
        <v>186.90390563134164</v>
      </c>
      <c r="J234" s="9">
        <f>Model_Data!X234</f>
        <v>-4.3572901776696842</v>
      </c>
      <c r="K234" s="9">
        <f>Model_Data!A234</f>
        <v>56</v>
      </c>
      <c r="L234" s="9">
        <f>Model_Data!Y234</f>
        <v>186.90390563134164</v>
      </c>
      <c r="M234" s="9">
        <f>Model_Data!X234</f>
        <v>-4.3572901776696842</v>
      </c>
      <c r="N234" s="9">
        <f>-(Model_Data!AC234-Model_Data!F234)*Inputs!$C$12</f>
        <v>187.90852184400893</v>
      </c>
      <c r="O234" s="10"/>
      <c r="P234" s="9">
        <f>Model_Data!A234</f>
        <v>56</v>
      </c>
      <c r="Q234" s="9">
        <f>Model_Data!P234</f>
        <v>-472.28952705690972</v>
      </c>
      <c r="R234" s="9">
        <f>Model_Data!AM234</f>
        <v>-460.62955620191133</v>
      </c>
      <c r="S234" s="9">
        <f>Model_Data!Q234</f>
        <v>-70.914343401938396</v>
      </c>
      <c r="T234" s="9">
        <f>Model_Data!AN234</f>
        <v>-69.163597027314026</v>
      </c>
      <c r="U234" s="10"/>
      <c r="V234" s="9">
        <f>Model_Data!A234</f>
        <v>56</v>
      </c>
      <c r="W234" s="9">
        <f>Model_Data!B234-Inputs!$C$5</f>
        <v>3.4844444444444207</v>
      </c>
      <c r="X234" s="10"/>
      <c r="Y234" s="9">
        <f>Model_Data!A234</f>
        <v>56</v>
      </c>
      <c r="Z234" s="9">
        <f>0</f>
        <v>0</v>
      </c>
      <c r="AA234" s="9">
        <f>((SQRT((Inputs!$C$52+Inputs!$C$5)^2+Inputs!$C$52^2-2*(Inputs!$C$52+Inputs!$C$5)*Inputs!$C$52*COS(SQRT((Model_Data!A234)^2+Inputs!$C$6^2)/Inputs!$C$52))-Inputs!$C$5)*1000/Inputs!$C$12)</f>
        <v>3293.4617625296032</v>
      </c>
      <c r="AB234" s="9">
        <f>Model_Data!F234</f>
        <v>3271.1869845657479</v>
      </c>
    </row>
    <row r="235" spans="1:28">
      <c r="A235" s="9">
        <f>Model_Data!A235</f>
        <v>56.5</v>
      </c>
      <c r="B235" s="9">
        <f>0</f>
        <v>0</v>
      </c>
      <c r="C235" s="9">
        <f>((SQRT((Inputs!$C$52+Inputs!$C$5)^2+Inputs!$C$52^2-2*(Inputs!$C$52+Inputs!$C$5)*Inputs!$C$52*COS(SQRT((Model_Data!A235)^2+Inputs!$C$6^2)/Inputs!$C$52))-Inputs!$C$5)*1000/Inputs!$C$12)</f>
        <v>3342.3518308690136</v>
      </c>
      <c r="D235" s="9">
        <f>Model_Data!F235</f>
        <v>3319.3499312578997</v>
      </c>
      <c r="E235" s="9">
        <f>Model_Data!AC235</f>
        <v>3226.7114178873894</v>
      </c>
      <c r="F235" s="10"/>
      <c r="G235" s="9">
        <f>Model_Data!A235</f>
        <v>56.5</v>
      </c>
      <c r="H235" s="9">
        <f>Model_Data!Y235</f>
        <v>190.07062484954076</v>
      </c>
      <c r="I235" s="9">
        <f>Model_Data!Y235</f>
        <v>190.07062484954076</v>
      </c>
      <c r="J235" s="9">
        <f>Model_Data!X235</f>
        <v>21.715435034758002</v>
      </c>
      <c r="K235" s="9">
        <f>Model_Data!A235</f>
        <v>56.5</v>
      </c>
      <c r="L235" s="9">
        <f>Model_Data!Y235</f>
        <v>190.07062484954076</v>
      </c>
      <c r="M235" s="9">
        <f>Model_Data!X235</f>
        <v>21.715435034758002</v>
      </c>
      <c r="N235" s="9">
        <f>-(Model_Data!AC235-Model_Data!F235)*Inputs!$C$12</f>
        <v>164.8965537995083</v>
      </c>
      <c r="O235" s="10"/>
      <c r="P235" s="9">
        <f>Model_Data!A235</f>
        <v>56.5</v>
      </c>
      <c r="Q235" s="9">
        <f>Model_Data!P235</f>
        <v>-476.38116695534336</v>
      </c>
      <c r="R235" s="9">
        <f>Model_Data!AM235</f>
        <v>-454.89450199102066</v>
      </c>
      <c r="S235" s="9">
        <f>Model_Data!Q235</f>
        <v>-71.528703747048553</v>
      </c>
      <c r="T235" s="9">
        <f>Model_Data!AN235</f>
        <v>-68.302477776429541</v>
      </c>
      <c r="U235" s="10"/>
      <c r="V235" s="9">
        <f>Model_Data!A235</f>
        <v>56.5</v>
      </c>
      <c r="W235" s="9">
        <f>Model_Data!B235-Inputs!$C$5</f>
        <v>3.5469444444444207</v>
      </c>
      <c r="X235" s="10"/>
      <c r="Y235" s="9">
        <f>Model_Data!A235</f>
        <v>56.5</v>
      </c>
      <c r="Z235" s="9">
        <f>0</f>
        <v>0</v>
      </c>
      <c r="AA235" s="9">
        <f>((SQRT((Inputs!$C$52+Inputs!$C$5)^2+Inputs!$C$52^2-2*(Inputs!$C$52+Inputs!$C$5)*Inputs!$C$52*COS(SQRT((Model_Data!A235)^2+Inputs!$C$6^2)/Inputs!$C$52))-Inputs!$C$5)*1000/Inputs!$C$12)</f>
        <v>3342.3518308690136</v>
      </c>
      <c r="AB235" s="9">
        <f>Model_Data!F235</f>
        <v>3319.3499312578997</v>
      </c>
    </row>
    <row r="236" spans="1:28">
      <c r="A236" s="9">
        <f>Model_Data!A236</f>
        <v>57</v>
      </c>
      <c r="B236" s="9">
        <f>0</f>
        <v>0</v>
      </c>
      <c r="C236" s="9">
        <f>((SQRT((Inputs!$C$52+Inputs!$C$5)^2+Inputs!$C$52^2-2*(Inputs!$C$52+Inputs!$C$5)*Inputs!$C$52*COS(SQRT((Model_Data!A236)^2+Inputs!$C$6^2)/Inputs!$C$52))-Inputs!$C$5)*1000/Inputs!$C$12)</f>
        <v>3391.6656684345407</v>
      </c>
      <c r="D236" s="9">
        <f>Model_Data!F236</f>
        <v>3367.9188237744538</v>
      </c>
      <c r="E236" s="9">
        <f>Model_Data!AC236</f>
        <v>3267.6003819123448</v>
      </c>
      <c r="F236" s="10"/>
      <c r="G236" s="9">
        <f>Model_Data!A236</f>
        <v>57</v>
      </c>
      <c r="H236" s="9">
        <f>Model_Data!Y236</f>
        <v>200.68454527158707</v>
      </c>
      <c r="I236" s="9">
        <f>Model_Data!Y236</f>
        <v>200.68454527158707</v>
      </c>
      <c r="J236" s="9">
        <f>Model_Data!X236</f>
        <v>18.4135707545088</v>
      </c>
      <c r="K236" s="9">
        <f>Model_Data!A236</f>
        <v>57</v>
      </c>
      <c r="L236" s="9">
        <f>Model_Data!Y236</f>
        <v>200.68454527158707</v>
      </c>
      <c r="M236" s="9">
        <f>Model_Data!X236</f>
        <v>18.4135707545088</v>
      </c>
      <c r="N236" s="9">
        <f>-(Model_Data!AC236-Model_Data!F236)*Inputs!$C$12</f>
        <v>178.56682651455404</v>
      </c>
      <c r="O236" s="10"/>
      <c r="P236" s="9">
        <f>Model_Data!A236</f>
        <v>57</v>
      </c>
      <c r="Q236" s="9">
        <f>Model_Data!P236</f>
        <v>-480.46960621077233</v>
      </c>
      <c r="R236" s="9">
        <f>Model_Data!AM236</f>
        <v>-499.14395786781824</v>
      </c>
      <c r="S236" s="9">
        <f>Model_Data!Q236</f>
        <v>-72.14258351513098</v>
      </c>
      <c r="T236" s="9">
        <f>Model_Data!AN236</f>
        <v>-74.946540220393132</v>
      </c>
      <c r="U236" s="10"/>
      <c r="V236" s="9">
        <f>Model_Data!A236</f>
        <v>57</v>
      </c>
      <c r="W236" s="9">
        <f>Model_Data!B236-Inputs!$C$5</f>
        <v>3.6100000000000136</v>
      </c>
      <c r="X236" s="10"/>
      <c r="Y236" s="9">
        <f>Model_Data!A236</f>
        <v>57</v>
      </c>
      <c r="Z236" s="9">
        <f>0</f>
        <v>0</v>
      </c>
      <c r="AA236" s="9">
        <f>((SQRT((Inputs!$C$52+Inputs!$C$5)^2+Inputs!$C$52^2-2*(Inputs!$C$52+Inputs!$C$5)*Inputs!$C$52*COS(SQRT((Model_Data!A236)^2+Inputs!$C$6^2)/Inputs!$C$52))-Inputs!$C$5)*1000/Inputs!$C$12)</f>
        <v>3391.6656684345407</v>
      </c>
      <c r="AB236" s="9">
        <f>Model_Data!F236</f>
        <v>3367.9188237744538</v>
      </c>
    </row>
    <row r="237" spans="1:28">
      <c r="A237" s="9">
        <f>Model_Data!A237</f>
        <v>57.5</v>
      </c>
      <c r="B237" s="9">
        <f>0</f>
        <v>0</v>
      </c>
      <c r="C237" s="9">
        <f>((SQRT((Inputs!$C$52+Inputs!$C$5)^2+Inputs!$C$52^2-2*(Inputs!$C$52+Inputs!$C$5)*Inputs!$C$52*COS(SQRT((Model_Data!A237)^2+Inputs!$C$6^2)/Inputs!$C$52))-Inputs!$C$5)*1000/Inputs!$C$12)</f>
        <v>3441.4029953902796</v>
      </c>
      <c r="D237" s="9">
        <f>Model_Data!F237</f>
        <v>3416.8930982326565</v>
      </c>
      <c r="E237" s="9">
        <f>Model_Data!AC237</f>
        <v>3333.2011078812866</v>
      </c>
      <c r="F237" s="10"/>
      <c r="G237" s="9">
        <f>Model_Data!A237</f>
        <v>57.5</v>
      </c>
      <c r="H237" s="9">
        <f>Model_Data!Y237</f>
        <v>178.27771269066969</v>
      </c>
      <c r="I237" s="9">
        <f>Model_Data!Y237</f>
        <v>178.27771269066969</v>
      </c>
      <c r="J237" s="9">
        <f>Model_Data!X237</f>
        <v>25.968776223167485</v>
      </c>
      <c r="K237" s="9">
        <f>Model_Data!A237</f>
        <v>57.5</v>
      </c>
      <c r="L237" s="9">
        <f>Model_Data!Y237</f>
        <v>178.27771269066969</v>
      </c>
      <c r="M237" s="9">
        <f>Model_Data!X237</f>
        <v>25.968776223167485</v>
      </c>
      <c r="N237" s="9">
        <f>-(Model_Data!AC237-Model_Data!F237)*Inputs!$C$12</f>
        <v>148.97174282543841</v>
      </c>
      <c r="O237" s="10"/>
      <c r="P237" s="9">
        <f>Model_Data!A237</f>
        <v>57.5</v>
      </c>
      <c r="Q237" s="9">
        <f>Model_Data!P237</f>
        <v>-484.55482240278798</v>
      </c>
      <c r="R237" s="9">
        <f>Model_Data!AM237</f>
        <v>-494.38777510722502</v>
      </c>
      <c r="S237" s="9">
        <f>Model_Data!Q237</f>
        <v>-72.755979339757957</v>
      </c>
      <c r="T237" s="9">
        <f>Model_Data!AN237</f>
        <v>-74.232398664748501</v>
      </c>
      <c r="U237" s="10"/>
      <c r="V237" s="9">
        <f>Model_Data!A237</f>
        <v>57.5</v>
      </c>
      <c r="W237" s="9">
        <f>Model_Data!B237-Inputs!$C$5</f>
        <v>3.6736111111110858</v>
      </c>
      <c r="X237" s="10"/>
      <c r="Y237" s="9">
        <f>Model_Data!A237</f>
        <v>57.5</v>
      </c>
      <c r="Z237" s="9">
        <f>0</f>
        <v>0</v>
      </c>
      <c r="AA237" s="9">
        <f>((SQRT((Inputs!$C$52+Inputs!$C$5)^2+Inputs!$C$52^2-2*(Inputs!$C$52+Inputs!$C$5)*Inputs!$C$52*COS(SQRT((Model_Data!A237)^2+Inputs!$C$6^2)/Inputs!$C$52))-Inputs!$C$5)*1000/Inputs!$C$12)</f>
        <v>3441.4029953902796</v>
      </c>
      <c r="AB237" s="9">
        <f>Model_Data!F237</f>
        <v>3416.8930982326565</v>
      </c>
    </row>
    <row r="238" spans="1:28">
      <c r="A238" s="9">
        <f>Model_Data!A238</f>
        <v>58</v>
      </c>
      <c r="B238" s="9">
        <f>0</f>
        <v>0</v>
      </c>
      <c r="C238" s="9">
        <f>((SQRT((Inputs!$C$52+Inputs!$C$5)^2+Inputs!$C$52^2-2*(Inputs!$C$52+Inputs!$C$5)*Inputs!$C$52*COS(SQRT((Model_Data!A238)^2+Inputs!$C$6^2)/Inputs!$C$52))-Inputs!$C$5)*1000/Inputs!$C$12)</f>
        <v>3491.5635297411068</v>
      </c>
      <c r="D238" s="9">
        <f>Model_Data!F238</f>
        <v>3466.2721868216477</v>
      </c>
      <c r="E238" s="9">
        <f>Model_Data!AC238</f>
        <v>3375.9549847342842</v>
      </c>
      <c r="F238" s="10"/>
      <c r="G238" s="9">
        <f>Model_Data!A238</f>
        <v>58</v>
      </c>
      <c r="H238" s="9">
        <f>Model_Data!Y238</f>
        <v>194.52778179385766</v>
      </c>
      <c r="I238" s="9">
        <f>Model_Data!Y238</f>
        <v>194.52778179385766</v>
      </c>
      <c r="J238" s="9">
        <f>Model_Data!X238</f>
        <v>30.070182113253747</v>
      </c>
      <c r="K238" s="9">
        <f>Model_Data!A238</f>
        <v>58</v>
      </c>
      <c r="L238" s="9">
        <f>Model_Data!Y238</f>
        <v>194.52778179385766</v>
      </c>
      <c r="M238" s="9">
        <f>Model_Data!X238</f>
        <v>30.070182113253747</v>
      </c>
      <c r="N238" s="9">
        <f>-(Model_Data!AC238-Model_Data!F238)*Inputs!$C$12</f>
        <v>160.76461971550705</v>
      </c>
      <c r="O238" s="10"/>
      <c r="P238" s="9">
        <f>Model_Data!A238</f>
        <v>58</v>
      </c>
      <c r="Q238" s="9">
        <f>Model_Data!P238</f>
        <v>-488.63679323794713</v>
      </c>
      <c r="R238" s="9">
        <f>Model_Data!AM238</f>
        <v>-473.01087533796817</v>
      </c>
      <c r="S238" s="9">
        <f>Model_Data!Q238</f>
        <v>-73.36888787356564</v>
      </c>
      <c r="T238" s="9">
        <f>Model_Data!AN238</f>
        <v>-71.022653954649883</v>
      </c>
      <c r="U238" s="10"/>
      <c r="V238" s="9">
        <f>Model_Data!A238</f>
        <v>58</v>
      </c>
      <c r="W238" s="9">
        <f>Model_Data!B238-Inputs!$C$5</f>
        <v>3.737777777777751</v>
      </c>
      <c r="X238" s="10"/>
      <c r="Y238" s="9">
        <f>Model_Data!A238</f>
        <v>58</v>
      </c>
      <c r="Z238" s="9">
        <f>0</f>
        <v>0</v>
      </c>
      <c r="AA238" s="9">
        <f>((SQRT((Inputs!$C$52+Inputs!$C$5)^2+Inputs!$C$52^2-2*(Inputs!$C$52+Inputs!$C$5)*Inputs!$C$52*COS(SQRT((Model_Data!A238)^2+Inputs!$C$6^2)/Inputs!$C$52))-Inputs!$C$5)*1000/Inputs!$C$12)</f>
        <v>3491.5635297411068</v>
      </c>
      <c r="AB238" s="9">
        <f>Model_Data!F238</f>
        <v>3466.2721868216477</v>
      </c>
    </row>
    <row r="239" spans="1:28">
      <c r="A239" s="9">
        <f>Model_Data!A239</f>
        <v>58.5</v>
      </c>
      <c r="B239" s="9">
        <f>0</f>
        <v>0</v>
      </c>
      <c r="C239" s="9">
        <f>((SQRT((Inputs!$C$52+Inputs!$C$5)^2+Inputs!$C$52^2-2*(Inputs!$C$52+Inputs!$C$5)*Inputs!$C$52*COS(SQRT((Model_Data!A239)^2+Inputs!$C$6^2)/Inputs!$C$52))-Inputs!$C$5)*1000/Inputs!$C$12)</f>
        <v>3542.1469873423243</v>
      </c>
      <c r="D239" s="9">
        <f>Model_Data!F239</f>
        <v>3516.055517830855</v>
      </c>
      <c r="E239" s="9">
        <f>Model_Data!AC239</f>
        <v>3428.2569671465731</v>
      </c>
      <c r="F239" s="10"/>
      <c r="G239" s="9">
        <f>Model_Data!A239</f>
        <v>58.5</v>
      </c>
      <c r="H239" s="9">
        <f>Model_Data!Y239</f>
        <v>188.33221875951745</v>
      </c>
      <c r="I239" s="9">
        <f>Model_Data!Y239</f>
        <v>188.33221875951745</v>
      </c>
      <c r="J239" s="9">
        <f>Model_Data!X239</f>
        <v>28.425297518081656</v>
      </c>
      <c r="K239" s="9">
        <f>Model_Data!A239</f>
        <v>58.5</v>
      </c>
      <c r="L239" s="9">
        <f>Model_Data!Y239</f>
        <v>188.33221875951745</v>
      </c>
      <c r="M239" s="9">
        <f>Model_Data!X239</f>
        <v>28.425297518081656</v>
      </c>
      <c r="N239" s="9">
        <f>-(Model_Data!AC239-Model_Data!F239)*Inputs!$C$12</f>
        <v>156.28142021802191</v>
      </c>
      <c r="O239" s="10"/>
      <c r="P239" s="9">
        <f>Model_Data!A239</f>
        <v>58.5</v>
      </c>
      <c r="Q239" s="9">
        <f>Model_Data!P239</f>
        <v>-492.71549658133154</v>
      </c>
      <c r="R239" s="9">
        <f>Model_Data!AM239</f>
        <v>-494.11679295681097</v>
      </c>
      <c r="S239" s="9">
        <f>Model_Data!Q239</f>
        <v>-73.981305792992728</v>
      </c>
      <c r="T239" s="9">
        <f>Model_Data!AN239</f>
        <v>-74.191710654175822</v>
      </c>
      <c r="U239" s="10"/>
      <c r="V239" s="9">
        <f>Model_Data!A239</f>
        <v>58.5</v>
      </c>
      <c r="W239" s="9">
        <f>Model_Data!B239-Inputs!$C$5</f>
        <v>3.8025000000000091</v>
      </c>
      <c r="X239" s="10"/>
      <c r="Y239" s="9">
        <f>Model_Data!A239</f>
        <v>58.5</v>
      </c>
      <c r="Z239" s="9">
        <f>0</f>
        <v>0</v>
      </c>
      <c r="AA239" s="9">
        <f>((SQRT((Inputs!$C$52+Inputs!$C$5)^2+Inputs!$C$52^2-2*(Inputs!$C$52+Inputs!$C$5)*Inputs!$C$52*COS(SQRT((Model_Data!A239)^2+Inputs!$C$6^2)/Inputs!$C$52))-Inputs!$C$5)*1000/Inputs!$C$12)</f>
        <v>3542.1469873423243</v>
      </c>
      <c r="AB239" s="9">
        <f>Model_Data!F239</f>
        <v>3516.055517830855</v>
      </c>
    </row>
    <row r="240" spans="1:28">
      <c r="A240" s="9">
        <f>Model_Data!A240</f>
        <v>59</v>
      </c>
      <c r="B240" s="9">
        <f>0</f>
        <v>0</v>
      </c>
      <c r="C240" s="9">
        <f>((SQRT((Inputs!$C$52+Inputs!$C$5)^2+Inputs!$C$52^2-2*(Inputs!$C$52+Inputs!$C$5)*Inputs!$C$52*COS(SQRT((Model_Data!A240)^2+Inputs!$C$6^2)/Inputs!$C$52))-Inputs!$C$5)*1000/Inputs!$C$12)</f>
        <v>3593.153081902788</v>
      </c>
      <c r="D240" s="9">
        <f>Model_Data!F240</f>
        <v>3566.2425156774229</v>
      </c>
      <c r="E240" s="9">
        <f>Model_Data!AC240</f>
        <v>3473.9548884925343</v>
      </c>
      <c r="F240" s="10"/>
      <c r="G240" s="9">
        <f>Model_Data!A240</f>
        <v>59</v>
      </c>
      <c r="H240" s="9">
        <f>Model_Data!Y240</f>
        <v>193.74067782731254</v>
      </c>
      <c r="I240" s="9">
        <f>Model_Data!Y240</f>
        <v>193.74067782731254</v>
      </c>
      <c r="J240" s="9">
        <f>Model_Data!X240</f>
        <v>25.687015204981627</v>
      </c>
      <c r="K240" s="9">
        <f>Model_Data!A240</f>
        <v>59</v>
      </c>
      <c r="L240" s="9">
        <f>Model_Data!Y240</f>
        <v>193.74067782731254</v>
      </c>
      <c r="M240" s="9">
        <f>Model_Data!X240</f>
        <v>25.687015204981627</v>
      </c>
      <c r="N240" s="9">
        <f>-(Model_Data!AC240-Model_Data!F240)*Inputs!$C$12</f>
        <v>164.27197638910172</v>
      </c>
      <c r="O240" s="10"/>
      <c r="P240" s="9">
        <f>Model_Data!A240</f>
        <v>59</v>
      </c>
      <c r="Q240" s="9">
        <f>Model_Data!P240</f>
        <v>-496.79091042789878</v>
      </c>
      <c r="R240" s="9">
        <f>Model_Data!AM240</f>
        <v>-527.30541229520895</v>
      </c>
      <c r="S240" s="9">
        <f>Model_Data!Q240</f>
        <v>-74.593229793978807</v>
      </c>
      <c r="T240" s="9">
        <f>Model_Data!AN240</f>
        <v>-79.174986831112463</v>
      </c>
      <c r="U240" s="10"/>
      <c r="V240" s="9">
        <f>Model_Data!A240</f>
        <v>59</v>
      </c>
      <c r="W240" s="9">
        <f>Model_Data!B240-Inputs!$C$5</f>
        <v>3.8677777777778033</v>
      </c>
      <c r="X240" s="10"/>
      <c r="Y240" s="9">
        <f>Model_Data!A240</f>
        <v>59</v>
      </c>
      <c r="Z240" s="9">
        <f>0</f>
        <v>0</v>
      </c>
      <c r="AA240" s="9">
        <f>((SQRT((Inputs!$C$52+Inputs!$C$5)^2+Inputs!$C$52^2-2*(Inputs!$C$52+Inputs!$C$5)*Inputs!$C$52*COS(SQRT((Model_Data!A240)^2+Inputs!$C$6^2)/Inputs!$C$52))-Inputs!$C$5)*1000/Inputs!$C$12)</f>
        <v>3593.153081902788</v>
      </c>
      <c r="AB240" s="9">
        <f>Model_Data!F240</f>
        <v>3566.2425156774229</v>
      </c>
    </row>
    <row r="241" spans="1:28">
      <c r="A241" s="9">
        <f>Model_Data!A241</f>
        <v>59.5</v>
      </c>
      <c r="B241" s="9">
        <f>0</f>
        <v>0</v>
      </c>
      <c r="C241" s="9">
        <f>((SQRT((Inputs!$C$52+Inputs!$C$5)^2+Inputs!$C$52^2-2*(Inputs!$C$52+Inputs!$C$5)*Inputs!$C$52*COS(SQRT((Model_Data!A241)^2+Inputs!$C$6^2)/Inputs!$C$52))-Inputs!$C$5)*1000/Inputs!$C$12)</f>
        <v>3644.5815249950929</v>
      </c>
      <c r="D241" s="9">
        <f>Model_Data!F241</f>
        <v>3616.8326009242887</v>
      </c>
      <c r="E241" s="9">
        <f>Model_Data!AC241</f>
        <v>3549.4429509300744</v>
      </c>
      <c r="F241" s="10"/>
      <c r="G241" s="9">
        <f>Model_Data!A241</f>
        <v>59.5</v>
      </c>
      <c r="H241" s="9">
        <f>Model_Data!Y241</f>
        <v>168.97901642333537</v>
      </c>
      <c r="I241" s="9">
        <f>Model_Data!Y241</f>
        <v>168.97901642333537</v>
      </c>
      <c r="J241" s="9">
        <f>Model_Data!X241</f>
        <v>45.681577079315673</v>
      </c>
      <c r="K241" s="9">
        <f>Model_Data!A241</f>
        <v>59.5</v>
      </c>
      <c r="L241" s="9">
        <f>Model_Data!Y241</f>
        <v>168.97901642333537</v>
      </c>
      <c r="M241" s="9">
        <f>Model_Data!X241</f>
        <v>45.681577079315673</v>
      </c>
      <c r="N241" s="9">
        <f>-(Model_Data!AC241-Model_Data!F241)*Inputs!$C$12</f>
        <v>119.9535769897015</v>
      </c>
      <c r="O241" s="10"/>
      <c r="P241" s="9">
        <f>Model_Data!A241</f>
        <v>59.5</v>
      </c>
      <c r="Q241" s="9">
        <f>Model_Data!P241</f>
        <v>-500.86301291985365</v>
      </c>
      <c r="R241" s="9">
        <f>Model_Data!AM241</f>
        <v>-523.59581887167224</v>
      </c>
      <c r="S241" s="9">
        <f>Model_Data!Q241</f>
        <v>-75.204656594572626</v>
      </c>
      <c r="T241" s="9">
        <f>Model_Data!AN241</f>
        <v>-78.61799082157242</v>
      </c>
      <c r="U241" s="10"/>
      <c r="V241" s="9">
        <f>Model_Data!A241</f>
        <v>59.5</v>
      </c>
      <c r="W241" s="9">
        <f>Model_Data!B241-Inputs!$C$5</f>
        <v>3.9336111111111336</v>
      </c>
      <c r="X241" s="10"/>
      <c r="Y241" s="9">
        <f>Model_Data!A241</f>
        <v>59.5</v>
      </c>
      <c r="Z241" s="9">
        <f>0</f>
        <v>0</v>
      </c>
      <c r="AA241" s="9">
        <f>((SQRT((Inputs!$C$52+Inputs!$C$5)^2+Inputs!$C$52^2-2*(Inputs!$C$52+Inputs!$C$5)*Inputs!$C$52*COS(SQRT((Model_Data!A241)^2+Inputs!$C$6^2)/Inputs!$C$52))-Inputs!$C$5)*1000/Inputs!$C$12)</f>
        <v>3644.5815249950929</v>
      </c>
      <c r="AB241" s="9">
        <f>Model_Data!F241</f>
        <v>3616.8326009242887</v>
      </c>
    </row>
    <row r="242" spans="1:28">
      <c r="A242" s="9">
        <f>Model_Data!A242</f>
        <v>60</v>
      </c>
      <c r="B242" s="9">
        <f>0</f>
        <v>0</v>
      </c>
      <c r="C242" s="9">
        <f>((SQRT((Inputs!$C$52+Inputs!$C$5)^2+Inputs!$C$52^2-2*(Inputs!$C$52+Inputs!$C$5)*Inputs!$C$52*COS(SQRT((Model_Data!A242)^2+Inputs!$C$6^2)/Inputs!$C$52))-Inputs!$C$5)*1000/Inputs!$C$12)</f>
        <v>3696.4320260658292</v>
      </c>
      <c r="D242" s="9">
        <f>Model_Data!F242</f>
        <v>3667.825190313778</v>
      </c>
      <c r="E242" s="9">
        <f>Model_Data!AC242</f>
        <v>3587.0067313446521</v>
      </c>
      <c r="F242" s="10"/>
      <c r="G242" s="9">
        <f>Model_Data!A242</f>
        <v>60</v>
      </c>
      <c r="H242" s="9">
        <f>Model_Data!Y242</f>
        <v>179.34901119414707</v>
      </c>
      <c r="I242" s="9">
        <f>Model_Data!Y242</f>
        <v>179.34901119414707</v>
      </c>
      <c r="J242" s="9">
        <f>Model_Data!X242</f>
        <v>31.89413090916895</v>
      </c>
      <c r="K242" s="9">
        <f>Model_Data!A242</f>
        <v>60</v>
      </c>
      <c r="L242" s="9">
        <f>Model_Data!Y242</f>
        <v>179.34901119414707</v>
      </c>
      <c r="M242" s="9">
        <f>Model_Data!X242</f>
        <v>31.89413090916895</v>
      </c>
      <c r="N242" s="9">
        <f>-(Model_Data!AC242-Model_Data!F242)*Inputs!$C$12</f>
        <v>143.85685696504413</v>
      </c>
      <c r="O242" s="10"/>
      <c r="P242" s="9">
        <f>Model_Data!A242</f>
        <v>60</v>
      </c>
      <c r="Q242" s="9">
        <f>Model_Data!P242</f>
        <v>-502.89823360690207</v>
      </c>
      <c r="R242" s="9">
        <f>Model_Data!AM242</f>
        <v>-470.52756543034775</v>
      </c>
      <c r="S242" s="9">
        <f>Model_Data!Q242</f>
        <v>-75.510245286321634</v>
      </c>
      <c r="T242" s="9">
        <f>Model_Data!AN242</f>
        <v>-70.649784599151317</v>
      </c>
      <c r="U242" s="10"/>
      <c r="V242" s="9">
        <f>Model_Data!A242</f>
        <v>60</v>
      </c>
      <c r="W242" s="9">
        <f>Model_Data!B242-Inputs!$C$5</f>
        <v>4</v>
      </c>
      <c r="X242" s="10"/>
      <c r="Y242" s="9">
        <f>Model_Data!A242</f>
        <v>60</v>
      </c>
      <c r="Z242" s="9">
        <f>0</f>
        <v>0</v>
      </c>
      <c r="AA242" s="9">
        <f>((SQRT((Inputs!$C$52+Inputs!$C$5)^2+Inputs!$C$52^2-2*(Inputs!$C$52+Inputs!$C$5)*Inputs!$C$52*COS(SQRT((Model_Data!A242)^2+Inputs!$C$6^2)/Inputs!$C$52))-Inputs!$C$5)*1000/Inputs!$C$12)</f>
        <v>3696.4320260658292</v>
      </c>
      <c r="AB242" s="9">
        <f>Model_Data!F242</f>
        <v>3667.825190313778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J242"/>
  <sheetViews>
    <sheetView showGridLines="0" workbookViewId="0"/>
  </sheetViews>
  <sheetFormatPr defaultRowHeight="13.8"/>
  <cols>
    <col min="1" max="1" width="12" customWidth="1"/>
    <col min="2" max="2" width="24" customWidth="1"/>
    <col min="3" max="4" width="30" customWidth="1"/>
    <col min="5" max="5" width="32" customWidth="1"/>
    <col min="6" max="6" width="4" customWidth="1"/>
    <col min="7" max="7" width="12" customWidth="1"/>
    <col min="8" max="8" width="30" customWidth="1"/>
    <col min="9" max="10" width="34" customWidth="1"/>
    <col min="11" max="11" width="36" customWidth="1"/>
    <col min="12" max="12" width="4" customWidth="1"/>
    <col min="13" max="13" width="12" customWidth="1"/>
    <col min="14" max="14" width="30" customWidth="1"/>
    <col min="15" max="16" width="34" customWidth="1"/>
    <col min="17" max="17" width="36" customWidth="1"/>
    <col min="18" max="18" width="4" customWidth="1"/>
    <col min="19" max="19" width="12" customWidth="1"/>
    <col min="20" max="20" width="24" customWidth="1"/>
    <col min="21" max="22" width="30" customWidth="1"/>
    <col min="23" max="23" width="32" customWidth="1"/>
    <col min="25" max="25" width="12" customWidth="1"/>
    <col min="26" max="26" width="24" customWidth="1"/>
    <col min="27" max="28" width="30" customWidth="1"/>
    <col min="29" max="29" width="32" customWidth="1"/>
    <col min="31" max="31" width="12" customWidth="1"/>
    <col min="32" max="32" width="30" customWidth="1"/>
    <col min="33" max="34" width="34" customWidth="1"/>
    <col min="35" max="35" width="36" customWidth="1"/>
    <col min="37" max="37" width="12" customWidth="1"/>
    <col min="38" max="38" width="30" customWidth="1"/>
    <col min="39" max="40" width="34" customWidth="1"/>
    <col min="41" max="41" width="36" customWidth="1"/>
    <col min="43" max="43" width="12" customWidth="1"/>
    <col min="44" max="44" width="24" customWidth="1"/>
    <col min="45" max="45" width="32" customWidth="1"/>
    <col min="46" max="47" width="36" customWidth="1"/>
    <col min="48" max="48" width="38" customWidth="1"/>
    <col min="50" max="50" width="12" customWidth="1"/>
    <col min="51" max="51" width="28" customWidth="1"/>
    <col min="52" max="52" width="24" customWidth="1"/>
    <col min="53" max="54" width="30" customWidth="1"/>
    <col min="55" max="55" width="32" customWidth="1"/>
    <col min="57" max="57" width="12" customWidth="1"/>
    <col min="58" max="58" width="28" customWidth="1"/>
    <col min="59" max="59" width="30" customWidth="1"/>
    <col min="60" max="61" width="34" customWidth="1"/>
    <col min="62" max="62" width="36" customWidth="1"/>
  </cols>
  <sheetData>
    <row r="1" spans="1:62" ht="26.25" customHeight="1">
      <c r="A1" s="2" t="s">
        <v>539</v>
      </c>
      <c r="B1" s="2" t="s">
        <v>540</v>
      </c>
      <c r="C1" s="2" t="s">
        <v>541</v>
      </c>
      <c r="D1" s="2" t="s">
        <v>542</v>
      </c>
      <c r="E1" s="2" t="s">
        <v>543</v>
      </c>
      <c r="G1" s="2" t="s">
        <v>539</v>
      </c>
      <c r="H1" s="2" t="s">
        <v>544</v>
      </c>
      <c r="I1" s="2" t="s">
        <v>545</v>
      </c>
      <c r="J1" s="2" t="s">
        <v>546</v>
      </c>
      <c r="K1" s="2" t="s">
        <v>547</v>
      </c>
      <c r="M1" s="2" t="s">
        <v>539</v>
      </c>
      <c r="N1" s="2" t="s">
        <v>548</v>
      </c>
      <c r="O1" s="2" t="s">
        <v>549</v>
      </c>
      <c r="P1" s="2" t="s">
        <v>550</v>
      </c>
      <c r="Q1" s="2" t="s">
        <v>551</v>
      </c>
      <c r="S1" s="2" t="s">
        <v>539</v>
      </c>
      <c r="T1" s="2" t="s">
        <v>552</v>
      </c>
      <c r="U1" s="2" t="s">
        <v>553</v>
      </c>
      <c r="V1" s="2" t="s">
        <v>554</v>
      </c>
      <c r="W1" s="2" t="s">
        <v>555</v>
      </c>
      <c r="Y1" s="2" t="s">
        <v>539</v>
      </c>
      <c r="Z1" s="2" t="s">
        <v>556</v>
      </c>
      <c r="AA1" s="2" t="s">
        <v>557</v>
      </c>
      <c r="AB1" s="2" t="s">
        <v>558</v>
      </c>
      <c r="AC1" s="2" t="s">
        <v>559</v>
      </c>
      <c r="AE1" s="2" t="s">
        <v>539</v>
      </c>
      <c r="AF1" s="2" t="s">
        <v>560</v>
      </c>
      <c r="AG1" s="2" t="s">
        <v>561</v>
      </c>
      <c r="AH1" s="2" t="s">
        <v>562</v>
      </c>
      <c r="AI1" s="2" t="s">
        <v>563</v>
      </c>
      <c r="AK1" s="2" t="s">
        <v>539</v>
      </c>
      <c r="AL1" s="2" t="s">
        <v>564</v>
      </c>
      <c r="AM1" s="2" t="s">
        <v>565</v>
      </c>
      <c r="AN1" s="2" t="s">
        <v>566</v>
      </c>
      <c r="AO1" s="2" t="s">
        <v>567</v>
      </c>
      <c r="AQ1" s="2" t="s">
        <v>539</v>
      </c>
      <c r="AR1" s="2" t="s">
        <v>568</v>
      </c>
      <c r="AS1" s="2" t="s">
        <v>569</v>
      </c>
      <c r="AT1" s="2" t="s">
        <v>570</v>
      </c>
      <c r="AU1" s="2" t="s">
        <v>571</v>
      </c>
      <c r="AV1" s="2" t="s">
        <v>572</v>
      </c>
      <c r="AX1" s="2" t="s">
        <v>539</v>
      </c>
      <c r="AY1" s="2" t="s">
        <v>573</v>
      </c>
      <c r="AZ1" s="2" t="s">
        <v>540</v>
      </c>
      <c r="BA1" s="2" t="s">
        <v>541</v>
      </c>
      <c r="BB1" s="2" t="s">
        <v>542</v>
      </c>
      <c r="BC1" s="2" t="s">
        <v>543</v>
      </c>
      <c r="BE1" s="2" t="s">
        <v>539</v>
      </c>
      <c r="BF1" s="2" t="s">
        <v>574</v>
      </c>
      <c r="BG1" s="2" t="s">
        <v>544</v>
      </c>
      <c r="BH1" s="2" t="s">
        <v>545</v>
      </c>
      <c r="BI1" s="2" t="s">
        <v>546</v>
      </c>
      <c r="BJ1" s="2" t="s">
        <v>547</v>
      </c>
    </row>
    <row r="2" spans="1:62">
      <c r="A2" s="9">
        <f>ROUND(-1+0*2/240,3)</f>
        <v>-1</v>
      </c>
      <c r="B2" s="9">
        <f>IF(OR(Inputs!$F$6=TRUE,Inputs!$F$6="TRUE",Inputs!$F$6=1),(Inputs!$H$6+Inputs!$L$6*(((Inputs!$I$6+(((A2)+1)/2)*(Inputs!$J$6-Inputs!$I$6)))/Inputs!$K$6)^2),NA())</f>
        <v>404</v>
      </c>
      <c r="C2" s="9">
        <f>IF(OR(Inputs!$F$7=TRUE,Inputs!$F$7="TRUE",Inputs!$F$7=1),(Inputs!$H$7+Inputs!$L$7*(((Inputs!$I$7+(((A2)+1)/2)*(Inputs!$J$7-Inputs!$I$7)))/Inputs!$K$7)^2),NA())</f>
        <v>400</v>
      </c>
      <c r="D2" s="9">
        <f>IF(OR(Inputs!$F$8=TRUE,Inputs!$F$8="TRUE",Inputs!$F$8=1),(Inputs!$H$8+Inputs!$L$8*(((Inputs!$I$8+(((A2)+1)/2)*(Inputs!$J$8-Inputs!$I$8)))/Inputs!$K$8)^2),NA())</f>
        <v>1000</v>
      </c>
      <c r="E2" s="9">
        <f>IF(OR(Inputs!$F$9=TRUE,Inputs!$F$9="TRUE",Inputs!$F$9=1),(Inputs!$H$9+Inputs!$L$9*(((Inputs!$I$9+(((A2)+1)/2)*(Inputs!$J$9-Inputs!$I$9)))/Inputs!$K$9)^2),NA())</f>
        <v>1000</v>
      </c>
      <c r="F2" s="10"/>
      <c r="G2" s="9">
        <f t="shared" ref="G2:G65" si="0">A2</f>
        <v>-1</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c r="L2" s="10"/>
      <c r="M2" s="9">
        <f t="shared" ref="M2:M65" si="1">A2</f>
        <v>-1</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504.93234145565276</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3517.7285290410668</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4665.3412786934377</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4699.0667879408138</v>
      </c>
      <c r="R2" s="10"/>
      <c r="S2" s="9">
        <f t="shared" ref="S2:S65" si="2">A2</f>
        <v>-1</v>
      </c>
      <c r="T2" s="9">
        <f>(Inputs!$I$6+(((A2)+1)/2)*(Inputs!$J$6-Inputs!$I$6))</f>
        <v>-60</v>
      </c>
      <c r="U2" s="9">
        <f>(Inputs!$I$7+(((A2)+1)/2)*(Inputs!$J$7-Inputs!$I$7))</f>
        <v>-400</v>
      </c>
      <c r="V2" s="9">
        <f>(Inputs!$I$8+(((A2)+1)/2)*(Inputs!$J$8-Inputs!$I$8))</f>
        <v>-800</v>
      </c>
      <c r="W2" s="9">
        <f>(Inputs!$I$9+(((A2)+1)/2)*(Inputs!$J$9-Inputs!$I$9))</f>
        <v>-800</v>
      </c>
      <c r="X2" s="10"/>
      <c r="Y2" s="9">
        <f t="shared" ref="Y2:Y65" si="3">A2</f>
        <v>-1</v>
      </c>
      <c r="Z2" s="9">
        <f>(Inputs!$H$6+Inputs!$L$6*(((Inputs!$I$6+(((A2)+1)/2)*(Inputs!$J$6-Inputs!$I$6)))/Inputs!$K$6)^2)</f>
        <v>404</v>
      </c>
      <c r="AA2" s="9">
        <f>(Inputs!$H$7+Inputs!$L$7*(((Inputs!$I$7+(((A2)+1)/2)*(Inputs!$J$7-Inputs!$I$7)))/Inputs!$K$7)^2)</f>
        <v>400</v>
      </c>
      <c r="AB2" s="9">
        <f>(Inputs!$H$8+Inputs!$L$8*(((Inputs!$I$8+(((A2)+1)/2)*(Inputs!$J$8-Inputs!$I$8)))/Inputs!$K$8)^2)</f>
        <v>1000</v>
      </c>
      <c r="AC2" s="9">
        <f>(Inputs!$H$9+Inputs!$L$9*(((Inputs!$I$9+(((A2)+1)/2)*(Inputs!$J$9-Inputs!$I$9)))/Inputs!$K$9)^2)</f>
        <v>1000</v>
      </c>
      <c r="AD2" s="10"/>
      <c r="AE2" s="9">
        <f t="shared" ref="AE2:AE65" si="4">A2</f>
        <v>-1</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3667.825190313778</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112679.37253407703</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238293.57374476179</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238293.57374476179</v>
      </c>
      <c r="AJ2" s="10"/>
      <c r="AK2" s="9">
        <f t="shared" ref="AK2:AK65" si="5">A2</f>
        <v>-1</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504.93234145565276</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3517.7285290410668</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4665.3412786934377</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4699.0667879408138</v>
      </c>
      <c r="AP2" s="10"/>
      <c r="AQ2" s="9">
        <f t="shared" ref="AQ2:AQ65" si="6">A2</f>
        <v>-1</v>
      </c>
      <c r="AR2" s="9">
        <f>0</f>
        <v>0</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119.42638570504096</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102.57205251412729</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138.02549272569243</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138.02549272569243</v>
      </c>
      <c r="AW2" s="10"/>
      <c r="AX2" s="9">
        <f t="shared" ref="AX2:AX65" si="7">A2</f>
        <v>-1</v>
      </c>
      <c r="AY2" s="9">
        <f>0</f>
        <v>0</v>
      </c>
      <c r="AZ2" s="9">
        <f>IF(OR(Inputs!$F$6=TRUE,Inputs!$F$6="TRUE",Inputs!$F$6=1),(Inputs!$H$6+Inputs!$L$6*(((Inputs!$I$6+(((A2)+1)/2)*(Inputs!$J$6-Inputs!$I$6)))/Inputs!$K$6)^2),NA())</f>
        <v>404</v>
      </c>
      <c r="BA2" s="9">
        <f>IF(OR(Inputs!$F$7=TRUE,Inputs!$F$7="TRUE",Inputs!$F$7=1),(Inputs!$H$7+Inputs!$L$7*(((Inputs!$I$7+(((A2)+1)/2)*(Inputs!$J$7-Inputs!$I$7)))/Inputs!$K$7)^2),NA())</f>
        <v>400</v>
      </c>
      <c r="BB2" s="9">
        <f>IF(OR(Inputs!$F$8=TRUE,Inputs!$F$8="TRUE",Inputs!$F$8=1),(Inputs!$H$8+Inputs!$L$8*(((Inputs!$I$8+(((A2)+1)/2)*(Inputs!$J$8-Inputs!$I$8)))/Inputs!$K$8)^2),NA())</f>
        <v>1000</v>
      </c>
      <c r="BC2" s="9">
        <f>IF(OR(Inputs!$F$9=TRUE,Inputs!$F$9="TRUE",Inputs!$F$9=1),(Inputs!$H$9+Inputs!$L$9*(((Inputs!$I$9+(((A2)+1)/2)*(Inputs!$J$9-Inputs!$I$9)))/Inputs!$K$9)^2),NA())</f>
        <v>1000</v>
      </c>
      <c r="BD2" s="10"/>
      <c r="BE2" s="9">
        <f t="shared" ref="BE2:BE65" si="8">A2</f>
        <v>-1</v>
      </c>
      <c r="BF2" s="9">
        <f>0</f>
        <v>0</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row>
    <row r="3" spans="1:62">
      <c r="A3" s="9">
        <f>ROUND(-1+1*2/240,3)</f>
        <v>-0.99199999999999999</v>
      </c>
      <c r="B3" s="9">
        <f>IF(OR(Inputs!$F$6=TRUE,Inputs!$F$6="TRUE",Inputs!$F$6=1),(Inputs!$H$6+Inputs!$L$6*(((Inputs!$I$6+(((A3)+1)/2)*(Inputs!$J$6-Inputs!$I$6)))/Inputs!$K$6)^2),NA())</f>
        <v>403.93625600000001</v>
      </c>
      <c r="C3" s="9">
        <f>IF(OR(Inputs!$F$7=TRUE,Inputs!$F$7="TRUE",Inputs!$F$7=1),(Inputs!$H$7+Inputs!$L$7*(((Inputs!$I$7+(((A3)+1)/2)*(Inputs!$J$7-Inputs!$I$7)))/Inputs!$K$7)^2),NA())</f>
        <v>394.18335999999999</v>
      </c>
      <c r="D3" s="9">
        <f>IF(OR(Inputs!$F$8=TRUE,Inputs!$F$8="TRUE",Inputs!$F$8=1),(Inputs!$H$8+Inputs!$L$8*(((Inputs!$I$8+(((A3)+1)/2)*(Inputs!$J$8-Inputs!$I$8)))/Inputs!$K$8)^2),NA())</f>
        <v>984.62175999999999</v>
      </c>
      <c r="E3" s="9">
        <f>IF(OR(Inputs!$F$9=TRUE,Inputs!$F$9="TRUE",Inputs!$F$9=1),(Inputs!$H$9+Inputs!$L$9*(((Inputs!$I$9+(((A3)+1)/2)*(Inputs!$J$9-Inputs!$I$9)))/Inputs!$K$9)^2),NA())</f>
        <v>984.46239999999989</v>
      </c>
      <c r="F3" s="10"/>
      <c r="G3" s="9">
        <f t="shared" si="0"/>
        <v>-0.99199999999999999</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c r="L3" s="10"/>
      <c r="M3" s="9">
        <f t="shared" si="1"/>
        <v>-0.99199999999999999</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501.02638349531236</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3494.7747705698589</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4631.3120779717956</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4664.6058172006396</v>
      </c>
      <c r="R3" s="10"/>
      <c r="S3" s="9">
        <f t="shared" si="2"/>
        <v>-0.99199999999999999</v>
      </c>
      <c r="T3" s="9">
        <f>(Inputs!$I$6+(((A3)+1)/2)*(Inputs!$J$6-Inputs!$I$6))</f>
        <v>-59.519999999999996</v>
      </c>
      <c r="U3" s="9">
        <f>(Inputs!$I$7+(((A3)+1)/2)*(Inputs!$J$7-Inputs!$I$7))</f>
        <v>-396.8</v>
      </c>
      <c r="V3" s="9">
        <f>(Inputs!$I$8+(((A3)+1)/2)*(Inputs!$J$8-Inputs!$I$8))</f>
        <v>-793.6</v>
      </c>
      <c r="W3" s="9">
        <f>(Inputs!$I$9+(((A3)+1)/2)*(Inputs!$J$9-Inputs!$I$9))</f>
        <v>-793.6</v>
      </c>
      <c r="X3" s="10"/>
      <c r="Y3" s="9">
        <f t="shared" si="3"/>
        <v>-0.99199999999999999</v>
      </c>
      <c r="Z3" s="9">
        <f>(Inputs!$H$6+Inputs!$L$6*(((Inputs!$I$6+(((A3)+1)/2)*(Inputs!$J$6-Inputs!$I$6)))/Inputs!$K$6)^2)</f>
        <v>403.93625600000001</v>
      </c>
      <c r="AA3" s="9">
        <f>(Inputs!$H$7+Inputs!$L$7*(((Inputs!$I$7+(((A3)+1)/2)*(Inputs!$J$7-Inputs!$I$7)))/Inputs!$K$7)^2)</f>
        <v>394.18335999999999</v>
      </c>
      <c r="AB3" s="9">
        <f>(Inputs!$H$8+Inputs!$L$8*(((Inputs!$I$8+(((A3)+1)/2)*(Inputs!$J$8-Inputs!$I$8)))/Inputs!$K$8)^2)</f>
        <v>984.62175999999999</v>
      </c>
      <c r="AC3" s="9">
        <f>(Inputs!$H$9+Inputs!$L$9*(((Inputs!$I$9+(((A3)+1)/2)*(Inputs!$J$9-Inputs!$I$9)))/Inputs!$K$9)^2)</f>
        <v>984.46239999999989</v>
      </c>
      <c r="AD3" s="10"/>
      <c r="AE3" s="9">
        <f t="shared" si="4"/>
        <v>-0.99199999999999999</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3618.8645803163076</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112007.54446092203</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236487.36267071238</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236501.58790060168</v>
      </c>
      <c r="AJ3" s="10"/>
      <c r="AK3" s="9">
        <f t="shared" si="5"/>
        <v>-0.99199999999999999</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501.02638349531236</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3494.7747705698589</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4631.3120779717956</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4664.6058172006396</v>
      </c>
      <c r="AP3" s="10"/>
      <c r="AQ3" s="9">
        <f t="shared" si="6"/>
        <v>-0.99199999999999999</v>
      </c>
      <c r="AR3" s="9">
        <f>0</f>
        <v>0</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121.33026359119479</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171.18494655337435</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85.31373629310967</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85.31373629310967</v>
      </c>
      <c r="AW3" s="10"/>
      <c r="AX3" s="9">
        <f t="shared" si="7"/>
        <v>-0.99199999999999999</v>
      </c>
      <c r="AY3" s="9">
        <f>0</f>
        <v>0</v>
      </c>
      <c r="AZ3" s="9">
        <f>IF(OR(Inputs!$F$6=TRUE,Inputs!$F$6="TRUE",Inputs!$F$6=1),(Inputs!$H$6+Inputs!$L$6*(((Inputs!$I$6+(((A3)+1)/2)*(Inputs!$J$6-Inputs!$I$6)))/Inputs!$K$6)^2),NA())</f>
        <v>403.93625600000001</v>
      </c>
      <c r="BA3" s="9">
        <f>IF(OR(Inputs!$F$7=TRUE,Inputs!$F$7="TRUE",Inputs!$F$7=1),(Inputs!$H$7+Inputs!$L$7*(((Inputs!$I$7+(((A3)+1)/2)*(Inputs!$J$7-Inputs!$I$7)))/Inputs!$K$7)^2),NA())</f>
        <v>394.18335999999999</v>
      </c>
      <c r="BB3" s="9">
        <f>IF(OR(Inputs!$F$8=TRUE,Inputs!$F$8="TRUE",Inputs!$F$8=1),(Inputs!$H$8+Inputs!$L$8*(((Inputs!$I$8+(((A3)+1)/2)*(Inputs!$J$8-Inputs!$I$8)))/Inputs!$K$8)^2),NA())</f>
        <v>984.62175999999999</v>
      </c>
      <c r="BC3" s="9">
        <f>IF(OR(Inputs!$F$9=TRUE,Inputs!$F$9="TRUE",Inputs!$F$9=1),(Inputs!$H$9+Inputs!$L$9*(((Inputs!$I$9+(((A3)+1)/2)*(Inputs!$J$9-Inputs!$I$9)))/Inputs!$K$9)^2),NA())</f>
        <v>984.46239999999989</v>
      </c>
      <c r="BD3" s="10"/>
      <c r="BE3" s="9">
        <f t="shared" si="8"/>
        <v>-0.99199999999999999</v>
      </c>
      <c r="BF3" s="9">
        <f>0</f>
        <v>0</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row>
    <row r="4" spans="1:62">
      <c r="A4" s="9">
        <f>ROUND(-1+2*2/240,3)</f>
        <v>-0.98299999999999998</v>
      </c>
      <c r="B4" s="9">
        <f>IF(OR(Inputs!$F$6=TRUE,Inputs!$F$6="TRUE",Inputs!$F$6=1),(Inputs!$H$6+Inputs!$L$6*(((Inputs!$I$6+(((A4)+1)/2)*(Inputs!$J$6-Inputs!$I$6)))/Inputs!$K$6)^2),NA())</f>
        <v>403.86515600000001</v>
      </c>
      <c r="C4" s="9">
        <f>IF(OR(Inputs!$F$7=TRUE,Inputs!$F$7="TRUE",Inputs!$F$7=1),(Inputs!$H$7+Inputs!$L$7*(((Inputs!$I$7+(((A4)+1)/2)*(Inputs!$J$7-Inputs!$I$7)))/Inputs!$K$7)^2),NA())</f>
        <v>387.69548499999996</v>
      </c>
      <c r="D4" s="9">
        <f>IF(OR(Inputs!$F$8=TRUE,Inputs!$F$8="TRUE",Inputs!$F$8=1),(Inputs!$H$8+Inputs!$L$8*(((Inputs!$I$8+(((A4)+1)/2)*(Inputs!$J$8-Inputs!$I$8)))/Inputs!$K$8)^2),NA())</f>
        <v>967.468885</v>
      </c>
      <c r="E4" s="9">
        <f>IF(OR(Inputs!$F$9=TRUE,Inputs!$F$9="TRUE",Inputs!$F$9=1),(Inputs!$H$9+Inputs!$L$9*(((Inputs!$I$9+(((A4)+1)/2)*(Inputs!$J$9-Inputs!$I$9)))/Inputs!$K$9)^2),NA())</f>
        <v>967.13177499999995</v>
      </c>
      <c r="F4" s="10"/>
      <c r="G4" s="9">
        <f t="shared" si="0"/>
        <v>-0.98299999999999998</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c r="L4" s="10"/>
      <c r="M4" s="9">
        <f t="shared" si="1"/>
        <v>-0.98299999999999998</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496.62850905803106</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3469.0193926231213</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4593.0694731973836</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4625.8753257790013</v>
      </c>
      <c r="R4" s="10"/>
      <c r="S4" s="9">
        <f t="shared" si="2"/>
        <v>-0.98299999999999998</v>
      </c>
      <c r="T4" s="9">
        <f>(Inputs!$I$6+(((A4)+1)/2)*(Inputs!$J$6-Inputs!$I$6))</f>
        <v>-58.98</v>
      </c>
      <c r="U4" s="9">
        <f>(Inputs!$I$7+(((A4)+1)/2)*(Inputs!$J$7-Inputs!$I$7))</f>
        <v>-393.2</v>
      </c>
      <c r="V4" s="9">
        <f>(Inputs!$I$8+(((A4)+1)/2)*(Inputs!$J$8-Inputs!$I$8))</f>
        <v>-786.4</v>
      </c>
      <c r="W4" s="9">
        <f>(Inputs!$I$9+(((A4)+1)/2)*(Inputs!$J$9-Inputs!$I$9))</f>
        <v>-786.4</v>
      </c>
      <c r="X4" s="10"/>
      <c r="Y4" s="9">
        <f t="shared" si="3"/>
        <v>-0.98299999999999998</v>
      </c>
      <c r="Z4" s="9">
        <f>(Inputs!$H$6+Inputs!$L$6*(((Inputs!$I$6+(((A4)+1)/2)*(Inputs!$J$6-Inputs!$I$6)))/Inputs!$K$6)^2)</f>
        <v>403.86515600000001</v>
      </c>
      <c r="AA4" s="9">
        <f>(Inputs!$H$7+Inputs!$L$7*(((Inputs!$I$7+(((A4)+1)/2)*(Inputs!$J$7-Inputs!$I$7)))/Inputs!$K$7)^2)</f>
        <v>387.69548499999996</v>
      </c>
      <c r="AB4" s="9">
        <f>(Inputs!$H$8+Inputs!$L$8*(((Inputs!$I$8+(((A4)+1)/2)*(Inputs!$J$8-Inputs!$I$8)))/Inputs!$K$8)^2)</f>
        <v>967.468885</v>
      </c>
      <c r="AC4" s="9">
        <f>(Inputs!$H$9+Inputs!$L$9*(((Inputs!$I$9+(((A4)+1)/2)*(Inputs!$J$9-Inputs!$I$9)))/Inputs!$K$9)^2)</f>
        <v>967.13177499999995</v>
      </c>
      <c r="AD4" s="10"/>
      <c r="AE4" s="9">
        <f t="shared" si="4"/>
        <v>-0.98299999999999998</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3564.2272926162314</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111251.1512696815</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234463.78558970036</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234494.31703337043</v>
      </c>
      <c r="AJ4" s="10"/>
      <c r="AK4" s="9">
        <f t="shared" si="5"/>
        <v>-0.98299999999999998</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496.62850905803106</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3469.0193926231213</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4593.0694731973836</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4625.8753257790013</v>
      </c>
      <c r="AP4" s="10"/>
      <c r="AQ4" s="9">
        <f t="shared" si="6"/>
        <v>-0.98299999999999998</v>
      </c>
      <c r="AR4" s="9">
        <f>0</f>
        <v>0</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115.22295693608717</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223.66905472081558</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197.26633368719305</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197.26633368719305</v>
      </c>
      <c r="AW4" s="10"/>
      <c r="AX4" s="9">
        <f t="shared" si="7"/>
        <v>-0.98299999999999998</v>
      </c>
      <c r="AY4" s="9">
        <f>0</f>
        <v>0</v>
      </c>
      <c r="AZ4" s="9">
        <f>IF(OR(Inputs!$F$6=TRUE,Inputs!$F$6="TRUE",Inputs!$F$6=1),(Inputs!$H$6+Inputs!$L$6*(((Inputs!$I$6+(((A4)+1)/2)*(Inputs!$J$6-Inputs!$I$6)))/Inputs!$K$6)^2),NA())</f>
        <v>403.86515600000001</v>
      </c>
      <c r="BA4" s="9">
        <f>IF(OR(Inputs!$F$7=TRUE,Inputs!$F$7="TRUE",Inputs!$F$7=1),(Inputs!$H$7+Inputs!$L$7*(((Inputs!$I$7+(((A4)+1)/2)*(Inputs!$J$7-Inputs!$I$7)))/Inputs!$K$7)^2),NA())</f>
        <v>387.69548499999996</v>
      </c>
      <c r="BB4" s="9">
        <f>IF(OR(Inputs!$F$8=TRUE,Inputs!$F$8="TRUE",Inputs!$F$8=1),(Inputs!$H$8+Inputs!$L$8*(((Inputs!$I$8+(((A4)+1)/2)*(Inputs!$J$8-Inputs!$I$8)))/Inputs!$K$8)^2),NA())</f>
        <v>967.468885</v>
      </c>
      <c r="BC4" s="9">
        <f>IF(OR(Inputs!$F$9=TRUE,Inputs!$F$9="TRUE",Inputs!$F$9=1),(Inputs!$H$9+Inputs!$L$9*(((Inputs!$I$9+(((A4)+1)/2)*(Inputs!$J$9-Inputs!$I$9)))/Inputs!$K$9)^2),NA())</f>
        <v>967.13177499999995</v>
      </c>
      <c r="BD4" s="10"/>
      <c r="BE4" s="9">
        <f t="shared" si="8"/>
        <v>-0.98299999999999998</v>
      </c>
      <c r="BF4" s="9">
        <f>0</f>
        <v>0</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row>
    <row r="5" spans="1:62">
      <c r="A5" s="9">
        <f>ROUND(-1+3*2/240,3)</f>
        <v>-0.97499999999999998</v>
      </c>
      <c r="B5" s="9">
        <f>IF(OR(Inputs!$F$6=TRUE,Inputs!$F$6="TRUE",Inputs!$F$6=1),(Inputs!$H$6+Inputs!$L$6*(((Inputs!$I$6+(((A5)+1)/2)*(Inputs!$J$6-Inputs!$I$6)))/Inputs!$K$6)^2),NA())</f>
        <v>403.80250000000001</v>
      </c>
      <c r="C5" s="9">
        <f>IF(OR(Inputs!$F$7=TRUE,Inputs!$F$7="TRUE",Inputs!$F$7=1),(Inputs!$H$7+Inputs!$L$7*(((Inputs!$I$7+(((A5)+1)/2)*(Inputs!$J$7-Inputs!$I$7)))/Inputs!$K$7)^2),NA())</f>
        <v>381.97812499999998</v>
      </c>
      <c r="D5" s="9">
        <f>IF(OR(Inputs!$F$8=TRUE,Inputs!$F$8="TRUE",Inputs!$F$8=1),(Inputs!$H$8+Inputs!$L$8*(((Inputs!$I$8+(((A5)+1)/2)*(Inputs!$J$8-Inputs!$I$8)))/Inputs!$K$8)^2),NA())</f>
        <v>952.35312499999998</v>
      </c>
      <c r="E5" s="9">
        <f>IF(OR(Inputs!$F$9=TRUE,Inputs!$F$9="TRUE",Inputs!$F$9=1),(Inputs!$H$9+Inputs!$L$9*(((Inputs!$I$9+(((A5)+1)/2)*(Inputs!$J$9-Inputs!$I$9)))/Inputs!$K$9)^2),NA())</f>
        <v>951.859375</v>
      </c>
      <c r="F5" s="10"/>
      <c r="G5" s="9">
        <f t="shared" si="0"/>
        <v>-0.97499999999999998</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c r="L5" s="10"/>
      <c r="M5" s="9">
        <f t="shared" si="1"/>
        <v>-0.97499999999999998</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492.71604483596866</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3446.1870066184929</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4559.1132043475427</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4591.4834458529422</v>
      </c>
      <c r="R5" s="10"/>
      <c r="S5" s="9">
        <f t="shared" si="2"/>
        <v>-0.97499999999999998</v>
      </c>
      <c r="T5" s="9">
        <f>(Inputs!$I$6+(((A5)+1)/2)*(Inputs!$J$6-Inputs!$I$6))</f>
        <v>-58.5</v>
      </c>
      <c r="U5" s="9">
        <f>(Inputs!$I$7+(((A5)+1)/2)*(Inputs!$J$7-Inputs!$I$7))</f>
        <v>-390</v>
      </c>
      <c r="V5" s="9">
        <f>(Inputs!$I$8+(((A5)+1)/2)*(Inputs!$J$8-Inputs!$I$8))</f>
        <v>-780</v>
      </c>
      <c r="W5" s="9">
        <f>(Inputs!$I$9+(((A5)+1)/2)*(Inputs!$J$9-Inputs!$I$9))</f>
        <v>-780</v>
      </c>
      <c r="X5" s="10"/>
      <c r="Y5" s="9">
        <f t="shared" si="3"/>
        <v>-0.97499999999999998</v>
      </c>
      <c r="Z5" s="9">
        <f>(Inputs!$H$6+Inputs!$L$6*(((Inputs!$I$6+(((A5)+1)/2)*(Inputs!$J$6-Inputs!$I$6)))/Inputs!$K$6)^2)</f>
        <v>403.80250000000001</v>
      </c>
      <c r="AA5" s="9">
        <f>(Inputs!$H$7+Inputs!$L$7*(((Inputs!$I$7+(((A5)+1)/2)*(Inputs!$J$7-Inputs!$I$7)))/Inputs!$K$7)^2)</f>
        <v>381.97812499999998</v>
      </c>
      <c r="AB5" s="9">
        <f>(Inputs!$H$8+Inputs!$L$8*(((Inputs!$I$8+(((A5)+1)/2)*(Inputs!$J$8-Inputs!$I$8)))/Inputs!$K$8)^2)</f>
        <v>952.35312499999998</v>
      </c>
      <c r="AC5" s="9">
        <f>(Inputs!$H$9+Inputs!$L$9*(((Inputs!$I$9+(((A5)+1)/2)*(Inputs!$J$9-Inputs!$I$9)))/Inputs!$K$9)^2)</f>
        <v>951.859375</v>
      </c>
      <c r="AD5" s="10"/>
      <c r="AE5" s="9">
        <f t="shared" si="4"/>
        <v>-0.97499999999999998</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3516.055517830855</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110578.20931028113</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232672.44094466226</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232717.74047859581</v>
      </c>
      <c r="AJ5" s="10"/>
      <c r="AK5" s="9">
        <f t="shared" si="5"/>
        <v>-0.97499999999999998</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492.71604483596866</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3446.1870066184929</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4559.1132043475427</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4591.4834458529422</v>
      </c>
      <c r="AP5" s="10"/>
      <c r="AQ5" s="9">
        <f t="shared" si="6"/>
        <v>-0.97499999999999998</v>
      </c>
      <c r="AR5" s="9">
        <f>0</f>
        <v>0</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134.38583105711319</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193.71930081627565</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50.349549142018788</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50.349549142018788</v>
      </c>
      <c r="AW5" s="10"/>
      <c r="AX5" s="9">
        <f t="shared" si="7"/>
        <v>-0.97499999999999998</v>
      </c>
      <c r="AY5" s="9">
        <f>0</f>
        <v>0</v>
      </c>
      <c r="AZ5" s="9">
        <f>IF(OR(Inputs!$F$6=TRUE,Inputs!$F$6="TRUE",Inputs!$F$6=1),(Inputs!$H$6+Inputs!$L$6*(((Inputs!$I$6+(((A5)+1)/2)*(Inputs!$J$6-Inputs!$I$6)))/Inputs!$K$6)^2),NA())</f>
        <v>403.80250000000001</v>
      </c>
      <c r="BA5" s="9">
        <f>IF(OR(Inputs!$F$7=TRUE,Inputs!$F$7="TRUE",Inputs!$F$7=1),(Inputs!$H$7+Inputs!$L$7*(((Inputs!$I$7+(((A5)+1)/2)*(Inputs!$J$7-Inputs!$I$7)))/Inputs!$K$7)^2),NA())</f>
        <v>381.97812499999998</v>
      </c>
      <c r="BB5" s="9">
        <f>IF(OR(Inputs!$F$8=TRUE,Inputs!$F$8="TRUE",Inputs!$F$8=1),(Inputs!$H$8+Inputs!$L$8*(((Inputs!$I$8+(((A5)+1)/2)*(Inputs!$J$8-Inputs!$I$8)))/Inputs!$K$8)^2),NA())</f>
        <v>952.35312499999998</v>
      </c>
      <c r="BC5" s="9">
        <f>IF(OR(Inputs!$F$9=TRUE,Inputs!$F$9="TRUE",Inputs!$F$9=1),(Inputs!$H$9+Inputs!$L$9*(((Inputs!$I$9+(((A5)+1)/2)*(Inputs!$J$9-Inputs!$I$9)))/Inputs!$K$9)^2),NA())</f>
        <v>951.859375</v>
      </c>
      <c r="BD5" s="10"/>
      <c r="BE5" s="9">
        <f t="shared" si="8"/>
        <v>-0.97499999999999998</v>
      </c>
      <c r="BF5" s="9">
        <f>0</f>
        <v>0</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row>
    <row r="6" spans="1:62">
      <c r="A6" s="9">
        <f>ROUND(-1+4*2/240,3)</f>
        <v>-0.96699999999999997</v>
      </c>
      <c r="B6" s="9">
        <f>IF(OR(Inputs!$F$6=TRUE,Inputs!$F$6="TRUE",Inputs!$F$6=1),(Inputs!$H$6+Inputs!$L$6*(((Inputs!$I$6+(((A6)+1)/2)*(Inputs!$J$6-Inputs!$I$6)))/Inputs!$K$6)^2),NA())</f>
        <v>403.74035600000002</v>
      </c>
      <c r="C6" s="9">
        <f>IF(OR(Inputs!$F$7=TRUE,Inputs!$F$7="TRUE",Inputs!$F$7=1),(Inputs!$H$7+Inputs!$L$7*(((Inputs!$I$7+(((A6)+1)/2)*(Inputs!$J$7-Inputs!$I$7)))/Inputs!$K$7)^2),NA())</f>
        <v>376.30748500000004</v>
      </c>
      <c r="D6" s="9">
        <f>IF(OR(Inputs!$F$8=TRUE,Inputs!$F$8="TRUE",Inputs!$F$8=1),(Inputs!$H$8+Inputs!$L$8*(((Inputs!$I$8+(((A6)+1)/2)*(Inputs!$J$8-Inputs!$I$8)))/Inputs!$K$8)^2),NA())</f>
        <v>937.36088500000017</v>
      </c>
      <c r="E6" s="9">
        <f>IF(OR(Inputs!$F$9=TRUE,Inputs!$F$9="TRUE",Inputs!$F$9=1),(Inputs!$H$9+Inputs!$L$9*(((Inputs!$I$9+(((A6)+1)/2)*(Inputs!$J$9-Inputs!$I$9)))/Inputs!$K$9)^2),NA())</f>
        <v>936.71177500000022</v>
      </c>
      <c r="F6" s="10"/>
      <c r="G6" s="9">
        <f t="shared" si="0"/>
        <v>-0.96699999999999997</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c r="L6" s="10"/>
      <c r="M6" s="9">
        <f t="shared" si="1"/>
        <v>-0.96699999999999997</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488.80054899139787</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3423.413441590812</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4525.1932450726626</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4557.1260299368741</v>
      </c>
      <c r="R6" s="10"/>
      <c r="S6" s="9">
        <f t="shared" si="2"/>
        <v>-0.96699999999999997</v>
      </c>
      <c r="T6" s="9">
        <f>(Inputs!$I$6+(((A6)+1)/2)*(Inputs!$J$6-Inputs!$I$6))</f>
        <v>-58.019999999999996</v>
      </c>
      <c r="U6" s="9">
        <f>(Inputs!$I$7+(((A6)+1)/2)*(Inputs!$J$7-Inputs!$I$7))</f>
        <v>-386.8</v>
      </c>
      <c r="V6" s="9">
        <f>(Inputs!$I$8+(((A6)+1)/2)*(Inputs!$J$8-Inputs!$I$8))</f>
        <v>-773.6</v>
      </c>
      <c r="W6" s="9">
        <f>(Inputs!$I$9+(((A6)+1)/2)*(Inputs!$J$9-Inputs!$I$9))</f>
        <v>-773.6</v>
      </c>
      <c r="X6" s="10"/>
      <c r="Y6" s="9">
        <f t="shared" si="3"/>
        <v>-0.96699999999999997</v>
      </c>
      <c r="Z6" s="9">
        <f>(Inputs!$H$6+Inputs!$L$6*(((Inputs!$I$6+(((A6)+1)/2)*(Inputs!$J$6-Inputs!$I$6)))/Inputs!$K$6)^2)</f>
        <v>403.74035600000002</v>
      </c>
      <c r="AA6" s="9">
        <f>(Inputs!$H$7+Inputs!$L$7*(((Inputs!$I$7+(((A6)+1)/2)*(Inputs!$J$7-Inputs!$I$7)))/Inputs!$K$7)^2)</f>
        <v>376.30748500000004</v>
      </c>
      <c r="AB6" s="9">
        <f>(Inputs!$H$8+Inputs!$L$8*(((Inputs!$I$8+(((A6)+1)/2)*(Inputs!$J$8-Inputs!$I$8)))/Inputs!$K$8)^2)</f>
        <v>937.36088500000017</v>
      </c>
      <c r="AC6" s="9">
        <f>(Inputs!$H$9+Inputs!$L$9*(((Inputs!$I$9+(((A6)+1)/2)*(Inputs!$J$9-Inputs!$I$9)))/Inputs!$K$9)^2)</f>
        <v>936.71177500000022</v>
      </c>
      <c r="AD6" s="10"/>
      <c r="AE6" s="9">
        <f t="shared" si="4"/>
        <v>-0.96699999999999997</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3468.2557624255983</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109904.6415842495</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230887.9687099104</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230948.29820342301</v>
      </c>
      <c r="AJ6" s="10"/>
      <c r="AK6" s="9">
        <f t="shared" si="5"/>
        <v>-0.96699999999999997</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488.80054899139787</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3423.413441590812</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4525.1932450726626</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4557.1260299368741</v>
      </c>
      <c r="AP6" s="10"/>
      <c r="AQ6" s="9">
        <f t="shared" si="6"/>
        <v>-0.96699999999999997</v>
      </c>
      <c r="AR6" s="9">
        <f>0</f>
        <v>0</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119.11723027453934</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130.05484305926754</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148.96140786518455</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148.96140786518455</v>
      </c>
      <c r="AW6" s="10"/>
      <c r="AX6" s="9">
        <f t="shared" si="7"/>
        <v>-0.96699999999999997</v>
      </c>
      <c r="AY6" s="9">
        <f>0</f>
        <v>0</v>
      </c>
      <c r="AZ6" s="9">
        <f>IF(OR(Inputs!$F$6=TRUE,Inputs!$F$6="TRUE",Inputs!$F$6=1),(Inputs!$H$6+Inputs!$L$6*(((Inputs!$I$6+(((A6)+1)/2)*(Inputs!$J$6-Inputs!$I$6)))/Inputs!$K$6)^2),NA())</f>
        <v>403.74035600000002</v>
      </c>
      <c r="BA6" s="9">
        <f>IF(OR(Inputs!$F$7=TRUE,Inputs!$F$7="TRUE",Inputs!$F$7=1),(Inputs!$H$7+Inputs!$L$7*(((Inputs!$I$7+(((A6)+1)/2)*(Inputs!$J$7-Inputs!$I$7)))/Inputs!$K$7)^2),NA())</f>
        <v>376.30748500000004</v>
      </c>
      <c r="BB6" s="9">
        <f>IF(OR(Inputs!$F$8=TRUE,Inputs!$F$8="TRUE",Inputs!$F$8=1),(Inputs!$H$8+Inputs!$L$8*(((Inputs!$I$8+(((A6)+1)/2)*(Inputs!$J$8-Inputs!$I$8)))/Inputs!$K$8)^2),NA())</f>
        <v>937.36088500000017</v>
      </c>
      <c r="BC6" s="9">
        <f>IF(OR(Inputs!$F$9=TRUE,Inputs!$F$9="TRUE",Inputs!$F$9=1),(Inputs!$H$9+Inputs!$L$9*(((Inputs!$I$9+(((A6)+1)/2)*(Inputs!$J$9-Inputs!$I$9)))/Inputs!$K$9)^2),NA())</f>
        <v>936.71177500000022</v>
      </c>
      <c r="BD6" s="10"/>
      <c r="BE6" s="9">
        <f t="shared" si="8"/>
        <v>-0.96699999999999997</v>
      </c>
      <c r="BF6" s="9">
        <f>0</f>
        <v>0</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row>
    <row r="7" spans="1:62">
      <c r="A7" s="9">
        <f>ROUND(-1+5*2/240,3)</f>
        <v>-0.95799999999999996</v>
      </c>
      <c r="B7" s="9">
        <f>IF(OR(Inputs!$F$6=TRUE,Inputs!$F$6="TRUE",Inputs!$F$6=1),(Inputs!$H$6+Inputs!$L$6*(((Inputs!$I$6+(((A7)+1)/2)*(Inputs!$J$6-Inputs!$I$6)))/Inputs!$K$6)^2),NA())</f>
        <v>403.67105600000002</v>
      </c>
      <c r="C7" s="9">
        <f>IF(OR(Inputs!$F$7=TRUE,Inputs!$F$7="TRUE",Inputs!$F$7=1),(Inputs!$H$7+Inputs!$L$7*(((Inputs!$I$7+(((A7)+1)/2)*(Inputs!$J$7-Inputs!$I$7)))/Inputs!$K$7)^2),NA())</f>
        <v>369.98385999999999</v>
      </c>
      <c r="D7" s="9">
        <f>IF(OR(Inputs!$F$8=TRUE,Inputs!$F$8="TRUE",Inputs!$F$8=1),(Inputs!$H$8+Inputs!$L$8*(((Inputs!$I$8+(((A7)+1)/2)*(Inputs!$J$8-Inputs!$I$8)))/Inputs!$K$8)^2),NA())</f>
        <v>920.64225999999996</v>
      </c>
      <c r="E7" s="9">
        <f>IF(OR(Inputs!$F$9=TRUE,Inputs!$F$9="TRUE",Inputs!$F$9=1),(Inputs!$H$9+Inputs!$L$9*(((Inputs!$I$9+(((A7)+1)/2)*(Inputs!$J$9-Inputs!$I$9)))/Inputs!$K$9)^2),NA())</f>
        <v>919.81989999999996</v>
      </c>
      <c r="F7" s="10"/>
      <c r="G7" s="9">
        <f t="shared" si="0"/>
        <v>-0.95799999999999996</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c r="L7" s="10"/>
      <c r="M7" s="9">
        <f t="shared" si="1"/>
        <v>-0.95799999999999996</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484.39201666720464</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3397.8648793413622</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4487.0783364382787</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4518.5167466337534</v>
      </c>
      <c r="R7" s="10"/>
      <c r="S7" s="9">
        <f t="shared" si="2"/>
        <v>-0.95799999999999996</v>
      </c>
      <c r="T7" s="9">
        <f>(Inputs!$I$6+(((A7)+1)/2)*(Inputs!$J$6-Inputs!$I$6))</f>
        <v>-57.48</v>
      </c>
      <c r="U7" s="9">
        <f>(Inputs!$I$7+(((A7)+1)/2)*(Inputs!$J$7-Inputs!$I$7))</f>
        <v>-383.2</v>
      </c>
      <c r="V7" s="9">
        <f>(Inputs!$I$8+(((A7)+1)/2)*(Inputs!$J$8-Inputs!$I$8))</f>
        <v>-766.4</v>
      </c>
      <c r="W7" s="9">
        <f>(Inputs!$I$9+(((A7)+1)/2)*(Inputs!$J$9-Inputs!$I$9))</f>
        <v>-766.4</v>
      </c>
      <c r="X7" s="10"/>
      <c r="Y7" s="9">
        <f t="shared" si="3"/>
        <v>-0.95799999999999996</v>
      </c>
      <c r="Z7" s="9">
        <f>(Inputs!$H$6+Inputs!$L$6*(((Inputs!$I$6+(((A7)+1)/2)*(Inputs!$J$6-Inputs!$I$6)))/Inputs!$K$6)^2)</f>
        <v>403.67105600000002</v>
      </c>
      <c r="AA7" s="9">
        <f>(Inputs!$H$7+Inputs!$L$7*(((Inputs!$I$7+(((A7)+1)/2)*(Inputs!$J$7-Inputs!$I$7)))/Inputs!$K$7)^2)</f>
        <v>369.98385999999999</v>
      </c>
      <c r="AB7" s="9">
        <f>(Inputs!$H$8+Inputs!$L$8*(((Inputs!$I$8+(((A7)+1)/2)*(Inputs!$J$8-Inputs!$I$8)))/Inputs!$K$8)^2)</f>
        <v>920.64225999999996</v>
      </c>
      <c r="AC7" s="9">
        <f>(Inputs!$H$9+Inputs!$L$9*(((Inputs!$I$9+(((A7)+1)/2)*(Inputs!$J$9-Inputs!$I$9)))/Inputs!$K$9)^2)</f>
        <v>919.81989999999996</v>
      </c>
      <c r="AD7" s="10"/>
      <c r="AE7" s="9">
        <f t="shared" si="4"/>
        <v>-0.95799999999999996</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3414.9263510308238</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109146.04678789221</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228888.54857473689</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228966.10498814457</v>
      </c>
      <c r="AJ7" s="10"/>
      <c r="AK7" s="9">
        <f t="shared" si="5"/>
        <v>-0.95799999999999996</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484.39201666720464</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3397.8648793413622</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4487.0783364382787</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4518.5167466337534</v>
      </c>
      <c r="AP7" s="10"/>
      <c r="AQ7" s="9">
        <f t="shared" si="6"/>
        <v>-0.95799999999999996</v>
      </c>
      <c r="AR7" s="9">
        <f>0</f>
        <v>0</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132.60677657902528</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94.29278060316868</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174.07668311878467</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174.07668311878467</v>
      </c>
      <c r="AW7" s="10"/>
      <c r="AX7" s="9">
        <f t="shared" si="7"/>
        <v>-0.95799999999999996</v>
      </c>
      <c r="AY7" s="9">
        <f>0</f>
        <v>0</v>
      </c>
      <c r="AZ7" s="9">
        <f>IF(OR(Inputs!$F$6=TRUE,Inputs!$F$6="TRUE",Inputs!$F$6=1),(Inputs!$H$6+Inputs!$L$6*(((Inputs!$I$6+(((A7)+1)/2)*(Inputs!$J$6-Inputs!$I$6)))/Inputs!$K$6)^2),NA())</f>
        <v>403.67105600000002</v>
      </c>
      <c r="BA7" s="9">
        <f>IF(OR(Inputs!$F$7=TRUE,Inputs!$F$7="TRUE",Inputs!$F$7=1),(Inputs!$H$7+Inputs!$L$7*(((Inputs!$I$7+(((A7)+1)/2)*(Inputs!$J$7-Inputs!$I$7)))/Inputs!$K$7)^2),NA())</f>
        <v>369.98385999999999</v>
      </c>
      <c r="BB7" s="9">
        <f>IF(OR(Inputs!$F$8=TRUE,Inputs!$F$8="TRUE",Inputs!$F$8=1),(Inputs!$H$8+Inputs!$L$8*(((Inputs!$I$8+(((A7)+1)/2)*(Inputs!$J$8-Inputs!$I$8)))/Inputs!$K$8)^2),NA())</f>
        <v>920.64225999999996</v>
      </c>
      <c r="BC7" s="9">
        <f>IF(OR(Inputs!$F$9=TRUE,Inputs!$F$9="TRUE",Inputs!$F$9=1),(Inputs!$H$9+Inputs!$L$9*(((Inputs!$I$9+(((A7)+1)/2)*(Inputs!$J$9-Inputs!$I$9)))/Inputs!$K$9)^2),NA())</f>
        <v>919.81989999999996</v>
      </c>
      <c r="BD7" s="10"/>
      <c r="BE7" s="9">
        <f t="shared" si="8"/>
        <v>-0.95799999999999996</v>
      </c>
      <c r="BF7" s="9">
        <f>0</f>
        <v>0</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row>
    <row r="8" spans="1:62">
      <c r="A8" s="9">
        <f>ROUND(-1+6*2/240,3)</f>
        <v>-0.95</v>
      </c>
      <c r="B8" s="9">
        <f>IF(OR(Inputs!$F$6=TRUE,Inputs!$F$6="TRUE",Inputs!$F$6=1),(Inputs!$H$6+Inputs!$L$6*(((Inputs!$I$6+(((A8)+1)/2)*(Inputs!$J$6-Inputs!$I$6)))/Inputs!$K$6)^2),NA())</f>
        <v>403.61</v>
      </c>
      <c r="C8" s="9">
        <f>IF(OR(Inputs!$F$7=TRUE,Inputs!$F$7="TRUE",Inputs!$F$7=1),(Inputs!$H$7+Inputs!$L$7*(((Inputs!$I$7+(((A8)+1)/2)*(Inputs!$J$7-Inputs!$I$7)))/Inputs!$K$7)^2),NA())</f>
        <v>364.41249999999997</v>
      </c>
      <c r="D8" s="9">
        <f>IF(OR(Inputs!$F$8=TRUE,Inputs!$F$8="TRUE",Inputs!$F$8=1),(Inputs!$H$8+Inputs!$L$8*(((Inputs!$I$8+(((A8)+1)/2)*(Inputs!$J$8-Inputs!$I$8)))/Inputs!$K$8)^2),NA())</f>
        <v>905.91250000000002</v>
      </c>
      <c r="E8" s="9">
        <f>IF(OR(Inputs!$F$9=TRUE,Inputs!$F$9="TRUE",Inputs!$F$9=1),(Inputs!$H$9+Inputs!$L$9*(((Inputs!$I$9+(((A8)+1)/2)*(Inputs!$J$9-Inputs!$I$9)))/Inputs!$K$9)^2),NA())</f>
        <v>904.9375</v>
      </c>
      <c r="F8" s="10"/>
      <c r="G8" s="9">
        <f t="shared" si="0"/>
        <v>-0.95</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c r="L8" s="10"/>
      <c r="M8" s="9">
        <f t="shared" si="1"/>
        <v>-0.95</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480.47014339567539</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3375.2200328801591</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4453.2399599371656</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4484.2369121882757</v>
      </c>
      <c r="R8" s="10"/>
      <c r="S8" s="9">
        <f t="shared" si="2"/>
        <v>-0.95</v>
      </c>
      <c r="T8" s="9">
        <f>(Inputs!$I$6+(((A8)+1)/2)*(Inputs!$J$6-Inputs!$I$6))</f>
        <v>-57</v>
      </c>
      <c r="U8" s="9">
        <f>(Inputs!$I$7+(((A8)+1)/2)*(Inputs!$J$7-Inputs!$I$7))</f>
        <v>-380</v>
      </c>
      <c r="V8" s="9">
        <f>(Inputs!$I$8+(((A8)+1)/2)*(Inputs!$J$8-Inputs!$I$8))</f>
        <v>-760</v>
      </c>
      <c r="W8" s="9">
        <f>(Inputs!$I$9+(((A8)+1)/2)*(Inputs!$J$9-Inputs!$I$9))</f>
        <v>-760</v>
      </c>
      <c r="X8" s="10"/>
      <c r="Y8" s="9">
        <f t="shared" si="3"/>
        <v>-0.95</v>
      </c>
      <c r="Z8" s="9">
        <f>(Inputs!$H$6+Inputs!$L$6*(((Inputs!$I$6+(((A8)+1)/2)*(Inputs!$J$6-Inputs!$I$6)))/Inputs!$K$6)^2)</f>
        <v>403.61</v>
      </c>
      <c r="AA8" s="9">
        <f>(Inputs!$H$7+Inputs!$L$7*(((Inputs!$I$7+(((A8)+1)/2)*(Inputs!$J$7-Inputs!$I$7)))/Inputs!$K$7)^2)</f>
        <v>364.41249999999997</v>
      </c>
      <c r="AB8" s="9">
        <f>(Inputs!$H$8+Inputs!$L$8*(((Inputs!$I$8+(((A8)+1)/2)*(Inputs!$J$8-Inputs!$I$8)))/Inputs!$K$8)^2)</f>
        <v>905.91250000000002</v>
      </c>
      <c r="AC8" s="9">
        <f>(Inputs!$H$9+Inputs!$L$9*(((Inputs!$I$9+(((A8)+1)/2)*(Inputs!$J$9-Inputs!$I$9)))/Inputs!$K$9)^2)</f>
        <v>904.9375</v>
      </c>
      <c r="AD8" s="10"/>
      <c r="AE8" s="9">
        <f t="shared" si="4"/>
        <v>-0.95</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3367.9188237744538</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108470.92621776105</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227118.40064745268</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227211.55741989255</v>
      </c>
      <c r="AJ8" s="10"/>
      <c r="AK8" s="9">
        <f t="shared" si="5"/>
        <v>-0.95</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480.47014339567539</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3375.2200328801591</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4453.2399599371656</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4484.2369121882757</v>
      </c>
      <c r="AP8" s="10"/>
      <c r="AQ8" s="9">
        <f t="shared" si="6"/>
        <v>-0.95</v>
      </c>
      <c r="AR8" s="9">
        <f>0</f>
        <v>0</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137.46604725484156</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124.30714013426088</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85.692687405495874</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85.692687405495874</v>
      </c>
      <c r="AW8" s="10"/>
      <c r="AX8" s="9">
        <f t="shared" si="7"/>
        <v>-0.95</v>
      </c>
      <c r="AY8" s="9">
        <f>0</f>
        <v>0</v>
      </c>
      <c r="AZ8" s="9">
        <f>IF(OR(Inputs!$F$6=TRUE,Inputs!$F$6="TRUE",Inputs!$F$6=1),(Inputs!$H$6+Inputs!$L$6*(((Inputs!$I$6+(((A8)+1)/2)*(Inputs!$J$6-Inputs!$I$6)))/Inputs!$K$6)^2),NA())</f>
        <v>403.61</v>
      </c>
      <c r="BA8" s="9">
        <f>IF(OR(Inputs!$F$7=TRUE,Inputs!$F$7="TRUE",Inputs!$F$7=1),(Inputs!$H$7+Inputs!$L$7*(((Inputs!$I$7+(((A8)+1)/2)*(Inputs!$J$7-Inputs!$I$7)))/Inputs!$K$7)^2),NA())</f>
        <v>364.41249999999997</v>
      </c>
      <c r="BB8" s="9">
        <f>IF(OR(Inputs!$F$8=TRUE,Inputs!$F$8="TRUE",Inputs!$F$8=1),(Inputs!$H$8+Inputs!$L$8*(((Inputs!$I$8+(((A8)+1)/2)*(Inputs!$J$8-Inputs!$I$8)))/Inputs!$K$8)^2),NA())</f>
        <v>905.91250000000002</v>
      </c>
      <c r="BC8" s="9">
        <f>IF(OR(Inputs!$F$9=TRUE,Inputs!$F$9="TRUE",Inputs!$F$9=1),(Inputs!$H$9+Inputs!$L$9*(((Inputs!$I$9+(((A8)+1)/2)*(Inputs!$J$9-Inputs!$I$9)))/Inputs!$K$9)^2),NA())</f>
        <v>904.9375</v>
      </c>
      <c r="BD8" s="10"/>
      <c r="BE8" s="9">
        <f t="shared" si="8"/>
        <v>-0.95</v>
      </c>
      <c r="BF8" s="9">
        <f>0</f>
        <v>0</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row>
    <row r="9" spans="1:62">
      <c r="A9" s="9">
        <f>ROUND(-1+7*2/240,3)</f>
        <v>-0.94199999999999995</v>
      </c>
      <c r="B9" s="9">
        <f>IF(OR(Inputs!$F$6=TRUE,Inputs!$F$6="TRUE",Inputs!$F$6=1),(Inputs!$H$6+Inputs!$L$6*(((Inputs!$I$6+(((A9)+1)/2)*(Inputs!$J$6-Inputs!$I$6)))/Inputs!$K$6)^2),NA())</f>
        <v>403.54945600000002</v>
      </c>
      <c r="C9" s="9">
        <f>IF(OR(Inputs!$F$7=TRUE,Inputs!$F$7="TRUE",Inputs!$F$7=1),(Inputs!$H$7+Inputs!$L$7*(((Inputs!$I$7+(((A9)+1)/2)*(Inputs!$J$7-Inputs!$I$7)))/Inputs!$K$7)^2),NA())</f>
        <v>358.88785999999988</v>
      </c>
      <c r="D9" s="9">
        <f>IF(OR(Inputs!$F$8=TRUE,Inputs!$F$8="TRUE",Inputs!$F$8=1),(Inputs!$H$8+Inputs!$L$8*(((Inputs!$I$8+(((A9)+1)/2)*(Inputs!$J$8-Inputs!$I$8)))/Inputs!$K$8)^2),NA())</f>
        <v>891.30625999999972</v>
      </c>
      <c r="E9" s="9">
        <f>IF(OR(Inputs!$F$9=TRUE,Inputs!$F$9="TRUE",Inputs!$F$9=1),(Inputs!$H$9+Inputs!$L$9*(((Inputs!$I$9+(((A9)+1)/2)*(Inputs!$J$9-Inputs!$I$9)))/Inputs!$K$9)^2),NA())</f>
        <v>890.17989999999975</v>
      </c>
      <c r="F9" s="10"/>
      <c r="G9" s="9">
        <f t="shared" si="0"/>
        <v>-0.94199999999999995</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c r="L9" s="10"/>
      <c r="M9" s="9">
        <f t="shared" si="1"/>
        <v>-0.94199999999999995</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476.54529972214686</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3352.6375502318347</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4419.4421344660823</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4449.9957090469306</v>
      </c>
      <c r="R9" s="10"/>
      <c r="S9" s="9">
        <f t="shared" si="2"/>
        <v>-0.94199999999999995</v>
      </c>
      <c r="T9" s="9">
        <f>(Inputs!$I$6+(((A9)+1)/2)*(Inputs!$J$6-Inputs!$I$6))</f>
        <v>-56.519999999999996</v>
      </c>
      <c r="U9" s="9">
        <f>(Inputs!$I$7+(((A9)+1)/2)*(Inputs!$J$7-Inputs!$I$7))</f>
        <v>-376.79999999999995</v>
      </c>
      <c r="V9" s="9">
        <f>(Inputs!$I$8+(((A9)+1)/2)*(Inputs!$J$8-Inputs!$I$8))</f>
        <v>-753.59999999999991</v>
      </c>
      <c r="W9" s="9">
        <f>(Inputs!$I$9+(((A9)+1)/2)*(Inputs!$J$9-Inputs!$I$9))</f>
        <v>-753.59999999999991</v>
      </c>
      <c r="X9" s="10"/>
      <c r="Y9" s="9">
        <f t="shared" si="3"/>
        <v>-0.94199999999999995</v>
      </c>
      <c r="Z9" s="9">
        <f>(Inputs!$H$6+Inputs!$L$6*(((Inputs!$I$6+(((A9)+1)/2)*(Inputs!$J$6-Inputs!$I$6)))/Inputs!$K$6)^2)</f>
        <v>403.54945600000002</v>
      </c>
      <c r="AA9" s="9">
        <f>(Inputs!$H$7+Inputs!$L$7*(((Inputs!$I$7+(((A9)+1)/2)*(Inputs!$J$7-Inputs!$I$7)))/Inputs!$K$7)^2)</f>
        <v>358.88785999999988</v>
      </c>
      <c r="AB9" s="9">
        <f>(Inputs!$H$8+Inputs!$L$8*(((Inputs!$I$8+(((A9)+1)/2)*(Inputs!$J$8-Inputs!$I$8)))/Inputs!$K$8)^2)</f>
        <v>891.30625999999972</v>
      </c>
      <c r="AC9" s="9">
        <f>(Inputs!$H$9+Inputs!$L$9*(((Inputs!$I$9+(((A9)+1)/2)*(Inputs!$J$9-Inputs!$I$9)))/Inputs!$K$9)^2)</f>
        <v>890.17989999999975</v>
      </c>
      <c r="AD9" s="10"/>
      <c r="AE9" s="9">
        <f t="shared" si="4"/>
        <v>-0.94199999999999995</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3321.28489653817</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107794.96717721704</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225354.85545907478</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225463.88768239436</v>
      </c>
      <c r="AJ9" s="10"/>
      <c r="AK9" s="9">
        <f t="shared" si="5"/>
        <v>-0.94199999999999995</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476.54529972214686</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3352.6375502318347</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4419.4421344660823</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4449.9957090469306</v>
      </c>
      <c r="AP9" s="10"/>
      <c r="AQ9" s="9">
        <f t="shared" si="6"/>
        <v>-0.94199999999999995</v>
      </c>
      <c r="AR9" s="9">
        <f>0</f>
        <v>0</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140.9527367401792</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157.24567497702179</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217.91719518190024</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217.91719518190024</v>
      </c>
      <c r="AW9" s="10"/>
      <c r="AX9" s="9">
        <f t="shared" si="7"/>
        <v>-0.94199999999999995</v>
      </c>
      <c r="AY9" s="9">
        <f>0</f>
        <v>0</v>
      </c>
      <c r="AZ9" s="9">
        <f>IF(OR(Inputs!$F$6=TRUE,Inputs!$F$6="TRUE",Inputs!$F$6=1),(Inputs!$H$6+Inputs!$L$6*(((Inputs!$I$6+(((A9)+1)/2)*(Inputs!$J$6-Inputs!$I$6)))/Inputs!$K$6)^2),NA())</f>
        <v>403.54945600000002</v>
      </c>
      <c r="BA9" s="9">
        <f>IF(OR(Inputs!$F$7=TRUE,Inputs!$F$7="TRUE",Inputs!$F$7=1),(Inputs!$H$7+Inputs!$L$7*(((Inputs!$I$7+(((A9)+1)/2)*(Inputs!$J$7-Inputs!$I$7)))/Inputs!$K$7)^2),NA())</f>
        <v>358.88785999999988</v>
      </c>
      <c r="BB9" s="9">
        <f>IF(OR(Inputs!$F$8=TRUE,Inputs!$F$8="TRUE",Inputs!$F$8=1),(Inputs!$H$8+Inputs!$L$8*(((Inputs!$I$8+(((A9)+1)/2)*(Inputs!$J$8-Inputs!$I$8)))/Inputs!$K$8)^2),NA())</f>
        <v>891.30625999999972</v>
      </c>
      <c r="BC9" s="9">
        <f>IF(OR(Inputs!$F$9=TRUE,Inputs!$F$9="TRUE",Inputs!$F$9=1),(Inputs!$H$9+Inputs!$L$9*(((Inputs!$I$9+(((A9)+1)/2)*(Inputs!$J$9-Inputs!$I$9)))/Inputs!$K$9)^2),NA())</f>
        <v>890.17989999999975</v>
      </c>
      <c r="BD9" s="10"/>
      <c r="BE9" s="9">
        <f t="shared" si="8"/>
        <v>-0.94199999999999995</v>
      </c>
      <c r="BF9" s="9">
        <f>0</f>
        <v>0</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row>
    <row r="10" spans="1:62">
      <c r="A10" s="9">
        <f>ROUND(-1+8*2/240,3)</f>
        <v>-0.93300000000000005</v>
      </c>
      <c r="B10" s="9">
        <f>IF(OR(Inputs!$F$6=TRUE,Inputs!$F$6="TRUE",Inputs!$F$6=1),(Inputs!$H$6+Inputs!$L$6*(((Inputs!$I$6+(((A10)+1)/2)*(Inputs!$J$6-Inputs!$I$6)))/Inputs!$K$6)^2),NA())</f>
        <v>403.48195600000003</v>
      </c>
      <c r="C10" s="9">
        <f>IF(OR(Inputs!$F$7=TRUE,Inputs!$F$7="TRUE",Inputs!$F$7=1),(Inputs!$H$7+Inputs!$L$7*(((Inputs!$I$7+(((A10)+1)/2)*(Inputs!$J$7-Inputs!$I$7)))/Inputs!$K$7)^2),NA())</f>
        <v>352.72848500000009</v>
      </c>
      <c r="D10" s="9">
        <f>IF(OR(Inputs!$F$8=TRUE,Inputs!$F$8="TRUE",Inputs!$F$8=1),(Inputs!$H$8+Inputs!$L$8*(((Inputs!$I$8+(((A10)+1)/2)*(Inputs!$J$8-Inputs!$I$8)))/Inputs!$K$8)^2),NA())</f>
        <v>875.02188500000022</v>
      </c>
      <c r="E10" s="9">
        <f>IF(OR(Inputs!$F$9=TRUE,Inputs!$F$9="TRUE",Inputs!$F$9=1),(Inputs!$H$9+Inputs!$L$9*(((Inputs!$I$9+(((A10)+1)/2)*(Inputs!$J$9-Inputs!$I$9)))/Inputs!$K$9)^2),NA())</f>
        <v>873.72677500000032</v>
      </c>
      <c r="F10" s="10"/>
      <c r="G10" s="9">
        <f t="shared" si="0"/>
        <v>-0.93300000000000005</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c r="L10" s="10"/>
      <c r="M10" s="9">
        <f t="shared" si="1"/>
        <v>-0.93300000000000005</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472.12632473724898</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3327.308259194152</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4381.4698374271329</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4411.5222888106046</v>
      </c>
      <c r="R10" s="10"/>
      <c r="S10" s="9">
        <f t="shared" si="2"/>
        <v>-0.93300000000000005</v>
      </c>
      <c r="T10" s="9">
        <f>(Inputs!$I$6+(((A10)+1)/2)*(Inputs!$J$6-Inputs!$I$6))</f>
        <v>-55.980000000000004</v>
      </c>
      <c r="U10" s="9">
        <f>(Inputs!$I$7+(((A10)+1)/2)*(Inputs!$J$7-Inputs!$I$7))</f>
        <v>-373.20000000000005</v>
      </c>
      <c r="V10" s="9">
        <f>(Inputs!$I$8+(((A10)+1)/2)*(Inputs!$J$8-Inputs!$I$8))</f>
        <v>-746.40000000000009</v>
      </c>
      <c r="W10" s="9">
        <f>(Inputs!$I$9+(((A10)+1)/2)*(Inputs!$J$9-Inputs!$I$9))</f>
        <v>-746.40000000000009</v>
      </c>
      <c r="X10" s="10"/>
      <c r="Y10" s="9">
        <f t="shared" si="3"/>
        <v>-0.93300000000000005</v>
      </c>
      <c r="Z10" s="9">
        <f>(Inputs!$H$6+Inputs!$L$6*(((Inputs!$I$6+(((A10)+1)/2)*(Inputs!$J$6-Inputs!$I$6)))/Inputs!$K$6)^2)</f>
        <v>403.48195600000003</v>
      </c>
      <c r="AA10" s="9">
        <f>(Inputs!$H$7+Inputs!$L$7*(((Inputs!$I$7+(((A10)+1)/2)*(Inputs!$J$7-Inputs!$I$7)))/Inputs!$K$7)^2)</f>
        <v>352.72848500000009</v>
      </c>
      <c r="AB10" s="9">
        <f>(Inputs!$H$8+Inputs!$L$8*(((Inputs!$I$8+(((A10)+1)/2)*(Inputs!$J$8-Inputs!$I$8)))/Inputs!$K$8)^2)</f>
        <v>875.02188500000022</v>
      </c>
      <c r="AC10" s="9">
        <f>(Inputs!$H$9+Inputs!$L$9*(((Inputs!$I$9+(((A10)+1)/2)*(Inputs!$J$9-Inputs!$I$9)))/Inputs!$K$9)^2)</f>
        <v>873.72677500000032</v>
      </c>
      <c r="AD10" s="10"/>
      <c r="AE10" s="9">
        <f t="shared" si="4"/>
        <v>-0.93300000000000005</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3269.2689183040475</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107033.4229070712</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223378.64387405742</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223505.87020606681</v>
      </c>
      <c r="AJ10" s="10"/>
      <c r="AK10" s="9">
        <f t="shared" si="5"/>
        <v>-0.93300000000000005</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472.12632473724898</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3327.308259194152</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4381.4698374271329</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4411.5222888106046</v>
      </c>
      <c r="AP10" s="10"/>
      <c r="AQ10" s="9">
        <f t="shared" si="6"/>
        <v>-0.93300000000000005</v>
      </c>
      <c r="AR10" s="9">
        <f>0</f>
        <v>0</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158.71734786173539</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159.02725882386267</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118.83044536284511</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118.83044536284511</v>
      </c>
      <c r="AW10" s="10"/>
      <c r="AX10" s="9">
        <f t="shared" si="7"/>
        <v>-0.93300000000000005</v>
      </c>
      <c r="AY10" s="9">
        <f>0</f>
        <v>0</v>
      </c>
      <c r="AZ10" s="9">
        <f>IF(OR(Inputs!$F$6=TRUE,Inputs!$F$6="TRUE",Inputs!$F$6=1),(Inputs!$H$6+Inputs!$L$6*(((Inputs!$I$6+(((A10)+1)/2)*(Inputs!$J$6-Inputs!$I$6)))/Inputs!$K$6)^2),NA())</f>
        <v>403.48195600000003</v>
      </c>
      <c r="BA10" s="9">
        <f>IF(OR(Inputs!$F$7=TRUE,Inputs!$F$7="TRUE",Inputs!$F$7=1),(Inputs!$H$7+Inputs!$L$7*(((Inputs!$I$7+(((A10)+1)/2)*(Inputs!$J$7-Inputs!$I$7)))/Inputs!$K$7)^2),NA())</f>
        <v>352.72848500000009</v>
      </c>
      <c r="BB10" s="9">
        <f>IF(OR(Inputs!$F$8=TRUE,Inputs!$F$8="TRUE",Inputs!$F$8=1),(Inputs!$H$8+Inputs!$L$8*(((Inputs!$I$8+(((A10)+1)/2)*(Inputs!$J$8-Inputs!$I$8)))/Inputs!$K$8)^2),NA())</f>
        <v>875.02188500000022</v>
      </c>
      <c r="BC10" s="9">
        <f>IF(OR(Inputs!$F$9=TRUE,Inputs!$F$9="TRUE",Inputs!$F$9=1),(Inputs!$H$9+Inputs!$L$9*(((Inputs!$I$9+(((A10)+1)/2)*(Inputs!$J$9-Inputs!$I$9)))/Inputs!$K$9)^2),NA())</f>
        <v>873.72677500000032</v>
      </c>
      <c r="BD10" s="10"/>
      <c r="BE10" s="9">
        <f t="shared" si="8"/>
        <v>-0.93300000000000005</v>
      </c>
      <c r="BF10" s="9">
        <f>0</f>
        <v>0</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row>
    <row r="11" spans="1:62">
      <c r="A11" s="9">
        <f>ROUND(-1+9*2/240,3)</f>
        <v>-0.92500000000000004</v>
      </c>
      <c r="B11" s="9">
        <f>IF(OR(Inputs!$F$6=TRUE,Inputs!$F$6="TRUE",Inputs!$F$6=1),(Inputs!$H$6+Inputs!$L$6*(((Inputs!$I$6+(((A11)+1)/2)*(Inputs!$J$6-Inputs!$I$6)))/Inputs!$K$6)^2),NA())</f>
        <v>403.42250000000001</v>
      </c>
      <c r="C11" s="9">
        <f>IF(OR(Inputs!$F$7=TRUE,Inputs!$F$7="TRUE",Inputs!$F$7=1),(Inputs!$H$7+Inputs!$L$7*(((Inputs!$I$7+(((A11)+1)/2)*(Inputs!$J$7-Inputs!$I$7)))/Inputs!$K$7)^2),NA())</f>
        <v>347.30312500000002</v>
      </c>
      <c r="D11" s="9">
        <f>IF(OR(Inputs!$F$8=TRUE,Inputs!$F$8="TRUE",Inputs!$F$8=1),(Inputs!$H$8+Inputs!$L$8*(((Inputs!$I$8+(((A11)+1)/2)*(Inputs!$J$8-Inputs!$I$8)))/Inputs!$K$8)^2),NA())</f>
        <v>860.67812500000002</v>
      </c>
      <c r="E11" s="9">
        <f>IF(OR(Inputs!$F$9=TRUE,Inputs!$F$9="TRUE",Inputs!$F$9=1),(Inputs!$H$9+Inputs!$L$9*(((Inputs!$I$9+(((A11)+1)/2)*(Inputs!$J$9-Inputs!$I$9)))/Inputs!$K$9)^2),NA())</f>
        <v>859.23437500000011</v>
      </c>
      <c r="F11" s="10"/>
      <c r="G11" s="9">
        <f t="shared" si="0"/>
        <v>-0.92500000000000004</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c r="L11" s="10"/>
      <c r="M11" s="9">
        <f t="shared" si="1"/>
        <v>-0.92500000000000004</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468.19523497974569</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3304.8622070781798</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4347.762987975836</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4377.367906392089</v>
      </c>
      <c r="R11" s="10"/>
      <c r="S11" s="9">
        <f t="shared" si="2"/>
        <v>-0.92500000000000004</v>
      </c>
      <c r="T11" s="9">
        <f>(Inputs!$I$6+(((A11)+1)/2)*(Inputs!$J$6-Inputs!$I$6))</f>
        <v>-55.5</v>
      </c>
      <c r="U11" s="9">
        <f>(Inputs!$I$7+(((A11)+1)/2)*(Inputs!$J$7-Inputs!$I$7))</f>
        <v>-370</v>
      </c>
      <c r="V11" s="9">
        <f>(Inputs!$I$8+(((A11)+1)/2)*(Inputs!$J$8-Inputs!$I$8))</f>
        <v>-740</v>
      </c>
      <c r="W11" s="9">
        <f>(Inputs!$I$9+(((A11)+1)/2)*(Inputs!$J$9-Inputs!$I$9))</f>
        <v>-740</v>
      </c>
      <c r="X11" s="10"/>
      <c r="Y11" s="9">
        <f t="shared" si="3"/>
        <v>-0.92500000000000004</v>
      </c>
      <c r="Z11" s="9">
        <f>(Inputs!$H$6+Inputs!$L$6*(((Inputs!$I$6+(((A11)+1)/2)*(Inputs!$J$6-Inputs!$I$6)))/Inputs!$K$6)^2)</f>
        <v>403.42250000000001</v>
      </c>
      <c r="AA11" s="9">
        <f>(Inputs!$H$7+Inputs!$L$7*(((Inputs!$I$7+(((A11)+1)/2)*(Inputs!$J$7-Inputs!$I$7)))/Inputs!$K$7)^2)</f>
        <v>347.30312500000002</v>
      </c>
      <c r="AB11" s="9">
        <f>(Inputs!$H$8+Inputs!$L$8*(((Inputs!$I$8+(((A11)+1)/2)*(Inputs!$J$8-Inputs!$I$8)))/Inputs!$K$8)^2)</f>
        <v>860.67812500000002</v>
      </c>
      <c r="AC11" s="9">
        <f>(Inputs!$H$9+Inputs!$L$9*(((Inputs!$I$9+(((A11)+1)/2)*(Inputs!$J$9-Inputs!$I$9)))/Inputs!$K$9)^2)</f>
        <v>859.23437500000011</v>
      </c>
      <c r="AD11" s="10"/>
      <c r="AE11" s="9">
        <f t="shared" si="4"/>
        <v>-0.92500000000000004</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3223.4305436364602</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106355.44562941928</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221628.81755188678</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221772.51837865092</v>
      </c>
      <c r="AJ11" s="10"/>
      <c r="AK11" s="9">
        <f t="shared" si="5"/>
        <v>-0.92500000000000004</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468.19523497974569</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3304.8622070781798</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4347.762987975836</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4377.367906392089</v>
      </c>
      <c r="AP11" s="10"/>
      <c r="AQ11" s="9">
        <f t="shared" si="6"/>
        <v>-0.92500000000000004</v>
      </c>
      <c r="AR11" s="9">
        <f>0</f>
        <v>0</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160.57943103446084</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162.55768607297833</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152.39288583924349</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152.39288583924349</v>
      </c>
      <c r="AW11" s="10"/>
      <c r="AX11" s="9">
        <f t="shared" si="7"/>
        <v>-0.92500000000000004</v>
      </c>
      <c r="AY11" s="9">
        <f>0</f>
        <v>0</v>
      </c>
      <c r="AZ11" s="9">
        <f>IF(OR(Inputs!$F$6=TRUE,Inputs!$F$6="TRUE",Inputs!$F$6=1),(Inputs!$H$6+Inputs!$L$6*(((Inputs!$I$6+(((A11)+1)/2)*(Inputs!$J$6-Inputs!$I$6)))/Inputs!$K$6)^2),NA())</f>
        <v>403.42250000000001</v>
      </c>
      <c r="BA11" s="9">
        <f>IF(OR(Inputs!$F$7=TRUE,Inputs!$F$7="TRUE",Inputs!$F$7=1),(Inputs!$H$7+Inputs!$L$7*(((Inputs!$I$7+(((A11)+1)/2)*(Inputs!$J$7-Inputs!$I$7)))/Inputs!$K$7)^2),NA())</f>
        <v>347.30312500000002</v>
      </c>
      <c r="BB11" s="9">
        <f>IF(OR(Inputs!$F$8=TRUE,Inputs!$F$8="TRUE",Inputs!$F$8=1),(Inputs!$H$8+Inputs!$L$8*(((Inputs!$I$8+(((A11)+1)/2)*(Inputs!$J$8-Inputs!$I$8)))/Inputs!$K$8)^2),NA())</f>
        <v>860.67812500000002</v>
      </c>
      <c r="BC11" s="9">
        <f>IF(OR(Inputs!$F$9=TRUE,Inputs!$F$9="TRUE",Inputs!$F$9=1),(Inputs!$H$9+Inputs!$L$9*(((Inputs!$I$9+(((A11)+1)/2)*(Inputs!$J$9-Inputs!$I$9)))/Inputs!$K$9)^2),NA())</f>
        <v>859.23437500000011</v>
      </c>
      <c r="BD11" s="10"/>
      <c r="BE11" s="9">
        <f t="shared" si="8"/>
        <v>-0.92500000000000004</v>
      </c>
      <c r="BF11" s="9">
        <f>0</f>
        <v>0</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row>
    <row r="12" spans="1:62">
      <c r="A12" s="9">
        <f>ROUND(-1+10*2/240,3)</f>
        <v>-0.91700000000000004</v>
      </c>
      <c r="B12" s="9">
        <f>IF(OR(Inputs!$F$6=TRUE,Inputs!$F$6="TRUE",Inputs!$F$6=1),(Inputs!$H$6+Inputs!$L$6*(((Inputs!$I$6+(((A12)+1)/2)*(Inputs!$J$6-Inputs!$I$6)))/Inputs!$K$6)^2),NA())</f>
        <v>403.36355600000002</v>
      </c>
      <c r="C12" s="9">
        <f>IF(OR(Inputs!$F$7=TRUE,Inputs!$F$7="TRUE",Inputs!$F$7=1),(Inputs!$H$7+Inputs!$L$7*(((Inputs!$I$7+(((A12)+1)/2)*(Inputs!$J$7-Inputs!$I$7)))/Inputs!$K$7)^2),NA())</f>
        <v>341.92448500000006</v>
      </c>
      <c r="D12" s="9">
        <f>IF(OR(Inputs!$F$8=TRUE,Inputs!$F$8="TRUE",Inputs!$F$8=1),(Inputs!$H$8+Inputs!$L$8*(((Inputs!$I$8+(((A12)+1)/2)*(Inputs!$J$8-Inputs!$I$8)))/Inputs!$K$8)^2),NA())</f>
        <v>846.45788500000015</v>
      </c>
      <c r="E12" s="9">
        <f>IF(OR(Inputs!$F$9=TRUE,Inputs!$F$9="TRUE",Inputs!$F$9=1),(Inputs!$H$9+Inputs!$L$9*(((Inputs!$I$9+(((A12)+1)/2)*(Inputs!$J$9-Inputs!$I$9)))/Inputs!$K$9)^2),NA())</f>
        <v>844.86677500000008</v>
      </c>
      <c r="F12" s="10"/>
      <c r="G12" s="9">
        <f t="shared" si="0"/>
        <v>-0.91700000000000004</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c r="L12" s="10"/>
      <c r="M12" s="9">
        <f t="shared" si="1"/>
        <v>-0.91700000000000004</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464.26123721308306</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3282.4822344515364</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4314.1012956877585</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4343.2566910254172</v>
      </c>
      <c r="R12" s="10"/>
      <c r="S12" s="9">
        <f t="shared" si="2"/>
        <v>-0.91700000000000004</v>
      </c>
      <c r="T12" s="9">
        <f>(Inputs!$I$6+(((A12)+1)/2)*(Inputs!$J$6-Inputs!$I$6))</f>
        <v>-55.02</v>
      </c>
      <c r="U12" s="9">
        <f>(Inputs!$I$7+(((A12)+1)/2)*(Inputs!$J$7-Inputs!$I$7))</f>
        <v>-366.8</v>
      </c>
      <c r="V12" s="9">
        <f>(Inputs!$I$8+(((A12)+1)/2)*(Inputs!$J$8-Inputs!$I$8))</f>
        <v>-733.6</v>
      </c>
      <c r="W12" s="9">
        <f>(Inputs!$I$9+(((A12)+1)/2)*(Inputs!$J$9-Inputs!$I$9))</f>
        <v>-733.6</v>
      </c>
      <c r="X12" s="10"/>
      <c r="Y12" s="9">
        <f t="shared" si="3"/>
        <v>-0.91700000000000004</v>
      </c>
      <c r="Z12" s="9">
        <f>(Inputs!$H$6+Inputs!$L$6*(((Inputs!$I$6+(((A12)+1)/2)*(Inputs!$J$6-Inputs!$I$6)))/Inputs!$K$6)^2)</f>
        <v>403.36355600000002</v>
      </c>
      <c r="AA12" s="9">
        <f>(Inputs!$H$7+Inputs!$L$7*(((Inputs!$I$7+(((A12)+1)/2)*(Inputs!$J$7-Inputs!$I$7)))/Inputs!$K$7)^2)</f>
        <v>341.92448500000006</v>
      </c>
      <c r="AB12" s="9">
        <f>(Inputs!$H$8+Inputs!$L$8*(((Inputs!$I$8+(((A12)+1)/2)*(Inputs!$J$8-Inputs!$I$8)))/Inputs!$K$8)^2)</f>
        <v>846.45788500000015</v>
      </c>
      <c r="AC12" s="9">
        <f>(Inputs!$H$9+Inputs!$L$9*(((Inputs!$I$9+(((A12)+1)/2)*(Inputs!$J$9-Inputs!$I$9)))/Inputs!$K$9)^2)</f>
        <v>844.86677500000008</v>
      </c>
      <c r="AD12" s="10"/>
      <c r="AE12" s="9">
        <f t="shared" si="4"/>
        <v>-0.91700000000000004</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3177.9673170762962</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105676.40443464833</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219885.29324959021</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220045.7573940595</v>
      </c>
      <c r="AJ12" s="10"/>
      <c r="AK12" s="9">
        <f t="shared" si="5"/>
        <v>-0.91700000000000004</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464.26123721308306</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3282.4822344515364</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4314.1012956877585</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4343.2566910254172</v>
      </c>
      <c r="AP12" s="10"/>
      <c r="AQ12" s="9">
        <f t="shared" si="6"/>
        <v>-0.91700000000000004</v>
      </c>
      <c r="AR12" s="9">
        <f>0</f>
        <v>0</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188.12617506665845</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117.99053564077809</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182.22132501545047</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182.22132501545047</v>
      </c>
      <c r="AW12" s="10"/>
      <c r="AX12" s="9">
        <f t="shared" si="7"/>
        <v>-0.91700000000000004</v>
      </c>
      <c r="AY12" s="9">
        <f>0</f>
        <v>0</v>
      </c>
      <c r="AZ12" s="9">
        <f>IF(OR(Inputs!$F$6=TRUE,Inputs!$F$6="TRUE",Inputs!$F$6=1),(Inputs!$H$6+Inputs!$L$6*(((Inputs!$I$6+(((A12)+1)/2)*(Inputs!$J$6-Inputs!$I$6)))/Inputs!$K$6)^2),NA())</f>
        <v>403.36355600000002</v>
      </c>
      <c r="BA12" s="9">
        <f>IF(OR(Inputs!$F$7=TRUE,Inputs!$F$7="TRUE",Inputs!$F$7=1),(Inputs!$H$7+Inputs!$L$7*(((Inputs!$I$7+(((A12)+1)/2)*(Inputs!$J$7-Inputs!$I$7)))/Inputs!$K$7)^2),NA())</f>
        <v>341.92448500000006</v>
      </c>
      <c r="BB12" s="9">
        <f>IF(OR(Inputs!$F$8=TRUE,Inputs!$F$8="TRUE",Inputs!$F$8=1),(Inputs!$H$8+Inputs!$L$8*(((Inputs!$I$8+(((A12)+1)/2)*(Inputs!$J$8-Inputs!$I$8)))/Inputs!$K$8)^2),NA())</f>
        <v>846.45788500000015</v>
      </c>
      <c r="BC12" s="9">
        <f>IF(OR(Inputs!$F$9=TRUE,Inputs!$F$9="TRUE",Inputs!$F$9=1),(Inputs!$H$9+Inputs!$L$9*(((Inputs!$I$9+(((A12)+1)/2)*(Inputs!$J$9-Inputs!$I$9)))/Inputs!$K$9)^2),NA())</f>
        <v>844.86677500000008</v>
      </c>
      <c r="BD12" s="10"/>
      <c r="BE12" s="9">
        <f t="shared" si="8"/>
        <v>-0.91700000000000004</v>
      </c>
      <c r="BF12" s="9">
        <f>0</f>
        <v>0</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row>
    <row r="13" spans="1:62">
      <c r="A13" s="9">
        <f>ROUND(-1+11*2/240,3)</f>
        <v>-0.90800000000000003</v>
      </c>
      <c r="B13" s="9">
        <f>IF(OR(Inputs!$F$6=TRUE,Inputs!$F$6="TRUE",Inputs!$F$6=1),(Inputs!$H$6+Inputs!$L$6*(((Inputs!$I$6+(((A13)+1)/2)*(Inputs!$J$6-Inputs!$I$6)))/Inputs!$K$6)^2),NA())</f>
        <v>403.29785600000002</v>
      </c>
      <c r="C13" s="9">
        <f>IF(OR(Inputs!$F$7=TRUE,Inputs!$F$7="TRUE",Inputs!$F$7=1),(Inputs!$H$7+Inputs!$L$7*(((Inputs!$I$7+(((A13)+1)/2)*(Inputs!$J$7-Inputs!$I$7)))/Inputs!$K$7)^2),NA())</f>
        <v>335.92935999999997</v>
      </c>
      <c r="D13" s="9">
        <f>IF(OR(Inputs!$F$8=TRUE,Inputs!$F$8="TRUE",Inputs!$F$8=1),(Inputs!$H$8+Inputs!$L$8*(((Inputs!$I$8+(((A13)+1)/2)*(Inputs!$J$8-Inputs!$I$8)))/Inputs!$K$8)^2),NA())</f>
        <v>830.60775999999987</v>
      </c>
      <c r="E13" s="9">
        <f>IF(OR(Inputs!$F$9=TRUE,Inputs!$F$9="TRUE",Inputs!$F$9=1),(Inputs!$H$9+Inputs!$L$9*(((Inputs!$I$9+(((A13)+1)/2)*(Inputs!$J$9-Inputs!$I$9)))/Inputs!$K$9)^2),NA())</f>
        <v>828.85239999999988</v>
      </c>
      <c r="F13" s="10"/>
      <c r="G13" s="9">
        <f t="shared" si="0"/>
        <v>-0.90800000000000003</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c r="L13" s="10"/>
      <c r="M13" s="9">
        <f t="shared" si="1"/>
        <v>-0.90800000000000003</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459.83203891503172</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3257.3852775412938</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4276.2878080721894</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4304.9350845009967</v>
      </c>
      <c r="R13" s="10"/>
      <c r="S13" s="9">
        <f t="shared" si="2"/>
        <v>-0.90800000000000003</v>
      </c>
      <c r="T13" s="9">
        <f>(Inputs!$I$6+(((A13)+1)/2)*(Inputs!$J$6-Inputs!$I$6))</f>
        <v>-54.480000000000004</v>
      </c>
      <c r="U13" s="9">
        <f>(Inputs!$I$7+(((A13)+1)/2)*(Inputs!$J$7-Inputs!$I$7))</f>
        <v>-363.2</v>
      </c>
      <c r="V13" s="9">
        <f>(Inputs!$I$8+(((A13)+1)/2)*(Inputs!$J$8-Inputs!$I$8))</f>
        <v>-726.4</v>
      </c>
      <c r="W13" s="9">
        <f>(Inputs!$I$9+(((A13)+1)/2)*(Inputs!$J$9-Inputs!$I$9))</f>
        <v>-726.4</v>
      </c>
      <c r="X13" s="10"/>
      <c r="Y13" s="9">
        <f t="shared" si="3"/>
        <v>-0.90800000000000003</v>
      </c>
      <c r="Z13" s="9">
        <f>(Inputs!$H$6+Inputs!$L$6*(((Inputs!$I$6+(((A13)+1)/2)*(Inputs!$J$6-Inputs!$I$6)))/Inputs!$K$6)^2)</f>
        <v>403.29785600000002</v>
      </c>
      <c r="AA13" s="9">
        <f>(Inputs!$H$7+Inputs!$L$7*(((Inputs!$I$7+(((A13)+1)/2)*(Inputs!$J$7-Inputs!$I$7)))/Inputs!$K$7)^2)</f>
        <v>335.92935999999997</v>
      </c>
      <c r="AB13" s="9">
        <f>(Inputs!$H$8+Inputs!$L$8*(((Inputs!$I$8+(((A13)+1)/2)*(Inputs!$J$8-Inputs!$I$8)))/Inputs!$K$8)^2)</f>
        <v>830.60775999999987</v>
      </c>
      <c r="AC13" s="9">
        <f>(Inputs!$H$9+Inputs!$L$9*(((Inputs!$I$9+(((A13)+1)/2)*(Inputs!$J$9-Inputs!$I$9)))/Inputs!$K$9)^2)</f>
        <v>828.85239999999988</v>
      </c>
      <c r="AD13" s="10"/>
      <c r="AE13" s="9">
        <f t="shared" si="4"/>
        <v>-0.90800000000000003</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3127.2702144169825</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104911.11802230598</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217931.23263736616</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218110.90634826018</v>
      </c>
      <c r="AJ13" s="10"/>
      <c r="AK13" s="9">
        <f t="shared" si="5"/>
        <v>-0.90800000000000003</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459.83203891503172</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3257.3852775412938</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4276.2878080721894</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4304.9350845009967</v>
      </c>
      <c r="AP13" s="10"/>
      <c r="AQ13" s="9">
        <f t="shared" si="6"/>
        <v>-0.90800000000000003</v>
      </c>
      <c r="AR13" s="9">
        <f>0</f>
        <v>0</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200.43223979041218</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70.344626166123348</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104.97982188840145</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104.97982188840145</v>
      </c>
      <c r="AW13" s="10"/>
      <c r="AX13" s="9">
        <f t="shared" si="7"/>
        <v>-0.90800000000000003</v>
      </c>
      <c r="AY13" s="9">
        <f>0</f>
        <v>0</v>
      </c>
      <c r="AZ13" s="9">
        <f>IF(OR(Inputs!$F$6=TRUE,Inputs!$F$6="TRUE",Inputs!$F$6=1),(Inputs!$H$6+Inputs!$L$6*(((Inputs!$I$6+(((A13)+1)/2)*(Inputs!$J$6-Inputs!$I$6)))/Inputs!$K$6)^2),NA())</f>
        <v>403.29785600000002</v>
      </c>
      <c r="BA13" s="9">
        <f>IF(OR(Inputs!$F$7=TRUE,Inputs!$F$7="TRUE",Inputs!$F$7=1),(Inputs!$H$7+Inputs!$L$7*(((Inputs!$I$7+(((A13)+1)/2)*(Inputs!$J$7-Inputs!$I$7)))/Inputs!$K$7)^2),NA())</f>
        <v>335.92935999999997</v>
      </c>
      <c r="BB13" s="9">
        <f>IF(OR(Inputs!$F$8=TRUE,Inputs!$F$8="TRUE",Inputs!$F$8=1),(Inputs!$H$8+Inputs!$L$8*(((Inputs!$I$8+(((A13)+1)/2)*(Inputs!$J$8-Inputs!$I$8)))/Inputs!$K$8)^2),NA())</f>
        <v>830.60775999999987</v>
      </c>
      <c r="BC13" s="9">
        <f>IF(OR(Inputs!$F$9=TRUE,Inputs!$F$9="TRUE",Inputs!$F$9=1),(Inputs!$H$9+Inputs!$L$9*(((Inputs!$I$9+(((A13)+1)/2)*(Inputs!$J$9-Inputs!$I$9)))/Inputs!$K$9)^2),NA())</f>
        <v>828.85239999999988</v>
      </c>
      <c r="BD13" s="10"/>
      <c r="BE13" s="9">
        <f t="shared" si="8"/>
        <v>-0.90800000000000003</v>
      </c>
      <c r="BF13" s="9">
        <f>0</f>
        <v>0</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row>
    <row r="14" spans="1:62">
      <c r="A14" s="9">
        <f>ROUND(-1+12*2/240,3)</f>
        <v>-0.9</v>
      </c>
      <c r="B14" s="9">
        <f>IF(OR(Inputs!$F$6=TRUE,Inputs!$F$6="TRUE",Inputs!$F$6=1),(Inputs!$H$6+Inputs!$L$6*(((Inputs!$I$6+(((A14)+1)/2)*(Inputs!$J$6-Inputs!$I$6)))/Inputs!$K$6)^2),NA())</f>
        <v>403.24</v>
      </c>
      <c r="C14" s="9">
        <f>IF(OR(Inputs!$F$7=TRUE,Inputs!$F$7="TRUE",Inputs!$F$7=1),(Inputs!$H$7+Inputs!$L$7*(((Inputs!$I$7+(((A14)+1)/2)*(Inputs!$J$7-Inputs!$I$7)))/Inputs!$K$7)^2),NA())</f>
        <v>330.65000000000003</v>
      </c>
      <c r="D14" s="9">
        <f>IF(OR(Inputs!$F$8=TRUE,Inputs!$F$8="TRUE",Inputs!$F$8=1),(Inputs!$H$8+Inputs!$L$8*(((Inputs!$I$8+(((A14)+1)/2)*(Inputs!$J$8-Inputs!$I$8)))/Inputs!$K$8)^2),NA())</f>
        <v>816.65000000000009</v>
      </c>
      <c r="E14" s="9">
        <f>IF(OR(Inputs!$F$9=TRUE,Inputs!$F$9="TRUE",Inputs!$F$9=1),(Inputs!$H$9+Inputs!$L$9*(((Inputs!$I$9+(((A14)+1)/2)*(Inputs!$J$9-Inputs!$I$9)))/Inputs!$K$9)^2),NA())</f>
        <v>814.75</v>
      </c>
      <c r="F14" s="10"/>
      <c r="G14" s="9">
        <f t="shared" si="0"/>
        <v>-0.9</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c r="L14" s="10"/>
      <c r="M14" s="9">
        <f t="shared" si="1"/>
        <v>-0.9</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455.8919288810024</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3235.1498150588423</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4242.7272939095474</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4270.920747988047</v>
      </c>
      <c r="R14" s="10"/>
      <c r="S14" s="9">
        <f t="shared" si="2"/>
        <v>-0.9</v>
      </c>
      <c r="T14" s="9">
        <f>(Inputs!$I$6+(((A14)+1)/2)*(Inputs!$J$6-Inputs!$I$6))</f>
        <v>-54</v>
      </c>
      <c r="U14" s="9">
        <f>(Inputs!$I$7+(((A14)+1)/2)*(Inputs!$J$7-Inputs!$I$7))</f>
        <v>-360</v>
      </c>
      <c r="V14" s="9">
        <f>(Inputs!$I$8+(((A14)+1)/2)*(Inputs!$J$8-Inputs!$I$8))</f>
        <v>-720</v>
      </c>
      <c r="W14" s="9">
        <f>(Inputs!$I$9+(((A14)+1)/2)*(Inputs!$J$9-Inputs!$I$9))</f>
        <v>-720</v>
      </c>
      <c r="X14" s="10"/>
      <c r="Y14" s="9">
        <f t="shared" si="3"/>
        <v>-0.9</v>
      </c>
      <c r="Z14" s="9">
        <f>(Inputs!$H$6+Inputs!$L$6*(((Inputs!$I$6+(((A14)+1)/2)*(Inputs!$J$6-Inputs!$I$6)))/Inputs!$K$6)^2)</f>
        <v>403.24</v>
      </c>
      <c r="AA14" s="9">
        <f>(Inputs!$H$7+Inputs!$L$7*(((Inputs!$I$7+(((A14)+1)/2)*(Inputs!$J$7-Inputs!$I$7)))/Inputs!$K$7)^2)</f>
        <v>330.65000000000003</v>
      </c>
      <c r="AB14" s="9">
        <f>(Inputs!$H$8+Inputs!$L$8*(((Inputs!$I$8+(((A14)+1)/2)*(Inputs!$J$8-Inputs!$I$8)))/Inputs!$K$8)^2)</f>
        <v>816.65000000000009</v>
      </c>
      <c r="AC14" s="9">
        <f>(Inputs!$H$9+Inputs!$L$9*(((Inputs!$I$9+(((A14)+1)/2)*(Inputs!$J$9-Inputs!$I$9)))/Inputs!$K$9)^2)</f>
        <v>814.75</v>
      </c>
      <c r="AD14" s="10"/>
      <c r="AE14" s="9">
        <f t="shared" si="4"/>
        <v>-0.9</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3082.6057950139202</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104229.56547339146</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216200.75299642081</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216397.8187620005</v>
      </c>
      <c r="AJ14" s="10"/>
      <c r="AK14" s="9">
        <f t="shared" si="5"/>
        <v>-0.9</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455.8919288810024</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3235.1498150588423</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4242.7272939095474</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4270.920747988047</v>
      </c>
      <c r="AP14" s="10"/>
      <c r="AQ14" s="9">
        <f t="shared" si="6"/>
        <v>-0.9</v>
      </c>
      <c r="AR14" s="9">
        <f>0</f>
        <v>0</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196.39629745562698</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99.304958653156305</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114.68773835895462</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114.68773835895462</v>
      </c>
      <c r="AW14" s="10"/>
      <c r="AX14" s="9">
        <f t="shared" si="7"/>
        <v>-0.9</v>
      </c>
      <c r="AY14" s="9">
        <f>0</f>
        <v>0</v>
      </c>
      <c r="AZ14" s="9">
        <f>IF(OR(Inputs!$F$6=TRUE,Inputs!$F$6="TRUE",Inputs!$F$6=1),(Inputs!$H$6+Inputs!$L$6*(((Inputs!$I$6+(((A14)+1)/2)*(Inputs!$J$6-Inputs!$I$6)))/Inputs!$K$6)^2),NA())</f>
        <v>403.24</v>
      </c>
      <c r="BA14" s="9">
        <f>IF(OR(Inputs!$F$7=TRUE,Inputs!$F$7="TRUE",Inputs!$F$7=1),(Inputs!$H$7+Inputs!$L$7*(((Inputs!$I$7+(((A14)+1)/2)*(Inputs!$J$7-Inputs!$I$7)))/Inputs!$K$7)^2),NA())</f>
        <v>330.65000000000003</v>
      </c>
      <c r="BB14" s="9">
        <f>IF(OR(Inputs!$F$8=TRUE,Inputs!$F$8="TRUE",Inputs!$F$8=1),(Inputs!$H$8+Inputs!$L$8*(((Inputs!$I$8+(((A14)+1)/2)*(Inputs!$J$8-Inputs!$I$8)))/Inputs!$K$8)^2),NA())</f>
        <v>816.65000000000009</v>
      </c>
      <c r="BC14" s="9">
        <f>IF(OR(Inputs!$F$9=TRUE,Inputs!$F$9="TRUE",Inputs!$F$9=1),(Inputs!$H$9+Inputs!$L$9*(((Inputs!$I$9+(((A14)+1)/2)*(Inputs!$J$9-Inputs!$I$9)))/Inputs!$K$9)^2),NA())</f>
        <v>814.75</v>
      </c>
      <c r="BD14" s="10"/>
      <c r="BE14" s="9">
        <f t="shared" si="8"/>
        <v>-0.9</v>
      </c>
      <c r="BF14" s="9">
        <f>0</f>
        <v>0</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row>
    <row r="15" spans="1:62">
      <c r="A15" s="9">
        <f>ROUND(-1+13*2/240,3)</f>
        <v>-0.89200000000000002</v>
      </c>
      <c r="B15" s="9">
        <f>IF(OR(Inputs!$F$6=TRUE,Inputs!$F$6="TRUE",Inputs!$F$6=1),(Inputs!$H$6+Inputs!$L$6*(((Inputs!$I$6+(((A15)+1)/2)*(Inputs!$J$6-Inputs!$I$6)))/Inputs!$K$6)^2),NA())</f>
        <v>403.18265600000001</v>
      </c>
      <c r="C15" s="9">
        <f>IF(OR(Inputs!$F$7=TRUE,Inputs!$F$7="TRUE",Inputs!$F$7=1),(Inputs!$H$7+Inputs!$L$7*(((Inputs!$I$7+(((A15)+1)/2)*(Inputs!$J$7-Inputs!$I$7)))/Inputs!$K$7)^2),NA())</f>
        <v>325.41736000000003</v>
      </c>
      <c r="D15" s="9">
        <f>IF(OR(Inputs!$F$8=TRUE,Inputs!$F$8="TRUE",Inputs!$F$8=1),(Inputs!$H$8+Inputs!$L$8*(((Inputs!$I$8+(((A15)+1)/2)*(Inputs!$J$8-Inputs!$I$8)))/Inputs!$K$8)^2),NA())</f>
        <v>802.81576000000007</v>
      </c>
      <c r="E15" s="9">
        <f>IF(OR(Inputs!$F$9=TRUE,Inputs!$F$9="TRUE",Inputs!$F$9=1),(Inputs!$H$9+Inputs!$L$9*(((Inputs!$I$9+(((A15)+1)/2)*(Inputs!$J$9-Inputs!$I$9)))/Inputs!$K$9)^2),NA())</f>
        <v>800.77240000000006</v>
      </c>
      <c r="F15" s="10"/>
      <c r="G15" s="9">
        <f t="shared" si="0"/>
        <v>-0.89200000000000002</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c r="L15" s="10"/>
      <c r="M15" s="9">
        <f t="shared" si="1"/>
        <v>-0.89200000000000002</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451.94897438622047</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3212.9843204784943</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4209.2169401335141</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4236.954517109988</v>
      </c>
      <c r="R15" s="10"/>
      <c r="S15" s="9">
        <f t="shared" si="2"/>
        <v>-0.89200000000000002</v>
      </c>
      <c r="T15" s="9">
        <f>(Inputs!$I$6+(((A15)+1)/2)*(Inputs!$J$6-Inputs!$I$6))</f>
        <v>-53.52</v>
      </c>
      <c r="U15" s="9">
        <f>(Inputs!$I$7+(((A15)+1)/2)*(Inputs!$J$7-Inputs!$I$7))</f>
        <v>-356.8</v>
      </c>
      <c r="V15" s="9">
        <f>(Inputs!$I$8+(((A15)+1)/2)*(Inputs!$J$8-Inputs!$I$8))</f>
        <v>-713.6</v>
      </c>
      <c r="W15" s="9">
        <f>(Inputs!$I$9+(((A15)+1)/2)*(Inputs!$J$9-Inputs!$I$9))</f>
        <v>-713.6</v>
      </c>
      <c r="X15" s="10"/>
      <c r="Y15" s="9">
        <f t="shared" si="3"/>
        <v>-0.89200000000000002</v>
      </c>
      <c r="Z15" s="9">
        <f>(Inputs!$H$6+Inputs!$L$6*(((Inputs!$I$6+(((A15)+1)/2)*(Inputs!$J$6-Inputs!$I$6)))/Inputs!$K$6)^2)</f>
        <v>403.18265600000001</v>
      </c>
      <c r="AA15" s="9">
        <f>(Inputs!$H$7+Inputs!$L$7*(((Inputs!$I$7+(((A15)+1)/2)*(Inputs!$J$7-Inputs!$I$7)))/Inputs!$K$7)^2)</f>
        <v>325.41736000000003</v>
      </c>
      <c r="AB15" s="9">
        <f>(Inputs!$H$8+Inputs!$L$8*(((Inputs!$I$8+(((A15)+1)/2)*(Inputs!$J$8-Inputs!$I$8)))/Inputs!$K$8)^2)</f>
        <v>802.81576000000007</v>
      </c>
      <c r="AC15" s="9">
        <f>(Inputs!$H$9+Inputs!$L$9*(((Inputs!$I$9+(((A15)+1)/2)*(Inputs!$J$9-Inputs!$I$9)))/Inputs!$K$9)^2)</f>
        <v>800.77240000000006</v>
      </c>
      <c r="AD15" s="10"/>
      <c r="AE15" s="9">
        <f t="shared" si="4"/>
        <v>-0.89200000000000002</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3038.3180386405807</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103546.71021044368</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214476.24093521538</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214691.00178491714</v>
      </c>
      <c r="AJ15" s="10"/>
      <c r="AK15" s="9">
        <f t="shared" si="5"/>
        <v>-0.89200000000000002</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451.94897438622047</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3212.9843204784943</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4209.2169401335141</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4236.954517109988</v>
      </c>
      <c r="AP15" s="10"/>
      <c r="AQ15" s="9">
        <f t="shared" si="6"/>
        <v>-0.89200000000000002</v>
      </c>
      <c r="AR15" s="9">
        <f>0</f>
        <v>0</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223.50770882500376</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182.78083498257146</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177.61851874729905</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177.61851874729905</v>
      </c>
      <c r="AW15" s="10"/>
      <c r="AX15" s="9">
        <f t="shared" si="7"/>
        <v>-0.89200000000000002</v>
      </c>
      <c r="AY15" s="9">
        <f>0</f>
        <v>0</v>
      </c>
      <c r="AZ15" s="9">
        <f>IF(OR(Inputs!$F$6=TRUE,Inputs!$F$6="TRUE",Inputs!$F$6=1),(Inputs!$H$6+Inputs!$L$6*(((Inputs!$I$6+(((A15)+1)/2)*(Inputs!$J$6-Inputs!$I$6)))/Inputs!$K$6)^2),NA())</f>
        <v>403.18265600000001</v>
      </c>
      <c r="BA15" s="9">
        <f>IF(OR(Inputs!$F$7=TRUE,Inputs!$F$7="TRUE",Inputs!$F$7=1),(Inputs!$H$7+Inputs!$L$7*(((Inputs!$I$7+(((A15)+1)/2)*(Inputs!$J$7-Inputs!$I$7)))/Inputs!$K$7)^2),NA())</f>
        <v>325.41736000000003</v>
      </c>
      <c r="BB15" s="9">
        <f>IF(OR(Inputs!$F$8=TRUE,Inputs!$F$8="TRUE",Inputs!$F$8=1),(Inputs!$H$8+Inputs!$L$8*(((Inputs!$I$8+(((A15)+1)/2)*(Inputs!$J$8-Inputs!$I$8)))/Inputs!$K$8)^2),NA())</f>
        <v>802.81576000000007</v>
      </c>
      <c r="BC15" s="9">
        <f>IF(OR(Inputs!$F$9=TRUE,Inputs!$F$9="TRUE",Inputs!$F$9=1),(Inputs!$H$9+Inputs!$L$9*(((Inputs!$I$9+(((A15)+1)/2)*(Inputs!$J$9-Inputs!$I$9)))/Inputs!$K$9)^2),NA())</f>
        <v>800.77240000000006</v>
      </c>
      <c r="BD15" s="10"/>
      <c r="BE15" s="9">
        <f t="shared" si="8"/>
        <v>-0.89200000000000002</v>
      </c>
      <c r="BF15" s="9">
        <f>0</f>
        <v>0</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row>
    <row r="16" spans="1:62">
      <c r="A16" s="9">
        <f>ROUND(-1+14*2/240,3)</f>
        <v>-0.88300000000000001</v>
      </c>
      <c r="B16" s="9">
        <f>IF(OR(Inputs!$F$6=TRUE,Inputs!$F$6="TRUE",Inputs!$F$6=1),(Inputs!$H$6+Inputs!$L$6*(((Inputs!$I$6+(((A16)+1)/2)*(Inputs!$J$6-Inputs!$I$6)))/Inputs!$K$6)^2),NA())</f>
        <v>403.11875600000002</v>
      </c>
      <c r="C16" s="9">
        <f>IF(OR(Inputs!$F$7=TRUE,Inputs!$F$7="TRUE",Inputs!$F$7=1),(Inputs!$H$7+Inputs!$L$7*(((Inputs!$I$7+(((A16)+1)/2)*(Inputs!$J$7-Inputs!$I$7)))/Inputs!$K$7)^2),NA())</f>
        <v>319.58648499999998</v>
      </c>
      <c r="D16" s="9">
        <f>IF(OR(Inputs!$F$8=TRUE,Inputs!$F$8="TRUE",Inputs!$F$8=1),(Inputs!$H$8+Inputs!$L$8*(((Inputs!$I$8+(((A16)+1)/2)*(Inputs!$J$8-Inputs!$I$8)))/Inputs!$K$8)^2),NA())</f>
        <v>787.39988499999993</v>
      </c>
      <c r="E16" s="9">
        <f>IF(OR(Inputs!$F$9=TRUE,Inputs!$F$9="TRUE",Inputs!$F$9=1),(Inputs!$H$9+Inputs!$L$9*(((Inputs!$I$9+(((A16)+1)/2)*(Inputs!$J$9-Inputs!$I$9)))/Inputs!$K$9)^2),NA())</f>
        <v>785.196775</v>
      </c>
      <c r="F16" s="10"/>
      <c r="G16" s="9">
        <f t="shared" si="0"/>
        <v>-0.88300000000000001</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c r="L16" s="10"/>
      <c r="M16" s="9">
        <f t="shared" si="1"/>
        <v>-0.88300000000000001</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447.50977618499189</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3188.1333675801284</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4171.5798560885287</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4198.8020915207253</v>
      </c>
      <c r="R16" s="10"/>
      <c r="S16" s="9">
        <f t="shared" si="2"/>
        <v>-0.88300000000000001</v>
      </c>
      <c r="T16" s="9">
        <f>(Inputs!$I$6+(((A16)+1)/2)*(Inputs!$J$6-Inputs!$I$6))</f>
        <v>-52.980000000000004</v>
      </c>
      <c r="U16" s="9">
        <f>(Inputs!$I$7+(((A16)+1)/2)*(Inputs!$J$7-Inputs!$I$7))</f>
        <v>-353.2</v>
      </c>
      <c r="V16" s="9">
        <f>(Inputs!$I$8+(((A16)+1)/2)*(Inputs!$J$8-Inputs!$I$8))</f>
        <v>-706.4</v>
      </c>
      <c r="W16" s="9">
        <f>(Inputs!$I$9+(((A16)+1)/2)*(Inputs!$J$9-Inputs!$I$9))</f>
        <v>-706.4</v>
      </c>
      <c r="X16" s="10"/>
      <c r="Y16" s="9">
        <f t="shared" si="3"/>
        <v>-0.88300000000000001</v>
      </c>
      <c r="Z16" s="9">
        <f>(Inputs!$H$6+Inputs!$L$6*(((Inputs!$I$6+(((A16)+1)/2)*(Inputs!$J$6-Inputs!$I$6)))/Inputs!$K$6)^2)</f>
        <v>403.11875600000002</v>
      </c>
      <c r="AA16" s="9">
        <f>(Inputs!$H$7+Inputs!$L$7*(((Inputs!$I$7+(((A16)+1)/2)*(Inputs!$J$7-Inputs!$I$7)))/Inputs!$K$7)^2)</f>
        <v>319.58648499999998</v>
      </c>
      <c r="AB16" s="9">
        <f>(Inputs!$H$8+Inputs!$L$8*(((Inputs!$I$8+(((A16)+1)/2)*(Inputs!$J$8-Inputs!$I$8)))/Inputs!$K$8)^2)</f>
        <v>787.39988499999993</v>
      </c>
      <c r="AC16" s="9">
        <f>(Inputs!$H$9+Inputs!$L$9*(((Inputs!$I$9+(((A16)+1)/2)*(Inputs!$J$9-Inputs!$I$9)))/Inputs!$K$9)^2)</f>
        <v>785.196775</v>
      </c>
      <c r="AD16" s="10"/>
      <c r="AE16" s="9">
        <f t="shared" si="4"/>
        <v>-0.88300000000000001</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2988.9451373688594</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102776.84205371492</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212543.15513578642</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212778.190947783</v>
      </c>
      <c r="AJ16" s="10"/>
      <c r="AK16" s="9">
        <f t="shared" si="5"/>
        <v>-0.88300000000000001</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447.50977618499189</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3188.1333675801284</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4171.5798560885287</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4198.8020915207253</v>
      </c>
      <c r="AP16" s="10"/>
      <c r="AQ16" s="9">
        <f t="shared" si="6"/>
        <v>-0.88300000000000001</v>
      </c>
      <c r="AR16" s="9">
        <f>0</f>
        <v>0</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236.14608519318855</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188.81151651297253</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79.158377592328165</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79.158377592328165</v>
      </c>
      <c r="AW16" s="10"/>
      <c r="AX16" s="9">
        <f t="shared" si="7"/>
        <v>-0.88300000000000001</v>
      </c>
      <c r="AY16" s="9">
        <f>0</f>
        <v>0</v>
      </c>
      <c r="AZ16" s="9">
        <f>IF(OR(Inputs!$F$6=TRUE,Inputs!$F$6="TRUE",Inputs!$F$6=1),(Inputs!$H$6+Inputs!$L$6*(((Inputs!$I$6+(((A16)+1)/2)*(Inputs!$J$6-Inputs!$I$6)))/Inputs!$K$6)^2),NA())</f>
        <v>403.11875600000002</v>
      </c>
      <c r="BA16" s="9">
        <f>IF(OR(Inputs!$F$7=TRUE,Inputs!$F$7="TRUE",Inputs!$F$7=1),(Inputs!$H$7+Inputs!$L$7*(((Inputs!$I$7+(((A16)+1)/2)*(Inputs!$J$7-Inputs!$I$7)))/Inputs!$K$7)^2),NA())</f>
        <v>319.58648499999998</v>
      </c>
      <c r="BB16" s="9">
        <f>IF(OR(Inputs!$F$8=TRUE,Inputs!$F$8="TRUE",Inputs!$F$8=1),(Inputs!$H$8+Inputs!$L$8*(((Inputs!$I$8+(((A16)+1)/2)*(Inputs!$J$8-Inputs!$I$8)))/Inputs!$K$8)^2),NA())</f>
        <v>787.39988499999993</v>
      </c>
      <c r="BC16" s="9">
        <f>IF(OR(Inputs!$F$9=TRUE,Inputs!$F$9="TRUE",Inputs!$F$9=1),(Inputs!$H$9+Inputs!$L$9*(((Inputs!$I$9+(((A16)+1)/2)*(Inputs!$J$9-Inputs!$I$9)))/Inputs!$K$9)^2),NA())</f>
        <v>785.196775</v>
      </c>
      <c r="BD16" s="10"/>
      <c r="BE16" s="9">
        <f t="shared" si="8"/>
        <v>-0.88300000000000001</v>
      </c>
      <c r="BF16" s="9">
        <f>0</f>
        <v>0</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row>
    <row r="17" spans="1:62">
      <c r="A17" s="9">
        <f>ROUND(-1+15*2/240,3)</f>
        <v>-0.875</v>
      </c>
      <c r="B17" s="9">
        <f>IF(OR(Inputs!$F$6=TRUE,Inputs!$F$6="TRUE",Inputs!$F$6=1),(Inputs!$H$6+Inputs!$L$6*(((Inputs!$I$6+(((A17)+1)/2)*(Inputs!$J$6-Inputs!$I$6)))/Inputs!$K$6)^2),NA())</f>
        <v>403.0625</v>
      </c>
      <c r="C17" s="9">
        <f>IF(OR(Inputs!$F$7=TRUE,Inputs!$F$7="TRUE",Inputs!$F$7=1),(Inputs!$H$7+Inputs!$L$7*(((Inputs!$I$7+(((A17)+1)/2)*(Inputs!$J$7-Inputs!$I$7)))/Inputs!$K$7)^2),NA())</f>
        <v>314.453125</v>
      </c>
      <c r="D17" s="9">
        <f>IF(OR(Inputs!$F$8=TRUE,Inputs!$F$8="TRUE",Inputs!$F$8=1),(Inputs!$H$8+Inputs!$L$8*(((Inputs!$I$8+(((A17)+1)/2)*(Inputs!$J$8-Inputs!$I$8)))/Inputs!$K$8)^2),NA())</f>
        <v>773.828125</v>
      </c>
      <c r="E17" s="9">
        <f>IF(OR(Inputs!$F$9=TRUE,Inputs!$F$9="TRUE",Inputs!$F$9=1),(Inputs!$H$9+Inputs!$L$9*(((Inputs!$I$9+(((A17)+1)/2)*(Inputs!$J$9-Inputs!$I$9)))/Inputs!$K$9)^2),NA())</f>
        <v>771.484375</v>
      </c>
      <c r="F17" s="10"/>
      <c r="G17" s="9">
        <f t="shared" si="0"/>
        <v>-0.875</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c r="L17" s="10"/>
      <c r="M17" s="9">
        <f t="shared" si="1"/>
        <v>-0.875</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443.5608456764333</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3166.120827887401</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4138.1817626298189</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4164.9436923800185</v>
      </c>
      <c r="R17" s="10"/>
      <c r="S17" s="9">
        <f t="shared" si="2"/>
        <v>-0.875</v>
      </c>
      <c r="T17" s="9">
        <f>(Inputs!$I$6+(((A17)+1)/2)*(Inputs!$J$6-Inputs!$I$6))</f>
        <v>-52.5</v>
      </c>
      <c r="U17" s="9">
        <f>(Inputs!$I$7+(((A17)+1)/2)*(Inputs!$J$7-Inputs!$I$7))</f>
        <v>-350</v>
      </c>
      <c r="V17" s="9">
        <f>(Inputs!$I$8+(((A17)+1)/2)*(Inputs!$J$8-Inputs!$I$8))</f>
        <v>-700</v>
      </c>
      <c r="W17" s="9">
        <f>(Inputs!$I$9+(((A17)+1)/2)*(Inputs!$J$9-Inputs!$I$9))</f>
        <v>-700</v>
      </c>
      <c r="X17" s="10"/>
      <c r="Y17" s="9">
        <f t="shared" si="3"/>
        <v>-0.875</v>
      </c>
      <c r="Z17" s="9">
        <f>(Inputs!$H$6+Inputs!$L$6*(((Inputs!$I$6+(((A17)+1)/2)*(Inputs!$J$6-Inputs!$I$6)))/Inputs!$K$6)^2)</f>
        <v>403.0625</v>
      </c>
      <c r="AA17" s="9">
        <f>(Inputs!$H$7+Inputs!$L$7*(((Inputs!$I$7+(((A17)+1)/2)*(Inputs!$J$7-Inputs!$I$7)))/Inputs!$K$7)^2)</f>
        <v>314.453125</v>
      </c>
      <c r="AB17" s="9">
        <f>(Inputs!$H$8+Inputs!$L$8*(((Inputs!$I$8+(((A17)+1)/2)*(Inputs!$J$8-Inputs!$I$8)))/Inputs!$K$8)^2)</f>
        <v>773.828125</v>
      </c>
      <c r="AC17" s="9">
        <f>(Inputs!$H$9+Inputs!$L$9*(((Inputs!$I$9+(((A17)+1)/2)*(Inputs!$J$9-Inputs!$I$9)))/Inputs!$K$9)^2)</f>
        <v>771.484375</v>
      </c>
      <c r="AD17" s="10"/>
      <c r="AE17" s="9">
        <f t="shared" si="4"/>
        <v>-0.875</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2945.4593716191162</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102090.95330766609</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210830.93883993546</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211084.32912870904</v>
      </c>
      <c r="AJ17" s="10"/>
      <c r="AK17" s="9">
        <f t="shared" si="5"/>
        <v>-0.875</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443.5608456764333</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3166.120827887401</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4138.1817626298189</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4164.9436923800185</v>
      </c>
      <c r="AP17" s="10"/>
      <c r="AQ17" s="9">
        <f t="shared" si="6"/>
        <v>-0.875</v>
      </c>
      <c r="AR17" s="9">
        <f>0</f>
        <v>0</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228.48571186718385</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115.60367392194259</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170.48684029941694</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170.48684029941694</v>
      </c>
      <c r="AW17" s="10"/>
      <c r="AX17" s="9">
        <f t="shared" si="7"/>
        <v>-0.875</v>
      </c>
      <c r="AY17" s="9">
        <f>0</f>
        <v>0</v>
      </c>
      <c r="AZ17" s="9">
        <f>IF(OR(Inputs!$F$6=TRUE,Inputs!$F$6="TRUE",Inputs!$F$6=1),(Inputs!$H$6+Inputs!$L$6*(((Inputs!$I$6+(((A17)+1)/2)*(Inputs!$J$6-Inputs!$I$6)))/Inputs!$K$6)^2),NA())</f>
        <v>403.0625</v>
      </c>
      <c r="BA17" s="9">
        <f>IF(OR(Inputs!$F$7=TRUE,Inputs!$F$7="TRUE",Inputs!$F$7=1),(Inputs!$H$7+Inputs!$L$7*(((Inputs!$I$7+(((A17)+1)/2)*(Inputs!$J$7-Inputs!$I$7)))/Inputs!$K$7)^2),NA())</f>
        <v>314.453125</v>
      </c>
      <c r="BB17" s="9">
        <f>IF(OR(Inputs!$F$8=TRUE,Inputs!$F$8="TRUE",Inputs!$F$8=1),(Inputs!$H$8+Inputs!$L$8*(((Inputs!$I$8+(((A17)+1)/2)*(Inputs!$J$8-Inputs!$I$8)))/Inputs!$K$8)^2),NA())</f>
        <v>773.828125</v>
      </c>
      <c r="BC17" s="9">
        <f>IF(OR(Inputs!$F$9=TRUE,Inputs!$F$9="TRUE",Inputs!$F$9=1),(Inputs!$H$9+Inputs!$L$9*(((Inputs!$I$9+(((A17)+1)/2)*(Inputs!$J$9-Inputs!$I$9)))/Inputs!$K$9)^2),NA())</f>
        <v>771.484375</v>
      </c>
      <c r="BD17" s="10"/>
      <c r="BE17" s="9">
        <f t="shared" si="8"/>
        <v>-0.875</v>
      </c>
      <c r="BF17" s="9">
        <f>0</f>
        <v>0</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row>
    <row r="18" spans="1:62">
      <c r="A18" s="9">
        <f>ROUND(-1+16*2/240,3)</f>
        <v>-0.86699999999999999</v>
      </c>
      <c r="B18" s="9">
        <f>IF(OR(Inputs!$F$6=TRUE,Inputs!$F$6="TRUE",Inputs!$F$6=1),(Inputs!$H$6+Inputs!$L$6*(((Inputs!$I$6+(((A18)+1)/2)*(Inputs!$J$6-Inputs!$I$6)))/Inputs!$K$6)^2),NA())</f>
        <v>403.006756</v>
      </c>
      <c r="C18" s="9">
        <f>IF(OR(Inputs!$F$7=TRUE,Inputs!$F$7="TRUE",Inputs!$F$7=1),(Inputs!$H$7+Inputs!$L$7*(((Inputs!$I$7+(((A18)+1)/2)*(Inputs!$J$7-Inputs!$I$7)))/Inputs!$K$7)^2),NA())</f>
        <v>309.36648499999995</v>
      </c>
      <c r="D18" s="9">
        <f>IF(OR(Inputs!$F$8=TRUE,Inputs!$F$8="TRUE",Inputs!$F$8=1),(Inputs!$H$8+Inputs!$L$8*(((Inputs!$I$8+(((A18)+1)/2)*(Inputs!$J$8-Inputs!$I$8)))/Inputs!$K$8)^2),NA())</f>
        <v>760.37988499999994</v>
      </c>
      <c r="E18" s="9">
        <f>IF(OR(Inputs!$F$9=TRUE,Inputs!$F$9="TRUE",Inputs!$F$9=1),(Inputs!$H$9+Inputs!$L$9*(((Inputs!$I$9+(((A18)+1)/2)*(Inputs!$J$9-Inputs!$I$9)))/Inputs!$K$9)^2),NA())</f>
        <v>757.89677499999993</v>
      </c>
      <c r="F18" s="10"/>
      <c r="G18" s="9">
        <f t="shared" si="0"/>
        <v>-0.86699999999999999</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c r="L18" s="10"/>
      <c r="M18" s="9">
        <f t="shared" si="1"/>
        <v>-0.86699999999999999</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439.60913539338361</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3144.1823148638846</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4104.8392644860041</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4131.1387773292126</v>
      </c>
      <c r="R18" s="10"/>
      <c r="S18" s="9">
        <f t="shared" si="2"/>
        <v>-0.86699999999999999</v>
      </c>
      <c r="T18" s="9">
        <f>(Inputs!$I$6+(((A18)+1)/2)*(Inputs!$J$6-Inputs!$I$6))</f>
        <v>-52.019999999999996</v>
      </c>
      <c r="U18" s="9">
        <f>(Inputs!$I$7+(((A18)+1)/2)*(Inputs!$J$7-Inputs!$I$7))</f>
        <v>-346.8</v>
      </c>
      <c r="V18" s="9">
        <f>(Inputs!$I$8+(((A18)+1)/2)*(Inputs!$J$8-Inputs!$I$8))</f>
        <v>-693.6</v>
      </c>
      <c r="W18" s="9">
        <f>(Inputs!$I$9+(((A18)+1)/2)*(Inputs!$J$9-Inputs!$I$9))</f>
        <v>-693.6</v>
      </c>
      <c r="X18" s="10"/>
      <c r="Y18" s="9">
        <f t="shared" si="3"/>
        <v>-0.86699999999999999</v>
      </c>
      <c r="Z18" s="9">
        <f>(Inputs!$H$6+Inputs!$L$6*(((Inputs!$I$6+(((A18)+1)/2)*(Inputs!$J$6-Inputs!$I$6)))/Inputs!$K$6)^2)</f>
        <v>403.006756</v>
      </c>
      <c r="AA18" s="9">
        <f>(Inputs!$H$7+Inputs!$L$7*(((Inputs!$I$7+(((A18)+1)/2)*(Inputs!$J$7-Inputs!$I$7)))/Inputs!$K$7)^2)</f>
        <v>309.36648499999995</v>
      </c>
      <c r="AB18" s="9">
        <f>(Inputs!$H$8+Inputs!$L$8*(((Inputs!$I$8+(((A18)+1)/2)*(Inputs!$J$8-Inputs!$I$8)))/Inputs!$K$8)^2)</f>
        <v>760.37988499999994</v>
      </c>
      <c r="AC18" s="9">
        <f>(Inputs!$H$9+Inputs!$L$9*(((Inputs!$I$9+(((A18)+1)/2)*(Inputs!$J$9-Inputs!$I$9)))/Inputs!$K$9)^2)</f>
        <v>757.89677499999993</v>
      </c>
      <c r="AD18" s="10"/>
      <c r="AE18" s="9">
        <f t="shared" si="4"/>
        <v>-0.86699999999999999</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2902.351750049444</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101403.50909737479</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209124.31905376745</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209396.38148206475</v>
      </c>
      <c r="AJ18" s="10"/>
      <c r="AK18" s="9">
        <f t="shared" si="5"/>
        <v>-0.86699999999999999</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439.60913539338361</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3144.1823148638846</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4104.8392644860041</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4131.1387773292126</v>
      </c>
      <c r="AP18" s="10"/>
      <c r="AQ18" s="9">
        <f t="shared" si="6"/>
        <v>-0.86699999999999999</v>
      </c>
      <c r="AR18" s="9">
        <f>0</f>
        <v>0</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241.12752156253367</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88.350771713691643</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189.11252638510007</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189.11252638510007</v>
      </c>
      <c r="AW18" s="10"/>
      <c r="AX18" s="9">
        <f t="shared" si="7"/>
        <v>-0.86699999999999999</v>
      </c>
      <c r="AY18" s="9">
        <f>0</f>
        <v>0</v>
      </c>
      <c r="AZ18" s="9">
        <f>IF(OR(Inputs!$F$6=TRUE,Inputs!$F$6="TRUE",Inputs!$F$6=1),(Inputs!$H$6+Inputs!$L$6*(((Inputs!$I$6+(((A18)+1)/2)*(Inputs!$J$6-Inputs!$I$6)))/Inputs!$K$6)^2),NA())</f>
        <v>403.006756</v>
      </c>
      <c r="BA18" s="9">
        <f>IF(OR(Inputs!$F$7=TRUE,Inputs!$F$7="TRUE",Inputs!$F$7=1),(Inputs!$H$7+Inputs!$L$7*(((Inputs!$I$7+(((A18)+1)/2)*(Inputs!$J$7-Inputs!$I$7)))/Inputs!$K$7)^2),NA())</f>
        <v>309.36648499999995</v>
      </c>
      <c r="BB18" s="9">
        <f>IF(OR(Inputs!$F$8=TRUE,Inputs!$F$8="TRUE",Inputs!$F$8=1),(Inputs!$H$8+Inputs!$L$8*(((Inputs!$I$8+(((A18)+1)/2)*(Inputs!$J$8-Inputs!$I$8)))/Inputs!$K$8)^2),NA())</f>
        <v>760.37988499999994</v>
      </c>
      <c r="BC18" s="9">
        <f>IF(OR(Inputs!$F$9=TRUE,Inputs!$F$9="TRUE",Inputs!$F$9=1),(Inputs!$H$9+Inputs!$L$9*(((Inputs!$I$9+(((A18)+1)/2)*(Inputs!$J$9-Inputs!$I$9)))/Inputs!$K$9)^2),NA())</f>
        <v>757.89677499999993</v>
      </c>
      <c r="BD18" s="10"/>
      <c r="BE18" s="9">
        <f t="shared" si="8"/>
        <v>-0.86699999999999999</v>
      </c>
      <c r="BF18" s="9">
        <f>0</f>
        <v>0</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row>
    <row r="19" spans="1:62">
      <c r="A19" s="9">
        <f>ROUND(-1+17*2/240,3)</f>
        <v>-0.85799999999999998</v>
      </c>
      <c r="B19" s="9">
        <f>IF(OR(Inputs!$F$6=TRUE,Inputs!$F$6="TRUE",Inputs!$F$6=1),(Inputs!$H$6+Inputs!$L$6*(((Inputs!$I$6+(((A19)+1)/2)*(Inputs!$J$6-Inputs!$I$6)))/Inputs!$K$6)^2),NA())</f>
        <v>402.94465600000001</v>
      </c>
      <c r="C19" s="9">
        <f>IF(OR(Inputs!$F$7=TRUE,Inputs!$F$7="TRUE",Inputs!$F$7=1),(Inputs!$H$7+Inputs!$L$7*(((Inputs!$I$7+(((A19)+1)/2)*(Inputs!$J$7-Inputs!$I$7)))/Inputs!$K$7)^2),NA())</f>
        <v>303.69986</v>
      </c>
      <c r="D19" s="9">
        <f>IF(OR(Inputs!$F$8=TRUE,Inputs!$F$8="TRUE",Inputs!$F$8=1),(Inputs!$H$8+Inputs!$L$8*(((Inputs!$I$8+(((A19)+1)/2)*(Inputs!$J$8-Inputs!$I$8)))/Inputs!$K$8)^2),NA())</f>
        <v>745.39825999999994</v>
      </c>
      <c r="E19" s="9">
        <f>IF(OR(Inputs!$F$9=TRUE,Inputs!$F$9="TRUE",Inputs!$F$9=1),(Inputs!$H$9+Inputs!$L$9*(((Inputs!$I$9+(((A19)+1)/2)*(Inputs!$J$9-Inputs!$I$9)))/Inputs!$K$9)^2),NA())</f>
        <v>742.7598999999999</v>
      </c>
      <c r="F19" s="10"/>
      <c r="G19" s="9">
        <f t="shared" si="0"/>
        <v>-0.85799999999999998</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c r="L19" s="10"/>
      <c r="M19" s="9">
        <f t="shared" si="1"/>
        <v>-0.85799999999999998</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435.1601646990822</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3119.5916343745644</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4067.397696159519</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4093.1744466842042</v>
      </c>
      <c r="R19" s="10"/>
      <c r="S19" s="9">
        <f t="shared" si="2"/>
        <v>-0.85799999999999998</v>
      </c>
      <c r="T19" s="9">
        <f>(Inputs!$I$6+(((A19)+1)/2)*(Inputs!$J$6-Inputs!$I$6))</f>
        <v>-51.48</v>
      </c>
      <c r="U19" s="9">
        <f>(Inputs!$I$7+(((A19)+1)/2)*(Inputs!$J$7-Inputs!$I$7))</f>
        <v>-343.2</v>
      </c>
      <c r="V19" s="9">
        <f>(Inputs!$I$8+(((A19)+1)/2)*(Inputs!$J$8-Inputs!$I$8))</f>
        <v>-686.4</v>
      </c>
      <c r="W19" s="9">
        <f>(Inputs!$I$9+(((A19)+1)/2)*(Inputs!$J$9-Inputs!$I$9))</f>
        <v>-686.4</v>
      </c>
      <c r="X19" s="10"/>
      <c r="Y19" s="9">
        <f t="shared" si="3"/>
        <v>-0.85799999999999998</v>
      </c>
      <c r="Z19" s="9">
        <f>(Inputs!$H$6+Inputs!$L$6*(((Inputs!$I$6+(((A19)+1)/2)*(Inputs!$J$6-Inputs!$I$6)))/Inputs!$K$6)^2)</f>
        <v>402.94465600000001</v>
      </c>
      <c r="AA19" s="9">
        <f>(Inputs!$H$7+Inputs!$L$7*(((Inputs!$I$7+(((A19)+1)/2)*(Inputs!$J$7-Inputs!$I$7)))/Inputs!$K$7)^2)</f>
        <v>303.69986</v>
      </c>
      <c r="AB19" s="9">
        <f>(Inputs!$H$8+Inputs!$L$8*(((Inputs!$I$8+(((A19)+1)/2)*(Inputs!$J$8-Inputs!$I$8)))/Inputs!$K$8)^2)</f>
        <v>745.39825999999994</v>
      </c>
      <c r="AC19" s="9">
        <f>(Inputs!$H$9+Inputs!$L$9*(((Inputs!$I$9+(((A19)+1)/2)*(Inputs!$J$9-Inputs!$I$9)))/Inputs!$K$9)^2)</f>
        <v>742.7598999999999</v>
      </c>
      <c r="AD19" s="10"/>
      <c r="AE19" s="9">
        <f t="shared" si="4"/>
        <v>-0.85799999999999998</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2854.3082572559856</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100628.17054128625</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207210.90309610451</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207504.35731870699</v>
      </c>
      <c r="AJ19" s="10"/>
      <c r="AK19" s="9">
        <f t="shared" si="5"/>
        <v>-0.85799999999999998</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435.1601646990822</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3119.5916343745644</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4067.397696159519</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4093.1744466842042</v>
      </c>
      <c r="AP19" s="10"/>
      <c r="AQ19" s="9">
        <f t="shared" si="6"/>
        <v>-0.85799999999999998</v>
      </c>
      <c r="AR19" s="9">
        <f>0</f>
        <v>0</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254.77868261554545</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137.08031355213049</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84.845017262442468</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84.845017262442468</v>
      </c>
      <c r="AW19" s="10"/>
      <c r="AX19" s="9">
        <f t="shared" si="7"/>
        <v>-0.85799999999999998</v>
      </c>
      <c r="AY19" s="9">
        <f>0</f>
        <v>0</v>
      </c>
      <c r="AZ19" s="9">
        <f>IF(OR(Inputs!$F$6=TRUE,Inputs!$F$6="TRUE",Inputs!$F$6=1),(Inputs!$H$6+Inputs!$L$6*(((Inputs!$I$6+(((A19)+1)/2)*(Inputs!$J$6-Inputs!$I$6)))/Inputs!$K$6)^2),NA())</f>
        <v>402.94465600000001</v>
      </c>
      <c r="BA19" s="9">
        <f>IF(OR(Inputs!$F$7=TRUE,Inputs!$F$7="TRUE",Inputs!$F$7=1),(Inputs!$H$7+Inputs!$L$7*(((Inputs!$I$7+(((A19)+1)/2)*(Inputs!$J$7-Inputs!$I$7)))/Inputs!$K$7)^2),NA())</f>
        <v>303.69986</v>
      </c>
      <c r="BB19" s="9">
        <f>IF(OR(Inputs!$F$8=TRUE,Inputs!$F$8="TRUE",Inputs!$F$8=1),(Inputs!$H$8+Inputs!$L$8*(((Inputs!$I$8+(((A19)+1)/2)*(Inputs!$J$8-Inputs!$I$8)))/Inputs!$K$8)^2),NA())</f>
        <v>745.39825999999994</v>
      </c>
      <c r="BC19" s="9">
        <f>IF(OR(Inputs!$F$9=TRUE,Inputs!$F$9="TRUE",Inputs!$F$9=1),(Inputs!$H$9+Inputs!$L$9*(((Inputs!$I$9+(((A19)+1)/2)*(Inputs!$J$9-Inputs!$I$9)))/Inputs!$K$9)^2),NA())</f>
        <v>742.7598999999999</v>
      </c>
      <c r="BD19" s="10"/>
      <c r="BE19" s="9">
        <f t="shared" si="8"/>
        <v>-0.85799999999999998</v>
      </c>
      <c r="BF19" s="9">
        <f>0</f>
        <v>0</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row>
    <row r="20" spans="1:62">
      <c r="A20" s="9">
        <f>ROUND(-1+18*2/240,3)</f>
        <v>-0.85</v>
      </c>
      <c r="B20" s="9">
        <f>IF(OR(Inputs!$F$6=TRUE,Inputs!$F$6="TRUE",Inputs!$F$6=1),(Inputs!$H$6+Inputs!$L$6*(((Inputs!$I$6+(((A20)+1)/2)*(Inputs!$J$6-Inputs!$I$6)))/Inputs!$K$6)^2),NA())</f>
        <v>402.89</v>
      </c>
      <c r="C20" s="9">
        <f>IF(OR(Inputs!$F$7=TRUE,Inputs!$F$7="TRUE",Inputs!$F$7=1),(Inputs!$H$7+Inputs!$L$7*(((Inputs!$I$7+(((A20)+1)/2)*(Inputs!$J$7-Inputs!$I$7)))/Inputs!$K$7)^2),NA())</f>
        <v>298.71249999999998</v>
      </c>
      <c r="D20" s="9">
        <f>IF(OR(Inputs!$F$8=TRUE,Inputs!$F$8="TRUE",Inputs!$F$8=1),(Inputs!$H$8+Inputs!$L$8*(((Inputs!$I$8+(((A20)+1)/2)*(Inputs!$J$8-Inputs!$I$8)))/Inputs!$K$8)^2),NA())</f>
        <v>732.21249999999998</v>
      </c>
      <c r="E20" s="9">
        <f>IF(OR(Inputs!$F$9=TRUE,Inputs!$F$9="TRUE",Inputs!$F$9=1),(Inputs!$H$9+Inputs!$L$9*(((Inputs!$I$9+(((A20)+1)/2)*(Inputs!$J$9-Inputs!$I$9)))/Inputs!$K$9)^2),NA())</f>
        <v>729.43749999999989</v>
      </c>
      <c r="F20" s="10"/>
      <c r="G20" s="9">
        <f t="shared" si="0"/>
        <v>-0.85</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c r="L20" s="10"/>
      <c r="M20" s="9">
        <f t="shared" si="1"/>
        <v>-0.85</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431.20261705416385</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3097.8148781451569</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4034.1794964489941</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4059.4892925419713</v>
      </c>
      <c r="R20" s="10"/>
      <c r="S20" s="9">
        <f t="shared" si="2"/>
        <v>-0.85</v>
      </c>
      <c r="T20" s="9">
        <f>(Inputs!$I$6+(((A20)+1)/2)*(Inputs!$J$6-Inputs!$I$6))</f>
        <v>-51</v>
      </c>
      <c r="U20" s="9">
        <f>(Inputs!$I$7+(((A20)+1)/2)*(Inputs!$J$7-Inputs!$I$7))</f>
        <v>-340</v>
      </c>
      <c r="V20" s="9">
        <f>(Inputs!$I$8+(((A20)+1)/2)*(Inputs!$J$8-Inputs!$I$8))</f>
        <v>-680</v>
      </c>
      <c r="W20" s="9">
        <f>(Inputs!$I$9+(((A20)+1)/2)*(Inputs!$J$9-Inputs!$I$9))</f>
        <v>-680</v>
      </c>
      <c r="X20" s="10"/>
      <c r="Y20" s="9">
        <f t="shared" si="3"/>
        <v>-0.85</v>
      </c>
      <c r="Z20" s="9">
        <f>(Inputs!$H$6+Inputs!$L$6*(((Inputs!$I$6+(((A20)+1)/2)*(Inputs!$J$6-Inputs!$I$6)))/Inputs!$K$6)^2)</f>
        <v>402.89</v>
      </c>
      <c r="AA20" s="9">
        <f>(Inputs!$H$7+Inputs!$L$7*(((Inputs!$I$7+(((A20)+1)/2)*(Inputs!$J$7-Inputs!$I$7)))/Inputs!$K$7)^2)</f>
        <v>298.71249999999998</v>
      </c>
      <c r="AB20" s="9">
        <f>(Inputs!$H$8+Inputs!$L$8*(((Inputs!$I$8+(((A20)+1)/2)*(Inputs!$J$8-Inputs!$I$8)))/Inputs!$K$8)^2)</f>
        <v>732.21249999999998</v>
      </c>
      <c r="AC20" s="9">
        <f>(Inputs!$H$9+Inputs!$L$9*(((Inputs!$I$9+(((A20)+1)/2)*(Inputs!$J$9-Inputs!$I$9)))/Inputs!$K$9)^2)</f>
        <v>729.43749999999989</v>
      </c>
      <c r="AD20" s="10"/>
      <c r="AE20" s="9">
        <f t="shared" si="4"/>
        <v>-0.85</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2812.0057373812642</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99937.140437154303</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205515.74904412893</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205828.56629482246</v>
      </c>
      <c r="AJ20" s="10"/>
      <c r="AK20" s="9">
        <f t="shared" si="5"/>
        <v>-0.85</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431.20261705416385</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3097.8148781451569</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4034.1794964489941</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4059.4892925419713</v>
      </c>
      <c r="AP20" s="10"/>
      <c r="AQ20" s="9">
        <f t="shared" si="6"/>
        <v>-0.85</v>
      </c>
      <c r="AR20" s="9">
        <f>0</f>
        <v>0</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251.96732827517536</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177.92905176724707</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230.54302496821765</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230.54302496821765</v>
      </c>
      <c r="AW20" s="10"/>
      <c r="AX20" s="9">
        <f t="shared" si="7"/>
        <v>-0.85</v>
      </c>
      <c r="AY20" s="9">
        <f>0</f>
        <v>0</v>
      </c>
      <c r="AZ20" s="9">
        <f>IF(OR(Inputs!$F$6=TRUE,Inputs!$F$6="TRUE",Inputs!$F$6=1),(Inputs!$H$6+Inputs!$L$6*(((Inputs!$I$6+(((A20)+1)/2)*(Inputs!$J$6-Inputs!$I$6)))/Inputs!$K$6)^2),NA())</f>
        <v>402.89</v>
      </c>
      <c r="BA20" s="9">
        <f>IF(OR(Inputs!$F$7=TRUE,Inputs!$F$7="TRUE",Inputs!$F$7=1),(Inputs!$H$7+Inputs!$L$7*(((Inputs!$I$7+(((A20)+1)/2)*(Inputs!$J$7-Inputs!$I$7)))/Inputs!$K$7)^2),NA())</f>
        <v>298.71249999999998</v>
      </c>
      <c r="BB20" s="9">
        <f>IF(OR(Inputs!$F$8=TRUE,Inputs!$F$8="TRUE",Inputs!$F$8=1),(Inputs!$H$8+Inputs!$L$8*(((Inputs!$I$8+(((A20)+1)/2)*(Inputs!$J$8-Inputs!$I$8)))/Inputs!$K$8)^2),NA())</f>
        <v>732.21249999999998</v>
      </c>
      <c r="BC20" s="9">
        <f>IF(OR(Inputs!$F$9=TRUE,Inputs!$F$9="TRUE",Inputs!$F$9=1),(Inputs!$H$9+Inputs!$L$9*(((Inputs!$I$9+(((A20)+1)/2)*(Inputs!$J$9-Inputs!$I$9)))/Inputs!$K$9)^2),NA())</f>
        <v>729.43749999999989</v>
      </c>
      <c r="BD20" s="10"/>
      <c r="BE20" s="9">
        <f t="shared" si="8"/>
        <v>-0.85</v>
      </c>
      <c r="BF20" s="9">
        <f>0</f>
        <v>0</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row>
    <row r="21" spans="1:62">
      <c r="A21" s="9">
        <f>ROUND(-1+19*2/240,3)</f>
        <v>-0.84199999999999997</v>
      </c>
      <c r="B21" s="9">
        <f>IF(OR(Inputs!$F$6=TRUE,Inputs!$F$6="TRUE",Inputs!$F$6=1),(Inputs!$H$6+Inputs!$L$6*(((Inputs!$I$6+(((A21)+1)/2)*(Inputs!$J$6-Inputs!$I$6)))/Inputs!$K$6)^2),NA())</f>
        <v>402.83585599999998</v>
      </c>
      <c r="C21" s="9">
        <f>IF(OR(Inputs!$F$7=TRUE,Inputs!$F$7="TRUE",Inputs!$F$7=1),(Inputs!$H$7+Inputs!$L$7*(((Inputs!$I$7+(((A21)+1)/2)*(Inputs!$J$7-Inputs!$I$7)))/Inputs!$K$7)^2),NA())</f>
        <v>293.77186000000006</v>
      </c>
      <c r="D21" s="9">
        <f>IF(OR(Inputs!$F$8=TRUE,Inputs!$F$8="TRUE",Inputs!$F$8=1),(Inputs!$H$8+Inputs!$L$8*(((Inputs!$I$8+(((A21)+1)/2)*(Inputs!$J$8-Inputs!$I$8)))/Inputs!$K$8)^2),NA())</f>
        <v>719.15026000000012</v>
      </c>
      <c r="E21" s="9">
        <f>IF(OR(Inputs!$F$9=TRUE,Inputs!$F$9="TRUE",Inputs!$F$9=1),(Inputs!$H$9+Inputs!$L$9*(((Inputs!$I$9+(((A21)+1)/2)*(Inputs!$J$9-Inputs!$I$9)))/Inputs!$K$9)^2),NA())</f>
        <v>716.23990000000015</v>
      </c>
      <c r="F21" s="10"/>
      <c r="G21" s="9">
        <f t="shared" si="0"/>
        <v>-0.84199999999999997</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c r="L21" s="10"/>
      <c r="M21" s="9">
        <f t="shared" si="1"/>
        <v>-0.84199999999999997</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427.24235544019791</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3076.1163724410872</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4001.0227954219677</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4025.8634805125453</v>
      </c>
      <c r="R21" s="10"/>
      <c r="S21" s="9">
        <f t="shared" si="2"/>
        <v>-0.84199999999999997</v>
      </c>
      <c r="T21" s="9">
        <f>(Inputs!$I$6+(((A21)+1)/2)*(Inputs!$J$6-Inputs!$I$6))</f>
        <v>-50.519999999999996</v>
      </c>
      <c r="U21" s="9">
        <f>(Inputs!$I$7+(((A21)+1)/2)*(Inputs!$J$7-Inputs!$I$7))</f>
        <v>-336.8</v>
      </c>
      <c r="V21" s="9">
        <f>(Inputs!$I$8+(((A21)+1)/2)*(Inputs!$J$8-Inputs!$I$8))</f>
        <v>-673.6</v>
      </c>
      <c r="W21" s="9">
        <f>(Inputs!$I$9+(((A21)+1)/2)*(Inputs!$J$9-Inputs!$I$9))</f>
        <v>-673.6</v>
      </c>
      <c r="X21" s="10"/>
      <c r="Y21" s="9">
        <f t="shared" si="3"/>
        <v>-0.84199999999999997</v>
      </c>
      <c r="Z21" s="9">
        <f>(Inputs!$H$6+Inputs!$L$6*(((Inputs!$I$6+(((A21)+1)/2)*(Inputs!$J$6-Inputs!$I$6)))/Inputs!$K$6)^2)</f>
        <v>402.83585599999998</v>
      </c>
      <c r="AA21" s="9">
        <f>(Inputs!$H$7+Inputs!$L$7*(((Inputs!$I$7+(((A21)+1)/2)*(Inputs!$J$7-Inputs!$I$7)))/Inputs!$K$7)^2)</f>
        <v>293.77186000000006</v>
      </c>
      <c r="AB21" s="9">
        <f>(Inputs!$H$8+Inputs!$L$8*(((Inputs!$I$8+(((A21)+1)/2)*(Inputs!$J$8-Inputs!$I$8)))/Inputs!$K$8)^2)</f>
        <v>719.15026000000012</v>
      </c>
      <c r="AC21" s="9">
        <f>(Inputs!$H$9+Inputs!$L$9*(((Inputs!$I$9+(((A21)+1)/2)*(Inputs!$J$9-Inputs!$I$9)))/Inputs!$K$9)^2)</f>
        <v>716.23990000000015</v>
      </c>
      <c r="AD21" s="10"/>
      <c r="AE21" s="9">
        <f t="shared" si="4"/>
        <v>-0.84199999999999997</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2770.0828084719847</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99244.287575420109</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203825.78064243644</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204158.29357669651</v>
      </c>
      <c r="AJ21" s="10"/>
      <c r="AK21" s="9">
        <f t="shared" si="5"/>
        <v>-0.84199999999999997</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427.24235544019791</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3076.1163724410872</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4001.0227954219677</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4025.8634805125453</v>
      </c>
      <c r="AP21" s="10"/>
      <c r="AQ21" s="9">
        <f t="shared" si="6"/>
        <v>-0.84199999999999997</v>
      </c>
      <c r="AR21" s="9">
        <f>0</f>
        <v>0</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250.51189779205919</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203.10743818062363</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111.3639822035904</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111.3639822035904</v>
      </c>
      <c r="AW21" s="10"/>
      <c r="AX21" s="9">
        <f t="shared" si="7"/>
        <v>-0.84199999999999997</v>
      </c>
      <c r="AY21" s="9">
        <f>0</f>
        <v>0</v>
      </c>
      <c r="AZ21" s="9">
        <f>IF(OR(Inputs!$F$6=TRUE,Inputs!$F$6="TRUE",Inputs!$F$6=1),(Inputs!$H$6+Inputs!$L$6*(((Inputs!$I$6+(((A21)+1)/2)*(Inputs!$J$6-Inputs!$I$6)))/Inputs!$K$6)^2),NA())</f>
        <v>402.83585599999998</v>
      </c>
      <c r="BA21" s="9">
        <f>IF(OR(Inputs!$F$7=TRUE,Inputs!$F$7="TRUE",Inputs!$F$7=1),(Inputs!$H$7+Inputs!$L$7*(((Inputs!$I$7+(((A21)+1)/2)*(Inputs!$J$7-Inputs!$I$7)))/Inputs!$K$7)^2),NA())</f>
        <v>293.77186000000006</v>
      </c>
      <c r="BB21" s="9">
        <f>IF(OR(Inputs!$F$8=TRUE,Inputs!$F$8="TRUE",Inputs!$F$8=1),(Inputs!$H$8+Inputs!$L$8*(((Inputs!$I$8+(((A21)+1)/2)*(Inputs!$J$8-Inputs!$I$8)))/Inputs!$K$8)^2),NA())</f>
        <v>719.15026000000012</v>
      </c>
      <c r="BC21" s="9">
        <f>IF(OR(Inputs!$F$9=TRUE,Inputs!$F$9="TRUE",Inputs!$F$9=1),(Inputs!$H$9+Inputs!$L$9*(((Inputs!$I$9+(((A21)+1)/2)*(Inputs!$J$9-Inputs!$I$9)))/Inputs!$K$9)^2),NA())</f>
        <v>716.23990000000015</v>
      </c>
      <c r="BD21" s="10"/>
      <c r="BE21" s="9">
        <f t="shared" si="8"/>
        <v>-0.84199999999999997</v>
      </c>
      <c r="BF21" s="9">
        <f>0</f>
        <v>0</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row>
    <row r="22" spans="1:62">
      <c r="A22" s="9">
        <f>ROUND(-1+20*2/240,3)</f>
        <v>-0.83299999999999996</v>
      </c>
      <c r="B22" s="9">
        <f>IF(OR(Inputs!$F$6=TRUE,Inputs!$F$6="TRUE",Inputs!$F$6=1),(Inputs!$H$6+Inputs!$L$6*(((Inputs!$I$6+(((A22)+1)/2)*(Inputs!$J$6-Inputs!$I$6)))/Inputs!$K$6)^2),NA())</f>
        <v>402.77555599999999</v>
      </c>
      <c r="C22" s="9">
        <f>IF(OR(Inputs!$F$7=TRUE,Inputs!$F$7="TRUE",Inputs!$F$7=1),(Inputs!$H$7+Inputs!$L$7*(((Inputs!$I$7+(((A22)+1)/2)*(Inputs!$J$7-Inputs!$I$7)))/Inputs!$K$7)^2),NA())</f>
        <v>288.26948500000003</v>
      </c>
      <c r="D22" s="9">
        <f>IF(OR(Inputs!$F$8=TRUE,Inputs!$F$8="TRUE",Inputs!$F$8=1),(Inputs!$H$8+Inputs!$L$8*(((Inputs!$I$8+(((A22)+1)/2)*(Inputs!$J$8-Inputs!$I$8)))/Inputs!$K$8)^2),NA())</f>
        <v>704.60288500000001</v>
      </c>
      <c r="E22" s="9">
        <f>IF(OR(Inputs!$F$9=TRUE,Inputs!$F$9="TRUE",Inputs!$F$9=1),(Inputs!$H$9+Inputs!$L$9*(((Inputs!$I$9+(((A22)+1)/2)*(Inputs!$J$9-Inputs!$I$9)))/Inputs!$K$9)^2),NA())</f>
        <v>701.54177500000003</v>
      </c>
      <c r="F22" s="10"/>
      <c r="G22" s="9">
        <f t="shared" si="0"/>
        <v>-0.83299999999999996</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c r="L22" s="10"/>
      <c r="M22" s="9">
        <f t="shared" si="1"/>
        <v>-0.83299999999999996</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422.78384359742603</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3051.8008126588597</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3963.7975020877893</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3988.1078451537455</v>
      </c>
      <c r="R22" s="10"/>
      <c r="S22" s="9">
        <f t="shared" si="2"/>
        <v>-0.83299999999999996</v>
      </c>
      <c r="T22" s="9">
        <f>(Inputs!$I$6+(((A22)+1)/2)*(Inputs!$J$6-Inputs!$I$6))</f>
        <v>-49.98</v>
      </c>
      <c r="U22" s="9">
        <f>(Inputs!$I$7+(((A22)+1)/2)*(Inputs!$J$7-Inputs!$I$7))</f>
        <v>-333.2</v>
      </c>
      <c r="V22" s="9">
        <f>(Inputs!$I$8+(((A22)+1)/2)*(Inputs!$J$8-Inputs!$I$8))</f>
        <v>-666.4</v>
      </c>
      <c r="W22" s="9">
        <f>(Inputs!$I$9+(((A22)+1)/2)*(Inputs!$J$9-Inputs!$I$9))</f>
        <v>-666.4</v>
      </c>
      <c r="X22" s="10"/>
      <c r="Y22" s="9">
        <f t="shared" si="3"/>
        <v>-0.83299999999999996</v>
      </c>
      <c r="Z22" s="9">
        <f>(Inputs!$H$6+Inputs!$L$6*(((Inputs!$I$6+(((A22)+1)/2)*(Inputs!$J$6-Inputs!$I$6)))/Inputs!$K$6)^2)</f>
        <v>402.77555599999999</v>
      </c>
      <c r="AA22" s="9">
        <f>(Inputs!$H$7+Inputs!$L$7*(((Inputs!$I$7+(((A22)+1)/2)*(Inputs!$J$7-Inputs!$I$7)))/Inputs!$K$7)^2)</f>
        <v>288.26948500000003</v>
      </c>
      <c r="AB22" s="9">
        <f>(Inputs!$H$8+Inputs!$L$8*(((Inputs!$I$8+(((A22)+1)/2)*(Inputs!$J$8-Inputs!$I$8)))/Inputs!$K$8)^2)</f>
        <v>704.60288500000001</v>
      </c>
      <c r="AC22" s="9">
        <f>(Inputs!$H$9+Inputs!$L$9*(((Inputs!$I$9+(((A22)+1)/2)*(Inputs!$J$9-Inputs!$I$9)))/Inputs!$K$9)^2)</f>
        <v>701.54177500000003</v>
      </c>
      <c r="AD22" s="10"/>
      <c r="AE22" s="9">
        <f t="shared" si="4"/>
        <v>-0.83299999999999996</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2723.3738104346016</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98462.538840044188</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201930.58963519227</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202285.66389238311</v>
      </c>
      <c r="AJ22" s="10"/>
      <c r="AK22" s="9">
        <f t="shared" si="5"/>
        <v>-0.83299999999999996</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422.78384359742603</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3051.8008126588597</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3963.7975020877893</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3988.1078451537455</v>
      </c>
      <c r="AP22" s="10"/>
      <c r="AQ22" s="9">
        <f t="shared" si="6"/>
        <v>-0.83299999999999996</v>
      </c>
      <c r="AR22" s="9">
        <f>0</f>
        <v>0</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254.37724860981174</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190.11343712387566</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155.03024510690943</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155.03024510690943</v>
      </c>
      <c r="AW22" s="10"/>
      <c r="AX22" s="9">
        <f t="shared" si="7"/>
        <v>-0.83299999999999996</v>
      </c>
      <c r="AY22" s="9">
        <f>0</f>
        <v>0</v>
      </c>
      <c r="AZ22" s="9">
        <f>IF(OR(Inputs!$F$6=TRUE,Inputs!$F$6="TRUE",Inputs!$F$6=1),(Inputs!$H$6+Inputs!$L$6*(((Inputs!$I$6+(((A22)+1)/2)*(Inputs!$J$6-Inputs!$I$6)))/Inputs!$K$6)^2),NA())</f>
        <v>402.77555599999999</v>
      </c>
      <c r="BA22" s="9">
        <f>IF(OR(Inputs!$F$7=TRUE,Inputs!$F$7="TRUE",Inputs!$F$7=1),(Inputs!$H$7+Inputs!$L$7*(((Inputs!$I$7+(((A22)+1)/2)*(Inputs!$J$7-Inputs!$I$7)))/Inputs!$K$7)^2),NA())</f>
        <v>288.26948500000003</v>
      </c>
      <c r="BB22" s="9">
        <f>IF(OR(Inputs!$F$8=TRUE,Inputs!$F$8="TRUE",Inputs!$F$8=1),(Inputs!$H$8+Inputs!$L$8*(((Inputs!$I$8+(((A22)+1)/2)*(Inputs!$J$8-Inputs!$I$8)))/Inputs!$K$8)^2),NA())</f>
        <v>704.60288500000001</v>
      </c>
      <c r="BC22" s="9">
        <f>IF(OR(Inputs!$F$9=TRUE,Inputs!$F$9="TRUE",Inputs!$F$9=1),(Inputs!$H$9+Inputs!$L$9*(((Inputs!$I$9+(((A22)+1)/2)*(Inputs!$J$9-Inputs!$I$9)))/Inputs!$K$9)^2),NA())</f>
        <v>701.54177500000003</v>
      </c>
      <c r="BD22" s="10"/>
      <c r="BE22" s="9">
        <f t="shared" si="8"/>
        <v>-0.83299999999999996</v>
      </c>
      <c r="BF22" s="9">
        <f>0</f>
        <v>0</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row>
    <row r="23" spans="1:62">
      <c r="A23" s="9">
        <f>ROUND(-1+21*2/240,3)</f>
        <v>-0.82499999999999996</v>
      </c>
      <c r="B23" s="9">
        <f>IF(OR(Inputs!$F$6=TRUE,Inputs!$F$6="TRUE",Inputs!$F$6=1),(Inputs!$H$6+Inputs!$L$6*(((Inputs!$I$6+(((A23)+1)/2)*(Inputs!$J$6-Inputs!$I$6)))/Inputs!$K$6)^2),NA())</f>
        <v>402.72250000000003</v>
      </c>
      <c r="C23" s="9">
        <f>IF(OR(Inputs!$F$7=TRUE,Inputs!$F$7="TRUE",Inputs!$F$7=1),(Inputs!$H$7+Inputs!$L$7*(((Inputs!$I$7+(((A23)+1)/2)*(Inputs!$J$7-Inputs!$I$7)))/Inputs!$K$7)^2),NA())</f>
        <v>283.42812499999997</v>
      </c>
      <c r="D23" s="9">
        <f>IF(OR(Inputs!$F$8=TRUE,Inputs!$F$8="TRUE",Inputs!$F$8=1),(Inputs!$H$8+Inputs!$L$8*(((Inputs!$I$8+(((A23)+1)/2)*(Inputs!$J$8-Inputs!$I$8)))/Inputs!$K$8)^2),NA())</f>
        <v>691.80312499999991</v>
      </c>
      <c r="E23" s="9">
        <f>IF(OR(Inputs!$F$9=TRUE,Inputs!$F$9="TRUE",Inputs!$F$9=1),(Inputs!$H$9+Inputs!$L$9*(((Inputs!$I$9+(((A23)+1)/2)*(Inputs!$J$9-Inputs!$I$9)))/Inputs!$K$9)^2),NA())</f>
        <v>688.60937499999989</v>
      </c>
      <c r="F23" s="10"/>
      <c r="G23" s="9">
        <f t="shared" si="0"/>
        <v>-0.82499999999999996</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c r="L23" s="10"/>
      <c r="M23" s="9">
        <f t="shared" si="1"/>
        <v>-0.82499999999999996</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418.81788563114361</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3030.2732079652687</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3930.778173721541</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3954.6147866246988</v>
      </c>
      <c r="R23" s="10"/>
      <c r="S23" s="9">
        <f t="shared" si="2"/>
        <v>-0.82499999999999996</v>
      </c>
      <c r="T23" s="9">
        <f>(Inputs!$I$6+(((A23)+1)/2)*(Inputs!$J$6-Inputs!$I$6))</f>
        <v>-49.5</v>
      </c>
      <c r="U23" s="9">
        <f>(Inputs!$I$7+(((A23)+1)/2)*(Inputs!$J$7-Inputs!$I$7))</f>
        <v>-330</v>
      </c>
      <c r="V23" s="9">
        <f>(Inputs!$I$8+(((A23)+1)/2)*(Inputs!$J$8-Inputs!$I$8))</f>
        <v>-660</v>
      </c>
      <c r="W23" s="9">
        <f>(Inputs!$I$9+(((A23)+1)/2)*(Inputs!$J$9-Inputs!$I$9))</f>
        <v>-660</v>
      </c>
      <c r="X23" s="10"/>
      <c r="Y23" s="9">
        <f t="shared" si="3"/>
        <v>-0.82499999999999996</v>
      </c>
      <c r="Z23" s="9">
        <f>(Inputs!$H$6+Inputs!$L$6*(((Inputs!$I$6+(((A23)+1)/2)*(Inputs!$J$6-Inputs!$I$6)))/Inputs!$K$6)^2)</f>
        <v>402.72250000000003</v>
      </c>
      <c r="AA23" s="9">
        <f>(Inputs!$H$7+Inputs!$L$7*(((Inputs!$I$7+(((A23)+1)/2)*(Inputs!$J$7-Inputs!$I$7)))/Inputs!$K$7)^2)</f>
        <v>283.42812499999997</v>
      </c>
      <c r="AB23" s="9">
        <f>(Inputs!$H$8+Inputs!$L$8*(((Inputs!$I$8+(((A23)+1)/2)*(Inputs!$J$8-Inputs!$I$8)))/Inputs!$K$8)^2)</f>
        <v>691.80312499999991</v>
      </c>
      <c r="AC23" s="9">
        <f>(Inputs!$H$9+Inputs!$L$9*(((Inputs!$I$9+(((A23)+1)/2)*(Inputs!$J$9-Inputs!$I$9)))/Inputs!$K$9)^2)</f>
        <v>688.60937499999989</v>
      </c>
      <c r="AD23" s="10"/>
      <c r="AE23" s="9">
        <f t="shared" si="4"/>
        <v>-0.82499999999999996</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2682.2590206416526</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97765.51616168725</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200251.16880929066</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200626.66180817271</v>
      </c>
      <c r="AJ23" s="10"/>
      <c r="AK23" s="9">
        <f t="shared" si="5"/>
        <v>-0.82499999999999996</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418.81788563114361</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3030.2732079652687</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3930.778173721541</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3954.6147866246988</v>
      </c>
      <c r="AP23" s="10"/>
      <c r="AQ23" s="9">
        <f t="shared" si="6"/>
        <v>-0.82499999999999996</v>
      </c>
      <c r="AR23" s="9">
        <f>0</f>
        <v>0</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258.91748425640003</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89.327177774253329</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167.20550851980795</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167.20550851980795</v>
      </c>
      <c r="AW23" s="10"/>
      <c r="AX23" s="9">
        <f t="shared" si="7"/>
        <v>-0.82499999999999996</v>
      </c>
      <c r="AY23" s="9">
        <f>0</f>
        <v>0</v>
      </c>
      <c r="AZ23" s="9">
        <f>IF(OR(Inputs!$F$6=TRUE,Inputs!$F$6="TRUE",Inputs!$F$6=1),(Inputs!$H$6+Inputs!$L$6*(((Inputs!$I$6+(((A23)+1)/2)*(Inputs!$J$6-Inputs!$I$6)))/Inputs!$K$6)^2),NA())</f>
        <v>402.72250000000003</v>
      </c>
      <c r="BA23" s="9">
        <f>IF(OR(Inputs!$F$7=TRUE,Inputs!$F$7="TRUE",Inputs!$F$7=1),(Inputs!$H$7+Inputs!$L$7*(((Inputs!$I$7+(((A23)+1)/2)*(Inputs!$J$7-Inputs!$I$7)))/Inputs!$K$7)^2),NA())</f>
        <v>283.42812499999997</v>
      </c>
      <c r="BB23" s="9">
        <f>IF(OR(Inputs!$F$8=TRUE,Inputs!$F$8="TRUE",Inputs!$F$8=1),(Inputs!$H$8+Inputs!$L$8*(((Inputs!$I$8+(((A23)+1)/2)*(Inputs!$J$8-Inputs!$I$8)))/Inputs!$K$8)^2),NA())</f>
        <v>691.80312499999991</v>
      </c>
      <c r="BC23" s="9">
        <f>IF(OR(Inputs!$F$9=TRUE,Inputs!$F$9="TRUE",Inputs!$F$9=1),(Inputs!$H$9+Inputs!$L$9*(((Inputs!$I$9+(((A23)+1)/2)*(Inputs!$J$9-Inputs!$I$9)))/Inputs!$K$9)^2),NA())</f>
        <v>688.60937499999989</v>
      </c>
      <c r="BD23" s="10"/>
      <c r="BE23" s="9">
        <f t="shared" si="8"/>
        <v>-0.82499999999999996</v>
      </c>
      <c r="BF23" s="9">
        <f>0</f>
        <v>0</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row>
    <row r="24" spans="1:62">
      <c r="A24" s="9">
        <f>ROUND(-1+22*2/240,3)</f>
        <v>-0.81699999999999995</v>
      </c>
      <c r="B24" s="9">
        <f>IF(OR(Inputs!$F$6=TRUE,Inputs!$F$6="TRUE",Inputs!$F$6=1),(Inputs!$H$6+Inputs!$L$6*(((Inputs!$I$6+(((A24)+1)/2)*(Inputs!$J$6-Inputs!$I$6)))/Inputs!$K$6)^2),NA())</f>
        <v>402.66995600000001</v>
      </c>
      <c r="C24" s="9">
        <f>IF(OR(Inputs!$F$7=TRUE,Inputs!$F$7="TRUE",Inputs!$F$7=1),(Inputs!$H$7+Inputs!$L$7*(((Inputs!$I$7+(((A24)+1)/2)*(Inputs!$J$7-Inputs!$I$7)))/Inputs!$K$7)^2),NA())</f>
        <v>278.63348499999995</v>
      </c>
      <c r="D24" s="9">
        <f>IF(OR(Inputs!$F$8=TRUE,Inputs!$F$8="TRUE",Inputs!$F$8=1),(Inputs!$H$8+Inputs!$L$8*(((Inputs!$I$8+(((A24)+1)/2)*(Inputs!$J$8-Inputs!$I$8)))/Inputs!$K$8)^2),NA())</f>
        <v>679.12688499999979</v>
      </c>
      <c r="E24" s="9">
        <f>IF(OR(Inputs!$F$9=TRUE,Inputs!$F$9="TRUE",Inputs!$F$9=1),(Inputs!$H$9+Inputs!$L$9*(((Inputs!$I$9+(((A24)+1)/2)*(Inputs!$J$9-Inputs!$I$9)))/Inputs!$K$9)^2),NA())</f>
        <v>675.80177499999979</v>
      </c>
      <c r="F24" s="10"/>
      <c r="G24" s="9">
        <f t="shared" si="0"/>
        <v>-0.81699999999999995</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c r="L24" s="10"/>
      <c r="M24" s="9">
        <f t="shared" si="1"/>
        <v>-0.81699999999999995</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414.84928060082058</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3008.8282338451718</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3897.8267545339731</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3921.1874500861995</v>
      </c>
      <c r="R24" s="10"/>
      <c r="S24" s="9">
        <f t="shared" si="2"/>
        <v>-0.81699999999999995</v>
      </c>
      <c r="T24" s="9">
        <f>(Inputs!$I$6+(((A24)+1)/2)*(Inputs!$J$6-Inputs!$I$6))</f>
        <v>-49.019999999999996</v>
      </c>
      <c r="U24" s="9">
        <f>(Inputs!$I$7+(((A24)+1)/2)*(Inputs!$J$7-Inputs!$I$7))</f>
        <v>-326.79999999999995</v>
      </c>
      <c r="V24" s="9">
        <f>(Inputs!$I$8+(((A24)+1)/2)*(Inputs!$J$8-Inputs!$I$8))</f>
        <v>-653.59999999999991</v>
      </c>
      <c r="W24" s="9">
        <f>(Inputs!$I$9+(((A24)+1)/2)*(Inputs!$J$9-Inputs!$I$9))</f>
        <v>-653.59999999999991</v>
      </c>
      <c r="X24" s="10"/>
      <c r="Y24" s="9">
        <f t="shared" si="3"/>
        <v>-0.81699999999999995</v>
      </c>
      <c r="Z24" s="9">
        <f>(Inputs!$H$6+Inputs!$L$6*(((Inputs!$I$6+(((A24)+1)/2)*(Inputs!$J$6-Inputs!$I$6)))/Inputs!$K$6)^2)</f>
        <v>402.66995600000001</v>
      </c>
      <c r="AA24" s="9">
        <f>(Inputs!$H$7+Inputs!$L$7*(((Inputs!$I$7+(((A24)+1)/2)*(Inputs!$J$7-Inputs!$I$7)))/Inputs!$K$7)^2)</f>
        <v>278.63348499999995</v>
      </c>
      <c r="AB24" s="9">
        <f>(Inputs!$H$8+Inputs!$L$8*(((Inputs!$I$8+(((A24)+1)/2)*(Inputs!$J$8-Inputs!$I$8)))/Inputs!$K$8)^2)</f>
        <v>679.12688499999979</v>
      </c>
      <c r="AC24" s="9">
        <f>(Inputs!$H$9+Inputs!$L$9*(((Inputs!$I$9+(((A24)+1)/2)*(Inputs!$J$9-Inputs!$I$9)))/Inputs!$K$9)^2)</f>
        <v>675.80177499999979</v>
      </c>
      <c r="AD24" s="10"/>
      <c r="AE24" s="9">
        <f t="shared" si="4"/>
        <v>-0.81699999999999995</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2641.5252336529179</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97066.388323986146</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198576.47956055554</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198972.73921837151</v>
      </c>
      <c r="AJ24" s="10"/>
      <c r="AK24" s="9">
        <f t="shared" si="5"/>
        <v>-0.81699999999999995</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414.84928060082058</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3008.8282338451718</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3897.8267545339731</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3921.1874500861995</v>
      </c>
      <c r="AP24" s="10"/>
      <c r="AQ24" s="9">
        <f t="shared" si="6"/>
        <v>-0.81699999999999995</v>
      </c>
      <c r="AR24" s="9">
        <f>0</f>
        <v>0</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254.85718956223283</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82.203306227476133</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87.261258967258968</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87.261258967258968</v>
      </c>
      <c r="AW24" s="10"/>
      <c r="AX24" s="9">
        <f t="shared" si="7"/>
        <v>-0.81699999999999995</v>
      </c>
      <c r="AY24" s="9">
        <f>0</f>
        <v>0</v>
      </c>
      <c r="AZ24" s="9">
        <f>IF(OR(Inputs!$F$6=TRUE,Inputs!$F$6="TRUE",Inputs!$F$6=1),(Inputs!$H$6+Inputs!$L$6*(((Inputs!$I$6+(((A24)+1)/2)*(Inputs!$J$6-Inputs!$I$6)))/Inputs!$K$6)^2),NA())</f>
        <v>402.66995600000001</v>
      </c>
      <c r="BA24" s="9">
        <f>IF(OR(Inputs!$F$7=TRUE,Inputs!$F$7="TRUE",Inputs!$F$7=1),(Inputs!$H$7+Inputs!$L$7*(((Inputs!$I$7+(((A24)+1)/2)*(Inputs!$J$7-Inputs!$I$7)))/Inputs!$K$7)^2),NA())</f>
        <v>278.63348499999995</v>
      </c>
      <c r="BB24" s="9">
        <f>IF(OR(Inputs!$F$8=TRUE,Inputs!$F$8="TRUE",Inputs!$F$8=1),(Inputs!$H$8+Inputs!$L$8*(((Inputs!$I$8+(((A24)+1)/2)*(Inputs!$J$8-Inputs!$I$8)))/Inputs!$K$8)^2),NA())</f>
        <v>679.12688499999979</v>
      </c>
      <c r="BC24" s="9">
        <f>IF(OR(Inputs!$F$9=TRUE,Inputs!$F$9="TRUE",Inputs!$F$9=1),(Inputs!$H$9+Inputs!$L$9*(((Inputs!$I$9+(((A24)+1)/2)*(Inputs!$J$9-Inputs!$I$9)))/Inputs!$K$9)^2),NA())</f>
        <v>675.80177499999979</v>
      </c>
      <c r="BD24" s="10"/>
      <c r="BE24" s="9">
        <f t="shared" si="8"/>
        <v>-0.81699999999999995</v>
      </c>
      <c r="BF24" s="9">
        <f>0</f>
        <v>0</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row>
    <row r="25" spans="1:62">
      <c r="A25" s="9">
        <f>ROUND(-1+23*2/240,3)</f>
        <v>-0.80800000000000005</v>
      </c>
      <c r="B25" s="9">
        <f>IF(OR(Inputs!$F$6=TRUE,Inputs!$F$6="TRUE",Inputs!$F$6=1),(Inputs!$H$6+Inputs!$L$6*(((Inputs!$I$6+(((A25)+1)/2)*(Inputs!$J$6-Inputs!$I$6)))/Inputs!$K$6)^2),NA())</f>
        <v>402.61145599999998</v>
      </c>
      <c r="C25" s="9">
        <f>IF(OR(Inputs!$F$7=TRUE,Inputs!$F$7="TRUE",Inputs!$F$7=1),(Inputs!$H$7+Inputs!$L$7*(((Inputs!$I$7+(((A25)+1)/2)*(Inputs!$J$7-Inputs!$I$7)))/Inputs!$K$7)^2),NA())</f>
        <v>273.29536000000007</v>
      </c>
      <c r="D25" s="9">
        <f>IF(OR(Inputs!$F$8=TRUE,Inputs!$F$8="TRUE",Inputs!$F$8=1),(Inputs!$H$8+Inputs!$L$8*(((Inputs!$I$8+(((A25)+1)/2)*(Inputs!$J$8-Inputs!$I$8)))/Inputs!$K$8)^2),NA())</f>
        <v>665.01376000000016</v>
      </c>
      <c r="E25" s="9">
        <f>IF(OR(Inputs!$F$9=TRUE,Inputs!$F$9="TRUE",Inputs!$F$9=1),(Inputs!$H$9+Inputs!$L$9*(((Inputs!$I$9+(((A25)+1)/2)*(Inputs!$J$9-Inputs!$I$9)))/Inputs!$K$9)^2),NA())</f>
        <v>661.54240000000027</v>
      </c>
      <c r="F25" s="10"/>
      <c r="G25" s="9">
        <f t="shared" si="0"/>
        <v>-0.80800000000000005</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c r="L25" s="10"/>
      <c r="M25" s="9">
        <f t="shared" si="1"/>
        <v>-0.80800000000000005</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410.38146281972439</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2984.803191565089</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3860.840278559846</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3883.6629453311712</v>
      </c>
      <c r="R25" s="10"/>
      <c r="S25" s="9">
        <f t="shared" si="2"/>
        <v>-0.80800000000000005</v>
      </c>
      <c r="T25" s="9">
        <f>(Inputs!$I$6+(((A25)+1)/2)*(Inputs!$J$6-Inputs!$I$6))</f>
        <v>-48.480000000000004</v>
      </c>
      <c r="U25" s="9">
        <f>(Inputs!$I$7+(((A25)+1)/2)*(Inputs!$J$7-Inputs!$I$7))</f>
        <v>-323.20000000000005</v>
      </c>
      <c r="V25" s="9">
        <f>(Inputs!$I$8+(((A25)+1)/2)*(Inputs!$J$8-Inputs!$I$8))</f>
        <v>-646.40000000000009</v>
      </c>
      <c r="W25" s="9">
        <f>(Inputs!$I$9+(((A25)+1)/2)*(Inputs!$J$9-Inputs!$I$9))</f>
        <v>-646.40000000000009</v>
      </c>
      <c r="X25" s="10"/>
      <c r="Y25" s="9">
        <f t="shared" si="3"/>
        <v>-0.80800000000000005</v>
      </c>
      <c r="Z25" s="9">
        <f>(Inputs!$H$6+Inputs!$L$6*(((Inputs!$I$6+(((A25)+1)/2)*(Inputs!$J$6-Inputs!$I$6)))/Inputs!$K$6)^2)</f>
        <v>402.61145599999998</v>
      </c>
      <c r="AA25" s="9">
        <f>(Inputs!$H$7+Inputs!$L$7*(((Inputs!$I$7+(((A25)+1)/2)*(Inputs!$J$7-Inputs!$I$7)))/Inputs!$K$7)^2)</f>
        <v>273.29536000000007</v>
      </c>
      <c r="AB25" s="9">
        <f>(Inputs!$H$8+Inputs!$L$8*(((Inputs!$I$8+(((A25)+1)/2)*(Inputs!$J$8-Inputs!$I$8)))/Inputs!$K$8)^2)</f>
        <v>665.01376000000016</v>
      </c>
      <c r="AC25" s="9">
        <f>(Inputs!$H$9+Inputs!$L$9*(((Inputs!$I$9+(((A25)+1)/2)*(Inputs!$J$9-Inputs!$I$9)))/Inputs!$K$9)^2)</f>
        <v>661.54240000000027</v>
      </c>
      <c r="AD25" s="10"/>
      <c r="AE25" s="9">
        <f t="shared" si="4"/>
        <v>-0.80800000000000005</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2596.1556937807718</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96277.23651922225</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196697.91665151139</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197117.96079957776</v>
      </c>
      <c r="AJ25" s="10"/>
      <c r="AK25" s="9">
        <f t="shared" si="5"/>
        <v>-0.80800000000000005</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410.38146281972439</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2984.803191565089</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3860.840278559846</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3883.6629453311712</v>
      </c>
      <c r="AP25" s="10"/>
      <c r="AQ25" s="9">
        <f t="shared" si="6"/>
        <v>-0.80800000000000005</v>
      </c>
      <c r="AR25" s="9">
        <f>0</f>
        <v>0</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258.85734757167489</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176.64534956333191</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149.74219201126871</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149.74219201126871</v>
      </c>
      <c r="AW25" s="10"/>
      <c r="AX25" s="9">
        <f t="shared" si="7"/>
        <v>-0.80800000000000005</v>
      </c>
      <c r="AY25" s="9">
        <f>0</f>
        <v>0</v>
      </c>
      <c r="AZ25" s="9">
        <f>IF(OR(Inputs!$F$6=TRUE,Inputs!$F$6="TRUE",Inputs!$F$6=1),(Inputs!$H$6+Inputs!$L$6*(((Inputs!$I$6+(((A25)+1)/2)*(Inputs!$J$6-Inputs!$I$6)))/Inputs!$K$6)^2),NA())</f>
        <v>402.61145599999998</v>
      </c>
      <c r="BA25" s="9">
        <f>IF(OR(Inputs!$F$7=TRUE,Inputs!$F$7="TRUE",Inputs!$F$7=1),(Inputs!$H$7+Inputs!$L$7*(((Inputs!$I$7+(((A25)+1)/2)*(Inputs!$J$7-Inputs!$I$7)))/Inputs!$K$7)^2),NA())</f>
        <v>273.29536000000007</v>
      </c>
      <c r="BB25" s="9">
        <f>IF(OR(Inputs!$F$8=TRUE,Inputs!$F$8="TRUE",Inputs!$F$8=1),(Inputs!$H$8+Inputs!$L$8*(((Inputs!$I$8+(((A25)+1)/2)*(Inputs!$J$8-Inputs!$I$8)))/Inputs!$K$8)^2),NA())</f>
        <v>665.01376000000016</v>
      </c>
      <c r="BC25" s="9">
        <f>IF(OR(Inputs!$F$9=TRUE,Inputs!$F$9="TRUE",Inputs!$F$9=1),(Inputs!$H$9+Inputs!$L$9*(((Inputs!$I$9+(((A25)+1)/2)*(Inputs!$J$9-Inputs!$I$9)))/Inputs!$K$9)^2),NA())</f>
        <v>661.54240000000027</v>
      </c>
      <c r="BD25" s="10"/>
      <c r="BE25" s="9">
        <f t="shared" si="8"/>
        <v>-0.80800000000000005</v>
      </c>
      <c r="BF25" s="9">
        <f>0</f>
        <v>0</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row>
    <row r="26" spans="1:62">
      <c r="A26" s="9">
        <f>ROUND(-1+24*2/240,3)</f>
        <v>-0.8</v>
      </c>
      <c r="B26" s="9">
        <f>IF(OR(Inputs!$F$6=TRUE,Inputs!$F$6="TRUE",Inputs!$F$6=1),(Inputs!$H$6+Inputs!$L$6*(((Inputs!$I$6+(((A26)+1)/2)*(Inputs!$J$6-Inputs!$I$6)))/Inputs!$K$6)^2),NA())</f>
        <v>402.56</v>
      </c>
      <c r="C26" s="9">
        <f>IF(OR(Inputs!$F$7=TRUE,Inputs!$F$7="TRUE",Inputs!$F$7=1),(Inputs!$H$7+Inputs!$L$7*(((Inputs!$I$7+(((A26)+1)/2)*(Inputs!$J$7-Inputs!$I$7)))/Inputs!$K$7)^2),NA())</f>
        <v>268.60000000000002</v>
      </c>
      <c r="D26" s="9">
        <f>IF(OR(Inputs!$F$8=TRUE,Inputs!$F$8="TRUE",Inputs!$F$8=1),(Inputs!$H$8+Inputs!$L$8*(((Inputs!$I$8+(((A26)+1)/2)*(Inputs!$J$8-Inputs!$I$8)))/Inputs!$K$8)^2),NA())</f>
        <v>652.60000000000014</v>
      </c>
      <c r="E26" s="9">
        <f>IF(OR(Inputs!$F$9=TRUE,Inputs!$F$9="TRUE",Inputs!$F$9=1),(Inputs!$H$9+Inputs!$L$9*(((Inputs!$I$9+(((A26)+1)/2)*(Inputs!$J$9-Inputs!$I$9)))/Inputs!$K$9)^2),NA())</f>
        <v>649.00000000000011</v>
      </c>
      <c r="F26" s="10"/>
      <c r="G26" s="9">
        <f t="shared" si="0"/>
        <v>-0.8</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c r="L26" s="10"/>
      <c r="M26" s="9">
        <f t="shared" si="1"/>
        <v>-0.8</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406.40730476160041</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2963.5385814710517</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3828.0404264321851</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3850.3825107938042</v>
      </c>
      <c r="R26" s="10"/>
      <c r="S26" s="9">
        <f t="shared" si="2"/>
        <v>-0.8</v>
      </c>
      <c r="T26" s="9">
        <f>(Inputs!$I$6+(((A26)+1)/2)*(Inputs!$J$6-Inputs!$I$6))</f>
        <v>-48</v>
      </c>
      <c r="U26" s="9">
        <f>(Inputs!$I$7+(((A26)+1)/2)*(Inputs!$J$7-Inputs!$I$7))</f>
        <v>-320</v>
      </c>
      <c r="V26" s="9">
        <f>(Inputs!$I$8+(((A26)+1)/2)*(Inputs!$J$8-Inputs!$I$8))</f>
        <v>-640</v>
      </c>
      <c r="W26" s="9">
        <f>(Inputs!$I$9+(((A26)+1)/2)*(Inputs!$J$9-Inputs!$I$9))</f>
        <v>-640</v>
      </c>
      <c r="X26" s="10"/>
      <c r="Y26" s="9">
        <f t="shared" si="3"/>
        <v>-0.8</v>
      </c>
      <c r="Z26" s="9">
        <f>(Inputs!$H$6+Inputs!$L$6*(((Inputs!$I$6+(((A26)+1)/2)*(Inputs!$J$6-Inputs!$I$6)))/Inputs!$K$6)^2)</f>
        <v>402.56</v>
      </c>
      <c r="AA26" s="9">
        <f>(Inputs!$H$7+Inputs!$L$7*(((Inputs!$I$7+(((A26)+1)/2)*(Inputs!$J$7-Inputs!$I$7)))/Inputs!$K$7)^2)</f>
        <v>268.60000000000002</v>
      </c>
      <c r="AB26" s="9">
        <f>(Inputs!$H$8+Inputs!$L$8*(((Inputs!$I$8+(((A26)+1)/2)*(Inputs!$J$8-Inputs!$I$8)))/Inputs!$K$8)^2)</f>
        <v>652.60000000000014</v>
      </c>
      <c r="AC26" s="9">
        <f>(Inputs!$H$9+Inputs!$L$9*(((Inputs!$I$9+(((A26)+1)/2)*(Inputs!$J$9-Inputs!$I$9)))/Inputs!$K$9)^2)</f>
        <v>649.00000000000011</v>
      </c>
      <c r="AD26" s="10"/>
      <c r="AE26" s="9">
        <f t="shared" si="4"/>
        <v>-0.8</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2556.2330084508071</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95573.322266586809</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195032.76112378715</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195474.32761168503</v>
      </c>
      <c r="AJ26" s="10"/>
      <c r="AK26" s="9">
        <f t="shared" si="5"/>
        <v>-0.8</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406.40730476160041</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2963.5385814710517</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3828.0404264321851</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3850.3825107938042</v>
      </c>
      <c r="AP26" s="10"/>
      <c r="AQ26" s="9">
        <f t="shared" si="6"/>
        <v>-0.8</v>
      </c>
      <c r="AR26" s="9">
        <f>0</f>
        <v>0</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253.63702275276361</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230.83673823808448</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136.67926470271181</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136.67926470271181</v>
      </c>
      <c r="AW26" s="10"/>
      <c r="AX26" s="9">
        <f t="shared" si="7"/>
        <v>-0.8</v>
      </c>
      <c r="AY26" s="9">
        <f>0</f>
        <v>0</v>
      </c>
      <c r="AZ26" s="9">
        <f>IF(OR(Inputs!$F$6=TRUE,Inputs!$F$6="TRUE",Inputs!$F$6=1),(Inputs!$H$6+Inputs!$L$6*(((Inputs!$I$6+(((A26)+1)/2)*(Inputs!$J$6-Inputs!$I$6)))/Inputs!$K$6)^2),NA())</f>
        <v>402.56</v>
      </c>
      <c r="BA26" s="9">
        <f>IF(OR(Inputs!$F$7=TRUE,Inputs!$F$7="TRUE",Inputs!$F$7=1),(Inputs!$H$7+Inputs!$L$7*(((Inputs!$I$7+(((A26)+1)/2)*(Inputs!$J$7-Inputs!$I$7)))/Inputs!$K$7)^2),NA())</f>
        <v>268.60000000000002</v>
      </c>
      <c r="BB26" s="9">
        <f>IF(OR(Inputs!$F$8=TRUE,Inputs!$F$8="TRUE",Inputs!$F$8=1),(Inputs!$H$8+Inputs!$L$8*(((Inputs!$I$8+(((A26)+1)/2)*(Inputs!$J$8-Inputs!$I$8)))/Inputs!$K$8)^2),NA())</f>
        <v>652.60000000000014</v>
      </c>
      <c r="BC26" s="9">
        <f>IF(OR(Inputs!$F$9=TRUE,Inputs!$F$9="TRUE",Inputs!$F$9=1),(Inputs!$H$9+Inputs!$L$9*(((Inputs!$I$9+(((A26)+1)/2)*(Inputs!$J$9-Inputs!$I$9)))/Inputs!$K$9)^2),NA())</f>
        <v>649.00000000000011</v>
      </c>
      <c r="BD26" s="10"/>
      <c r="BE26" s="9">
        <f t="shared" si="8"/>
        <v>-0.8</v>
      </c>
      <c r="BF26" s="9">
        <f>0</f>
        <v>0</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row>
    <row r="27" spans="1:62">
      <c r="A27" s="9">
        <f>ROUND(-1+25*2/240,3)</f>
        <v>-0.79200000000000004</v>
      </c>
      <c r="B27" s="9">
        <f>IF(OR(Inputs!$F$6=TRUE,Inputs!$F$6="TRUE",Inputs!$F$6=1),(Inputs!$H$6+Inputs!$L$6*(((Inputs!$I$6+(((A27)+1)/2)*(Inputs!$J$6-Inputs!$I$6)))/Inputs!$K$6)^2),NA())</f>
        <v>402.50905599999999</v>
      </c>
      <c r="C27" s="9">
        <f>IF(OR(Inputs!$F$7=TRUE,Inputs!$F$7="TRUE",Inputs!$F$7=1),(Inputs!$H$7+Inputs!$L$7*(((Inputs!$I$7+(((A27)+1)/2)*(Inputs!$J$7-Inputs!$I$7)))/Inputs!$K$7)^2),NA())</f>
        <v>263.95136000000002</v>
      </c>
      <c r="D27" s="9">
        <f>IF(OR(Inputs!$F$8=TRUE,Inputs!$F$8="TRUE",Inputs!$F$8=1),(Inputs!$H$8+Inputs!$L$8*(((Inputs!$I$8+(((A27)+1)/2)*(Inputs!$J$8-Inputs!$I$8)))/Inputs!$K$8)^2),NA())</f>
        <v>640.3097600000001</v>
      </c>
      <c r="E27" s="9">
        <f>IF(OR(Inputs!$F$9=TRUE,Inputs!$F$9="TRUE",Inputs!$F$9=1),(Inputs!$H$9+Inputs!$L$9*(((Inputs!$I$9+(((A27)+1)/2)*(Inputs!$J$9-Inputs!$I$9)))/Inputs!$K$9)^2),NA())</f>
        <v>636.58240000000001</v>
      </c>
      <c r="F27" s="10"/>
      <c r="G27" s="9">
        <f t="shared" si="0"/>
        <v>-0.79200000000000004</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c r="L27" s="10"/>
      <c r="M27" s="9">
        <f t="shared" si="1"/>
        <v>-0.79200000000000004</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402.43056762346822</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2942.3611247321705</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3795.3154414561336</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3817.1747446909817</v>
      </c>
      <c r="R27" s="10"/>
      <c r="S27" s="9">
        <f t="shared" si="2"/>
        <v>-0.79200000000000004</v>
      </c>
      <c r="T27" s="9">
        <f>(Inputs!$I$6+(((A27)+1)/2)*(Inputs!$J$6-Inputs!$I$6))</f>
        <v>-47.52</v>
      </c>
      <c r="U27" s="9">
        <f>(Inputs!$I$7+(((A27)+1)/2)*(Inputs!$J$7-Inputs!$I$7))</f>
        <v>-316.8</v>
      </c>
      <c r="V27" s="9">
        <f>(Inputs!$I$8+(((A27)+1)/2)*(Inputs!$J$8-Inputs!$I$8))</f>
        <v>-633.6</v>
      </c>
      <c r="W27" s="9">
        <f>(Inputs!$I$9+(((A27)+1)/2)*(Inputs!$J$9-Inputs!$I$9))</f>
        <v>-633.6</v>
      </c>
      <c r="X27" s="10"/>
      <c r="Y27" s="9">
        <f t="shared" si="3"/>
        <v>-0.79200000000000004</v>
      </c>
      <c r="Z27" s="9">
        <f>(Inputs!$H$6+Inputs!$L$6*(((Inputs!$I$6+(((A27)+1)/2)*(Inputs!$J$6-Inputs!$I$6)))/Inputs!$K$6)^2)</f>
        <v>402.50905599999999</v>
      </c>
      <c r="AA27" s="9">
        <f>(Inputs!$H$7+Inputs!$L$7*(((Inputs!$I$7+(((A27)+1)/2)*(Inputs!$J$7-Inputs!$I$7)))/Inputs!$K$7)^2)</f>
        <v>263.95136000000002</v>
      </c>
      <c r="AB27" s="9">
        <f>(Inputs!$H$8+Inputs!$L$8*(((Inputs!$I$8+(((A27)+1)/2)*(Inputs!$J$8-Inputs!$I$8)))/Inputs!$K$8)^2)</f>
        <v>640.3097600000001</v>
      </c>
      <c r="AC27" s="9">
        <f>(Inputs!$H$9+Inputs!$L$9*(((Inputs!$I$9+(((A27)+1)/2)*(Inputs!$J$9-Inputs!$I$9)))/Inputs!$K$9)^2)</f>
        <v>636.58240000000001</v>
      </c>
      <c r="AD27" s="10"/>
      <c r="AE27" s="9">
        <f t="shared" si="4"/>
        <v>-0.79200000000000004</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2516.6927022358927</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94867.004818189351</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193371.83618429539</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193835.28834182132</v>
      </c>
      <c r="AJ27" s="10"/>
      <c r="AK27" s="9">
        <f t="shared" si="5"/>
        <v>-0.79200000000000004</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402.43056762346822</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2942.3611247321705</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3795.3154414561336</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3817.1747446909817</v>
      </c>
      <c r="AP27" s="10"/>
      <c r="AQ27" s="9">
        <f t="shared" si="6"/>
        <v>-0.79200000000000004</v>
      </c>
      <c r="AR27" s="9">
        <f>0</f>
        <v>0</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244.36421465381326</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173.99596572842944</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108.01116799428624</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108.01116799428624</v>
      </c>
      <c r="AW27" s="10"/>
      <c r="AX27" s="9">
        <f t="shared" si="7"/>
        <v>-0.79200000000000004</v>
      </c>
      <c r="AY27" s="9">
        <f>0</f>
        <v>0</v>
      </c>
      <c r="AZ27" s="9">
        <f>IF(OR(Inputs!$F$6=TRUE,Inputs!$F$6="TRUE",Inputs!$F$6=1),(Inputs!$H$6+Inputs!$L$6*(((Inputs!$I$6+(((A27)+1)/2)*(Inputs!$J$6-Inputs!$I$6)))/Inputs!$K$6)^2),NA())</f>
        <v>402.50905599999999</v>
      </c>
      <c r="BA27" s="9">
        <f>IF(OR(Inputs!$F$7=TRUE,Inputs!$F$7="TRUE",Inputs!$F$7=1),(Inputs!$H$7+Inputs!$L$7*(((Inputs!$I$7+(((A27)+1)/2)*(Inputs!$J$7-Inputs!$I$7)))/Inputs!$K$7)^2),NA())</f>
        <v>263.95136000000002</v>
      </c>
      <c r="BB27" s="9">
        <f>IF(OR(Inputs!$F$8=TRUE,Inputs!$F$8="TRUE",Inputs!$F$8=1),(Inputs!$H$8+Inputs!$L$8*(((Inputs!$I$8+(((A27)+1)/2)*(Inputs!$J$8-Inputs!$I$8)))/Inputs!$K$8)^2),NA())</f>
        <v>640.3097600000001</v>
      </c>
      <c r="BC27" s="9">
        <f>IF(OR(Inputs!$F$9=TRUE,Inputs!$F$9="TRUE",Inputs!$F$9=1),(Inputs!$H$9+Inputs!$L$9*(((Inputs!$I$9+(((A27)+1)/2)*(Inputs!$J$9-Inputs!$I$9)))/Inputs!$K$9)^2),NA())</f>
        <v>636.58240000000001</v>
      </c>
      <c r="BD27" s="10"/>
      <c r="BE27" s="9">
        <f t="shared" si="8"/>
        <v>-0.79200000000000004</v>
      </c>
      <c r="BF27" s="9">
        <f>0</f>
        <v>0</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row>
    <row r="28" spans="1:62">
      <c r="A28" s="9">
        <f>ROUND(-1+26*2/240,3)</f>
        <v>-0.78300000000000003</v>
      </c>
      <c r="B28" s="9">
        <f>IF(OR(Inputs!$F$6=TRUE,Inputs!$F$6="TRUE",Inputs!$F$6=1),(Inputs!$H$6+Inputs!$L$6*(((Inputs!$I$6+(((A28)+1)/2)*(Inputs!$J$6-Inputs!$I$6)))/Inputs!$K$6)^2),NA())</f>
        <v>402.45235600000001</v>
      </c>
      <c r="C28" s="9">
        <f>IF(OR(Inputs!$F$7=TRUE,Inputs!$F$7="TRUE",Inputs!$F$7=1),(Inputs!$H$7+Inputs!$L$7*(((Inputs!$I$7+(((A28)+1)/2)*(Inputs!$J$7-Inputs!$I$7)))/Inputs!$K$7)^2),NA())</f>
        <v>258.77748500000007</v>
      </c>
      <c r="D28" s="9">
        <f>IF(OR(Inputs!$F$8=TRUE,Inputs!$F$8="TRUE",Inputs!$F$8=1),(Inputs!$H$8+Inputs!$L$8*(((Inputs!$I$8+(((A28)+1)/2)*(Inputs!$J$8-Inputs!$I$8)))/Inputs!$K$8)^2),NA())</f>
        <v>626.63088500000026</v>
      </c>
      <c r="E28" s="9">
        <f>IF(OR(Inputs!$F$9=TRUE,Inputs!$F$9="TRUE",Inputs!$F$9=1),(Inputs!$H$9+Inputs!$L$9*(((Inputs!$I$9+(((A28)+1)/2)*(Inputs!$J$9-Inputs!$I$9)))/Inputs!$K$9)^2),NA())</f>
        <v>622.76177500000017</v>
      </c>
      <c r="F28" s="10"/>
      <c r="G28" s="9">
        <f t="shared" si="0"/>
        <v>-0.78300000000000003</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c r="L28" s="10"/>
      <c r="M28" s="9">
        <f t="shared" si="1"/>
        <v>-0.78300000000000003</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397.95368290747649</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2918.6424977741513</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3758.5922501043824</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3779.905797981698</v>
      </c>
      <c r="R28" s="10"/>
      <c r="S28" s="9">
        <f t="shared" si="2"/>
        <v>-0.78300000000000003</v>
      </c>
      <c r="T28" s="9">
        <f>(Inputs!$I$6+(((A28)+1)/2)*(Inputs!$J$6-Inputs!$I$6))</f>
        <v>-46.980000000000004</v>
      </c>
      <c r="U28" s="9">
        <f>(Inputs!$I$7+(((A28)+1)/2)*(Inputs!$J$7-Inputs!$I$7))</f>
        <v>-313.20000000000005</v>
      </c>
      <c r="V28" s="9">
        <f>(Inputs!$I$8+(((A28)+1)/2)*(Inputs!$J$8-Inputs!$I$8))</f>
        <v>-626.40000000000009</v>
      </c>
      <c r="W28" s="9">
        <f>(Inputs!$I$9+(((A28)+1)/2)*(Inputs!$J$9-Inputs!$I$9))</f>
        <v>-626.40000000000009</v>
      </c>
      <c r="X28" s="10"/>
      <c r="Y28" s="9">
        <f t="shared" si="3"/>
        <v>-0.78300000000000003</v>
      </c>
      <c r="Z28" s="9">
        <f>(Inputs!$H$6+Inputs!$L$6*(((Inputs!$I$6+(((A28)+1)/2)*(Inputs!$J$6-Inputs!$I$6)))/Inputs!$K$6)^2)</f>
        <v>402.45235600000001</v>
      </c>
      <c r="AA28" s="9">
        <f>(Inputs!$H$7+Inputs!$L$7*(((Inputs!$I$7+(((A28)+1)/2)*(Inputs!$J$7-Inputs!$I$7)))/Inputs!$K$7)^2)</f>
        <v>258.77748500000007</v>
      </c>
      <c r="AB28" s="9">
        <f>(Inputs!$H$8+Inputs!$L$8*(((Inputs!$I$8+(((A28)+1)/2)*(Inputs!$J$8-Inputs!$I$8)))/Inputs!$K$8)^2)</f>
        <v>626.63088500000026</v>
      </c>
      <c r="AC28" s="9">
        <f>(Inputs!$H$9+Inputs!$L$9*(((Inputs!$I$9+(((A28)+1)/2)*(Inputs!$J$9-Inputs!$I$9)))/Inputs!$K$9)^2)</f>
        <v>622.76177500000017</v>
      </c>
      <c r="AD28" s="10"/>
      <c r="AE28" s="9">
        <f t="shared" si="4"/>
        <v>-0.78300000000000003</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2472.667459059001</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94069.402095952406</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191508.13954376601</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191996.65352310162</v>
      </c>
      <c r="AJ28" s="10"/>
      <c r="AK28" s="9">
        <f t="shared" si="5"/>
        <v>-0.78300000000000003</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397.95368290747649</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2918.6424977741513</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3758.5922501043824</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3779.905797981698</v>
      </c>
      <c r="AP28" s="10"/>
      <c r="AQ28" s="9">
        <f t="shared" si="6"/>
        <v>-0.78300000000000003</v>
      </c>
      <c r="AR28" s="9">
        <f>0</f>
        <v>0</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254.63529199517342</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97.136666265465024</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199.06597739804502</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199.06597739804502</v>
      </c>
      <c r="AW28" s="10"/>
      <c r="AX28" s="9">
        <f t="shared" si="7"/>
        <v>-0.78300000000000003</v>
      </c>
      <c r="AY28" s="9">
        <f>0</f>
        <v>0</v>
      </c>
      <c r="AZ28" s="9">
        <f>IF(OR(Inputs!$F$6=TRUE,Inputs!$F$6="TRUE",Inputs!$F$6=1),(Inputs!$H$6+Inputs!$L$6*(((Inputs!$I$6+(((A28)+1)/2)*(Inputs!$J$6-Inputs!$I$6)))/Inputs!$K$6)^2),NA())</f>
        <v>402.45235600000001</v>
      </c>
      <c r="BA28" s="9">
        <f>IF(OR(Inputs!$F$7=TRUE,Inputs!$F$7="TRUE",Inputs!$F$7=1),(Inputs!$H$7+Inputs!$L$7*(((Inputs!$I$7+(((A28)+1)/2)*(Inputs!$J$7-Inputs!$I$7)))/Inputs!$K$7)^2),NA())</f>
        <v>258.77748500000007</v>
      </c>
      <c r="BB28" s="9">
        <f>IF(OR(Inputs!$F$8=TRUE,Inputs!$F$8="TRUE",Inputs!$F$8=1),(Inputs!$H$8+Inputs!$L$8*(((Inputs!$I$8+(((A28)+1)/2)*(Inputs!$J$8-Inputs!$I$8)))/Inputs!$K$8)^2),NA())</f>
        <v>626.63088500000026</v>
      </c>
      <c r="BC28" s="9">
        <f>IF(OR(Inputs!$F$9=TRUE,Inputs!$F$9="TRUE",Inputs!$F$9=1),(Inputs!$H$9+Inputs!$L$9*(((Inputs!$I$9+(((A28)+1)/2)*(Inputs!$J$9-Inputs!$I$9)))/Inputs!$K$9)^2),NA())</f>
        <v>622.76177500000017</v>
      </c>
      <c r="BD28" s="10"/>
      <c r="BE28" s="9">
        <f t="shared" si="8"/>
        <v>-0.78300000000000003</v>
      </c>
      <c r="BF28" s="9">
        <f>0</f>
        <v>0</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row>
    <row r="29" spans="1:62">
      <c r="A29" s="9">
        <f>ROUND(-1+27*2/240,3)</f>
        <v>-0.77500000000000002</v>
      </c>
      <c r="B29" s="9">
        <f>IF(OR(Inputs!$F$6=TRUE,Inputs!$F$6="TRUE",Inputs!$F$6=1),(Inputs!$H$6+Inputs!$L$6*(((Inputs!$I$6+(((A29)+1)/2)*(Inputs!$J$6-Inputs!$I$6)))/Inputs!$K$6)^2),NA())</f>
        <v>402.40249999999997</v>
      </c>
      <c r="C29" s="9">
        <f>IF(OR(Inputs!$F$7=TRUE,Inputs!$F$7="TRUE",Inputs!$F$7=1),(Inputs!$H$7+Inputs!$L$7*(((Inputs!$I$7+(((A29)+1)/2)*(Inputs!$J$7-Inputs!$I$7)))/Inputs!$K$7)^2),NA())</f>
        <v>254.22812500000003</v>
      </c>
      <c r="D29" s="9">
        <f>IF(OR(Inputs!$F$8=TRUE,Inputs!$F$8="TRUE",Inputs!$F$8=1),(Inputs!$H$8+Inputs!$L$8*(((Inputs!$I$8+(((A29)+1)/2)*(Inputs!$J$8-Inputs!$I$8)))/Inputs!$K$8)^2),NA())</f>
        <v>614.60312500000009</v>
      </c>
      <c r="E29" s="9">
        <f>IF(OR(Inputs!$F$9=TRUE,Inputs!$F$9="TRUE",Inputs!$F$9=1),(Inputs!$H$9+Inputs!$L$9*(((Inputs!$I$9+(((A29)+1)/2)*(Inputs!$J$9-Inputs!$I$9)))/Inputs!$K$9)^2),NA())</f>
        <v>610.60937500000011</v>
      </c>
      <c r="F29" s="10"/>
      <c r="G29" s="9">
        <f t="shared" si="0"/>
        <v>-0.77500000000000002</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c r="L29" s="10"/>
      <c r="M29" s="9">
        <f t="shared" si="1"/>
        <v>-0.77500000000000002</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393.97153833635986</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2897.6551524979286</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3726.0342339321542</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3746.8603356495087</v>
      </c>
      <c r="R29" s="10"/>
      <c r="S29" s="9">
        <f t="shared" si="2"/>
        <v>-0.77500000000000002</v>
      </c>
      <c r="T29" s="9">
        <f>(Inputs!$I$6+(((A29)+1)/2)*(Inputs!$J$6-Inputs!$I$6))</f>
        <v>-46.5</v>
      </c>
      <c r="U29" s="9">
        <f>(Inputs!$I$7+(((A29)+1)/2)*(Inputs!$J$7-Inputs!$I$7))</f>
        <v>-310</v>
      </c>
      <c r="V29" s="9">
        <f>(Inputs!$I$8+(((A29)+1)/2)*(Inputs!$J$8-Inputs!$I$8))</f>
        <v>-620</v>
      </c>
      <c r="W29" s="9">
        <f>(Inputs!$I$9+(((A29)+1)/2)*(Inputs!$J$9-Inputs!$I$9))</f>
        <v>-620</v>
      </c>
      <c r="X29" s="10"/>
      <c r="Y29" s="9">
        <f t="shared" si="3"/>
        <v>-0.77500000000000002</v>
      </c>
      <c r="Z29" s="9">
        <f>(Inputs!$H$6+Inputs!$L$6*(((Inputs!$I$6+(((A29)+1)/2)*(Inputs!$J$6-Inputs!$I$6)))/Inputs!$K$6)^2)</f>
        <v>402.40249999999997</v>
      </c>
      <c r="AA29" s="9">
        <f>(Inputs!$H$7+Inputs!$L$7*(((Inputs!$I$7+(((A29)+1)/2)*(Inputs!$J$7-Inputs!$I$7)))/Inputs!$K$7)^2)</f>
        <v>254.22812500000003</v>
      </c>
      <c r="AB29" s="9">
        <f>(Inputs!$H$8+Inputs!$L$8*(((Inputs!$I$8+(((A29)+1)/2)*(Inputs!$J$8-Inputs!$I$8)))/Inputs!$K$8)^2)</f>
        <v>614.60312500000009</v>
      </c>
      <c r="AC29" s="9">
        <f>(Inputs!$H$9+Inputs!$L$9*(((Inputs!$I$9+(((A29)+1)/2)*(Inputs!$J$9-Inputs!$I$9)))/Inputs!$K$9)^2)</f>
        <v>610.60937500000011</v>
      </c>
      <c r="AD29" s="10"/>
      <c r="AE29" s="9">
        <f t="shared" si="4"/>
        <v>-0.77500000000000002</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2433.9411409597728</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93357.647896207302</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189855.63060320111</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190366.81872344072</v>
      </c>
      <c r="AJ29" s="10"/>
      <c r="AK29" s="9">
        <f t="shared" si="5"/>
        <v>-0.77500000000000002</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393.97153833635986</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2897.6551524979286</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3726.0342339321542</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3746.8603356495087</v>
      </c>
      <c r="AP29" s="10"/>
      <c r="AQ29" s="9">
        <f t="shared" si="6"/>
        <v>-0.77500000000000002</v>
      </c>
      <c r="AR29" s="9">
        <f>0</f>
        <v>0</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253.748238320312</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90.568836772458127</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178.20756047591371</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178.20756047591371</v>
      </c>
      <c r="AW29" s="10"/>
      <c r="AX29" s="9">
        <f t="shared" si="7"/>
        <v>-0.77500000000000002</v>
      </c>
      <c r="AY29" s="9">
        <f>0</f>
        <v>0</v>
      </c>
      <c r="AZ29" s="9">
        <f>IF(OR(Inputs!$F$6=TRUE,Inputs!$F$6="TRUE",Inputs!$F$6=1),(Inputs!$H$6+Inputs!$L$6*(((Inputs!$I$6+(((A29)+1)/2)*(Inputs!$J$6-Inputs!$I$6)))/Inputs!$K$6)^2),NA())</f>
        <v>402.40249999999997</v>
      </c>
      <c r="BA29" s="9">
        <f>IF(OR(Inputs!$F$7=TRUE,Inputs!$F$7="TRUE",Inputs!$F$7=1),(Inputs!$H$7+Inputs!$L$7*(((Inputs!$I$7+(((A29)+1)/2)*(Inputs!$J$7-Inputs!$I$7)))/Inputs!$K$7)^2),NA())</f>
        <v>254.22812500000003</v>
      </c>
      <c r="BB29" s="9">
        <f>IF(OR(Inputs!$F$8=TRUE,Inputs!$F$8="TRUE",Inputs!$F$8=1),(Inputs!$H$8+Inputs!$L$8*(((Inputs!$I$8+(((A29)+1)/2)*(Inputs!$J$8-Inputs!$I$8)))/Inputs!$K$8)^2),NA())</f>
        <v>614.60312500000009</v>
      </c>
      <c r="BC29" s="9">
        <f>IF(OR(Inputs!$F$9=TRUE,Inputs!$F$9="TRUE",Inputs!$F$9=1),(Inputs!$H$9+Inputs!$L$9*(((Inputs!$I$9+(((A29)+1)/2)*(Inputs!$J$9-Inputs!$I$9)))/Inputs!$K$9)^2),NA())</f>
        <v>610.60937500000011</v>
      </c>
      <c r="BD29" s="10"/>
      <c r="BE29" s="9">
        <f t="shared" si="8"/>
        <v>-0.77500000000000002</v>
      </c>
      <c r="BF29" s="9">
        <f>0</f>
        <v>0</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row>
    <row r="30" spans="1:62">
      <c r="A30" s="9">
        <f>ROUND(-1+28*2/240,3)</f>
        <v>-0.76700000000000002</v>
      </c>
      <c r="B30" s="9">
        <f>IF(OR(Inputs!$F$6=TRUE,Inputs!$F$6="TRUE",Inputs!$F$6=1),(Inputs!$H$6+Inputs!$L$6*(((Inputs!$I$6+(((A30)+1)/2)*(Inputs!$J$6-Inputs!$I$6)))/Inputs!$K$6)^2),NA())</f>
        <v>402.35315600000001</v>
      </c>
      <c r="C30" s="9">
        <f>IF(OR(Inputs!$F$7=TRUE,Inputs!$F$7="TRUE",Inputs!$F$7=1),(Inputs!$H$7+Inputs!$L$7*(((Inputs!$I$7+(((A30)+1)/2)*(Inputs!$J$7-Inputs!$I$7)))/Inputs!$K$7)^2),NA())</f>
        <v>249.72548500000002</v>
      </c>
      <c r="D30" s="9">
        <f>IF(OR(Inputs!$F$8=TRUE,Inputs!$F$8="TRUE",Inputs!$F$8=1),(Inputs!$H$8+Inputs!$L$8*(((Inputs!$I$8+(((A30)+1)/2)*(Inputs!$J$8-Inputs!$I$8)))/Inputs!$K$8)^2),NA())</f>
        <v>602.69888500000002</v>
      </c>
      <c r="E30" s="9">
        <f>IF(OR(Inputs!$F$9=TRUE,Inputs!$F$9="TRUE",Inputs!$F$9=1),(Inputs!$H$9+Inputs!$L$9*(((Inputs!$I$9+(((A30)+1)/2)*(Inputs!$J$9-Inputs!$I$9)))/Inputs!$K$9)^2),NA())</f>
        <v>598.58177500000011</v>
      </c>
      <c r="F30" s="10"/>
      <c r="G30" s="9">
        <f t="shared" si="0"/>
        <v>-0.76700000000000002</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c r="L30" s="10"/>
      <c r="M30" s="9">
        <f t="shared" si="1"/>
        <v>-0.76700000000000002</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389.98688372679464</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2876.7596069087695</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3693.5586319404129</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3713.8951016011947</v>
      </c>
      <c r="R30" s="10"/>
      <c r="S30" s="9">
        <f t="shared" si="2"/>
        <v>-0.76700000000000002</v>
      </c>
      <c r="T30" s="9">
        <f>(Inputs!$I$6+(((A30)+1)/2)*(Inputs!$J$6-Inputs!$I$6))</f>
        <v>-46.02</v>
      </c>
      <c r="U30" s="9">
        <f>(Inputs!$I$7+(((A30)+1)/2)*(Inputs!$J$7-Inputs!$I$7))</f>
        <v>-306.8</v>
      </c>
      <c r="V30" s="9">
        <f>(Inputs!$I$8+(((A30)+1)/2)*(Inputs!$J$8-Inputs!$I$8))</f>
        <v>-613.6</v>
      </c>
      <c r="W30" s="9">
        <f>(Inputs!$I$9+(((A30)+1)/2)*(Inputs!$J$9-Inputs!$I$9))</f>
        <v>-613.6</v>
      </c>
      <c r="X30" s="10"/>
      <c r="Y30" s="9">
        <f t="shared" si="3"/>
        <v>-0.76700000000000002</v>
      </c>
      <c r="Z30" s="9">
        <f>(Inputs!$H$6+Inputs!$L$6*(((Inputs!$I$6+(((A30)+1)/2)*(Inputs!$J$6-Inputs!$I$6)))/Inputs!$K$6)^2)</f>
        <v>402.35315600000001</v>
      </c>
      <c r="AA30" s="9">
        <f>(Inputs!$H$7+Inputs!$L$7*(((Inputs!$I$7+(((A30)+1)/2)*(Inputs!$J$7-Inputs!$I$7)))/Inputs!$K$7)^2)</f>
        <v>249.72548500000002</v>
      </c>
      <c r="AB30" s="9">
        <f>(Inputs!$H$8+Inputs!$L$8*(((Inputs!$I$8+(((A30)+1)/2)*(Inputs!$J$8-Inputs!$I$8)))/Inputs!$K$8)^2)</f>
        <v>602.69888500000002</v>
      </c>
      <c r="AC30" s="9">
        <f>(Inputs!$H$9+Inputs!$L$9*(((Inputs!$I$9+(((A30)+1)/2)*(Inputs!$J$9-Inputs!$I$9)))/Inputs!$K$9)^2)</f>
        <v>598.58177500000011</v>
      </c>
      <c r="AD30" s="10"/>
      <c r="AE30" s="9">
        <f t="shared" si="4"/>
        <v>-0.76700000000000002</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2395.5985422056779</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92643.17636024527</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188206.80035603663</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188741.041358366</v>
      </c>
      <c r="AJ30" s="10"/>
      <c r="AK30" s="9">
        <f t="shared" si="5"/>
        <v>-0.76700000000000002</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389.98688372679464</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2876.7596069087695</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3693.5586319404129</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3713.8951016011947</v>
      </c>
      <c r="AP30" s="10"/>
      <c r="AQ30" s="9">
        <f t="shared" si="6"/>
        <v>-0.76700000000000002</v>
      </c>
      <c r="AR30" s="9">
        <f>0</f>
        <v>0</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227.51735986959815</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137.84985488144167</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109.75575537848928</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109.75575537848928</v>
      </c>
      <c r="AW30" s="10"/>
      <c r="AX30" s="9">
        <f t="shared" si="7"/>
        <v>-0.76700000000000002</v>
      </c>
      <c r="AY30" s="9">
        <f>0</f>
        <v>0</v>
      </c>
      <c r="AZ30" s="9">
        <f>IF(OR(Inputs!$F$6=TRUE,Inputs!$F$6="TRUE",Inputs!$F$6=1),(Inputs!$H$6+Inputs!$L$6*(((Inputs!$I$6+(((A30)+1)/2)*(Inputs!$J$6-Inputs!$I$6)))/Inputs!$K$6)^2),NA())</f>
        <v>402.35315600000001</v>
      </c>
      <c r="BA30" s="9">
        <f>IF(OR(Inputs!$F$7=TRUE,Inputs!$F$7="TRUE",Inputs!$F$7=1),(Inputs!$H$7+Inputs!$L$7*(((Inputs!$I$7+(((A30)+1)/2)*(Inputs!$J$7-Inputs!$I$7)))/Inputs!$K$7)^2),NA())</f>
        <v>249.72548500000002</v>
      </c>
      <c r="BB30" s="9">
        <f>IF(OR(Inputs!$F$8=TRUE,Inputs!$F$8="TRUE",Inputs!$F$8=1),(Inputs!$H$8+Inputs!$L$8*(((Inputs!$I$8+(((A30)+1)/2)*(Inputs!$J$8-Inputs!$I$8)))/Inputs!$K$8)^2),NA())</f>
        <v>602.69888500000002</v>
      </c>
      <c r="BC30" s="9">
        <f>IF(OR(Inputs!$F$9=TRUE,Inputs!$F$9="TRUE",Inputs!$F$9=1),(Inputs!$H$9+Inputs!$L$9*(((Inputs!$I$9+(((A30)+1)/2)*(Inputs!$J$9-Inputs!$I$9)))/Inputs!$K$9)^2),NA())</f>
        <v>598.58177500000011</v>
      </c>
      <c r="BD30" s="10"/>
      <c r="BE30" s="9">
        <f t="shared" si="8"/>
        <v>-0.76700000000000002</v>
      </c>
      <c r="BF30" s="9">
        <f>0</f>
        <v>0</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row>
    <row r="31" spans="1:62">
      <c r="A31" s="9">
        <f>ROUND(-1+29*2/240,3)</f>
        <v>-0.75800000000000001</v>
      </c>
      <c r="B31" s="9">
        <f>IF(OR(Inputs!$F$6=TRUE,Inputs!$F$6="TRUE",Inputs!$F$6=1),(Inputs!$H$6+Inputs!$L$6*(((Inputs!$I$6+(((A31)+1)/2)*(Inputs!$J$6-Inputs!$I$6)))/Inputs!$K$6)^2),NA())</f>
        <v>402.29825599999998</v>
      </c>
      <c r="C31" s="9">
        <f>IF(OR(Inputs!$F$7=TRUE,Inputs!$F$7="TRUE",Inputs!$F$7=1),(Inputs!$H$7+Inputs!$L$7*(((Inputs!$I$7+(((A31)+1)/2)*(Inputs!$J$7-Inputs!$I$7)))/Inputs!$K$7)^2),NA())</f>
        <v>244.71585999999999</v>
      </c>
      <c r="D31" s="9">
        <f>IF(OR(Inputs!$F$8=TRUE,Inputs!$F$8="TRUE",Inputs!$F$8=1),(Inputs!$H$8+Inputs!$L$8*(((Inputs!$I$8+(((A31)+1)/2)*(Inputs!$J$8-Inputs!$I$8)))/Inputs!$K$8)^2),NA())</f>
        <v>589.45425999999998</v>
      </c>
      <c r="E31" s="9">
        <f>IF(OR(Inputs!$F$9=TRUE,Inputs!$F$9="TRUE",Inputs!$F$9=1),(Inputs!$H$9+Inputs!$L$9*(((Inputs!$I$9+(((A31)+1)/2)*(Inputs!$J$9-Inputs!$I$9)))/Inputs!$K$9)^2),NA())</f>
        <v>585.19989999999996</v>
      </c>
      <c r="F31" s="10"/>
      <c r="G31" s="9">
        <f t="shared" si="0"/>
        <v>-0.75800000000000001</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c r="L31" s="10"/>
      <c r="M31" s="9">
        <f t="shared" si="1"/>
        <v>-0.75800000000000001</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385.50117479712628</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2853.3637264788622</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3657.1252634559291</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3676.9082971097969</v>
      </c>
      <c r="R31" s="10"/>
      <c r="S31" s="9">
        <f t="shared" si="2"/>
        <v>-0.75800000000000001</v>
      </c>
      <c r="T31" s="9">
        <f>(Inputs!$I$6+(((A31)+1)/2)*(Inputs!$J$6-Inputs!$I$6))</f>
        <v>-45.480000000000004</v>
      </c>
      <c r="U31" s="9">
        <f>(Inputs!$I$7+(((A31)+1)/2)*(Inputs!$J$7-Inputs!$I$7))</f>
        <v>-303.2</v>
      </c>
      <c r="V31" s="9">
        <f>(Inputs!$I$8+(((A31)+1)/2)*(Inputs!$J$8-Inputs!$I$8))</f>
        <v>-606.4</v>
      </c>
      <c r="W31" s="9">
        <f>(Inputs!$I$9+(((A31)+1)/2)*(Inputs!$J$9-Inputs!$I$9))</f>
        <v>-606.4</v>
      </c>
      <c r="X31" s="10"/>
      <c r="Y31" s="9">
        <f t="shared" si="3"/>
        <v>-0.75800000000000001</v>
      </c>
      <c r="Z31" s="9">
        <f>(Inputs!$H$6+Inputs!$L$6*(((Inputs!$I$6+(((A31)+1)/2)*(Inputs!$J$6-Inputs!$I$6)))/Inputs!$K$6)^2)</f>
        <v>402.29825599999998</v>
      </c>
      <c r="AA31" s="9">
        <f>(Inputs!$H$7+Inputs!$L$7*(((Inputs!$I$7+(((A31)+1)/2)*(Inputs!$J$7-Inputs!$I$7)))/Inputs!$K$7)^2)</f>
        <v>244.71585999999999</v>
      </c>
      <c r="AB31" s="9">
        <f>(Inputs!$H$8+Inputs!$L$8*(((Inputs!$I$8+(((A31)+1)/2)*(Inputs!$J$8-Inputs!$I$8)))/Inputs!$K$8)^2)</f>
        <v>589.45425999999998</v>
      </c>
      <c r="AC31" s="9">
        <f>(Inputs!$H$9+Inputs!$L$9*(((Inputs!$I$9+(((A31)+1)/2)*(Inputs!$J$9-Inputs!$I$9)))/Inputs!$K$9)^2)</f>
        <v>585.19989999999996</v>
      </c>
      <c r="AD31" s="10"/>
      <c r="AE31" s="9">
        <f t="shared" si="4"/>
        <v>-0.75800000000000001</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2352.9223073851977</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91836.018267406151</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186356.02914834049</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186916.66345870451</v>
      </c>
      <c r="AJ31" s="10"/>
      <c r="AK31" s="9">
        <f t="shared" si="5"/>
        <v>-0.75800000000000001</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385.50117479712628</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2853.3637264788622</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3657.1252634559291</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3676.9082971097969</v>
      </c>
      <c r="AP31" s="10"/>
      <c r="AQ31" s="9">
        <f t="shared" si="6"/>
        <v>-0.75800000000000001</v>
      </c>
      <c r="AR31" s="9">
        <f>0</f>
        <v>0</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219.82210313216379</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168.46522578827438</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237.05336597515515</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237.05336597515515</v>
      </c>
      <c r="AW31" s="10"/>
      <c r="AX31" s="9">
        <f t="shared" si="7"/>
        <v>-0.75800000000000001</v>
      </c>
      <c r="AY31" s="9">
        <f>0</f>
        <v>0</v>
      </c>
      <c r="AZ31" s="9">
        <f>IF(OR(Inputs!$F$6=TRUE,Inputs!$F$6="TRUE",Inputs!$F$6=1),(Inputs!$H$6+Inputs!$L$6*(((Inputs!$I$6+(((A31)+1)/2)*(Inputs!$J$6-Inputs!$I$6)))/Inputs!$K$6)^2),NA())</f>
        <v>402.29825599999998</v>
      </c>
      <c r="BA31" s="9">
        <f>IF(OR(Inputs!$F$7=TRUE,Inputs!$F$7="TRUE",Inputs!$F$7=1),(Inputs!$H$7+Inputs!$L$7*(((Inputs!$I$7+(((A31)+1)/2)*(Inputs!$J$7-Inputs!$I$7)))/Inputs!$K$7)^2),NA())</f>
        <v>244.71585999999999</v>
      </c>
      <c r="BB31" s="9">
        <f>IF(OR(Inputs!$F$8=TRUE,Inputs!$F$8="TRUE",Inputs!$F$8=1),(Inputs!$H$8+Inputs!$L$8*(((Inputs!$I$8+(((A31)+1)/2)*(Inputs!$J$8-Inputs!$I$8)))/Inputs!$K$8)^2),NA())</f>
        <v>589.45425999999998</v>
      </c>
      <c r="BC31" s="9">
        <f>IF(OR(Inputs!$F$9=TRUE,Inputs!$F$9="TRUE",Inputs!$F$9=1),(Inputs!$H$9+Inputs!$L$9*(((Inputs!$I$9+(((A31)+1)/2)*(Inputs!$J$9-Inputs!$I$9)))/Inputs!$K$9)^2),NA())</f>
        <v>585.19989999999996</v>
      </c>
      <c r="BD31" s="10"/>
      <c r="BE31" s="9">
        <f t="shared" si="8"/>
        <v>-0.75800000000000001</v>
      </c>
      <c r="BF31" s="9">
        <f>0</f>
        <v>0</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row>
    <row r="32" spans="1:62">
      <c r="A32" s="9">
        <f>ROUND(-1+30*2/240,3)</f>
        <v>-0.75</v>
      </c>
      <c r="B32" s="9">
        <f>IF(OR(Inputs!$F$6=TRUE,Inputs!$F$6="TRUE",Inputs!$F$6=1),(Inputs!$H$6+Inputs!$L$6*(((Inputs!$I$6+(((A32)+1)/2)*(Inputs!$J$6-Inputs!$I$6)))/Inputs!$K$6)^2),NA())</f>
        <v>402.25</v>
      </c>
      <c r="C32" s="9">
        <f>IF(OR(Inputs!$F$7=TRUE,Inputs!$F$7="TRUE",Inputs!$F$7=1),(Inputs!$H$7+Inputs!$L$7*(((Inputs!$I$7+(((A32)+1)/2)*(Inputs!$J$7-Inputs!$I$7)))/Inputs!$K$7)^2),NA())</f>
        <v>240.3125</v>
      </c>
      <c r="D32" s="9">
        <f>IF(OR(Inputs!$F$8=TRUE,Inputs!$F$8="TRUE",Inputs!$F$8=1),(Inputs!$H$8+Inputs!$L$8*(((Inputs!$I$8+(((A32)+1)/2)*(Inputs!$J$8-Inputs!$I$8)))/Inputs!$K$8)^2),NA())</f>
        <v>577.8125</v>
      </c>
      <c r="E32" s="9">
        <f>IF(OR(Inputs!$F$9=TRUE,Inputs!$F$9="TRUE",Inputs!$F$9=1),(Inputs!$H$9+Inputs!$L$9*(((Inputs!$I$9+(((A32)+1)/2)*(Inputs!$J$9-Inputs!$I$9)))/Inputs!$K$9)^2),NA())</f>
        <v>573.4375</v>
      </c>
      <c r="F32" s="10"/>
      <c r="G32" s="9">
        <f t="shared" si="0"/>
        <v>-0.75</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c r="L32" s="10"/>
      <c r="M32" s="9">
        <f t="shared" si="1"/>
        <v>-0.75</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381.51126057307653</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2832.668276190082</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3624.8333285150161</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3644.1221232998905</v>
      </c>
      <c r="R32" s="10"/>
      <c r="S32" s="9">
        <f t="shared" si="2"/>
        <v>-0.75</v>
      </c>
      <c r="T32" s="9">
        <f>(Inputs!$I$6+(((A32)+1)/2)*(Inputs!$J$6-Inputs!$I$6))</f>
        <v>-45</v>
      </c>
      <c r="U32" s="9">
        <f>(Inputs!$I$7+(((A32)+1)/2)*(Inputs!$J$7-Inputs!$I$7))</f>
        <v>-300</v>
      </c>
      <c r="V32" s="9">
        <f>(Inputs!$I$8+(((A32)+1)/2)*(Inputs!$J$8-Inputs!$I$8))</f>
        <v>-600</v>
      </c>
      <c r="W32" s="9">
        <f>(Inputs!$I$9+(((A32)+1)/2)*(Inputs!$J$9-Inputs!$I$9))</f>
        <v>-600</v>
      </c>
      <c r="X32" s="10"/>
      <c r="Y32" s="9">
        <f t="shared" si="3"/>
        <v>-0.75</v>
      </c>
      <c r="Z32" s="9">
        <f>(Inputs!$H$6+Inputs!$L$6*(((Inputs!$I$6+(((A32)+1)/2)*(Inputs!$J$6-Inputs!$I$6)))/Inputs!$K$6)^2)</f>
        <v>402.25</v>
      </c>
      <c r="AA32" s="9">
        <f>(Inputs!$H$7+Inputs!$L$7*(((Inputs!$I$7+(((A32)+1)/2)*(Inputs!$J$7-Inputs!$I$7)))/Inputs!$K$7)^2)</f>
        <v>240.3125</v>
      </c>
      <c r="AB32" s="9">
        <f>(Inputs!$H$8+Inputs!$L$8*(((Inputs!$I$8+(((A32)+1)/2)*(Inputs!$J$8-Inputs!$I$8)))/Inputs!$K$8)^2)</f>
        <v>577.8125</v>
      </c>
      <c r="AC32" s="9">
        <f>(Inputs!$H$9+Inputs!$L$9*(((Inputs!$I$9+(((A32)+1)/2)*(Inputs!$J$9-Inputs!$I$9)))/Inputs!$K$9)^2)</f>
        <v>573.4375</v>
      </c>
      <c r="AD32" s="10"/>
      <c r="AE32" s="9">
        <f t="shared" si="4"/>
        <v>-0.75</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2315.3965059322627</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91115.424986752609</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184714.38451986728</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185298.89277731589</v>
      </c>
      <c r="AJ32" s="10"/>
      <c r="AK32" s="9">
        <f t="shared" si="5"/>
        <v>-0.75</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381.51126057307653</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2832.668276190082</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3624.8333285150161</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3644.1221232998905</v>
      </c>
      <c r="AP32" s="10"/>
      <c r="AQ32" s="9">
        <f t="shared" si="6"/>
        <v>-0.75</v>
      </c>
      <c r="AR32" s="9">
        <f>0</f>
        <v>0</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208.8220272535724</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172.68927295130561</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77.587070989352995</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77.587070989352995</v>
      </c>
      <c r="AW32" s="10"/>
      <c r="AX32" s="9">
        <f t="shared" si="7"/>
        <v>-0.75</v>
      </c>
      <c r="AY32" s="9">
        <f>0</f>
        <v>0</v>
      </c>
      <c r="AZ32" s="9">
        <f>IF(OR(Inputs!$F$6=TRUE,Inputs!$F$6="TRUE",Inputs!$F$6=1),(Inputs!$H$6+Inputs!$L$6*(((Inputs!$I$6+(((A32)+1)/2)*(Inputs!$J$6-Inputs!$I$6)))/Inputs!$K$6)^2),NA())</f>
        <v>402.25</v>
      </c>
      <c r="BA32" s="9">
        <f>IF(OR(Inputs!$F$7=TRUE,Inputs!$F$7="TRUE",Inputs!$F$7=1),(Inputs!$H$7+Inputs!$L$7*(((Inputs!$I$7+(((A32)+1)/2)*(Inputs!$J$7-Inputs!$I$7)))/Inputs!$K$7)^2),NA())</f>
        <v>240.3125</v>
      </c>
      <c r="BB32" s="9">
        <f>IF(OR(Inputs!$F$8=TRUE,Inputs!$F$8="TRUE",Inputs!$F$8=1),(Inputs!$H$8+Inputs!$L$8*(((Inputs!$I$8+(((A32)+1)/2)*(Inputs!$J$8-Inputs!$I$8)))/Inputs!$K$8)^2),NA())</f>
        <v>577.8125</v>
      </c>
      <c r="BC32" s="9">
        <f>IF(OR(Inputs!$F$9=TRUE,Inputs!$F$9="TRUE",Inputs!$F$9=1),(Inputs!$H$9+Inputs!$L$9*(((Inputs!$I$9+(((A32)+1)/2)*(Inputs!$J$9-Inputs!$I$9)))/Inputs!$K$9)^2),NA())</f>
        <v>573.4375</v>
      </c>
      <c r="BD32" s="10"/>
      <c r="BE32" s="9">
        <f t="shared" si="8"/>
        <v>-0.75</v>
      </c>
      <c r="BF32" s="9">
        <f>0</f>
        <v>0</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row>
    <row r="33" spans="1:62">
      <c r="A33" s="9">
        <f>ROUND(-1+31*2/240,3)</f>
        <v>-0.74199999999999999</v>
      </c>
      <c r="B33" s="9">
        <f>IF(OR(Inputs!$F$6=TRUE,Inputs!$F$6="TRUE",Inputs!$F$6=1),(Inputs!$H$6+Inputs!$L$6*(((Inputs!$I$6+(((A33)+1)/2)*(Inputs!$J$6-Inputs!$I$6)))/Inputs!$K$6)^2),NA())</f>
        <v>402.20225599999998</v>
      </c>
      <c r="C33" s="9">
        <f>IF(OR(Inputs!$F$7=TRUE,Inputs!$F$7="TRUE",Inputs!$F$7=1),(Inputs!$H$7+Inputs!$L$7*(((Inputs!$I$7+(((A33)+1)/2)*(Inputs!$J$7-Inputs!$I$7)))/Inputs!$K$7)^2),NA())</f>
        <v>235.95585999999997</v>
      </c>
      <c r="D33" s="9">
        <f>IF(OR(Inputs!$F$8=TRUE,Inputs!$F$8="TRUE",Inputs!$F$8=1),(Inputs!$H$8+Inputs!$L$8*(((Inputs!$I$8+(((A33)+1)/2)*(Inputs!$J$8-Inputs!$I$8)))/Inputs!$K$8)^2),NA())</f>
        <v>566.29425999999989</v>
      </c>
      <c r="E33" s="9">
        <f>IF(OR(Inputs!$F$9=TRUE,Inputs!$F$9="TRUE",Inputs!$F$9=1),(Inputs!$H$9+Inputs!$L$9*(((Inputs!$I$9+(((A33)+1)/2)*(Inputs!$J$9-Inputs!$I$9)))/Inputs!$K$9)^2),NA())</f>
        <v>561.79989999999998</v>
      </c>
      <c r="F33" s="10"/>
      <c r="G33" s="9">
        <f t="shared" si="0"/>
        <v>-0.74199999999999999</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c r="L33" s="10"/>
      <c r="M33" s="9">
        <f t="shared" si="1"/>
        <v>-0.74199999999999999</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377.51890638728247</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2812.0693690967641</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3592.6319860099261</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3611.4243995275601</v>
      </c>
      <c r="R33" s="10"/>
      <c r="S33" s="9">
        <f t="shared" si="2"/>
        <v>-0.74199999999999999</v>
      </c>
      <c r="T33" s="9">
        <f>(Inputs!$I$6+(((A33)+1)/2)*(Inputs!$J$6-Inputs!$I$6))</f>
        <v>-44.519999999999996</v>
      </c>
      <c r="U33" s="9">
        <f>(Inputs!$I$7+(((A33)+1)/2)*(Inputs!$J$7-Inputs!$I$7))</f>
        <v>-296.8</v>
      </c>
      <c r="V33" s="9">
        <f>(Inputs!$I$8+(((A33)+1)/2)*(Inputs!$J$8-Inputs!$I$8))</f>
        <v>-593.6</v>
      </c>
      <c r="W33" s="9">
        <f>(Inputs!$I$9+(((A33)+1)/2)*(Inputs!$J$9-Inputs!$I$9))</f>
        <v>-593.6</v>
      </c>
      <c r="X33" s="10"/>
      <c r="Y33" s="9">
        <f t="shared" si="3"/>
        <v>-0.74199999999999999</v>
      </c>
      <c r="Z33" s="9">
        <f>(Inputs!$H$6+Inputs!$L$6*(((Inputs!$I$6+(((A33)+1)/2)*(Inputs!$J$6-Inputs!$I$6)))/Inputs!$K$6)^2)</f>
        <v>402.20225599999998</v>
      </c>
      <c r="AA33" s="9">
        <f>(Inputs!$H$7+Inputs!$L$7*(((Inputs!$I$7+(((A33)+1)/2)*(Inputs!$J$7-Inputs!$I$7)))/Inputs!$K$7)^2)</f>
        <v>235.95585999999997</v>
      </c>
      <c r="AB33" s="9">
        <f>(Inputs!$H$8+Inputs!$L$8*(((Inputs!$I$8+(((A33)+1)/2)*(Inputs!$J$8-Inputs!$I$8)))/Inputs!$K$8)^2)</f>
        <v>566.29425999999989</v>
      </c>
      <c r="AC33" s="9">
        <f>(Inputs!$H$9+Inputs!$L$9*(((Inputs!$I$9+(((A33)+1)/2)*(Inputs!$J$9-Inputs!$I$9)))/Inputs!$K$9)^2)</f>
        <v>561.79989999999998</v>
      </c>
      <c r="AD33" s="10"/>
      <c r="AE33" s="9">
        <f t="shared" si="4"/>
        <v>-0.74199999999999999</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2278.255727414682</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90391.783735525503</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183075.81149948057</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183684.58766289297</v>
      </c>
      <c r="AJ33" s="10"/>
      <c r="AK33" s="9">
        <f t="shared" si="5"/>
        <v>-0.74199999999999999</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377.51890638728247</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2812.0693690967641</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3592.6319860099261</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3611.4243995275601</v>
      </c>
      <c r="AP33" s="10"/>
      <c r="AQ33" s="9">
        <f t="shared" si="6"/>
        <v>-0.74199999999999999</v>
      </c>
      <c r="AR33" s="9">
        <f>0</f>
        <v>0</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213.11731003163493</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127.26970521356377</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165.64347720816141</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165.64347720816141</v>
      </c>
      <c r="AW33" s="10"/>
      <c r="AX33" s="9">
        <f t="shared" si="7"/>
        <v>-0.74199999999999999</v>
      </c>
      <c r="AY33" s="9">
        <f>0</f>
        <v>0</v>
      </c>
      <c r="AZ33" s="9">
        <f>IF(OR(Inputs!$F$6=TRUE,Inputs!$F$6="TRUE",Inputs!$F$6=1),(Inputs!$H$6+Inputs!$L$6*(((Inputs!$I$6+(((A33)+1)/2)*(Inputs!$J$6-Inputs!$I$6)))/Inputs!$K$6)^2),NA())</f>
        <v>402.20225599999998</v>
      </c>
      <c r="BA33" s="9">
        <f>IF(OR(Inputs!$F$7=TRUE,Inputs!$F$7="TRUE",Inputs!$F$7=1),(Inputs!$H$7+Inputs!$L$7*(((Inputs!$I$7+(((A33)+1)/2)*(Inputs!$J$7-Inputs!$I$7)))/Inputs!$K$7)^2),NA())</f>
        <v>235.95585999999997</v>
      </c>
      <c r="BB33" s="9">
        <f>IF(OR(Inputs!$F$8=TRUE,Inputs!$F$8="TRUE",Inputs!$F$8=1),(Inputs!$H$8+Inputs!$L$8*(((Inputs!$I$8+(((A33)+1)/2)*(Inputs!$J$8-Inputs!$I$8)))/Inputs!$K$8)^2),NA())</f>
        <v>566.29425999999989</v>
      </c>
      <c r="BC33" s="9">
        <f>IF(OR(Inputs!$F$9=TRUE,Inputs!$F$9="TRUE",Inputs!$F$9=1),(Inputs!$H$9+Inputs!$L$9*(((Inputs!$I$9+(((A33)+1)/2)*(Inputs!$J$9-Inputs!$I$9)))/Inputs!$K$9)^2),NA())</f>
        <v>561.79989999999998</v>
      </c>
      <c r="BD33" s="10"/>
      <c r="BE33" s="9">
        <f t="shared" si="8"/>
        <v>-0.74199999999999999</v>
      </c>
      <c r="BF33" s="9">
        <f>0</f>
        <v>0</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row>
    <row r="34" spans="1:62">
      <c r="A34" s="9">
        <f>ROUND(-1+32*2/240,3)</f>
        <v>-0.73299999999999998</v>
      </c>
      <c r="B34" s="9">
        <f>IF(OR(Inputs!$F$6=TRUE,Inputs!$F$6="TRUE",Inputs!$F$6=1),(Inputs!$H$6+Inputs!$L$6*(((Inputs!$I$6+(((A34)+1)/2)*(Inputs!$J$6-Inputs!$I$6)))/Inputs!$K$6)^2),NA())</f>
        <v>402.149156</v>
      </c>
      <c r="C34" s="9">
        <f>IF(OR(Inputs!$F$7=TRUE,Inputs!$F$7="TRUE",Inputs!$F$7=1),(Inputs!$H$7+Inputs!$L$7*(((Inputs!$I$7+(((A34)+1)/2)*(Inputs!$J$7-Inputs!$I$7)))/Inputs!$K$7)^2),NA())</f>
        <v>231.11048500000001</v>
      </c>
      <c r="D34" s="9">
        <f>IF(OR(Inputs!$F$8=TRUE,Inputs!$F$8="TRUE",Inputs!$F$8=1),(Inputs!$H$8+Inputs!$L$8*(((Inputs!$I$8+(((A34)+1)/2)*(Inputs!$J$8-Inputs!$I$8)))/Inputs!$K$8)^2),NA())</f>
        <v>553.48388499999999</v>
      </c>
      <c r="E34" s="9">
        <f>IF(OR(Inputs!$F$9=TRUE,Inputs!$F$9="TRUE",Inputs!$F$9=1),(Inputs!$H$9+Inputs!$L$9*(((Inputs!$I$9+(((A34)+1)/2)*(Inputs!$J$9-Inputs!$I$9)))/Inputs!$K$9)^2),NA())</f>
        <v>548.85677499999997</v>
      </c>
      <c r="F34" s="10"/>
      <c r="G34" s="9">
        <f t="shared" si="0"/>
        <v>-0.73299999999999998</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c r="L34" s="10"/>
      <c r="M34" s="9">
        <f t="shared" si="1"/>
        <v>-0.73299999999999998</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373.02461960418356</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2789.0129068157057</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3556.5171977561395</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3574.7486485680456</v>
      </c>
      <c r="R34" s="10"/>
      <c r="S34" s="9">
        <f t="shared" si="2"/>
        <v>-0.73299999999999998</v>
      </c>
      <c r="T34" s="9">
        <f>(Inputs!$I$6+(((A34)+1)/2)*(Inputs!$J$6-Inputs!$I$6))</f>
        <v>-43.980000000000004</v>
      </c>
      <c r="U34" s="9">
        <f>(Inputs!$I$7+(((A34)+1)/2)*(Inputs!$J$7-Inputs!$I$7))</f>
        <v>-293.2</v>
      </c>
      <c r="V34" s="9">
        <f>(Inputs!$I$8+(((A34)+1)/2)*(Inputs!$J$8-Inputs!$I$8))</f>
        <v>-586.4</v>
      </c>
      <c r="W34" s="9">
        <f>(Inputs!$I$9+(((A34)+1)/2)*(Inputs!$J$9-Inputs!$I$9))</f>
        <v>-586.4</v>
      </c>
      <c r="X34" s="10"/>
      <c r="Y34" s="9">
        <f t="shared" si="3"/>
        <v>-0.73299999999999998</v>
      </c>
      <c r="Z34" s="9">
        <f>(Inputs!$H$6+Inputs!$L$6*(((Inputs!$I$6+(((A34)+1)/2)*(Inputs!$J$6-Inputs!$I$6)))/Inputs!$K$6)^2)</f>
        <v>402.149156</v>
      </c>
      <c r="AA34" s="9">
        <f>(Inputs!$H$7+Inputs!$L$7*(((Inputs!$I$7+(((A34)+1)/2)*(Inputs!$J$7-Inputs!$I$7)))/Inputs!$K$7)^2)</f>
        <v>231.11048500000001</v>
      </c>
      <c r="AB34" s="9">
        <f>(Inputs!$H$8+Inputs!$L$8*(((Inputs!$I$8+(((A34)+1)/2)*(Inputs!$J$8-Inputs!$I$8)))/Inputs!$K$8)^2)</f>
        <v>553.48388499999999</v>
      </c>
      <c r="AC34" s="9">
        <f>(Inputs!$H$9+Inputs!$L$9*(((Inputs!$I$9+(((A34)+1)/2)*(Inputs!$J$9-Inputs!$I$9)))/Inputs!$K$9)^2)</f>
        <v>548.85677499999997</v>
      </c>
      <c r="AD34" s="10"/>
      <c r="AE34" s="9">
        <f t="shared" si="4"/>
        <v>-0.73299999999999998</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2236.9330838177084</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89573.907847124792</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181235.83081977061</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181872.38524454922</v>
      </c>
      <c r="AJ34" s="10"/>
      <c r="AK34" s="9">
        <f t="shared" si="5"/>
        <v>-0.73299999999999998</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373.02461960418356</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2789.0129068157057</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3556.5171977561395</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3574.7486485680456</v>
      </c>
      <c r="AP34" s="10"/>
      <c r="AQ34" s="9">
        <f t="shared" si="6"/>
        <v>-0.73299999999999998</v>
      </c>
      <c r="AR34" s="9">
        <f>0</f>
        <v>0</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207.52992748890685</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98.821195721327598</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171.21879508475016</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171.21879508475016</v>
      </c>
      <c r="AW34" s="10"/>
      <c r="AX34" s="9">
        <f t="shared" si="7"/>
        <v>-0.73299999999999998</v>
      </c>
      <c r="AY34" s="9">
        <f>0</f>
        <v>0</v>
      </c>
      <c r="AZ34" s="9">
        <f>IF(OR(Inputs!$F$6=TRUE,Inputs!$F$6="TRUE",Inputs!$F$6=1),(Inputs!$H$6+Inputs!$L$6*(((Inputs!$I$6+(((A34)+1)/2)*(Inputs!$J$6-Inputs!$I$6)))/Inputs!$K$6)^2),NA())</f>
        <v>402.149156</v>
      </c>
      <c r="BA34" s="9">
        <f>IF(OR(Inputs!$F$7=TRUE,Inputs!$F$7="TRUE",Inputs!$F$7=1),(Inputs!$H$7+Inputs!$L$7*(((Inputs!$I$7+(((A34)+1)/2)*(Inputs!$J$7-Inputs!$I$7)))/Inputs!$K$7)^2),NA())</f>
        <v>231.11048500000001</v>
      </c>
      <c r="BB34" s="9">
        <f>IF(OR(Inputs!$F$8=TRUE,Inputs!$F$8="TRUE",Inputs!$F$8=1),(Inputs!$H$8+Inputs!$L$8*(((Inputs!$I$8+(((A34)+1)/2)*(Inputs!$J$8-Inputs!$I$8)))/Inputs!$K$8)^2),NA())</f>
        <v>553.48388499999999</v>
      </c>
      <c r="BC34" s="9">
        <f>IF(OR(Inputs!$F$9=TRUE,Inputs!$F$9="TRUE",Inputs!$F$9=1),(Inputs!$H$9+Inputs!$L$9*(((Inputs!$I$9+(((A34)+1)/2)*(Inputs!$J$9-Inputs!$I$9)))/Inputs!$K$9)^2),NA())</f>
        <v>548.85677499999997</v>
      </c>
      <c r="BD34" s="10"/>
      <c r="BE34" s="9">
        <f t="shared" si="8"/>
        <v>-0.73299999999999998</v>
      </c>
      <c r="BF34" s="9">
        <f>0</f>
        <v>0</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row>
    <row r="35" spans="1:62">
      <c r="A35" s="9">
        <f>ROUND(-1+33*2/240,3)</f>
        <v>-0.72499999999999998</v>
      </c>
      <c r="B35" s="9">
        <f>IF(OR(Inputs!$F$6=TRUE,Inputs!$F$6="TRUE",Inputs!$F$6=1),(Inputs!$H$6+Inputs!$L$6*(((Inputs!$I$6+(((A35)+1)/2)*(Inputs!$J$6-Inputs!$I$6)))/Inputs!$K$6)^2),NA())</f>
        <v>402.10250000000002</v>
      </c>
      <c r="C35" s="9">
        <f>IF(OR(Inputs!$F$7=TRUE,Inputs!$F$7="TRUE",Inputs!$F$7=1),(Inputs!$H$7+Inputs!$L$7*(((Inputs!$I$7+(((A35)+1)/2)*(Inputs!$J$7-Inputs!$I$7)))/Inputs!$K$7)^2),NA())</f>
        <v>226.85312500000001</v>
      </c>
      <c r="D35" s="9">
        <f>IF(OR(Inputs!$F$8=TRUE,Inputs!$F$8="TRUE",Inputs!$F$8=1),(Inputs!$H$8+Inputs!$L$8*(((Inputs!$I$8+(((A35)+1)/2)*(Inputs!$J$8-Inputs!$I$8)))/Inputs!$K$8)^2),NA())</f>
        <v>542.22812500000009</v>
      </c>
      <c r="E35" s="9">
        <f>IF(OR(Inputs!$F$9=TRUE,Inputs!$F$9="TRUE",Inputs!$F$9=1),(Inputs!$H$9+Inputs!$L$9*(((Inputs!$I$9+(((A35)+1)/2)*(Inputs!$J$9-Inputs!$I$9)))/Inputs!$K$9)^2),NA())</f>
        <v>537.484375</v>
      </c>
      <c r="F35" s="10"/>
      <c r="G35" s="9">
        <f t="shared" si="0"/>
        <v>-0.72499999999999998</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c r="L35" s="10"/>
      <c r="M35" s="9">
        <f t="shared" si="1"/>
        <v>-0.72499999999999998</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369.02715579752299</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2768.6242500880076</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3524.5176065915875</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3542.248200483351</v>
      </c>
      <c r="R35" s="10"/>
      <c r="S35" s="9">
        <f t="shared" si="2"/>
        <v>-0.72499999999999998</v>
      </c>
      <c r="T35" s="9">
        <f>(Inputs!$I$6+(((A35)+1)/2)*(Inputs!$J$6-Inputs!$I$6))</f>
        <v>-43.5</v>
      </c>
      <c r="U35" s="9">
        <f>(Inputs!$I$7+(((A35)+1)/2)*(Inputs!$J$7-Inputs!$I$7))</f>
        <v>-290</v>
      </c>
      <c r="V35" s="9">
        <f>(Inputs!$I$8+(((A35)+1)/2)*(Inputs!$J$8-Inputs!$I$8))</f>
        <v>-580</v>
      </c>
      <c r="W35" s="9">
        <f>(Inputs!$I$9+(((A35)+1)/2)*(Inputs!$J$9-Inputs!$I$9))</f>
        <v>-580</v>
      </c>
      <c r="X35" s="10"/>
      <c r="Y35" s="9">
        <f t="shared" si="3"/>
        <v>-0.72499999999999998</v>
      </c>
      <c r="Z35" s="9">
        <f>(Inputs!$H$6+Inputs!$L$6*(((Inputs!$I$6+(((A35)+1)/2)*(Inputs!$J$6-Inputs!$I$6)))/Inputs!$K$6)^2)</f>
        <v>402.10250000000002</v>
      </c>
      <c r="AA35" s="9">
        <f>(Inputs!$H$7+Inputs!$L$7*(((Inputs!$I$7+(((A35)+1)/2)*(Inputs!$J$7-Inputs!$I$7)))/Inputs!$K$7)^2)</f>
        <v>226.85312500000001</v>
      </c>
      <c r="AB35" s="9">
        <f>(Inputs!$H$8+Inputs!$L$8*(((Inputs!$I$8+(((A35)+1)/2)*(Inputs!$J$8-Inputs!$I$8)))/Inputs!$K$8)^2)</f>
        <v>542.22812500000009</v>
      </c>
      <c r="AC35" s="9">
        <f>(Inputs!$H$9+Inputs!$L$9*(((Inputs!$I$9+(((A35)+1)/2)*(Inputs!$J$9-Inputs!$I$9)))/Inputs!$K$9)^2)</f>
        <v>537.484375</v>
      </c>
      <c r="AD35" s="10"/>
      <c r="AE35" s="9">
        <f t="shared" si="4"/>
        <v>-0.72499999999999998</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2200.6118333585869</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88843.424479678099</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179603.09096028359</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180264.76629421336</v>
      </c>
      <c r="AJ35" s="10"/>
      <c r="AK35" s="9">
        <f t="shared" si="5"/>
        <v>-0.72499999999999998</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369.02715579752299</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2768.6242500880076</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3524.5176065915875</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3542.248200483351</v>
      </c>
      <c r="AP35" s="10"/>
      <c r="AQ35" s="9">
        <f t="shared" si="6"/>
        <v>-0.72499999999999998</v>
      </c>
      <c r="AR35" s="9">
        <f>0</f>
        <v>0</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210.84839534160349</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113.86344028709524</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54.628007910848197</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54.628007910848197</v>
      </c>
      <c r="AW35" s="10"/>
      <c r="AX35" s="9">
        <f t="shared" si="7"/>
        <v>-0.72499999999999998</v>
      </c>
      <c r="AY35" s="9">
        <f>0</f>
        <v>0</v>
      </c>
      <c r="AZ35" s="9">
        <f>IF(OR(Inputs!$F$6=TRUE,Inputs!$F$6="TRUE",Inputs!$F$6=1),(Inputs!$H$6+Inputs!$L$6*(((Inputs!$I$6+(((A35)+1)/2)*(Inputs!$J$6-Inputs!$I$6)))/Inputs!$K$6)^2),NA())</f>
        <v>402.10250000000002</v>
      </c>
      <c r="BA35" s="9">
        <f>IF(OR(Inputs!$F$7=TRUE,Inputs!$F$7="TRUE",Inputs!$F$7=1),(Inputs!$H$7+Inputs!$L$7*(((Inputs!$I$7+(((A35)+1)/2)*(Inputs!$J$7-Inputs!$I$7)))/Inputs!$K$7)^2),NA())</f>
        <v>226.85312500000001</v>
      </c>
      <c r="BB35" s="9">
        <f>IF(OR(Inputs!$F$8=TRUE,Inputs!$F$8="TRUE",Inputs!$F$8=1),(Inputs!$H$8+Inputs!$L$8*(((Inputs!$I$8+(((A35)+1)/2)*(Inputs!$J$8-Inputs!$I$8)))/Inputs!$K$8)^2),NA())</f>
        <v>542.22812500000009</v>
      </c>
      <c r="BC35" s="9">
        <f>IF(OR(Inputs!$F$9=TRUE,Inputs!$F$9="TRUE",Inputs!$F$9=1),(Inputs!$H$9+Inputs!$L$9*(((Inputs!$I$9+(((A35)+1)/2)*(Inputs!$J$9-Inputs!$I$9)))/Inputs!$K$9)^2),NA())</f>
        <v>537.484375</v>
      </c>
      <c r="BD35" s="10"/>
      <c r="BE35" s="9">
        <f t="shared" si="8"/>
        <v>-0.72499999999999998</v>
      </c>
      <c r="BF35" s="9">
        <f>0</f>
        <v>0</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row>
    <row r="36" spans="1:62">
      <c r="A36" s="9">
        <f>ROUND(-1+34*2/240,3)</f>
        <v>-0.71699999999999997</v>
      </c>
      <c r="B36" s="9">
        <f>IF(OR(Inputs!$F$6=TRUE,Inputs!$F$6="TRUE",Inputs!$F$6=1),(Inputs!$H$6+Inputs!$L$6*(((Inputs!$I$6+(((A36)+1)/2)*(Inputs!$J$6-Inputs!$I$6)))/Inputs!$K$6)^2),NA())</f>
        <v>402.05635599999999</v>
      </c>
      <c r="C36" s="9">
        <f>IF(OR(Inputs!$F$7=TRUE,Inputs!$F$7="TRUE",Inputs!$F$7=1),(Inputs!$H$7+Inputs!$L$7*(((Inputs!$I$7+(((A36)+1)/2)*(Inputs!$J$7-Inputs!$I$7)))/Inputs!$K$7)^2),NA())</f>
        <v>222.64248499999994</v>
      </c>
      <c r="D36" s="9">
        <f>IF(OR(Inputs!$F$8=TRUE,Inputs!$F$8="TRUE",Inputs!$F$8=1),(Inputs!$H$8+Inputs!$L$8*(((Inputs!$I$8+(((A36)+1)/2)*(Inputs!$J$8-Inputs!$I$8)))/Inputs!$K$8)^2),NA())</f>
        <v>531.09588499999973</v>
      </c>
      <c r="E36" s="9">
        <f>IF(OR(Inputs!$F$9=TRUE,Inputs!$F$9="TRUE",Inputs!$F$9=1),(Inputs!$H$9+Inputs!$L$9*(((Inputs!$I$9+(((A36)+1)/2)*(Inputs!$J$9-Inputs!$I$9)))/Inputs!$K$9)^2),NA())</f>
        <v>526.23677499999985</v>
      </c>
      <c r="F36" s="10"/>
      <c r="G36" s="9">
        <f t="shared" si="0"/>
        <v>-0.71699999999999997</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c r="L36" s="10"/>
      <c r="M36" s="9">
        <f t="shared" si="1"/>
        <v>-0.71699999999999997</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365.02732311765499</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2748.3369418124917</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3492.6174592185425</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3509.8451355639636</v>
      </c>
      <c r="R36" s="10"/>
      <c r="S36" s="9">
        <f t="shared" si="2"/>
        <v>-0.71699999999999997</v>
      </c>
      <c r="T36" s="9">
        <f>(Inputs!$I$6+(((A36)+1)/2)*(Inputs!$J$6-Inputs!$I$6))</f>
        <v>-43.019999999999996</v>
      </c>
      <c r="U36" s="9">
        <f>(Inputs!$I$7+(((A36)+1)/2)*(Inputs!$J$7-Inputs!$I$7))</f>
        <v>-286.79999999999995</v>
      </c>
      <c r="V36" s="9">
        <f>(Inputs!$I$8+(((A36)+1)/2)*(Inputs!$J$8-Inputs!$I$8))</f>
        <v>-573.59999999999991</v>
      </c>
      <c r="W36" s="9">
        <f>(Inputs!$I$9+(((A36)+1)/2)*(Inputs!$J$9-Inputs!$I$9))</f>
        <v>-573.59999999999991</v>
      </c>
      <c r="X36" s="10"/>
      <c r="Y36" s="9">
        <f t="shared" si="3"/>
        <v>-0.71699999999999997</v>
      </c>
      <c r="Z36" s="9">
        <f>(Inputs!$H$6+Inputs!$L$6*(((Inputs!$I$6+(((A36)+1)/2)*(Inputs!$J$6-Inputs!$I$6)))/Inputs!$K$6)^2)</f>
        <v>402.05635599999999</v>
      </c>
      <c r="AA36" s="9">
        <f>(Inputs!$H$7+Inputs!$L$7*(((Inputs!$I$7+(((A36)+1)/2)*(Inputs!$J$7-Inputs!$I$7)))/Inputs!$K$7)^2)</f>
        <v>222.64248499999994</v>
      </c>
      <c r="AB36" s="9">
        <f>(Inputs!$H$8+Inputs!$L$8*(((Inputs!$I$8+(((A36)+1)/2)*(Inputs!$J$8-Inputs!$I$8)))/Inputs!$K$8)^2)</f>
        <v>531.09588499999973</v>
      </c>
      <c r="AC36" s="9">
        <f>(Inputs!$H$9+Inputs!$L$9*(((Inputs!$I$9+(((A36)+1)/2)*(Inputs!$J$9-Inputs!$I$9)))/Inputs!$K$9)^2)</f>
        <v>526.23677499999985</v>
      </c>
      <c r="AD36" s="10"/>
      <c r="AE36" s="9">
        <f t="shared" si="4"/>
        <v>-0.71699999999999997</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2164.6768722505935</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88109.545731422695</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177972.75585280091</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178659.96083745713</v>
      </c>
      <c r="AJ36" s="10"/>
      <c r="AK36" s="9">
        <f t="shared" si="5"/>
        <v>-0.71699999999999997</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365.02732311765499</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2748.3369418124917</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3492.6174592185425</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3509.8451355639636</v>
      </c>
      <c r="AP36" s="10"/>
      <c r="AQ36" s="9">
        <f t="shared" si="6"/>
        <v>-0.71699999999999997</v>
      </c>
      <c r="AR36" s="9">
        <f>0</f>
        <v>0</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193.73926812733336</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157.9662629044829</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192.31491037012702</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192.31491037012702</v>
      </c>
      <c r="AW36" s="10"/>
      <c r="AX36" s="9">
        <f t="shared" si="7"/>
        <v>-0.71699999999999997</v>
      </c>
      <c r="AY36" s="9">
        <f>0</f>
        <v>0</v>
      </c>
      <c r="AZ36" s="9">
        <f>IF(OR(Inputs!$F$6=TRUE,Inputs!$F$6="TRUE",Inputs!$F$6=1),(Inputs!$H$6+Inputs!$L$6*(((Inputs!$I$6+(((A36)+1)/2)*(Inputs!$J$6-Inputs!$I$6)))/Inputs!$K$6)^2),NA())</f>
        <v>402.05635599999999</v>
      </c>
      <c r="BA36" s="9">
        <f>IF(OR(Inputs!$F$7=TRUE,Inputs!$F$7="TRUE",Inputs!$F$7=1),(Inputs!$H$7+Inputs!$L$7*(((Inputs!$I$7+(((A36)+1)/2)*(Inputs!$J$7-Inputs!$I$7)))/Inputs!$K$7)^2),NA())</f>
        <v>222.64248499999994</v>
      </c>
      <c r="BB36" s="9">
        <f>IF(OR(Inputs!$F$8=TRUE,Inputs!$F$8="TRUE",Inputs!$F$8=1),(Inputs!$H$8+Inputs!$L$8*(((Inputs!$I$8+(((A36)+1)/2)*(Inputs!$J$8-Inputs!$I$8)))/Inputs!$K$8)^2),NA())</f>
        <v>531.09588499999973</v>
      </c>
      <c r="BC36" s="9">
        <f>IF(OR(Inputs!$F$9=TRUE,Inputs!$F$9="TRUE",Inputs!$F$9=1),(Inputs!$H$9+Inputs!$L$9*(((Inputs!$I$9+(((A36)+1)/2)*(Inputs!$J$9-Inputs!$I$9)))/Inputs!$K$9)^2),NA())</f>
        <v>526.23677499999985</v>
      </c>
      <c r="BD36" s="10"/>
      <c r="BE36" s="9">
        <f t="shared" si="8"/>
        <v>-0.71699999999999997</v>
      </c>
      <c r="BF36" s="9">
        <f>0</f>
        <v>0</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row>
    <row r="37" spans="1:62">
      <c r="A37" s="9">
        <f>ROUND(-1+35*2/240,3)</f>
        <v>-0.70799999999999996</v>
      </c>
      <c r="B37" s="9">
        <f>IF(OR(Inputs!$F$6=TRUE,Inputs!$F$6="TRUE",Inputs!$F$6=1),(Inputs!$H$6+Inputs!$L$6*(((Inputs!$I$6+(((A37)+1)/2)*(Inputs!$J$6-Inputs!$I$6)))/Inputs!$K$6)^2),NA())</f>
        <v>402.00505600000002</v>
      </c>
      <c r="C37" s="9">
        <f>IF(OR(Inputs!$F$7=TRUE,Inputs!$F$7="TRUE",Inputs!$F$7=1),(Inputs!$H$7+Inputs!$L$7*(((Inputs!$I$7+(((A37)+1)/2)*(Inputs!$J$7-Inputs!$I$7)))/Inputs!$K$7)^2),NA())</f>
        <v>217.96135999999998</v>
      </c>
      <c r="D37" s="9">
        <f>IF(OR(Inputs!$F$8=TRUE,Inputs!$F$8="TRUE",Inputs!$F$8=1),(Inputs!$H$8+Inputs!$L$8*(((Inputs!$I$8+(((A37)+1)/2)*(Inputs!$J$8-Inputs!$I$8)))/Inputs!$K$8)^2),NA())</f>
        <v>518.71975999999995</v>
      </c>
      <c r="E37" s="9">
        <f>IF(OR(Inputs!$F$9=TRUE,Inputs!$F$9="TRUE",Inputs!$F$9=1),(Inputs!$H$9+Inputs!$L$9*(((Inputs!$I$9+(((A37)+1)/2)*(Inputs!$J$9-Inputs!$I$9)))/Inputs!$K$9)^2),NA())</f>
        <v>513.73239999999987</v>
      </c>
      <c r="F37" s="10"/>
      <c r="G37" s="9">
        <f t="shared" si="0"/>
        <v>-0.70799999999999996</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c r="L37" s="10"/>
      <c r="M37" s="9">
        <f t="shared" si="1"/>
        <v>-0.70799999999999996</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360.52470839848678</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2725.6367848411619</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3456.8523747265017</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3473.5118503776707</v>
      </c>
      <c r="R37" s="10"/>
      <c r="S37" s="9">
        <f t="shared" si="2"/>
        <v>-0.70799999999999996</v>
      </c>
      <c r="T37" s="9">
        <f>(Inputs!$I$6+(((A37)+1)/2)*(Inputs!$J$6-Inputs!$I$6))</f>
        <v>-42.48</v>
      </c>
      <c r="U37" s="9">
        <f>(Inputs!$I$7+(((A37)+1)/2)*(Inputs!$J$7-Inputs!$I$7))</f>
        <v>-283.2</v>
      </c>
      <c r="V37" s="9">
        <f>(Inputs!$I$8+(((A37)+1)/2)*(Inputs!$J$8-Inputs!$I$8))</f>
        <v>-566.4</v>
      </c>
      <c r="W37" s="9">
        <f>(Inputs!$I$9+(((A37)+1)/2)*(Inputs!$J$9-Inputs!$I$9))</f>
        <v>-566.4</v>
      </c>
      <c r="X37" s="10"/>
      <c r="Y37" s="9">
        <f t="shared" si="3"/>
        <v>-0.70799999999999996</v>
      </c>
      <c r="Z37" s="9">
        <f>(Inputs!$H$6+Inputs!$L$6*(((Inputs!$I$6+(((A37)+1)/2)*(Inputs!$J$6-Inputs!$I$6)))/Inputs!$K$6)^2)</f>
        <v>402.00505600000002</v>
      </c>
      <c r="AA37" s="9">
        <f>(Inputs!$H$7+Inputs!$L$7*(((Inputs!$I$7+(((A37)+1)/2)*(Inputs!$J$7-Inputs!$I$7)))/Inputs!$K$7)^2)</f>
        <v>217.96135999999998</v>
      </c>
      <c r="AB37" s="9">
        <f>(Inputs!$H$8+Inputs!$L$8*(((Inputs!$I$8+(((A37)+1)/2)*(Inputs!$J$8-Inputs!$I$8)))/Inputs!$K$8)^2)</f>
        <v>518.71975999999995</v>
      </c>
      <c r="AC37" s="9">
        <f>(Inputs!$H$9+Inputs!$L$9*(((Inputs!$I$9+(((A37)+1)/2)*(Inputs!$J$9-Inputs!$I$9)))/Inputs!$K$9)^2)</f>
        <v>513.73239999999987</v>
      </c>
      <c r="AD37" s="10"/>
      <c r="AE37" s="9">
        <f t="shared" si="4"/>
        <v>-0.70799999999999996</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2124.7122720466718</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87279.730664169954</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176141.22062529402</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176857.64075456755</v>
      </c>
      <c r="AJ37" s="10"/>
      <c r="AK37" s="9">
        <f t="shared" si="5"/>
        <v>-0.70799999999999996</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360.52470839848678</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2725.6367848411619</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3456.8523747265017</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3473.5118503776707</v>
      </c>
      <c r="AP37" s="10"/>
      <c r="AQ37" s="9">
        <f t="shared" si="6"/>
        <v>-0.70799999999999996</v>
      </c>
      <c r="AR37" s="9">
        <f>0</f>
        <v>0</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189.65875456852709</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187.2623925722182</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107.87047204021204</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107.87047204021204</v>
      </c>
      <c r="AW37" s="10"/>
      <c r="AX37" s="9">
        <f t="shared" si="7"/>
        <v>-0.70799999999999996</v>
      </c>
      <c r="AY37" s="9">
        <f>0</f>
        <v>0</v>
      </c>
      <c r="AZ37" s="9">
        <f>IF(OR(Inputs!$F$6=TRUE,Inputs!$F$6="TRUE",Inputs!$F$6=1),(Inputs!$H$6+Inputs!$L$6*(((Inputs!$I$6+(((A37)+1)/2)*(Inputs!$J$6-Inputs!$I$6)))/Inputs!$K$6)^2),NA())</f>
        <v>402.00505600000002</v>
      </c>
      <c r="BA37" s="9">
        <f>IF(OR(Inputs!$F$7=TRUE,Inputs!$F$7="TRUE",Inputs!$F$7=1),(Inputs!$H$7+Inputs!$L$7*(((Inputs!$I$7+(((A37)+1)/2)*(Inputs!$J$7-Inputs!$I$7)))/Inputs!$K$7)^2),NA())</f>
        <v>217.96135999999998</v>
      </c>
      <c r="BB37" s="9">
        <f>IF(OR(Inputs!$F$8=TRUE,Inputs!$F$8="TRUE",Inputs!$F$8=1),(Inputs!$H$8+Inputs!$L$8*(((Inputs!$I$8+(((A37)+1)/2)*(Inputs!$J$8-Inputs!$I$8)))/Inputs!$K$8)^2),NA())</f>
        <v>518.71975999999995</v>
      </c>
      <c r="BC37" s="9">
        <f>IF(OR(Inputs!$F$9=TRUE,Inputs!$F$9="TRUE",Inputs!$F$9=1),(Inputs!$H$9+Inputs!$L$9*(((Inputs!$I$9+(((A37)+1)/2)*(Inputs!$J$9-Inputs!$I$9)))/Inputs!$K$9)^2),NA())</f>
        <v>513.73239999999987</v>
      </c>
      <c r="BD37" s="10"/>
      <c r="BE37" s="9">
        <f t="shared" si="8"/>
        <v>-0.70799999999999996</v>
      </c>
      <c r="BF37" s="9">
        <f>0</f>
        <v>0</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row>
    <row r="38" spans="1:62">
      <c r="A38" s="9">
        <f>ROUND(-1+36*2/240,3)</f>
        <v>-0.7</v>
      </c>
      <c r="B38" s="9">
        <f>IF(OR(Inputs!$F$6=TRUE,Inputs!$F$6="TRUE",Inputs!$F$6=1),(Inputs!$H$6+Inputs!$L$6*(((Inputs!$I$6+(((A38)+1)/2)*(Inputs!$J$6-Inputs!$I$6)))/Inputs!$K$6)^2),NA())</f>
        <v>401.96</v>
      </c>
      <c r="C38" s="9">
        <f>IF(OR(Inputs!$F$7=TRUE,Inputs!$F$7="TRUE",Inputs!$F$7=1),(Inputs!$H$7+Inputs!$L$7*(((Inputs!$I$7+(((A38)+1)/2)*(Inputs!$J$7-Inputs!$I$7)))/Inputs!$K$7)^2),NA())</f>
        <v>213.84999999999997</v>
      </c>
      <c r="D38" s="9">
        <f>IF(OR(Inputs!$F$8=TRUE,Inputs!$F$8="TRUE",Inputs!$F$8=1),(Inputs!$H$8+Inputs!$L$8*(((Inputs!$I$8+(((A38)+1)/2)*(Inputs!$J$8-Inputs!$I$8)))/Inputs!$K$8)^2),NA())</f>
        <v>507.84999999999997</v>
      </c>
      <c r="E38" s="9">
        <f>IF(OR(Inputs!$F$9=TRUE,Inputs!$F$9="TRUE",Inputs!$F$9=1),(Inputs!$H$9+Inputs!$L$9*(((Inputs!$I$9+(((A38)+1)/2)*(Inputs!$J$9-Inputs!$I$9)))/Inputs!$K$9)^2),NA())</f>
        <v>502.74999999999994</v>
      </c>
      <c r="F38" s="10"/>
      <c r="G38" s="9">
        <f t="shared" si="0"/>
        <v>-0.7</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c r="L38" s="10"/>
      <c r="M38" s="9">
        <f t="shared" si="1"/>
        <v>-0.7</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356.51991821601899</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2705.5699664091653</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3425.1735367301781</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3441.3258409617547</v>
      </c>
      <c r="R38" s="10"/>
      <c r="S38" s="9">
        <f t="shared" si="2"/>
        <v>-0.7</v>
      </c>
      <c r="T38" s="9">
        <f>(Inputs!$I$6+(((A38)+1)/2)*(Inputs!$J$6-Inputs!$I$6))</f>
        <v>-42</v>
      </c>
      <c r="U38" s="9">
        <f>(Inputs!$I$7+(((A38)+1)/2)*(Inputs!$J$7-Inputs!$I$7))</f>
        <v>-280</v>
      </c>
      <c r="V38" s="9">
        <f>(Inputs!$I$8+(((A38)+1)/2)*(Inputs!$J$8-Inputs!$I$8))</f>
        <v>-560</v>
      </c>
      <c r="W38" s="9">
        <f>(Inputs!$I$9+(((A38)+1)/2)*(Inputs!$J$9-Inputs!$I$9))</f>
        <v>-560</v>
      </c>
      <c r="X38" s="10"/>
      <c r="Y38" s="9">
        <f t="shared" si="3"/>
        <v>-0.7</v>
      </c>
      <c r="Z38" s="9">
        <f>(Inputs!$H$6+Inputs!$L$6*(((Inputs!$I$6+(((A38)+1)/2)*(Inputs!$J$6-Inputs!$I$6)))/Inputs!$K$6)^2)</f>
        <v>401.96</v>
      </c>
      <c r="AA38" s="9">
        <f>(Inputs!$H$7+Inputs!$L$7*(((Inputs!$I$7+(((A38)+1)/2)*(Inputs!$J$7-Inputs!$I$7)))/Inputs!$K$7)^2)</f>
        <v>213.84999999999997</v>
      </c>
      <c r="AB38" s="9">
        <f>(Inputs!$H$8+Inputs!$L$8*(((Inputs!$I$8+(((A38)+1)/2)*(Inputs!$J$8-Inputs!$I$8)))/Inputs!$K$8)^2)</f>
        <v>507.84999999999997</v>
      </c>
      <c r="AC38" s="9">
        <f>(Inputs!$H$9+Inputs!$L$9*(((Inputs!$I$9+(((A38)+1)/2)*(Inputs!$J$9-Inputs!$I$9)))/Inputs!$K$9)^2)</f>
        <v>502.74999999999994</v>
      </c>
      <c r="AD38" s="10"/>
      <c r="AE38" s="9">
        <f t="shared" si="4"/>
        <v>-0.7</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2089.5994901917893</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86538.253594076945</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174515.23410010958</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175258.06759354385</v>
      </c>
      <c r="AJ38" s="10"/>
      <c r="AK38" s="9">
        <f t="shared" si="5"/>
        <v>-0.7</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356.51991821601899</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2705.5699664091653</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3425.1735367301781</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3441.3258409617547</v>
      </c>
      <c r="AP38" s="10"/>
      <c r="AQ38" s="9">
        <f t="shared" si="6"/>
        <v>-0.7</v>
      </c>
      <c r="AR38" s="9">
        <f>0</f>
        <v>0</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170.62817299702391</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165.51370619139581</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117.65346975991231</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117.65346975991231</v>
      </c>
      <c r="AW38" s="10"/>
      <c r="AX38" s="9">
        <f t="shared" si="7"/>
        <v>-0.7</v>
      </c>
      <c r="AY38" s="9">
        <f>0</f>
        <v>0</v>
      </c>
      <c r="AZ38" s="9">
        <f>IF(OR(Inputs!$F$6=TRUE,Inputs!$F$6="TRUE",Inputs!$F$6=1),(Inputs!$H$6+Inputs!$L$6*(((Inputs!$I$6+(((A38)+1)/2)*(Inputs!$J$6-Inputs!$I$6)))/Inputs!$K$6)^2),NA())</f>
        <v>401.96</v>
      </c>
      <c r="BA38" s="9">
        <f>IF(OR(Inputs!$F$7=TRUE,Inputs!$F$7="TRUE",Inputs!$F$7=1),(Inputs!$H$7+Inputs!$L$7*(((Inputs!$I$7+(((A38)+1)/2)*(Inputs!$J$7-Inputs!$I$7)))/Inputs!$K$7)^2),NA())</f>
        <v>213.84999999999997</v>
      </c>
      <c r="BB38" s="9">
        <f>IF(OR(Inputs!$F$8=TRUE,Inputs!$F$8="TRUE",Inputs!$F$8=1),(Inputs!$H$8+Inputs!$L$8*(((Inputs!$I$8+(((A38)+1)/2)*(Inputs!$J$8-Inputs!$I$8)))/Inputs!$K$8)^2),NA())</f>
        <v>507.84999999999997</v>
      </c>
      <c r="BC38" s="9">
        <f>IF(OR(Inputs!$F$9=TRUE,Inputs!$F$9="TRUE",Inputs!$F$9=1),(Inputs!$H$9+Inputs!$L$9*(((Inputs!$I$9+(((A38)+1)/2)*(Inputs!$J$9-Inputs!$I$9)))/Inputs!$K$9)^2),NA())</f>
        <v>502.74999999999994</v>
      </c>
      <c r="BD38" s="10"/>
      <c r="BE38" s="9">
        <f t="shared" si="8"/>
        <v>-0.7</v>
      </c>
      <c r="BF38" s="9">
        <f>0</f>
        <v>0</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row>
    <row r="39" spans="1:62">
      <c r="A39" s="9">
        <f>ROUND(-1+37*2/240,3)</f>
        <v>-0.69199999999999995</v>
      </c>
      <c r="B39" s="9">
        <f>IF(OR(Inputs!$F$6=TRUE,Inputs!$F$6="TRUE",Inputs!$F$6=1),(Inputs!$H$6+Inputs!$L$6*(((Inputs!$I$6+(((A39)+1)/2)*(Inputs!$J$6-Inputs!$I$6)))/Inputs!$K$6)^2),NA())</f>
        <v>401.91545600000001</v>
      </c>
      <c r="C39" s="9">
        <f>IF(OR(Inputs!$F$7=TRUE,Inputs!$F$7="TRUE",Inputs!$F$7=1),(Inputs!$H$7+Inputs!$L$7*(((Inputs!$I$7+(((A39)+1)/2)*(Inputs!$J$7-Inputs!$I$7)))/Inputs!$K$7)^2),NA())</f>
        <v>209.78535999999991</v>
      </c>
      <c r="D39" s="9">
        <f>IF(OR(Inputs!$F$8=TRUE,Inputs!$F$8="TRUE",Inputs!$F$8=1),(Inputs!$H$8+Inputs!$L$8*(((Inputs!$I$8+(((A39)+1)/2)*(Inputs!$J$8-Inputs!$I$8)))/Inputs!$K$8)^2),NA())</f>
        <v>497.1037599999998</v>
      </c>
      <c r="E39" s="9">
        <f>IF(OR(Inputs!$F$9=TRUE,Inputs!$F$9="TRUE",Inputs!$F$9=1),(Inputs!$H$9+Inputs!$L$9*(((Inputs!$I$9+(((A39)+1)/2)*(Inputs!$J$9-Inputs!$I$9)))/Inputs!$K$9)^2),NA())</f>
        <v>491.89239999999978</v>
      </c>
      <c r="F39" s="10"/>
      <c r="G39" s="9">
        <f t="shared" si="0"/>
        <v>-0.69199999999999995</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c r="L39" s="10"/>
      <c r="M39" s="9">
        <f t="shared" si="1"/>
        <v>-0.69199999999999995</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352.51283123651677</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2685.6093165580623</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3393.6037073427251</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3409.2469086781539</v>
      </c>
      <c r="R39" s="10"/>
      <c r="S39" s="9">
        <f t="shared" si="2"/>
        <v>-0.69199999999999995</v>
      </c>
      <c r="T39" s="9">
        <f>(Inputs!$I$6+(((A39)+1)/2)*(Inputs!$J$6-Inputs!$I$6))</f>
        <v>-41.519999999999996</v>
      </c>
      <c r="U39" s="9">
        <f>(Inputs!$I$7+(((A39)+1)/2)*(Inputs!$J$7-Inputs!$I$7))</f>
        <v>-276.79999999999995</v>
      </c>
      <c r="V39" s="9">
        <f>(Inputs!$I$8+(((A39)+1)/2)*(Inputs!$J$8-Inputs!$I$8))</f>
        <v>-553.59999999999991</v>
      </c>
      <c r="W39" s="9">
        <f>(Inputs!$I$9+(((A39)+1)/2)*(Inputs!$J$9-Inputs!$I$9))</f>
        <v>-553.59999999999991</v>
      </c>
      <c r="X39" s="10"/>
      <c r="Y39" s="9">
        <f t="shared" si="3"/>
        <v>-0.69199999999999995</v>
      </c>
      <c r="Z39" s="9">
        <f>(Inputs!$H$6+Inputs!$L$6*(((Inputs!$I$6+(((A39)+1)/2)*(Inputs!$J$6-Inputs!$I$6)))/Inputs!$K$6)^2)</f>
        <v>401.91545600000001</v>
      </c>
      <c r="AA39" s="9">
        <f>(Inputs!$H$7+Inputs!$L$7*(((Inputs!$I$7+(((A39)+1)/2)*(Inputs!$J$7-Inputs!$I$7)))/Inputs!$K$7)^2)</f>
        <v>209.78535999999991</v>
      </c>
      <c r="AB39" s="9">
        <f>(Inputs!$H$8+Inputs!$L$8*(((Inputs!$I$8+(((A39)+1)/2)*(Inputs!$J$8-Inputs!$I$8)))/Inputs!$K$8)^2)</f>
        <v>497.1037599999998</v>
      </c>
      <c r="AC39" s="9">
        <f>(Inputs!$H$9+Inputs!$L$9*(((Inputs!$I$9+(((A39)+1)/2)*(Inputs!$J$9-Inputs!$I$9)))/Inputs!$K$9)^2)</f>
        <v>491.89239999999978</v>
      </c>
      <c r="AD39" s="10"/>
      <c r="AE39" s="9">
        <f t="shared" si="4"/>
        <v>-0.69199999999999995</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2054.8742264016769</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85793.0168187823</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172890.92083021821</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173660.59047730869</v>
      </c>
      <c r="AJ39" s="10"/>
      <c r="AK39" s="9">
        <f t="shared" si="5"/>
        <v>-0.69199999999999995</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352.51283123651677</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2685.6093165580623</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3393.6037073427251</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3409.2469086781539</v>
      </c>
      <c r="AP39" s="10"/>
      <c r="AQ39" s="9">
        <f t="shared" si="6"/>
        <v>-0.69199999999999995</v>
      </c>
      <c r="AR39" s="9">
        <f>0</f>
        <v>0</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170.32340444840059</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109.75803098864128</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193.95377403916262</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193.95377403916262</v>
      </c>
      <c r="AW39" s="10"/>
      <c r="AX39" s="9">
        <f t="shared" si="7"/>
        <v>-0.69199999999999995</v>
      </c>
      <c r="AY39" s="9">
        <f>0</f>
        <v>0</v>
      </c>
      <c r="AZ39" s="9">
        <f>IF(OR(Inputs!$F$6=TRUE,Inputs!$F$6="TRUE",Inputs!$F$6=1),(Inputs!$H$6+Inputs!$L$6*(((Inputs!$I$6+(((A39)+1)/2)*(Inputs!$J$6-Inputs!$I$6)))/Inputs!$K$6)^2),NA())</f>
        <v>401.91545600000001</v>
      </c>
      <c r="BA39" s="9">
        <f>IF(OR(Inputs!$F$7=TRUE,Inputs!$F$7="TRUE",Inputs!$F$7=1),(Inputs!$H$7+Inputs!$L$7*(((Inputs!$I$7+(((A39)+1)/2)*(Inputs!$J$7-Inputs!$I$7)))/Inputs!$K$7)^2),NA())</f>
        <v>209.78535999999991</v>
      </c>
      <c r="BB39" s="9">
        <f>IF(OR(Inputs!$F$8=TRUE,Inputs!$F$8="TRUE",Inputs!$F$8=1),(Inputs!$H$8+Inputs!$L$8*(((Inputs!$I$8+(((A39)+1)/2)*(Inputs!$J$8-Inputs!$I$8)))/Inputs!$K$8)^2),NA())</f>
        <v>497.1037599999998</v>
      </c>
      <c r="BC39" s="9">
        <f>IF(OR(Inputs!$F$9=TRUE,Inputs!$F$9="TRUE",Inputs!$F$9=1),(Inputs!$H$9+Inputs!$L$9*(((Inputs!$I$9+(((A39)+1)/2)*(Inputs!$J$9-Inputs!$I$9)))/Inputs!$K$9)^2),NA())</f>
        <v>491.89239999999978</v>
      </c>
      <c r="BD39" s="10"/>
      <c r="BE39" s="9">
        <f t="shared" si="8"/>
        <v>-0.69199999999999995</v>
      </c>
      <c r="BF39" s="9">
        <f>0</f>
        <v>0</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row>
    <row r="40" spans="1:62">
      <c r="A40" s="9">
        <f>ROUND(-1+38*2/240,3)</f>
        <v>-0.68300000000000005</v>
      </c>
      <c r="B40" s="9">
        <f>IF(OR(Inputs!$F$6=TRUE,Inputs!$F$6="TRUE",Inputs!$F$6=1),(Inputs!$H$6+Inputs!$L$6*(((Inputs!$I$6+(((A40)+1)/2)*(Inputs!$J$6-Inputs!$I$6)))/Inputs!$K$6)^2),NA())</f>
        <v>401.86595599999998</v>
      </c>
      <c r="C40" s="9">
        <f>IF(OR(Inputs!$F$7=TRUE,Inputs!$F$7="TRUE",Inputs!$F$7=1),(Inputs!$H$7+Inputs!$L$7*(((Inputs!$I$7+(((A40)+1)/2)*(Inputs!$J$7-Inputs!$I$7)))/Inputs!$K$7)^2),NA())</f>
        <v>205.26848500000008</v>
      </c>
      <c r="D40" s="9">
        <f>IF(OR(Inputs!$F$8=TRUE,Inputs!$F$8="TRUE",Inputs!$F$8=1),(Inputs!$H$8+Inputs!$L$8*(((Inputs!$I$8+(((A40)+1)/2)*(Inputs!$J$8-Inputs!$I$8)))/Inputs!$K$8)^2),NA())</f>
        <v>485.16188500000021</v>
      </c>
      <c r="E40" s="9">
        <f>IF(OR(Inputs!$F$9=TRUE,Inputs!$F$9="TRUE",Inputs!$F$9=1),(Inputs!$H$9+Inputs!$L$9*(((Inputs!$I$9+(((A40)+1)/2)*(Inputs!$J$9-Inputs!$I$9)))/Inputs!$K$9)^2),NA())</f>
        <v>479.82677500000023</v>
      </c>
      <c r="F40" s="10"/>
      <c r="G40" s="9">
        <f t="shared" si="0"/>
        <v>-0.68300000000000005</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c r="L40" s="10"/>
      <c r="M40" s="9">
        <f t="shared" si="1"/>
        <v>-0.68300000000000005</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348.00214197068192</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2663.2824023790881</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3358.2219579859257</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3373.2901761542139</v>
      </c>
      <c r="R40" s="10"/>
      <c r="S40" s="9">
        <f t="shared" si="2"/>
        <v>-0.68300000000000005</v>
      </c>
      <c r="T40" s="9">
        <f>(Inputs!$I$6+(((A40)+1)/2)*(Inputs!$J$6-Inputs!$I$6))</f>
        <v>-40.980000000000004</v>
      </c>
      <c r="U40" s="9">
        <f>(Inputs!$I$7+(((A40)+1)/2)*(Inputs!$J$7-Inputs!$I$7))</f>
        <v>-273.20000000000005</v>
      </c>
      <c r="V40" s="9">
        <f>(Inputs!$I$8+(((A40)+1)/2)*(Inputs!$J$8-Inputs!$I$8))</f>
        <v>-546.40000000000009</v>
      </c>
      <c r="W40" s="9">
        <f>(Inputs!$I$9+(((A40)+1)/2)*(Inputs!$J$9-Inputs!$I$9))</f>
        <v>-546.40000000000009</v>
      </c>
      <c r="X40" s="10"/>
      <c r="Y40" s="9">
        <f t="shared" si="3"/>
        <v>-0.68300000000000005</v>
      </c>
      <c r="Z40" s="9">
        <f>(Inputs!$H$6+Inputs!$L$6*(((Inputs!$I$6+(((A40)+1)/2)*(Inputs!$J$6-Inputs!$I$6)))/Inputs!$K$6)^2)</f>
        <v>401.86595599999998</v>
      </c>
      <c r="AA40" s="9">
        <f>(Inputs!$H$7+Inputs!$L$7*(((Inputs!$I$7+(((A40)+1)/2)*(Inputs!$J$7-Inputs!$I$7)))/Inputs!$K$7)^2)</f>
        <v>205.26848500000008</v>
      </c>
      <c r="AB40" s="9">
        <f>(Inputs!$H$8+Inputs!$L$8*(((Inputs!$I$8+(((A40)+1)/2)*(Inputs!$J$8-Inputs!$I$8)))/Inputs!$K$8)^2)</f>
        <v>485.16188500000021</v>
      </c>
      <c r="AC40" s="9">
        <f>(Inputs!$H$9+Inputs!$L$9*(((Inputs!$I$9+(((A40)+1)/2)*(Inputs!$J$9-Inputs!$I$9)))/Inputs!$K$9)^2)</f>
        <v>479.82677500000023</v>
      </c>
      <c r="AD40" s="10"/>
      <c r="AE40" s="9">
        <f t="shared" si="4"/>
        <v>-0.68300000000000005</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2016.2719892159032</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84949.981751055384</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171065.25868974041</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171865.62970195324</v>
      </c>
      <c r="AJ40" s="10"/>
      <c r="AK40" s="9">
        <f t="shared" si="5"/>
        <v>-0.68300000000000005</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348.00214197068192</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2663.2824023790881</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3358.2219579859257</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3373.2901761542139</v>
      </c>
      <c r="AP40" s="10"/>
      <c r="AQ40" s="9">
        <f t="shared" si="6"/>
        <v>-0.68300000000000005</v>
      </c>
      <c r="AR40" s="9">
        <f>0</f>
        <v>0</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183.9499474411341</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136.94644195304028</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134.01038457512669</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134.01038457512669</v>
      </c>
      <c r="AW40" s="10"/>
      <c r="AX40" s="9">
        <f t="shared" si="7"/>
        <v>-0.68300000000000005</v>
      </c>
      <c r="AY40" s="9">
        <f>0</f>
        <v>0</v>
      </c>
      <c r="AZ40" s="9">
        <f>IF(OR(Inputs!$F$6=TRUE,Inputs!$F$6="TRUE",Inputs!$F$6=1),(Inputs!$H$6+Inputs!$L$6*(((Inputs!$I$6+(((A40)+1)/2)*(Inputs!$J$6-Inputs!$I$6)))/Inputs!$K$6)^2),NA())</f>
        <v>401.86595599999998</v>
      </c>
      <c r="BA40" s="9">
        <f>IF(OR(Inputs!$F$7=TRUE,Inputs!$F$7="TRUE",Inputs!$F$7=1),(Inputs!$H$7+Inputs!$L$7*(((Inputs!$I$7+(((A40)+1)/2)*(Inputs!$J$7-Inputs!$I$7)))/Inputs!$K$7)^2),NA())</f>
        <v>205.26848500000008</v>
      </c>
      <c r="BB40" s="9">
        <f>IF(OR(Inputs!$F$8=TRUE,Inputs!$F$8="TRUE",Inputs!$F$8=1),(Inputs!$H$8+Inputs!$L$8*(((Inputs!$I$8+(((A40)+1)/2)*(Inputs!$J$8-Inputs!$I$8)))/Inputs!$K$8)^2),NA())</f>
        <v>485.16188500000021</v>
      </c>
      <c r="BC40" s="9">
        <f>IF(OR(Inputs!$F$9=TRUE,Inputs!$F$9="TRUE",Inputs!$F$9=1),(Inputs!$H$9+Inputs!$L$9*(((Inputs!$I$9+(((A40)+1)/2)*(Inputs!$J$9-Inputs!$I$9)))/Inputs!$K$9)^2),NA())</f>
        <v>479.82677500000023</v>
      </c>
      <c r="BD40" s="10"/>
      <c r="BE40" s="9">
        <f t="shared" si="8"/>
        <v>-0.68300000000000005</v>
      </c>
      <c r="BF40" s="9">
        <f>0</f>
        <v>0</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row>
    <row r="41" spans="1:62">
      <c r="A41" s="9">
        <f>ROUND(-1+39*2/240,3)</f>
        <v>-0.67500000000000004</v>
      </c>
      <c r="B41" s="9">
        <f>IF(OR(Inputs!$F$6=TRUE,Inputs!$F$6="TRUE",Inputs!$F$6=1),(Inputs!$H$6+Inputs!$L$6*(((Inputs!$I$6+(((A41)+1)/2)*(Inputs!$J$6-Inputs!$I$6)))/Inputs!$K$6)^2),NA())</f>
        <v>401.82249999999999</v>
      </c>
      <c r="C41" s="9">
        <f>IF(OR(Inputs!$F$7=TRUE,Inputs!$F$7="TRUE",Inputs!$F$7=1),(Inputs!$H$7+Inputs!$L$7*(((Inputs!$I$7+(((A41)+1)/2)*(Inputs!$J$7-Inputs!$I$7)))/Inputs!$K$7)^2),NA())</f>
        <v>201.30312500000002</v>
      </c>
      <c r="D41" s="9">
        <f>IF(OR(Inputs!$F$8=TRUE,Inputs!$F$8="TRUE",Inputs!$F$8=1),(Inputs!$H$8+Inputs!$L$8*(((Inputs!$I$8+(((A41)+1)/2)*(Inputs!$J$8-Inputs!$I$8)))/Inputs!$K$8)^2),NA())</f>
        <v>474.67812500000008</v>
      </c>
      <c r="E41" s="9">
        <f>IF(OR(Inputs!$F$9=TRUE,Inputs!$F$9="TRUE",Inputs!$F$9=1),(Inputs!$H$9+Inputs!$L$9*(((Inputs!$I$9+(((A41)+1)/2)*(Inputs!$J$9-Inputs!$I$9)))/Inputs!$K$9)^2),NA())</f>
        <v>469.23437500000006</v>
      </c>
      <c r="F41" s="10"/>
      <c r="G41" s="9">
        <f t="shared" si="0"/>
        <v>-0.67500000000000004</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c r="L41" s="10"/>
      <c r="M41" s="9">
        <f t="shared" si="1"/>
        <v>-0.67500000000000004</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343.99025167913561</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2643.5524520105528</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3326.8945526195994</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3341.4497476034194</v>
      </c>
      <c r="R41" s="10"/>
      <c r="S41" s="9">
        <f t="shared" si="2"/>
        <v>-0.67500000000000004</v>
      </c>
      <c r="T41" s="9">
        <f>(Inputs!$I$6+(((A41)+1)/2)*(Inputs!$J$6-Inputs!$I$6))</f>
        <v>-40.5</v>
      </c>
      <c r="U41" s="9">
        <f>(Inputs!$I$7+(((A41)+1)/2)*(Inputs!$J$7-Inputs!$I$7))</f>
        <v>-270</v>
      </c>
      <c r="V41" s="9">
        <f>(Inputs!$I$8+(((A41)+1)/2)*(Inputs!$J$8-Inputs!$I$8))</f>
        <v>-540</v>
      </c>
      <c r="W41" s="9">
        <f>(Inputs!$I$9+(((A41)+1)/2)*(Inputs!$J$9-Inputs!$I$9))</f>
        <v>-540</v>
      </c>
      <c r="X41" s="10"/>
      <c r="Y41" s="9">
        <f t="shared" si="3"/>
        <v>-0.67500000000000004</v>
      </c>
      <c r="Z41" s="9">
        <f>(Inputs!$H$6+Inputs!$L$6*(((Inputs!$I$6+(((A41)+1)/2)*(Inputs!$J$6-Inputs!$I$6)))/Inputs!$K$6)^2)</f>
        <v>401.82249999999999</v>
      </c>
      <c r="AA41" s="9">
        <f>(Inputs!$H$7+Inputs!$L$7*(((Inputs!$I$7+(((A41)+1)/2)*(Inputs!$J$7-Inputs!$I$7)))/Inputs!$K$7)^2)</f>
        <v>201.30312500000002</v>
      </c>
      <c r="AB41" s="9">
        <f>(Inputs!$H$8+Inputs!$L$8*(((Inputs!$I$8+(((A41)+1)/2)*(Inputs!$J$8-Inputs!$I$8)))/Inputs!$K$8)^2)</f>
        <v>474.67812500000008</v>
      </c>
      <c r="AC41" s="9">
        <f>(Inputs!$H$9+Inputs!$L$9*(((Inputs!$I$9+(((A41)+1)/2)*(Inputs!$J$9-Inputs!$I$9)))/Inputs!$K$9)^2)</f>
        <v>469.23437500000006</v>
      </c>
      <c r="AD41" s="10"/>
      <c r="AE41" s="9">
        <f t="shared" si="4"/>
        <v>-0.67500000000000004</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1982.3714752072171</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84196.354509375931</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169443.66665855987</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170271.78631163717</v>
      </c>
      <c r="AJ41" s="10"/>
      <c r="AK41" s="9">
        <f t="shared" si="5"/>
        <v>-0.67500000000000004</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343.99025167913561</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2643.5524520105528</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3326.8945526195994</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3341.4497476034194</v>
      </c>
      <c r="AP41" s="10"/>
      <c r="AQ41" s="9">
        <f t="shared" si="6"/>
        <v>-0.67500000000000004</v>
      </c>
      <c r="AR41" s="9">
        <f>0</f>
        <v>0</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191.24651788741608</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151.48324205134759</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139.8789917709623</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139.8789917709623</v>
      </c>
      <c r="AW41" s="10"/>
      <c r="AX41" s="9">
        <f t="shared" si="7"/>
        <v>-0.67500000000000004</v>
      </c>
      <c r="AY41" s="9">
        <f>0</f>
        <v>0</v>
      </c>
      <c r="AZ41" s="9">
        <f>IF(OR(Inputs!$F$6=TRUE,Inputs!$F$6="TRUE",Inputs!$F$6=1),(Inputs!$H$6+Inputs!$L$6*(((Inputs!$I$6+(((A41)+1)/2)*(Inputs!$J$6-Inputs!$I$6)))/Inputs!$K$6)^2),NA())</f>
        <v>401.82249999999999</v>
      </c>
      <c r="BA41" s="9">
        <f>IF(OR(Inputs!$F$7=TRUE,Inputs!$F$7="TRUE",Inputs!$F$7=1),(Inputs!$H$7+Inputs!$L$7*(((Inputs!$I$7+(((A41)+1)/2)*(Inputs!$J$7-Inputs!$I$7)))/Inputs!$K$7)^2),NA())</f>
        <v>201.30312500000002</v>
      </c>
      <c r="BB41" s="9">
        <f>IF(OR(Inputs!$F$8=TRUE,Inputs!$F$8="TRUE",Inputs!$F$8=1),(Inputs!$H$8+Inputs!$L$8*(((Inputs!$I$8+(((A41)+1)/2)*(Inputs!$J$8-Inputs!$I$8)))/Inputs!$K$8)^2),NA())</f>
        <v>474.67812500000008</v>
      </c>
      <c r="BC41" s="9">
        <f>IF(OR(Inputs!$F$9=TRUE,Inputs!$F$9="TRUE",Inputs!$F$9=1),(Inputs!$H$9+Inputs!$L$9*(((Inputs!$I$9+(((A41)+1)/2)*(Inputs!$J$9-Inputs!$I$9)))/Inputs!$K$9)^2),NA())</f>
        <v>469.23437500000006</v>
      </c>
      <c r="BD41" s="10"/>
      <c r="BE41" s="9">
        <f t="shared" si="8"/>
        <v>-0.67500000000000004</v>
      </c>
      <c r="BF41" s="9">
        <f>0</f>
        <v>0</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row>
    <row r="42" spans="1:62">
      <c r="A42" s="9">
        <f>ROUND(-1+40*2/240,3)</f>
        <v>-0.66700000000000004</v>
      </c>
      <c r="B42" s="9">
        <f>IF(OR(Inputs!$F$6=TRUE,Inputs!$F$6="TRUE",Inputs!$F$6=1),(Inputs!$H$6+Inputs!$L$6*(((Inputs!$I$6+(((A42)+1)/2)*(Inputs!$J$6-Inputs!$I$6)))/Inputs!$K$6)^2),NA())</f>
        <v>401.77955600000001</v>
      </c>
      <c r="C42" s="9">
        <f>IF(OR(Inputs!$F$7=TRUE,Inputs!$F$7="TRUE",Inputs!$F$7=1),(Inputs!$H$7+Inputs!$L$7*(((Inputs!$I$7+(((A42)+1)/2)*(Inputs!$J$7-Inputs!$I$7)))/Inputs!$K$7)^2),NA())</f>
        <v>197.38448500000001</v>
      </c>
      <c r="D42" s="9">
        <f>IF(OR(Inputs!$F$8=TRUE,Inputs!$F$8="TRUE",Inputs!$F$8=1),(Inputs!$H$8+Inputs!$L$8*(((Inputs!$I$8+(((A42)+1)/2)*(Inputs!$J$8-Inputs!$I$8)))/Inputs!$K$8)^2),NA())</f>
        <v>464.31788500000005</v>
      </c>
      <c r="E42" s="9">
        <f>IF(OR(Inputs!$F$9=TRUE,Inputs!$F$9="TRUE",Inputs!$F$9=1),(Inputs!$H$9+Inputs!$L$9*(((Inputs!$I$9+(((A42)+1)/2)*(Inputs!$J$9-Inputs!$I$9)))/Inputs!$K$9)^2),NA())</f>
        <v>458.76677500000005</v>
      </c>
      <c r="F42" s="10"/>
      <c r="G42" s="9">
        <f t="shared" si="0"/>
        <v>-0.66700000000000004</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c r="L42" s="10"/>
      <c r="M42" s="9">
        <f t="shared" si="1"/>
        <v>-0.66700000000000004</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339.97613762928967</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2623.9334437903221</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3295.6864713532282</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3309.7268991103388</v>
      </c>
      <c r="R42" s="10"/>
      <c r="S42" s="9">
        <f t="shared" si="2"/>
        <v>-0.66700000000000004</v>
      </c>
      <c r="T42" s="9">
        <f>(Inputs!$I$6+(((A42)+1)/2)*(Inputs!$J$6-Inputs!$I$6))</f>
        <v>-40.020000000000003</v>
      </c>
      <c r="U42" s="9">
        <f>(Inputs!$I$7+(((A42)+1)/2)*(Inputs!$J$7-Inputs!$I$7))</f>
        <v>-266.8</v>
      </c>
      <c r="V42" s="9">
        <f>(Inputs!$I$8+(((A42)+1)/2)*(Inputs!$J$8-Inputs!$I$8))</f>
        <v>-533.6</v>
      </c>
      <c r="W42" s="9">
        <f>(Inputs!$I$9+(((A42)+1)/2)*(Inputs!$J$9-Inputs!$I$9))</f>
        <v>-533.6</v>
      </c>
      <c r="X42" s="10"/>
      <c r="Y42" s="9">
        <f t="shared" si="3"/>
        <v>-0.66700000000000004</v>
      </c>
      <c r="Z42" s="9">
        <f>(Inputs!$H$6+Inputs!$L$6*(((Inputs!$I$6+(((A42)+1)/2)*(Inputs!$J$6-Inputs!$I$6)))/Inputs!$K$6)^2)</f>
        <v>401.77955600000001</v>
      </c>
      <c r="AA42" s="9">
        <f>(Inputs!$H$7+Inputs!$L$7*(((Inputs!$I$7+(((A42)+1)/2)*(Inputs!$J$7-Inputs!$I$7)))/Inputs!$K$7)^2)</f>
        <v>197.38448500000001</v>
      </c>
      <c r="AB42" s="9">
        <f>(Inputs!$H$8+Inputs!$L$8*(((Inputs!$I$8+(((A42)+1)/2)*(Inputs!$J$8-Inputs!$I$8)))/Inputs!$K$8)^2)</f>
        <v>464.31788500000005</v>
      </c>
      <c r="AC42" s="9">
        <f>(Inputs!$H$9+Inputs!$L$9*(((Inputs!$I$9+(((A42)+1)/2)*(Inputs!$J$9-Inputs!$I$9)))/Inputs!$K$9)^2)</f>
        <v>458.76677500000005</v>
      </c>
      <c r="AD42" s="10"/>
      <c r="AE42" s="9">
        <f t="shared" si="4"/>
        <v>-0.66700000000000004</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1948.8596697604426</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83438.586374787221</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167822.94660199183</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168679.25062872301</v>
      </c>
      <c r="AJ42" s="10"/>
      <c r="AK42" s="9">
        <f t="shared" si="5"/>
        <v>-0.66700000000000004</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339.97613762928967</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2623.9334437903221</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3295.6864713532282</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3309.7268991103388</v>
      </c>
      <c r="AP42" s="10"/>
      <c r="AQ42" s="9">
        <f t="shared" si="6"/>
        <v>-0.66700000000000004</v>
      </c>
      <c r="AR42" s="9">
        <f>0</f>
        <v>0</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179.48966165185681</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192.41801871907217</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209.69649268233258</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209.69649268233258</v>
      </c>
      <c r="AW42" s="10"/>
      <c r="AX42" s="9">
        <f t="shared" si="7"/>
        <v>-0.66700000000000004</v>
      </c>
      <c r="AY42" s="9">
        <f>0</f>
        <v>0</v>
      </c>
      <c r="AZ42" s="9">
        <f>IF(OR(Inputs!$F$6=TRUE,Inputs!$F$6="TRUE",Inputs!$F$6=1),(Inputs!$H$6+Inputs!$L$6*(((Inputs!$I$6+(((A42)+1)/2)*(Inputs!$J$6-Inputs!$I$6)))/Inputs!$K$6)^2),NA())</f>
        <v>401.77955600000001</v>
      </c>
      <c r="BA42" s="9">
        <f>IF(OR(Inputs!$F$7=TRUE,Inputs!$F$7="TRUE",Inputs!$F$7=1),(Inputs!$H$7+Inputs!$L$7*(((Inputs!$I$7+(((A42)+1)/2)*(Inputs!$J$7-Inputs!$I$7)))/Inputs!$K$7)^2),NA())</f>
        <v>197.38448500000001</v>
      </c>
      <c r="BB42" s="9">
        <f>IF(OR(Inputs!$F$8=TRUE,Inputs!$F$8="TRUE",Inputs!$F$8=1),(Inputs!$H$8+Inputs!$L$8*(((Inputs!$I$8+(((A42)+1)/2)*(Inputs!$J$8-Inputs!$I$8)))/Inputs!$K$8)^2),NA())</f>
        <v>464.31788500000005</v>
      </c>
      <c r="BC42" s="9">
        <f>IF(OR(Inputs!$F$9=TRUE,Inputs!$F$9="TRUE",Inputs!$F$9=1),(Inputs!$H$9+Inputs!$L$9*(((Inputs!$I$9+(((A42)+1)/2)*(Inputs!$J$9-Inputs!$I$9)))/Inputs!$K$9)^2),NA())</f>
        <v>458.76677500000005</v>
      </c>
      <c r="BD42" s="10"/>
      <c r="BE42" s="9">
        <f t="shared" si="8"/>
        <v>-0.66700000000000004</v>
      </c>
      <c r="BF42" s="9">
        <f>0</f>
        <v>0</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row>
    <row r="43" spans="1:62">
      <c r="A43" s="9">
        <f>ROUND(-1+41*2/240,3)</f>
        <v>-0.65800000000000003</v>
      </c>
      <c r="B43" s="9">
        <f>IF(OR(Inputs!$F$6=TRUE,Inputs!$F$6="TRUE",Inputs!$F$6=1),(Inputs!$H$6+Inputs!$L$6*(((Inputs!$I$6+(((A43)+1)/2)*(Inputs!$J$6-Inputs!$I$6)))/Inputs!$K$6)^2),NA())</f>
        <v>401.73185599999999</v>
      </c>
      <c r="C43" s="9">
        <f>IF(OR(Inputs!$F$7=TRUE,Inputs!$F$7="TRUE",Inputs!$F$7=1),(Inputs!$H$7+Inputs!$L$7*(((Inputs!$I$7+(((A43)+1)/2)*(Inputs!$J$7-Inputs!$I$7)))/Inputs!$K$7)^2),NA())</f>
        <v>193.03186000000008</v>
      </c>
      <c r="D43" s="9">
        <f>IF(OR(Inputs!$F$8=TRUE,Inputs!$F$8="TRUE",Inputs!$F$8=1),(Inputs!$H$8+Inputs!$L$8*(((Inputs!$I$8+(((A43)+1)/2)*(Inputs!$J$8-Inputs!$I$8)))/Inputs!$K$8)^2),NA())</f>
        <v>452.8102600000002</v>
      </c>
      <c r="E43" s="9">
        <f>IF(OR(Inputs!$F$9=TRUE,Inputs!$F$9="TRUE",Inputs!$F$9=1),(Inputs!$H$9+Inputs!$L$9*(((Inputs!$I$9+(((A43)+1)/2)*(Inputs!$J$9-Inputs!$I$9)))/Inputs!$K$9)^2),NA())</f>
        <v>447.13990000000018</v>
      </c>
      <c r="F43" s="10"/>
      <c r="G43" s="9">
        <f t="shared" si="0"/>
        <v>-0.65800000000000003</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c r="L43" s="10"/>
      <c r="M43" s="9">
        <f t="shared" si="1"/>
        <v>-0.65800000000000003</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335.45763059007544</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2601.9965436821226</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3260.724326877375</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3274.1836497104182</v>
      </c>
      <c r="R43" s="10"/>
      <c r="S43" s="9">
        <f t="shared" si="2"/>
        <v>-0.65800000000000003</v>
      </c>
      <c r="T43" s="9">
        <f>(Inputs!$I$6+(((A43)+1)/2)*(Inputs!$J$6-Inputs!$I$6))</f>
        <v>-39.480000000000004</v>
      </c>
      <c r="U43" s="9">
        <f>(Inputs!$I$7+(((A43)+1)/2)*(Inputs!$J$7-Inputs!$I$7))</f>
        <v>-263.20000000000005</v>
      </c>
      <c r="V43" s="9">
        <f>(Inputs!$I$8+(((A43)+1)/2)*(Inputs!$J$8-Inputs!$I$8))</f>
        <v>-526.40000000000009</v>
      </c>
      <c r="W43" s="9">
        <f>(Inputs!$I$9+(((A43)+1)/2)*(Inputs!$J$9-Inputs!$I$9))</f>
        <v>-526.40000000000009</v>
      </c>
      <c r="X43" s="10"/>
      <c r="Y43" s="9">
        <f t="shared" si="3"/>
        <v>-0.65800000000000003</v>
      </c>
      <c r="Z43" s="9">
        <f>(Inputs!$H$6+Inputs!$L$6*(((Inputs!$I$6+(((A43)+1)/2)*(Inputs!$J$6-Inputs!$I$6)))/Inputs!$K$6)^2)</f>
        <v>401.73185599999999</v>
      </c>
      <c r="AA43" s="9">
        <f>(Inputs!$H$7+Inputs!$L$7*(((Inputs!$I$7+(((A43)+1)/2)*(Inputs!$J$7-Inputs!$I$7)))/Inputs!$K$7)^2)</f>
        <v>193.03186000000008</v>
      </c>
      <c r="AB43" s="9">
        <f>(Inputs!$H$8+Inputs!$L$8*(((Inputs!$I$8+(((A43)+1)/2)*(Inputs!$J$8-Inputs!$I$8)))/Inputs!$K$8)^2)</f>
        <v>452.8102600000002</v>
      </c>
      <c r="AC43" s="9">
        <f>(Inputs!$H$9+Inputs!$L$9*(((Inputs!$I$9+(((A43)+1)/2)*(Inputs!$J$9-Inputs!$I$9)))/Inputs!$K$9)^2)</f>
        <v>447.13990000000018</v>
      </c>
      <c r="AD43" s="10"/>
      <c r="AE43" s="9">
        <f t="shared" si="4"/>
        <v>-0.65800000000000003</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1911.623980866319</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82580.991233169771</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166000.33981586673</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166888.87687067795</v>
      </c>
      <c r="AJ43" s="10"/>
      <c r="AK43" s="9">
        <f t="shared" si="5"/>
        <v>-0.65800000000000003</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335.45763059007544</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2601.9965436821226</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3260.724326877375</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3274.1836497104182</v>
      </c>
      <c r="AP43" s="10"/>
      <c r="AQ43" s="9">
        <f t="shared" si="6"/>
        <v>-0.65800000000000003</v>
      </c>
      <c r="AR43" s="9">
        <f>0</f>
        <v>0</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178.6569148527783</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210.62387287217359</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100.43687701859538</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100.43687701859538</v>
      </c>
      <c r="AW43" s="10"/>
      <c r="AX43" s="9">
        <f t="shared" si="7"/>
        <v>-0.65800000000000003</v>
      </c>
      <c r="AY43" s="9">
        <f>0</f>
        <v>0</v>
      </c>
      <c r="AZ43" s="9">
        <f>IF(OR(Inputs!$F$6=TRUE,Inputs!$F$6="TRUE",Inputs!$F$6=1),(Inputs!$H$6+Inputs!$L$6*(((Inputs!$I$6+(((A43)+1)/2)*(Inputs!$J$6-Inputs!$I$6)))/Inputs!$K$6)^2),NA())</f>
        <v>401.73185599999999</v>
      </c>
      <c r="BA43" s="9">
        <f>IF(OR(Inputs!$F$7=TRUE,Inputs!$F$7="TRUE",Inputs!$F$7=1),(Inputs!$H$7+Inputs!$L$7*(((Inputs!$I$7+(((A43)+1)/2)*(Inputs!$J$7-Inputs!$I$7)))/Inputs!$K$7)^2),NA())</f>
        <v>193.03186000000008</v>
      </c>
      <c r="BB43" s="9">
        <f>IF(OR(Inputs!$F$8=TRUE,Inputs!$F$8="TRUE",Inputs!$F$8=1),(Inputs!$H$8+Inputs!$L$8*(((Inputs!$I$8+(((A43)+1)/2)*(Inputs!$J$8-Inputs!$I$8)))/Inputs!$K$8)^2),NA())</f>
        <v>452.8102600000002</v>
      </c>
      <c r="BC43" s="9">
        <f>IF(OR(Inputs!$F$9=TRUE,Inputs!$F$9="TRUE",Inputs!$F$9=1),(Inputs!$H$9+Inputs!$L$9*(((Inputs!$I$9+(((A43)+1)/2)*(Inputs!$J$9-Inputs!$I$9)))/Inputs!$K$9)^2),NA())</f>
        <v>447.13990000000018</v>
      </c>
      <c r="BD43" s="10"/>
      <c r="BE43" s="9">
        <f t="shared" si="8"/>
        <v>-0.65800000000000003</v>
      </c>
      <c r="BF43" s="9">
        <f>0</f>
        <v>0</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row>
    <row r="44" spans="1:62">
      <c r="A44" s="9">
        <f>ROUND(-1+42*2/240,3)</f>
        <v>-0.65</v>
      </c>
      <c r="B44" s="9">
        <f>IF(OR(Inputs!$F$6=TRUE,Inputs!$F$6="TRUE",Inputs!$F$6=1),(Inputs!$H$6+Inputs!$L$6*(((Inputs!$I$6+(((A44)+1)/2)*(Inputs!$J$6-Inputs!$I$6)))/Inputs!$K$6)^2),NA())</f>
        <v>401.69</v>
      </c>
      <c r="C44" s="9">
        <f>IF(OR(Inputs!$F$7=TRUE,Inputs!$F$7="TRUE",Inputs!$F$7=1),(Inputs!$H$7+Inputs!$L$7*(((Inputs!$I$7+(((A44)+1)/2)*(Inputs!$J$7-Inputs!$I$7)))/Inputs!$K$7)^2),NA())</f>
        <v>189.21250000000001</v>
      </c>
      <c r="D44" s="9">
        <f>IF(OR(Inputs!$F$8=TRUE,Inputs!$F$8="TRUE",Inputs!$F$8=1),(Inputs!$H$8+Inputs!$L$8*(((Inputs!$I$8+(((A44)+1)/2)*(Inputs!$J$8-Inputs!$I$8)))/Inputs!$K$8)^2),NA())</f>
        <v>442.71250000000003</v>
      </c>
      <c r="E44" s="9">
        <f>IF(OR(Inputs!$F$9=TRUE,Inputs!$F$9="TRUE",Inputs!$F$9=1),(Inputs!$H$9+Inputs!$L$9*(((Inputs!$I$9+(((A44)+1)/2)*(Inputs!$J$9-Inputs!$I$9)))/Inputs!$K$9)^2),NA())</f>
        <v>436.93750000000006</v>
      </c>
      <c r="F44" s="10"/>
      <c r="G44" s="9">
        <f t="shared" si="0"/>
        <v>-0.65</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c r="L44" s="10"/>
      <c r="M44" s="9">
        <f t="shared" si="1"/>
        <v>-0.65</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331.43886943681935</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2582.6182654852992</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3229.7814148818247</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3242.7225209785565</v>
      </c>
      <c r="R44" s="10"/>
      <c r="S44" s="9">
        <f t="shared" si="2"/>
        <v>-0.65</v>
      </c>
      <c r="T44" s="9">
        <f>(Inputs!$I$6+(((A44)+1)/2)*(Inputs!$J$6-Inputs!$I$6))</f>
        <v>-39</v>
      </c>
      <c r="U44" s="9">
        <f>(Inputs!$I$7+(((A44)+1)/2)*(Inputs!$J$7-Inputs!$I$7))</f>
        <v>-260</v>
      </c>
      <c r="V44" s="9">
        <f>(Inputs!$I$8+(((A44)+1)/2)*(Inputs!$J$8-Inputs!$I$8))</f>
        <v>-520</v>
      </c>
      <c r="W44" s="9">
        <f>(Inputs!$I$9+(((A44)+1)/2)*(Inputs!$J$9-Inputs!$I$9))</f>
        <v>-520</v>
      </c>
      <c r="X44" s="10"/>
      <c r="Y44" s="9">
        <f t="shared" si="3"/>
        <v>-0.65</v>
      </c>
      <c r="Z44" s="9">
        <f>(Inputs!$H$6+Inputs!$L$6*(((Inputs!$I$6+(((A44)+1)/2)*(Inputs!$J$6-Inputs!$I$6)))/Inputs!$K$6)^2)</f>
        <v>401.69</v>
      </c>
      <c r="AA44" s="9">
        <f>(Inputs!$H$7+Inputs!$L$7*(((Inputs!$I$7+(((A44)+1)/2)*(Inputs!$J$7-Inputs!$I$7)))/Inputs!$K$7)^2)</f>
        <v>189.21250000000001</v>
      </c>
      <c r="AB44" s="9">
        <f>(Inputs!$H$8+Inputs!$L$8*(((Inputs!$I$8+(((A44)+1)/2)*(Inputs!$J$8-Inputs!$I$8)))/Inputs!$K$8)^2)</f>
        <v>442.71250000000003</v>
      </c>
      <c r="AC44" s="9">
        <f>(Inputs!$H$9+Inputs!$L$9*(((Inputs!$I$9+(((A44)+1)/2)*(Inputs!$J$9-Inputs!$I$9)))/Inputs!$K$9)^2)</f>
        <v>436.93750000000006</v>
      </c>
      <c r="AD44" s="10"/>
      <c r="AE44" s="9">
        <f t="shared" si="4"/>
        <v>-0.65</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1878.9394139868214</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81814.004903983849</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164380.55969178746</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165298.21957316351</v>
      </c>
      <c r="AJ44" s="10"/>
      <c r="AK44" s="9">
        <f t="shared" si="5"/>
        <v>-0.65</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331.43886943681935</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2582.6182654852992</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3229.7814148818247</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3242.7225209785565</v>
      </c>
      <c r="AP44" s="10"/>
      <c r="AQ44" s="9">
        <f t="shared" si="6"/>
        <v>-0.65</v>
      </c>
      <c r="AR44" s="9">
        <f>0</f>
        <v>0</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184.54420924136062</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175.19977595405177</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168.33063471521089</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168.33063471521089</v>
      </c>
      <c r="AW44" s="10"/>
      <c r="AX44" s="9">
        <f t="shared" si="7"/>
        <v>-0.65</v>
      </c>
      <c r="AY44" s="9">
        <f>0</f>
        <v>0</v>
      </c>
      <c r="AZ44" s="9">
        <f>IF(OR(Inputs!$F$6=TRUE,Inputs!$F$6="TRUE",Inputs!$F$6=1),(Inputs!$H$6+Inputs!$L$6*(((Inputs!$I$6+(((A44)+1)/2)*(Inputs!$J$6-Inputs!$I$6)))/Inputs!$K$6)^2),NA())</f>
        <v>401.69</v>
      </c>
      <c r="BA44" s="9">
        <f>IF(OR(Inputs!$F$7=TRUE,Inputs!$F$7="TRUE",Inputs!$F$7=1),(Inputs!$H$7+Inputs!$L$7*(((Inputs!$I$7+(((A44)+1)/2)*(Inputs!$J$7-Inputs!$I$7)))/Inputs!$K$7)^2),NA())</f>
        <v>189.21250000000001</v>
      </c>
      <c r="BB44" s="9">
        <f>IF(OR(Inputs!$F$8=TRUE,Inputs!$F$8="TRUE",Inputs!$F$8=1),(Inputs!$H$8+Inputs!$L$8*(((Inputs!$I$8+(((A44)+1)/2)*(Inputs!$J$8-Inputs!$I$8)))/Inputs!$K$8)^2),NA())</f>
        <v>442.71250000000003</v>
      </c>
      <c r="BC44" s="9">
        <f>IF(OR(Inputs!$F$9=TRUE,Inputs!$F$9="TRUE",Inputs!$F$9=1),(Inputs!$H$9+Inputs!$L$9*(((Inputs!$I$9+(((A44)+1)/2)*(Inputs!$J$9-Inputs!$I$9)))/Inputs!$K$9)^2),NA())</f>
        <v>436.93750000000006</v>
      </c>
      <c r="BD44" s="10"/>
      <c r="BE44" s="9">
        <f t="shared" si="8"/>
        <v>-0.65</v>
      </c>
      <c r="BF44" s="9">
        <f>0</f>
        <v>0</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row>
    <row r="45" spans="1:62">
      <c r="A45" s="9">
        <f>ROUND(-1+43*2/240,3)</f>
        <v>-0.64200000000000002</v>
      </c>
      <c r="B45" s="9">
        <f>IF(OR(Inputs!$F$6=TRUE,Inputs!$F$6="TRUE",Inputs!$F$6=1),(Inputs!$H$6+Inputs!$L$6*(((Inputs!$I$6+(((A45)+1)/2)*(Inputs!$J$6-Inputs!$I$6)))/Inputs!$K$6)^2),NA())</f>
        <v>401.64865600000002</v>
      </c>
      <c r="C45" s="9">
        <f>IF(OR(Inputs!$F$7=TRUE,Inputs!$F$7="TRUE",Inputs!$F$7=1),(Inputs!$H$7+Inputs!$L$7*(((Inputs!$I$7+(((A45)+1)/2)*(Inputs!$J$7-Inputs!$I$7)))/Inputs!$K$7)^2),NA())</f>
        <v>185.43986000000001</v>
      </c>
      <c r="D45" s="9">
        <f>IF(OR(Inputs!$F$8=TRUE,Inputs!$F$8="TRUE",Inputs!$F$8=1),(Inputs!$H$8+Inputs!$L$8*(((Inputs!$I$8+(((A45)+1)/2)*(Inputs!$J$8-Inputs!$I$8)))/Inputs!$K$8)^2),NA())</f>
        <v>432.73826000000003</v>
      </c>
      <c r="E45" s="9">
        <f>IF(OR(Inputs!$F$9=TRUE,Inputs!$F$9="TRUE",Inputs!$F$9=1),(Inputs!$H$9+Inputs!$L$9*(((Inputs!$I$9+(((A45)+1)/2)*(Inputs!$J$9-Inputs!$I$9)))/Inputs!$K$9)^2),NA())</f>
        <v>426.85990000000004</v>
      </c>
      <c r="F45" s="10"/>
      <c r="G45" s="9">
        <f t="shared" si="0"/>
        <v>-0.64200000000000002</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c r="L45" s="10"/>
      <c r="M45" s="9">
        <f t="shared" si="1"/>
        <v>-0.64200000000000002</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327.4179585006213</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2563.3555763674917</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3198.9689250336646</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3211.3903291497058</v>
      </c>
      <c r="R45" s="10"/>
      <c r="S45" s="9">
        <f t="shared" si="2"/>
        <v>-0.64200000000000002</v>
      </c>
      <c r="T45" s="9">
        <f>(Inputs!$I$6+(((A45)+1)/2)*(Inputs!$J$6-Inputs!$I$6))</f>
        <v>-38.519999999999996</v>
      </c>
      <c r="U45" s="9">
        <f>(Inputs!$I$7+(((A45)+1)/2)*(Inputs!$J$7-Inputs!$I$7))</f>
        <v>-256.8</v>
      </c>
      <c r="V45" s="9">
        <f>(Inputs!$I$8+(((A45)+1)/2)*(Inputs!$J$8-Inputs!$I$8))</f>
        <v>-513.6</v>
      </c>
      <c r="W45" s="9">
        <f>(Inputs!$I$9+(((A45)+1)/2)*(Inputs!$J$9-Inputs!$I$9))</f>
        <v>-513.6</v>
      </c>
      <c r="X45" s="10"/>
      <c r="Y45" s="9">
        <f t="shared" si="3"/>
        <v>-0.64200000000000002</v>
      </c>
      <c r="Z45" s="9">
        <f>(Inputs!$H$6+Inputs!$L$6*(((Inputs!$I$6+(((A45)+1)/2)*(Inputs!$J$6-Inputs!$I$6)))/Inputs!$K$6)^2)</f>
        <v>401.64865600000002</v>
      </c>
      <c r="AA45" s="9">
        <f>(Inputs!$H$7+Inputs!$L$7*(((Inputs!$I$7+(((A45)+1)/2)*(Inputs!$J$7-Inputs!$I$7)))/Inputs!$K$7)^2)</f>
        <v>185.43986000000001</v>
      </c>
      <c r="AB45" s="9">
        <f>(Inputs!$H$8+Inputs!$L$8*(((Inputs!$I$8+(((A45)+1)/2)*(Inputs!$J$8-Inputs!$I$8)))/Inputs!$K$8)^2)</f>
        <v>432.73826000000003</v>
      </c>
      <c r="AC45" s="9">
        <f>(Inputs!$H$9+Inputs!$L$9*(((Inputs!$I$9+(((A45)+1)/2)*(Inputs!$J$9-Inputs!$I$9)))/Inputs!$K$9)^2)</f>
        <v>426.85990000000004</v>
      </c>
      <c r="AD45" s="10"/>
      <c r="AE45" s="9">
        <f t="shared" si="4"/>
        <v>-0.64200000000000002</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1846.6447074484392</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81042.479928761197</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162760.77509026113</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163708.00491582943</v>
      </c>
      <c r="AJ45" s="10"/>
      <c r="AK45" s="9">
        <f t="shared" si="5"/>
        <v>-0.64200000000000002</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327.4179585006213</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2563.3555763674917</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3198.9689250336646</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3211.3903291497058</v>
      </c>
      <c r="AP45" s="10"/>
      <c r="AQ45" s="9">
        <f t="shared" si="6"/>
        <v>-0.64200000000000002</v>
      </c>
      <c r="AR45" s="9">
        <f>0</f>
        <v>0</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207.43387159269426</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105.45369627834019</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163.94457717799389</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163.94457717799389</v>
      </c>
      <c r="AW45" s="10"/>
      <c r="AX45" s="9">
        <f t="shared" si="7"/>
        <v>-0.64200000000000002</v>
      </c>
      <c r="AY45" s="9">
        <f>0</f>
        <v>0</v>
      </c>
      <c r="AZ45" s="9">
        <f>IF(OR(Inputs!$F$6=TRUE,Inputs!$F$6="TRUE",Inputs!$F$6=1),(Inputs!$H$6+Inputs!$L$6*(((Inputs!$I$6+(((A45)+1)/2)*(Inputs!$J$6-Inputs!$I$6)))/Inputs!$K$6)^2),NA())</f>
        <v>401.64865600000002</v>
      </c>
      <c r="BA45" s="9">
        <f>IF(OR(Inputs!$F$7=TRUE,Inputs!$F$7="TRUE",Inputs!$F$7=1),(Inputs!$H$7+Inputs!$L$7*(((Inputs!$I$7+(((A45)+1)/2)*(Inputs!$J$7-Inputs!$I$7)))/Inputs!$K$7)^2),NA())</f>
        <v>185.43986000000001</v>
      </c>
      <c r="BB45" s="9">
        <f>IF(OR(Inputs!$F$8=TRUE,Inputs!$F$8="TRUE",Inputs!$F$8=1),(Inputs!$H$8+Inputs!$L$8*(((Inputs!$I$8+(((A45)+1)/2)*(Inputs!$J$8-Inputs!$I$8)))/Inputs!$K$8)^2),NA())</f>
        <v>432.73826000000003</v>
      </c>
      <c r="BC45" s="9">
        <f>IF(OR(Inputs!$F$9=TRUE,Inputs!$F$9="TRUE",Inputs!$F$9=1),(Inputs!$H$9+Inputs!$L$9*(((Inputs!$I$9+(((A45)+1)/2)*(Inputs!$J$9-Inputs!$I$9)))/Inputs!$K$9)^2),NA())</f>
        <v>426.85990000000004</v>
      </c>
      <c r="BD45" s="10"/>
      <c r="BE45" s="9">
        <f t="shared" si="8"/>
        <v>-0.64200000000000002</v>
      </c>
      <c r="BF45" s="9">
        <f>0</f>
        <v>0</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row>
    <row r="46" spans="1:62">
      <c r="A46" s="9">
        <f>ROUND(-1+44*2/240,3)</f>
        <v>-0.63300000000000001</v>
      </c>
      <c r="B46" s="9">
        <f>IF(OR(Inputs!$F$6=TRUE,Inputs!$F$6="TRUE",Inputs!$F$6=1),(Inputs!$H$6+Inputs!$L$6*(((Inputs!$I$6+(((A46)+1)/2)*(Inputs!$J$6-Inputs!$I$6)))/Inputs!$K$6)^2),NA())</f>
        <v>401.602756</v>
      </c>
      <c r="C46" s="9">
        <f>IF(OR(Inputs!$F$7=TRUE,Inputs!$F$7="TRUE",Inputs!$F$7=1),(Inputs!$H$7+Inputs!$L$7*(((Inputs!$I$7+(((A46)+1)/2)*(Inputs!$J$7-Inputs!$I$7)))/Inputs!$K$7)^2),NA())</f>
        <v>181.251485</v>
      </c>
      <c r="D46" s="9">
        <f>IF(OR(Inputs!$F$8=TRUE,Inputs!$F$8="TRUE",Inputs!$F$8=1),(Inputs!$H$8+Inputs!$L$8*(((Inputs!$I$8+(((A46)+1)/2)*(Inputs!$J$8-Inputs!$I$8)))/Inputs!$K$8)^2),NA())</f>
        <v>421.66488500000003</v>
      </c>
      <c r="E46" s="9">
        <f>IF(OR(Inputs!$F$9=TRUE,Inputs!$F$9="TRUE",Inputs!$F$9=1),(Inputs!$H$9+Inputs!$L$9*(((Inputs!$I$9+(((A46)+1)/2)*(Inputs!$J$9-Inputs!$I$9)))/Inputs!$K$9)^2),NA())</f>
        <v>415.67177500000003</v>
      </c>
      <c r="F46" s="10"/>
      <c r="G46" s="9">
        <f t="shared" si="0"/>
        <v>-0.63300000000000001</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c r="L46" s="10"/>
      <c r="M46" s="9">
        <f t="shared" si="1"/>
        <v>-0.63300000000000001</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322.89189375400963</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2541.8250131573909</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3164.465405255286</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3176.3004946503356</v>
      </c>
      <c r="R46" s="10"/>
      <c r="S46" s="9">
        <f t="shared" si="2"/>
        <v>-0.63300000000000001</v>
      </c>
      <c r="T46" s="9">
        <f>(Inputs!$I$6+(((A46)+1)/2)*(Inputs!$J$6-Inputs!$I$6))</f>
        <v>-37.980000000000004</v>
      </c>
      <c r="U46" s="9">
        <f>(Inputs!$I$7+(((A46)+1)/2)*(Inputs!$J$7-Inputs!$I$7))</f>
        <v>-253.2</v>
      </c>
      <c r="V46" s="9">
        <f>(Inputs!$I$8+(((A46)+1)/2)*(Inputs!$J$8-Inputs!$I$8))</f>
        <v>-506.4</v>
      </c>
      <c r="W46" s="9">
        <f>(Inputs!$I$9+(((A46)+1)/2)*(Inputs!$J$9-Inputs!$I$9))</f>
        <v>-506.4</v>
      </c>
      <c r="X46" s="10"/>
      <c r="Y46" s="9">
        <f t="shared" si="3"/>
        <v>-0.63300000000000001</v>
      </c>
      <c r="Z46" s="9">
        <f>(Inputs!$H$6+Inputs!$L$6*(((Inputs!$I$6+(((A46)+1)/2)*(Inputs!$J$6-Inputs!$I$6)))/Inputs!$K$6)^2)</f>
        <v>401.602756</v>
      </c>
      <c r="AA46" s="9">
        <f>(Inputs!$H$7+Inputs!$L$7*(((Inputs!$I$7+(((A46)+1)/2)*(Inputs!$J$7-Inputs!$I$7)))/Inputs!$K$7)^2)</f>
        <v>181.251485</v>
      </c>
      <c r="AB46" s="9">
        <f>(Inputs!$H$8+Inputs!$L$8*(((Inputs!$I$8+(((A46)+1)/2)*(Inputs!$J$8-Inputs!$I$8)))/Inputs!$K$8)^2)</f>
        <v>421.66488500000003</v>
      </c>
      <c r="AC46" s="9">
        <f>(Inputs!$H$9+Inputs!$L$9*(((Inputs!$I$9+(((A46)+1)/2)*(Inputs!$J$9-Inputs!$I$9)))/Inputs!$K$9)^2)</f>
        <v>415.67177500000003</v>
      </c>
      <c r="AD46" s="10"/>
      <c r="AE46" s="9">
        <f t="shared" si="4"/>
        <v>-0.63300000000000001</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1810.7796160089886</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80168.926445403762</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160938.14162452042</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161919.17609100911</v>
      </c>
      <c r="AJ46" s="10"/>
      <c r="AK46" s="9">
        <f t="shared" si="5"/>
        <v>-0.63300000000000001</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322.89189375400963</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2541.8250131573909</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3164.465405255286</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3176.3004946503356</v>
      </c>
      <c r="AP46" s="10"/>
      <c r="AQ46" s="9">
        <f t="shared" si="6"/>
        <v>-0.63300000000000001</v>
      </c>
      <c r="AR46" s="9">
        <f>0</f>
        <v>0</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221.80669101467788</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99.71643975295197</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62.168325763204649</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62.168325763204649</v>
      </c>
      <c r="AW46" s="10"/>
      <c r="AX46" s="9">
        <f t="shared" si="7"/>
        <v>-0.63300000000000001</v>
      </c>
      <c r="AY46" s="9">
        <f>0</f>
        <v>0</v>
      </c>
      <c r="AZ46" s="9">
        <f>IF(OR(Inputs!$F$6=TRUE,Inputs!$F$6="TRUE",Inputs!$F$6=1),(Inputs!$H$6+Inputs!$L$6*(((Inputs!$I$6+(((A46)+1)/2)*(Inputs!$J$6-Inputs!$I$6)))/Inputs!$K$6)^2),NA())</f>
        <v>401.602756</v>
      </c>
      <c r="BA46" s="9">
        <f>IF(OR(Inputs!$F$7=TRUE,Inputs!$F$7="TRUE",Inputs!$F$7=1),(Inputs!$H$7+Inputs!$L$7*(((Inputs!$I$7+(((A46)+1)/2)*(Inputs!$J$7-Inputs!$I$7)))/Inputs!$K$7)^2),NA())</f>
        <v>181.251485</v>
      </c>
      <c r="BB46" s="9">
        <f>IF(OR(Inputs!$F$8=TRUE,Inputs!$F$8="TRUE",Inputs!$F$8=1),(Inputs!$H$8+Inputs!$L$8*(((Inputs!$I$8+(((A46)+1)/2)*(Inputs!$J$8-Inputs!$I$8)))/Inputs!$K$8)^2),NA())</f>
        <v>421.66488500000003</v>
      </c>
      <c r="BC46" s="9">
        <f>IF(OR(Inputs!$F$9=TRUE,Inputs!$F$9="TRUE",Inputs!$F$9=1),(Inputs!$H$9+Inputs!$L$9*(((Inputs!$I$9+(((A46)+1)/2)*(Inputs!$J$9-Inputs!$I$9)))/Inputs!$K$9)^2),NA())</f>
        <v>415.67177500000003</v>
      </c>
      <c r="BD46" s="10"/>
      <c r="BE46" s="9">
        <f t="shared" si="8"/>
        <v>-0.63300000000000001</v>
      </c>
      <c r="BF46" s="9">
        <f>0</f>
        <v>0</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row>
    <row r="47" spans="1:62">
      <c r="A47" s="9">
        <f>ROUND(-1+45*2/240,3)</f>
        <v>-0.625</v>
      </c>
      <c r="B47" s="9">
        <f>IF(OR(Inputs!$F$6=TRUE,Inputs!$F$6="TRUE",Inputs!$F$6=1),(Inputs!$H$6+Inputs!$L$6*(((Inputs!$I$6+(((A47)+1)/2)*(Inputs!$J$6-Inputs!$I$6)))/Inputs!$K$6)^2),NA())</f>
        <v>401.5625</v>
      </c>
      <c r="C47" s="9">
        <f>IF(OR(Inputs!$F$7=TRUE,Inputs!$F$7="TRUE",Inputs!$F$7=1),(Inputs!$H$7+Inputs!$L$7*(((Inputs!$I$7+(((A47)+1)/2)*(Inputs!$J$7-Inputs!$I$7)))/Inputs!$K$7)^2),NA())</f>
        <v>177.578125</v>
      </c>
      <c r="D47" s="9">
        <f>IF(OR(Inputs!$F$8=TRUE,Inputs!$F$8="TRUE",Inputs!$F$8=1),(Inputs!$H$8+Inputs!$L$8*(((Inputs!$I$8+(((A47)+1)/2)*(Inputs!$J$8-Inputs!$I$8)))/Inputs!$K$8)^2),NA())</f>
        <v>411.953125</v>
      </c>
      <c r="E47" s="9">
        <f>IF(OR(Inputs!$F$9=TRUE,Inputs!$F$9="TRUE",Inputs!$F$9=1),(Inputs!$H$9+Inputs!$L$9*(((Inputs!$I$9+(((A47)+1)/2)*(Inputs!$J$9-Inputs!$I$9)))/Inputs!$K$9)^2),NA())</f>
        <v>405.859375</v>
      </c>
      <c r="F47" s="10"/>
      <c r="G47" s="9">
        <f t="shared" si="0"/>
        <v>-0.625</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c r="L47" s="10"/>
      <c r="M47" s="9">
        <f t="shared" si="1"/>
        <v>-0.625</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318.86649388508926</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2522.8127112245124</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3133.9425203265596</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3145.2550966793397</v>
      </c>
      <c r="R47" s="10"/>
      <c r="S47" s="9">
        <f t="shared" si="2"/>
        <v>-0.625</v>
      </c>
      <c r="T47" s="9">
        <f>(Inputs!$I$6+(((A47)+1)/2)*(Inputs!$J$6-Inputs!$I$6))</f>
        <v>-37.5</v>
      </c>
      <c r="U47" s="9">
        <f>(Inputs!$I$7+(((A47)+1)/2)*(Inputs!$J$7-Inputs!$I$7))</f>
        <v>-250</v>
      </c>
      <c r="V47" s="9">
        <f>(Inputs!$I$8+(((A47)+1)/2)*(Inputs!$J$8-Inputs!$I$8))</f>
        <v>-500</v>
      </c>
      <c r="W47" s="9">
        <f>(Inputs!$I$9+(((A47)+1)/2)*(Inputs!$J$9-Inputs!$I$9))</f>
        <v>-500</v>
      </c>
      <c r="X47" s="10"/>
      <c r="Y47" s="9">
        <f t="shared" si="3"/>
        <v>-0.625</v>
      </c>
      <c r="Z47" s="9">
        <f>(Inputs!$H$6+Inputs!$L$6*(((Inputs!$I$6+(((A47)+1)/2)*(Inputs!$J$6-Inputs!$I$6)))/Inputs!$K$6)^2)</f>
        <v>401.5625</v>
      </c>
      <c r="AA47" s="9">
        <f>(Inputs!$H$7+Inputs!$L$7*(((Inputs!$I$7+(((A47)+1)/2)*(Inputs!$J$7-Inputs!$I$7)))/Inputs!$K$7)^2)</f>
        <v>177.578125</v>
      </c>
      <c r="AB47" s="9">
        <f>(Inputs!$H$8+Inputs!$L$8*(((Inputs!$I$8+(((A47)+1)/2)*(Inputs!$J$8-Inputs!$I$8)))/Inputs!$K$8)^2)</f>
        <v>411.953125</v>
      </c>
      <c r="AC47" s="9">
        <f>(Inputs!$H$9+Inputs!$L$9*(((Inputs!$I$9+(((A47)+1)/2)*(Inputs!$J$9-Inputs!$I$9)))/Inputs!$K$9)^2)</f>
        <v>405.859375</v>
      </c>
      <c r="AD47" s="10"/>
      <c r="AE47" s="9">
        <f t="shared" si="4"/>
        <v>-0.625</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1779.3145540322525</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79387.320918721598</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159317.35001562969</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160328.91496968584</v>
      </c>
      <c r="AJ47" s="10"/>
      <c r="AK47" s="9">
        <f t="shared" si="5"/>
        <v>-0.625</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318.86649388508926</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2522.8127112245124</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3133.9425203265596</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3145.2550966793397</v>
      </c>
      <c r="AP47" s="10"/>
      <c r="AQ47" s="9">
        <f t="shared" si="6"/>
        <v>-0.625</v>
      </c>
      <c r="AR47" s="9">
        <f>0</f>
        <v>0</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239.18714852881689</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196.01945683662166</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219.11341659265105</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219.11341659265105</v>
      </c>
      <c r="AW47" s="10"/>
      <c r="AX47" s="9">
        <f t="shared" si="7"/>
        <v>-0.625</v>
      </c>
      <c r="AY47" s="9">
        <f>0</f>
        <v>0</v>
      </c>
      <c r="AZ47" s="9">
        <f>IF(OR(Inputs!$F$6=TRUE,Inputs!$F$6="TRUE",Inputs!$F$6=1),(Inputs!$H$6+Inputs!$L$6*(((Inputs!$I$6+(((A47)+1)/2)*(Inputs!$J$6-Inputs!$I$6)))/Inputs!$K$6)^2),NA())</f>
        <v>401.5625</v>
      </c>
      <c r="BA47" s="9">
        <f>IF(OR(Inputs!$F$7=TRUE,Inputs!$F$7="TRUE",Inputs!$F$7=1),(Inputs!$H$7+Inputs!$L$7*(((Inputs!$I$7+(((A47)+1)/2)*(Inputs!$J$7-Inputs!$I$7)))/Inputs!$K$7)^2),NA())</f>
        <v>177.578125</v>
      </c>
      <c r="BB47" s="9">
        <f>IF(OR(Inputs!$F$8=TRUE,Inputs!$F$8="TRUE",Inputs!$F$8=1),(Inputs!$H$8+Inputs!$L$8*(((Inputs!$I$8+(((A47)+1)/2)*(Inputs!$J$8-Inputs!$I$8)))/Inputs!$K$8)^2),NA())</f>
        <v>411.953125</v>
      </c>
      <c r="BC47" s="9">
        <f>IF(OR(Inputs!$F$9=TRUE,Inputs!$F$9="TRUE",Inputs!$F$9=1),(Inputs!$H$9+Inputs!$L$9*(((Inputs!$I$9+(((A47)+1)/2)*(Inputs!$J$9-Inputs!$I$9)))/Inputs!$K$9)^2),NA())</f>
        <v>405.859375</v>
      </c>
      <c r="BD47" s="10"/>
      <c r="BE47" s="9">
        <f t="shared" si="8"/>
        <v>-0.625</v>
      </c>
      <c r="BF47" s="9">
        <f>0</f>
        <v>0</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row>
    <row r="48" spans="1:62">
      <c r="A48" s="9">
        <f>ROUND(-1+46*2/240,3)</f>
        <v>-0.61699999999999999</v>
      </c>
      <c r="B48" s="9">
        <f>IF(OR(Inputs!$F$6=TRUE,Inputs!$F$6="TRUE",Inputs!$F$6=1),(Inputs!$H$6+Inputs!$L$6*(((Inputs!$I$6+(((A48)+1)/2)*(Inputs!$J$6-Inputs!$I$6)))/Inputs!$K$6)^2),NA())</f>
        <v>401.52275600000002</v>
      </c>
      <c r="C48" s="9">
        <f>IF(OR(Inputs!$F$7=TRUE,Inputs!$F$7="TRUE",Inputs!$F$7=1),(Inputs!$H$7+Inputs!$L$7*(((Inputs!$I$7+(((A48)+1)/2)*(Inputs!$J$7-Inputs!$I$7)))/Inputs!$K$7)^2),NA())</f>
        <v>173.95148499999999</v>
      </c>
      <c r="D48" s="9">
        <f>IF(OR(Inputs!$F$8=TRUE,Inputs!$F$8="TRUE",Inputs!$F$8=1),(Inputs!$H$8+Inputs!$L$8*(((Inputs!$I$8+(((A48)+1)/2)*(Inputs!$J$8-Inputs!$I$8)))/Inputs!$K$8)^2),NA())</f>
        <v>402.36488500000002</v>
      </c>
      <c r="E48" s="9">
        <f>IF(OR(Inputs!$F$9=TRUE,Inputs!$F$9="TRUE",Inputs!$F$9=1),(Inputs!$H$9+Inputs!$L$9*(((Inputs!$I$9+(((A48)+1)/2)*(Inputs!$J$9-Inputs!$I$9)))/Inputs!$K$9)^2),NA())</f>
        <v>396.17177500000003</v>
      </c>
      <c r="F48" s="10"/>
      <c r="G48" s="9">
        <f t="shared" si="0"/>
        <v>-0.61699999999999999</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c r="L48" s="10"/>
      <c r="M48" s="9">
        <f t="shared" si="1"/>
        <v>-0.61699999999999999</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314.83901911841701</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2503.9204145084941</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3103.5619618163018</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3114.3508857654174</v>
      </c>
      <c r="R48" s="10"/>
      <c r="S48" s="9">
        <f t="shared" si="2"/>
        <v>-0.61699999999999999</v>
      </c>
      <c r="T48" s="9">
        <f>(Inputs!$I$6+(((A48)+1)/2)*(Inputs!$J$6-Inputs!$I$6))</f>
        <v>-37.019999999999996</v>
      </c>
      <c r="U48" s="9">
        <f>(Inputs!$I$7+(((A48)+1)/2)*(Inputs!$J$7-Inputs!$I$7))</f>
        <v>-246.8</v>
      </c>
      <c r="V48" s="9">
        <f>(Inputs!$I$8+(((A48)+1)/2)*(Inputs!$J$8-Inputs!$I$8))</f>
        <v>-493.6</v>
      </c>
      <c r="W48" s="9">
        <f>(Inputs!$I$9+(((A48)+1)/2)*(Inputs!$J$9-Inputs!$I$9))</f>
        <v>-493.6</v>
      </c>
      <c r="X48" s="10"/>
      <c r="Y48" s="9">
        <f t="shared" si="3"/>
        <v>-0.61699999999999999</v>
      </c>
      <c r="Z48" s="9">
        <f>(Inputs!$H$6+Inputs!$L$6*(((Inputs!$I$6+(((A48)+1)/2)*(Inputs!$J$6-Inputs!$I$6)))/Inputs!$K$6)^2)</f>
        <v>401.52275600000002</v>
      </c>
      <c r="AA48" s="9">
        <f>(Inputs!$H$7+Inputs!$L$7*(((Inputs!$I$7+(((A48)+1)/2)*(Inputs!$J$7-Inputs!$I$7)))/Inputs!$K$7)^2)</f>
        <v>173.95148499999999</v>
      </c>
      <c r="AB48" s="9">
        <f>(Inputs!$H$8+Inputs!$L$8*(((Inputs!$I$8+(((A48)+1)/2)*(Inputs!$J$8-Inputs!$I$8)))/Inputs!$K$8)^2)</f>
        <v>402.36488500000002</v>
      </c>
      <c r="AC48" s="9">
        <f>(Inputs!$H$9+Inputs!$L$9*(((Inputs!$I$9+(((A48)+1)/2)*(Inputs!$J$9-Inputs!$I$9)))/Inputs!$K$9)^2)</f>
        <v>396.17177500000003</v>
      </c>
      <c r="AD48" s="10"/>
      <c r="AE48" s="9">
        <f t="shared" si="4"/>
        <v>-0.61699999999999999</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1748.2404649752737</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78600.763046976164</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157695.59672146325</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158738.14855245108</v>
      </c>
      <c r="AJ48" s="10"/>
      <c r="AK48" s="9">
        <f t="shared" si="5"/>
        <v>-0.61699999999999999</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314.83901911841701</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2503.9204145084941</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3103.5619618163018</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3114.3508857654174</v>
      </c>
      <c r="AP48" s="10"/>
      <c r="AQ48" s="9">
        <f t="shared" si="6"/>
        <v>-0.61699999999999999</v>
      </c>
      <c r="AR48" s="9">
        <f>0</f>
        <v>0</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229.91270151811244</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211.86545609896135</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99.982990803907001</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99.982990803907001</v>
      </c>
      <c r="AW48" s="10"/>
      <c r="AX48" s="9">
        <f t="shared" si="7"/>
        <v>-0.61699999999999999</v>
      </c>
      <c r="AY48" s="9">
        <f>0</f>
        <v>0</v>
      </c>
      <c r="AZ48" s="9">
        <f>IF(OR(Inputs!$F$6=TRUE,Inputs!$F$6="TRUE",Inputs!$F$6=1),(Inputs!$H$6+Inputs!$L$6*(((Inputs!$I$6+(((A48)+1)/2)*(Inputs!$J$6-Inputs!$I$6)))/Inputs!$K$6)^2),NA())</f>
        <v>401.52275600000002</v>
      </c>
      <c r="BA48" s="9">
        <f>IF(OR(Inputs!$F$7=TRUE,Inputs!$F$7="TRUE",Inputs!$F$7=1),(Inputs!$H$7+Inputs!$L$7*(((Inputs!$I$7+(((A48)+1)/2)*(Inputs!$J$7-Inputs!$I$7)))/Inputs!$K$7)^2),NA())</f>
        <v>173.95148499999999</v>
      </c>
      <c r="BB48" s="9">
        <f>IF(OR(Inputs!$F$8=TRUE,Inputs!$F$8="TRUE",Inputs!$F$8=1),(Inputs!$H$8+Inputs!$L$8*(((Inputs!$I$8+(((A48)+1)/2)*(Inputs!$J$8-Inputs!$I$8)))/Inputs!$K$8)^2),NA())</f>
        <v>402.36488500000002</v>
      </c>
      <c r="BC48" s="9">
        <f>IF(OR(Inputs!$F$9=TRUE,Inputs!$F$9="TRUE",Inputs!$F$9=1),(Inputs!$H$9+Inputs!$L$9*(((Inputs!$I$9+(((A48)+1)/2)*(Inputs!$J$9-Inputs!$I$9)))/Inputs!$K$9)^2),NA())</f>
        <v>396.17177500000003</v>
      </c>
      <c r="BD48" s="10"/>
      <c r="BE48" s="9">
        <f t="shared" si="8"/>
        <v>-0.61699999999999999</v>
      </c>
      <c r="BF48" s="9">
        <f>0</f>
        <v>0</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row>
    <row r="49" spans="1:62">
      <c r="A49" s="9">
        <f>ROUND(-1+47*2/240,3)</f>
        <v>-0.60799999999999998</v>
      </c>
      <c r="B49" s="9">
        <f>IF(OR(Inputs!$F$6=TRUE,Inputs!$F$6="TRUE",Inputs!$F$6=1),(Inputs!$H$6+Inputs!$L$6*(((Inputs!$I$6+(((A49)+1)/2)*(Inputs!$J$6-Inputs!$I$6)))/Inputs!$K$6)^2),NA())</f>
        <v>401.478656</v>
      </c>
      <c r="C49" s="9">
        <f>IF(OR(Inputs!$F$7=TRUE,Inputs!$F$7="TRUE",Inputs!$F$7=1),(Inputs!$H$7+Inputs!$L$7*(((Inputs!$I$7+(((A49)+1)/2)*(Inputs!$J$7-Inputs!$I$7)))/Inputs!$K$7)^2),NA())</f>
        <v>169.92735999999999</v>
      </c>
      <c r="D49" s="9">
        <f>IF(OR(Inputs!$F$8=TRUE,Inputs!$F$8="TRUE",Inputs!$F$8=1),(Inputs!$H$8+Inputs!$L$8*(((Inputs!$I$8+(((A49)+1)/2)*(Inputs!$J$8-Inputs!$I$8)))/Inputs!$K$8)^2),NA())</f>
        <v>391.72575999999998</v>
      </c>
      <c r="E49" s="9">
        <f>IF(OR(Inputs!$F$9=TRUE,Inputs!$F$9="TRUE",Inputs!$F$9=1),(Inputs!$H$9+Inputs!$L$9*(((Inputs!$I$9+(((A49)+1)/2)*(Inputs!$J$9-Inputs!$I$9)))/Inputs!$K$9)^2),NA())</f>
        <v>385.42239999999998</v>
      </c>
      <c r="F49" s="10"/>
      <c r="G49" s="9">
        <f t="shared" si="0"/>
        <v>-0.60799999999999998</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c r="L49" s="10"/>
      <c r="M49" s="9">
        <f t="shared" si="1"/>
        <v>-0.60799999999999998</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310.3056599289165</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2482.811695413021</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3069.5589193145229</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3079.7575373039622</v>
      </c>
      <c r="R49" s="10"/>
      <c r="S49" s="9">
        <f t="shared" si="2"/>
        <v>-0.60799999999999998</v>
      </c>
      <c r="T49" s="9">
        <f>(Inputs!$I$6+(((A49)+1)/2)*(Inputs!$J$6-Inputs!$I$6))</f>
        <v>-36.480000000000004</v>
      </c>
      <c r="U49" s="9">
        <f>(Inputs!$I$7+(((A49)+1)/2)*(Inputs!$J$7-Inputs!$I$7))</f>
        <v>-243.2</v>
      </c>
      <c r="V49" s="9">
        <f>(Inputs!$I$8+(((A49)+1)/2)*(Inputs!$J$8-Inputs!$I$8))</f>
        <v>-486.4</v>
      </c>
      <c r="W49" s="9">
        <f>(Inputs!$I$9+(((A49)+1)/2)*(Inputs!$J$9-Inputs!$I$9))</f>
        <v>-486.4</v>
      </c>
      <c r="X49" s="10"/>
      <c r="Y49" s="9">
        <f t="shared" si="3"/>
        <v>-0.60799999999999998</v>
      </c>
      <c r="Z49" s="9">
        <f>(Inputs!$H$6+Inputs!$L$6*(((Inputs!$I$6+(((A49)+1)/2)*(Inputs!$J$6-Inputs!$I$6)))/Inputs!$K$6)^2)</f>
        <v>401.478656</v>
      </c>
      <c r="AA49" s="9">
        <f>(Inputs!$H$7+Inputs!$L$7*(((Inputs!$I$7+(((A49)+1)/2)*(Inputs!$J$7-Inputs!$I$7)))/Inputs!$K$7)^2)</f>
        <v>169.92735999999999</v>
      </c>
      <c r="AB49" s="9">
        <f>(Inputs!$H$8+Inputs!$L$8*(((Inputs!$I$8+(((A49)+1)/2)*(Inputs!$J$8-Inputs!$I$8)))/Inputs!$K$8)^2)</f>
        <v>391.72575999999998</v>
      </c>
      <c r="AC49" s="9">
        <f>(Inputs!$H$9+Inputs!$L$9*(((Inputs!$I$9+(((A49)+1)/2)*(Inputs!$J$9-Inputs!$I$9)))/Inputs!$K$9)^2)</f>
        <v>385.42239999999998</v>
      </c>
      <c r="AD49" s="10"/>
      <c r="AE49" s="9">
        <f t="shared" si="4"/>
        <v>-0.60799999999999998</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1713.7498823328169</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77709.796950595046</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155869.57061769368</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156947.53120706117</v>
      </c>
      <c r="AJ49" s="10"/>
      <c r="AK49" s="9">
        <f t="shared" si="5"/>
        <v>-0.60799999999999998</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310.3056599289165</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2482.811695413021</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3069.5589193145229</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3079.7575373039622</v>
      </c>
      <c r="AP49" s="10"/>
      <c r="AQ49" s="9">
        <f t="shared" si="6"/>
        <v>-0.60799999999999998</v>
      </c>
      <c r="AR49" s="9">
        <f>0</f>
        <v>0</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251.17538260809548</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117.54168733326767</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155.64899651393102</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155.64899651393102</v>
      </c>
      <c r="AW49" s="10"/>
      <c r="AX49" s="9">
        <f t="shared" si="7"/>
        <v>-0.60799999999999998</v>
      </c>
      <c r="AY49" s="9">
        <f>0</f>
        <v>0</v>
      </c>
      <c r="AZ49" s="9">
        <f>IF(OR(Inputs!$F$6=TRUE,Inputs!$F$6="TRUE",Inputs!$F$6=1),(Inputs!$H$6+Inputs!$L$6*(((Inputs!$I$6+(((A49)+1)/2)*(Inputs!$J$6-Inputs!$I$6)))/Inputs!$K$6)^2),NA())</f>
        <v>401.478656</v>
      </c>
      <c r="BA49" s="9">
        <f>IF(OR(Inputs!$F$7=TRUE,Inputs!$F$7="TRUE",Inputs!$F$7=1),(Inputs!$H$7+Inputs!$L$7*(((Inputs!$I$7+(((A49)+1)/2)*(Inputs!$J$7-Inputs!$I$7)))/Inputs!$K$7)^2),NA())</f>
        <v>169.92735999999999</v>
      </c>
      <c r="BB49" s="9">
        <f>IF(OR(Inputs!$F$8=TRUE,Inputs!$F$8="TRUE",Inputs!$F$8=1),(Inputs!$H$8+Inputs!$L$8*(((Inputs!$I$8+(((A49)+1)/2)*(Inputs!$J$8-Inputs!$I$8)))/Inputs!$K$8)^2),NA())</f>
        <v>391.72575999999998</v>
      </c>
      <c r="BC49" s="9">
        <f>IF(OR(Inputs!$F$9=TRUE,Inputs!$F$9="TRUE",Inputs!$F$9=1),(Inputs!$H$9+Inputs!$L$9*(((Inputs!$I$9+(((A49)+1)/2)*(Inputs!$J$9-Inputs!$I$9)))/Inputs!$K$9)^2),NA())</f>
        <v>385.42239999999998</v>
      </c>
      <c r="BD49" s="10"/>
      <c r="BE49" s="9">
        <f t="shared" si="8"/>
        <v>-0.60799999999999998</v>
      </c>
      <c r="BF49" s="9">
        <f>0</f>
        <v>0</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row>
    <row r="50" spans="1:62">
      <c r="A50" s="9">
        <f>ROUND(-1+48*2/240,3)</f>
        <v>-0.6</v>
      </c>
      <c r="B50" s="9">
        <f>IF(OR(Inputs!$F$6=TRUE,Inputs!$F$6="TRUE",Inputs!$F$6=1),(Inputs!$H$6+Inputs!$L$6*(((Inputs!$I$6+(((A50)+1)/2)*(Inputs!$J$6-Inputs!$I$6)))/Inputs!$K$6)^2),NA())</f>
        <v>401.44</v>
      </c>
      <c r="C50" s="9">
        <f>IF(OR(Inputs!$F$7=TRUE,Inputs!$F$7="TRUE",Inputs!$F$7=1),(Inputs!$H$7+Inputs!$L$7*(((Inputs!$I$7+(((A50)+1)/2)*(Inputs!$J$7-Inputs!$I$7)))/Inputs!$K$7)^2),NA())</f>
        <v>166.4</v>
      </c>
      <c r="D50" s="9">
        <f>IF(OR(Inputs!$F$8=TRUE,Inputs!$F$8="TRUE",Inputs!$F$8=1),(Inputs!$H$8+Inputs!$L$8*(((Inputs!$I$8+(((A50)+1)/2)*(Inputs!$J$8-Inputs!$I$8)))/Inputs!$K$8)^2),NA())</f>
        <v>382.4</v>
      </c>
      <c r="E50" s="9">
        <f>IF(OR(Inputs!$F$9=TRUE,Inputs!$F$9="TRUE",Inputs!$F$9=1),(Inputs!$H$9+Inputs!$L$9*(((Inputs!$I$9+(((A50)+1)/2)*(Inputs!$J$9-Inputs!$I$9)))/Inputs!$K$9)^2),NA())</f>
        <v>376</v>
      </c>
      <c r="F50" s="10"/>
      <c r="G50" s="9">
        <f t="shared" si="0"/>
        <v>-0.6</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c r="L50" s="10"/>
      <c r="M50" s="9">
        <f t="shared" si="1"/>
        <v>-0.6</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306.2738563044615</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2464.1788169406414</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3039.4941303040473</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3049.1671276524562</v>
      </c>
      <c r="R50" s="10"/>
      <c r="S50" s="9">
        <f t="shared" si="2"/>
        <v>-0.6</v>
      </c>
      <c r="T50" s="9">
        <f>(Inputs!$I$6+(((A50)+1)/2)*(Inputs!$J$6-Inputs!$I$6))</f>
        <v>-36</v>
      </c>
      <c r="U50" s="9">
        <f>(Inputs!$I$7+(((A50)+1)/2)*(Inputs!$J$7-Inputs!$I$7))</f>
        <v>-240</v>
      </c>
      <c r="V50" s="9">
        <f>(Inputs!$I$8+(((A50)+1)/2)*(Inputs!$J$8-Inputs!$I$8))</f>
        <v>-480</v>
      </c>
      <c r="W50" s="9">
        <f>(Inputs!$I$9+(((A50)+1)/2)*(Inputs!$J$9-Inputs!$I$9))</f>
        <v>-480</v>
      </c>
      <c r="X50" s="10"/>
      <c r="Y50" s="9">
        <f t="shared" si="3"/>
        <v>-0.6</v>
      </c>
      <c r="Z50" s="9">
        <f>(Inputs!$H$6+Inputs!$L$6*(((Inputs!$I$6+(((A50)+1)/2)*(Inputs!$J$6-Inputs!$I$6)))/Inputs!$K$6)^2)</f>
        <v>401.44</v>
      </c>
      <c r="AA50" s="9">
        <f>(Inputs!$H$7+Inputs!$L$7*(((Inputs!$I$7+(((A50)+1)/2)*(Inputs!$J$7-Inputs!$I$7)))/Inputs!$K$7)^2)</f>
        <v>166.4</v>
      </c>
      <c r="AB50" s="9">
        <f>(Inputs!$H$8+Inputs!$L$8*(((Inputs!$I$8+(((A50)+1)/2)*(Inputs!$J$8-Inputs!$I$8)))/Inputs!$K$8)^2)</f>
        <v>382.4</v>
      </c>
      <c r="AC50" s="9">
        <f>(Inputs!$H$9+Inputs!$L$9*(((Inputs!$I$9+(((A50)+1)/2)*(Inputs!$J$9-Inputs!$I$9)))/Inputs!$K$9)^2)</f>
        <v>376</v>
      </c>
      <c r="AD50" s="10"/>
      <c r="AE50" s="9">
        <f t="shared" si="4"/>
        <v>-0.6</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1683.5077600200959</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76912.263277119331</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154244.68572170875</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155354.61064431272</v>
      </c>
      <c r="AJ50" s="10"/>
      <c r="AK50" s="9">
        <f t="shared" si="5"/>
        <v>-0.6</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306.2738563044615</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2464.1788169406414</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3039.4941303040473</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3049.1671276524562</v>
      </c>
      <c r="AP50" s="10"/>
      <c r="AQ50" s="9">
        <f t="shared" si="6"/>
        <v>-0.6</v>
      </c>
      <c r="AR50" s="9">
        <f>0</f>
        <v>0</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273.24610443212225</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69.603548486504238</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194.43846107380864</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194.43846107380864</v>
      </c>
      <c r="AW50" s="10"/>
      <c r="AX50" s="9">
        <f t="shared" si="7"/>
        <v>-0.6</v>
      </c>
      <c r="AY50" s="9">
        <f>0</f>
        <v>0</v>
      </c>
      <c r="AZ50" s="9">
        <f>IF(OR(Inputs!$F$6=TRUE,Inputs!$F$6="TRUE",Inputs!$F$6=1),(Inputs!$H$6+Inputs!$L$6*(((Inputs!$I$6+(((A50)+1)/2)*(Inputs!$J$6-Inputs!$I$6)))/Inputs!$K$6)^2),NA())</f>
        <v>401.44</v>
      </c>
      <c r="BA50" s="9">
        <f>IF(OR(Inputs!$F$7=TRUE,Inputs!$F$7="TRUE",Inputs!$F$7=1),(Inputs!$H$7+Inputs!$L$7*(((Inputs!$I$7+(((A50)+1)/2)*(Inputs!$J$7-Inputs!$I$7)))/Inputs!$K$7)^2),NA())</f>
        <v>166.4</v>
      </c>
      <c r="BB50" s="9">
        <f>IF(OR(Inputs!$F$8=TRUE,Inputs!$F$8="TRUE",Inputs!$F$8=1),(Inputs!$H$8+Inputs!$L$8*(((Inputs!$I$8+(((A50)+1)/2)*(Inputs!$J$8-Inputs!$I$8)))/Inputs!$K$8)^2),NA())</f>
        <v>382.4</v>
      </c>
      <c r="BC50" s="9">
        <f>IF(OR(Inputs!$F$9=TRUE,Inputs!$F$9="TRUE",Inputs!$F$9=1),(Inputs!$H$9+Inputs!$L$9*(((Inputs!$I$9+(((A50)+1)/2)*(Inputs!$J$9-Inputs!$I$9)))/Inputs!$K$9)^2),NA())</f>
        <v>376</v>
      </c>
      <c r="BD50" s="10"/>
      <c r="BE50" s="9">
        <f t="shared" si="8"/>
        <v>-0.6</v>
      </c>
      <c r="BF50" s="9">
        <f>0</f>
        <v>0</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row>
    <row r="51" spans="1:62">
      <c r="A51" s="9">
        <f>ROUND(-1+49*2/240,3)</f>
        <v>-0.59199999999999997</v>
      </c>
      <c r="B51" s="9">
        <f>IF(OR(Inputs!$F$6=TRUE,Inputs!$F$6="TRUE",Inputs!$F$6=1),(Inputs!$H$6+Inputs!$L$6*(((Inputs!$I$6+(((A51)+1)/2)*(Inputs!$J$6-Inputs!$I$6)))/Inputs!$K$6)^2),NA())</f>
        <v>401.40185600000001</v>
      </c>
      <c r="C51" s="9">
        <f>IF(OR(Inputs!$F$7=TRUE,Inputs!$F$7="TRUE",Inputs!$F$7=1),(Inputs!$H$7+Inputs!$L$7*(((Inputs!$I$7+(((A51)+1)/2)*(Inputs!$J$7-Inputs!$I$7)))/Inputs!$K$7)^2),NA())</f>
        <v>162.91935999999998</v>
      </c>
      <c r="D51" s="9">
        <f>IF(OR(Inputs!$F$8=TRUE,Inputs!$F$8="TRUE",Inputs!$F$8=1),(Inputs!$H$8+Inputs!$L$8*(((Inputs!$I$8+(((A51)+1)/2)*(Inputs!$J$8-Inputs!$I$8)))/Inputs!$K$8)^2),NA())</f>
        <v>373.19775999999996</v>
      </c>
      <c r="E51" s="9">
        <f>IF(OR(Inputs!$F$9=TRUE,Inputs!$F$9="TRUE",Inputs!$F$9=1),(Inputs!$H$9+Inputs!$L$9*(((Inputs!$I$9+(((A51)+1)/2)*(Inputs!$J$9-Inputs!$I$9)))/Inputs!$K$9)^2),NA())</f>
        <v>366.70239999999995</v>
      </c>
      <c r="F51" s="10"/>
      <c r="G51" s="9">
        <f t="shared" si="0"/>
        <v>-0.59199999999999997</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c r="L51" s="10"/>
      <c r="M51" s="9">
        <f t="shared" si="1"/>
        <v>-0.59199999999999997</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302.24005354966607</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2445.6699934567796</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3009.5843898456515</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3018.7310791421669</v>
      </c>
      <c r="R51" s="10"/>
      <c r="S51" s="9">
        <f t="shared" si="2"/>
        <v>-0.59199999999999997</v>
      </c>
      <c r="T51" s="9">
        <f>(Inputs!$I$6+(((A51)+1)/2)*(Inputs!$J$6-Inputs!$I$6))</f>
        <v>-35.519999999999996</v>
      </c>
      <c r="U51" s="9">
        <f>(Inputs!$I$7+(((A51)+1)/2)*(Inputs!$J$7-Inputs!$I$7))</f>
        <v>-236.79999999999998</v>
      </c>
      <c r="V51" s="9">
        <f>(Inputs!$I$8+(((A51)+1)/2)*(Inputs!$J$8-Inputs!$I$8))</f>
        <v>-473.59999999999997</v>
      </c>
      <c r="W51" s="9">
        <f>(Inputs!$I$9+(((A51)+1)/2)*(Inputs!$J$9-Inputs!$I$9))</f>
        <v>-473.59999999999997</v>
      </c>
      <c r="X51" s="10"/>
      <c r="Y51" s="9">
        <f t="shared" si="3"/>
        <v>-0.59199999999999997</v>
      </c>
      <c r="Z51" s="9">
        <f>(Inputs!$H$6+Inputs!$L$6*(((Inputs!$I$6+(((A51)+1)/2)*(Inputs!$J$6-Inputs!$I$6)))/Inputs!$K$6)^2)</f>
        <v>401.40185600000001</v>
      </c>
      <c r="AA51" s="9">
        <f>(Inputs!$H$7+Inputs!$L$7*(((Inputs!$I$7+(((A51)+1)/2)*(Inputs!$J$7-Inputs!$I$7)))/Inputs!$K$7)^2)</f>
        <v>162.91935999999998</v>
      </c>
      <c r="AB51" s="9">
        <f>(Inputs!$H$8+Inputs!$L$8*(((Inputs!$I$8+(((A51)+1)/2)*(Inputs!$J$8-Inputs!$I$8)))/Inputs!$K$8)^2)</f>
        <v>373.19775999999996</v>
      </c>
      <c r="AC51" s="9">
        <f>(Inputs!$H$9+Inputs!$L$9*(((Inputs!$I$9+(((A51)+1)/2)*(Inputs!$J$9-Inputs!$I$9)))/Inputs!$K$9)^2)</f>
        <v>366.70239999999995</v>
      </c>
      <c r="AD51" s="10"/>
      <c r="AE51" s="9">
        <f t="shared" si="4"/>
        <v>-0.59199999999999997</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1653.6576835301851</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76109.348651542052</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152617.79546593592</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153760.14759370088</v>
      </c>
      <c r="AJ51" s="10"/>
      <c r="AK51" s="9">
        <f t="shared" si="5"/>
        <v>-0.59199999999999997</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302.24005354966607</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2445.6699934567796</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3009.5843898456515</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3018.7310791421669</v>
      </c>
      <c r="AP51" s="10"/>
      <c r="AQ51" s="9">
        <f t="shared" si="6"/>
        <v>-0.59199999999999997</v>
      </c>
      <c r="AR51" s="9">
        <f>0</f>
        <v>0</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278.75811338020628</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83.634696957507401</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115.45384072880037</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115.45384072880037</v>
      </c>
      <c r="AW51" s="10"/>
      <c r="AX51" s="9">
        <f t="shared" si="7"/>
        <v>-0.59199999999999997</v>
      </c>
      <c r="AY51" s="9">
        <f>0</f>
        <v>0</v>
      </c>
      <c r="AZ51" s="9">
        <f>IF(OR(Inputs!$F$6=TRUE,Inputs!$F$6="TRUE",Inputs!$F$6=1),(Inputs!$H$6+Inputs!$L$6*(((Inputs!$I$6+(((A51)+1)/2)*(Inputs!$J$6-Inputs!$I$6)))/Inputs!$K$6)^2),NA())</f>
        <v>401.40185600000001</v>
      </c>
      <c r="BA51" s="9">
        <f>IF(OR(Inputs!$F$7=TRUE,Inputs!$F$7="TRUE",Inputs!$F$7=1),(Inputs!$H$7+Inputs!$L$7*(((Inputs!$I$7+(((A51)+1)/2)*(Inputs!$J$7-Inputs!$I$7)))/Inputs!$K$7)^2),NA())</f>
        <v>162.91935999999998</v>
      </c>
      <c r="BB51" s="9">
        <f>IF(OR(Inputs!$F$8=TRUE,Inputs!$F$8="TRUE",Inputs!$F$8=1),(Inputs!$H$8+Inputs!$L$8*(((Inputs!$I$8+(((A51)+1)/2)*(Inputs!$J$8-Inputs!$I$8)))/Inputs!$K$8)^2),NA())</f>
        <v>373.19775999999996</v>
      </c>
      <c r="BC51" s="9">
        <f>IF(OR(Inputs!$F$9=TRUE,Inputs!$F$9="TRUE",Inputs!$F$9=1),(Inputs!$H$9+Inputs!$L$9*(((Inputs!$I$9+(((A51)+1)/2)*(Inputs!$J$9-Inputs!$I$9)))/Inputs!$K$9)^2),NA())</f>
        <v>366.70239999999995</v>
      </c>
      <c r="BD51" s="10"/>
      <c r="BE51" s="9">
        <f t="shared" si="8"/>
        <v>-0.59199999999999997</v>
      </c>
      <c r="BF51" s="9">
        <f>0</f>
        <v>0</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row>
    <row r="52" spans="1:62">
      <c r="A52" s="9">
        <f>ROUND(-1+50*2/240,3)</f>
        <v>-0.58299999999999996</v>
      </c>
      <c r="B52" s="9">
        <f>IF(OR(Inputs!$F$6=TRUE,Inputs!$F$6="TRUE",Inputs!$F$6=1),(Inputs!$H$6+Inputs!$L$6*(((Inputs!$I$6+(((A52)+1)/2)*(Inputs!$J$6-Inputs!$I$6)))/Inputs!$K$6)^2),NA())</f>
        <v>401.359556</v>
      </c>
      <c r="C52" s="9">
        <f>IF(OR(Inputs!$F$7=TRUE,Inputs!$F$7="TRUE",Inputs!$F$7=1),(Inputs!$H$7+Inputs!$L$7*(((Inputs!$I$7+(((A52)+1)/2)*(Inputs!$J$7-Inputs!$I$7)))/Inputs!$K$7)^2),NA())</f>
        <v>159.059485</v>
      </c>
      <c r="D52" s="9">
        <f>IF(OR(Inputs!$F$8=TRUE,Inputs!$F$8="TRUE",Inputs!$F$8=1),(Inputs!$H$8+Inputs!$L$8*(((Inputs!$I$8+(((A52)+1)/2)*(Inputs!$J$8-Inputs!$I$8)))/Inputs!$K$8)^2),NA())</f>
        <v>362.99288499999994</v>
      </c>
      <c r="E52" s="9">
        <f>IF(OR(Inputs!$F$9=TRUE,Inputs!$F$9="TRUE",Inputs!$F$9=1),(Inputs!$H$9+Inputs!$L$9*(((Inputs!$I$9+(((A52)+1)/2)*(Inputs!$J$9-Inputs!$I$9)))/Inputs!$K$9)^2),NA())</f>
        <v>356.39177499999994</v>
      </c>
      <c r="F52" s="10"/>
      <c r="G52" s="9">
        <f t="shared" si="0"/>
        <v>-0.58299999999999996</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c r="L52" s="10"/>
      <c r="M52" s="9">
        <f t="shared" si="1"/>
        <v>-0.58299999999999996</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297.69966628322584</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2424.9973321081502</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2976.126550200458</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2984.6805343023443</v>
      </c>
      <c r="R52" s="10"/>
      <c r="S52" s="9">
        <f t="shared" si="2"/>
        <v>-0.58299999999999996</v>
      </c>
      <c r="T52" s="9">
        <f>(Inputs!$I$6+(((A52)+1)/2)*(Inputs!$J$6-Inputs!$I$6))</f>
        <v>-34.979999999999997</v>
      </c>
      <c r="U52" s="9">
        <f>(Inputs!$I$7+(((A52)+1)/2)*(Inputs!$J$7-Inputs!$I$7))</f>
        <v>-233.2</v>
      </c>
      <c r="V52" s="9">
        <f>(Inputs!$I$8+(((A52)+1)/2)*(Inputs!$J$8-Inputs!$I$8))</f>
        <v>-466.4</v>
      </c>
      <c r="W52" s="9">
        <f>(Inputs!$I$9+(((A52)+1)/2)*(Inputs!$J$9-Inputs!$I$9))</f>
        <v>-466.4</v>
      </c>
      <c r="X52" s="10"/>
      <c r="Y52" s="9">
        <f t="shared" si="3"/>
        <v>-0.58299999999999996</v>
      </c>
      <c r="Z52" s="9">
        <f>(Inputs!$H$6+Inputs!$L$6*(((Inputs!$I$6+(((A52)+1)/2)*(Inputs!$J$6-Inputs!$I$6)))/Inputs!$K$6)^2)</f>
        <v>401.359556</v>
      </c>
      <c r="AA52" s="9">
        <f>(Inputs!$H$7+Inputs!$L$7*(((Inputs!$I$7+(((A52)+1)/2)*(Inputs!$J$7-Inputs!$I$7)))/Inputs!$K$7)^2)</f>
        <v>159.059485</v>
      </c>
      <c r="AB52" s="9">
        <f>(Inputs!$H$8+Inputs!$L$8*(((Inputs!$I$8+(((A52)+1)/2)*(Inputs!$J$8-Inputs!$I$8)))/Inputs!$K$8)^2)</f>
        <v>362.99288499999994</v>
      </c>
      <c r="AC52" s="9">
        <f>(Inputs!$H$9+Inputs!$L$9*(((Inputs!$I$9+(((A52)+1)/2)*(Inputs!$J$9-Inputs!$I$9)))/Inputs!$K$9)^2)</f>
        <v>356.39177499999994</v>
      </c>
      <c r="AD52" s="10"/>
      <c r="AE52" s="9">
        <f t="shared" si="4"/>
        <v>-0.58299999999999996</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1620.5453815524222</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75199.463333358246</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150784.70677747959</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151964.09446013547</v>
      </c>
      <c r="AJ52" s="10"/>
      <c r="AK52" s="9">
        <f t="shared" si="5"/>
        <v>-0.58299999999999996</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297.69966628322584</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2424.9973321081502</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2976.126550200458</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2984.6805343023443</v>
      </c>
      <c r="AP52" s="10"/>
      <c r="AQ52" s="9">
        <f t="shared" si="6"/>
        <v>-0.58299999999999996</v>
      </c>
      <c r="AR52" s="9">
        <f>0</f>
        <v>0</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291.40358146266919</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147.04921781546284</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195.81258425656202</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195.81258425656202</v>
      </c>
      <c r="AW52" s="10"/>
      <c r="AX52" s="9">
        <f t="shared" si="7"/>
        <v>-0.58299999999999996</v>
      </c>
      <c r="AY52" s="9">
        <f>0</f>
        <v>0</v>
      </c>
      <c r="AZ52" s="9">
        <f>IF(OR(Inputs!$F$6=TRUE,Inputs!$F$6="TRUE",Inputs!$F$6=1),(Inputs!$H$6+Inputs!$L$6*(((Inputs!$I$6+(((A52)+1)/2)*(Inputs!$J$6-Inputs!$I$6)))/Inputs!$K$6)^2),NA())</f>
        <v>401.359556</v>
      </c>
      <c r="BA52" s="9">
        <f>IF(OR(Inputs!$F$7=TRUE,Inputs!$F$7="TRUE",Inputs!$F$7=1),(Inputs!$H$7+Inputs!$L$7*(((Inputs!$I$7+(((A52)+1)/2)*(Inputs!$J$7-Inputs!$I$7)))/Inputs!$K$7)^2),NA())</f>
        <v>159.059485</v>
      </c>
      <c r="BB52" s="9">
        <f>IF(OR(Inputs!$F$8=TRUE,Inputs!$F$8="TRUE",Inputs!$F$8=1),(Inputs!$H$8+Inputs!$L$8*(((Inputs!$I$8+(((A52)+1)/2)*(Inputs!$J$8-Inputs!$I$8)))/Inputs!$K$8)^2),NA())</f>
        <v>362.99288499999994</v>
      </c>
      <c r="BC52" s="9">
        <f>IF(OR(Inputs!$F$9=TRUE,Inputs!$F$9="TRUE",Inputs!$F$9=1),(Inputs!$H$9+Inputs!$L$9*(((Inputs!$I$9+(((A52)+1)/2)*(Inputs!$J$9-Inputs!$I$9)))/Inputs!$K$9)^2),NA())</f>
        <v>356.39177499999994</v>
      </c>
      <c r="BD52" s="10"/>
      <c r="BE52" s="9">
        <f t="shared" si="8"/>
        <v>-0.58299999999999996</v>
      </c>
      <c r="BF52" s="9">
        <f>0</f>
        <v>0</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row>
    <row r="53" spans="1:62">
      <c r="A53" s="9">
        <f>ROUND(-1+51*2/240,3)</f>
        <v>-0.57499999999999996</v>
      </c>
      <c r="B53" s="9">
        <f>IF(OR(Inputs!$F$6=TRUE,Inputs!$F$6="TRUE",Inputs!$F$6=1),(Inputs!$H$6+Inputs!$L$6*(((Inputs!$I$6+(((A53)+1)/2)*(Inputs!$J$6-Inputs!$I$6)))/Inputs!$K$6)^2),NA())</f>
        <v>401.32249999999999</v>
      </c>
      <c r="C53" s="9">
        <f>IF(OR(Inputs!$F$7=TRUE,Inputs!$F$7="TRUE",Inputs!$F$7=1),(Inputs!$H$7+Inputs!$L$7*(((Inputs!$I$7+(((A53)+1)/2)*(Inputs!$J$7-Inputs!$I$7)))/Inputs!$K$7)^2),NA())</f>
        <v>155.67812499999997</v>
      </c>
      <c r="D53" s="9">
        <f>IF(OR(Inputs!$F$8=TRUE,Inputs!$F$8="TRUE",Inputs!$F$8=1),(Inputs!$H$8+Inputs!$L$8*(((Inputs!$I$8+(((A53)+1)/2)*(Inputs!$J$8-Inputs!$I$8)))/Inputs!$K$8)^2),NA())</f>
        <v>354.05312499999997</v>
      </c>
      <c r="E53" s="9">
        <f>IF(OR(Inputs!$F$9=TRUE,Inputs!$F$9="TRUE",Inputs!$F$9=1),(Inputs!$H$9+Inputs!$L$9*(((Inputs!$I$9+(((A53)+1)/2)*(Inputs!$J$9-Inputs!$I$9)))/Inputs!$K$9)^2),NA())</f>
        <v>347.35937499999994</v>
      </c>
      <c r="F53" s="10"/>
      <c r="G53" s="9">
        <f t="shared" si="0"/>
        <v>-0.57499999999999996</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c r="L53" s="10"/>
      <c r="M53" s="9">
        <f t="shared" si="1"/>
        <v>-0.57499999999999996</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293.66169659029333</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2406.7560024233926</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2946.5604806953743</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2954.5872801705982</v>
      </c>
      <c r="R53" s="10"/>
      <c r="S53" s="9">
        <f t="shared" si="2"/>
        <v>-0.57499999999999996</v>
      </c>
      <c r="T53" s="9">
        <f>(Inputs!$I$6+(((A53)+1)/2)*(Inputs!$J$6-Inputs!$I$6))</f>
        <v>-34.5</v>
      </c>
      <c r="U53" s="9">
        <f>(Inputs!$I$7+(((A53)+1)/2)*(Inputs!$J$7-Inputs!$I$7))</f>
        <v>-229.99999999999997</v>
      </c>
      <c r="V53" s="9">
        <f>(Inputs!$I$8+(((A53)+1)/2)*(Inputs!$J$8-Inputs!$I$8))</f>
        <v>-459.99999999999994</v>
      </c>
      <c r="W53" s="9">
        <f>(Inputs!$I$9+(((A53)+1)/2)*(Inputs!$J$9-Inputs!$I$9))</f>
        <v>-459.99999999999994</v>
      </c>
      <c r="X53" s="10"/>
      <c r="Y53" s="9">
        <f t="shared" si="3"/>
        <v>-0.57499999999999996</v>
      </c>
      <c r="Z53" s="9">
        <f>(Inputs!$H$6+Inputs!$L$6*(((Inputs!$I$6+(((A53)+1)/2)*(Inputs!$J$6-Inputs!$I$6)))/Inputs!$K$6)^2)</f>
        <v>401.32249999999999</v>
      </c>
      <c r="AA53" s="9">
        <f>(Inputs!$H$7+Inputs!$L$7*(((Inputs!$I$7+(((A53)+1)/2)*(Inputs!$J$7-Inputs!$I$7)))/Inputs!$K$7)^2)</f>
        <v>155.67812499999997</v>
      </c>
      <c r="AB53" s="9">
        <f>(Inputs!$H$8+Inputs!$L$8*(((Inputs!$I$8+(((A53)+1)/2)*(Inputs!$J$8-Inputs!$I$8)))/Inputs!$K$8)^2)</f>
        <v>354.05312499999997</v>
      </c>
      <c r="AC53" s="9">
        <f>(Inputs!$H$9+Inputs!$L$9*(((Inputs!$I$9+(((A53)+1)/2)*(Inputs!$J$9-Inputs!$I$9)))/Inputs!$K$9)^2)</f>
        <v>347.35937499999994</v>
      </c>
      <c r="AD53" s="10"/>
      <c r="AE53" s="9">
        <f t="shared" si="4"/>
        <v>-0.57499999999999996</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1591.5295091914868</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74384.647513398362</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149152.37048042755</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150365.17297367667</v>
      </c>
      <c r="AJ53" s="10"/>
      <c r="AK53" s="9">
        <f t="shared" si="5"/>
        <v>-0.57499999999999996</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293.66169659029333</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2406.7560024233926</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2946.5604806953743</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2954.5872801705982</v>
      </c>
      <c r="AP53" s="10"/>
      <c r="AQ53" s="9">
        <f t="shared" si="6"/>
        <v>-0.57499999999999996</v>
      </c>
      <c r="AR53" s="9">
        <f>0</f>
        <v>0</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316.31487804948046</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191.33740398954353</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165.06402099993767</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165.06402099993767</v>
      </c>
      <c r="AW53" s="10"/>
      <c r="AX53" s="9">
        <f t="shared" si="7"/>
        <v>-0.57499999999999996</v>
      </c>
      <c r="AY53" s="9">
        <f>0</f>
        <v>0</v>
      </c>
      <c r="AZ53" s="9">
        <f>IF(OR(Inputs!$F$6=TRUE,Inputs!$F$6="TRUE",Inputs!$F$6=1),(Inputs!$H$6+Inputs!$L$6*(((Inputs!$I$6+(((A53)+1)/2)*(Inputs!$J$6-Inputs!$I$6)))/Inputs!$K$6)^2),NA())</f>
        <v>401.32249999999999</v>
      </c>
      <c r="BA53" s="9">
        <f>IF(OR(Inputs!$F$7=TRUE,Inputs!$F$7="TRUE",Inputs!$F$7=1),(Inputs!$H$7+Inputs!$L$7*(((Inputs!$I$7+(((A53)+1)/2)*(Inputs!$J$7-Inputs!$I$7)))/Inputs!$K$7)^2),NA())</f>
        <v>155.67812499999997</v>
      </c>
      <c r="BB53" s="9">
        <f>IF(OR(Inputs!$F$8=TRUE,Inputs!$F$8="TRUE",Inputs!$F$8=1),(Inputs!$H$8+Inputs!$L$8*(((Inputs!$I$8+(((A53)+1)/2)*(Inputs!$J$8-Inputs!$I$8)))/Inputs!$K$8)^2),NA())</f>
        <v>354.05312499999997</v>
      </c>
      <c r="BC53" s="9">
        <f>IF(OR(Inputs!$F$9=TRUE,Inputs!$F$9="TRUE",Inputs!$F$9=1),(Inputs!$H$9+Inputs!$L$9*(((Inputs!$I$9+(((A53)+1)/2)*(Inputs!$J$9-Inputs!$I$9)))/Inputs!$K$9)^2),NA())</f>
        <v>347.35937499999994</v>
      </c>
      <c r="BD53" s="10"/>
      <c r="BE53" s="9">
        <f t="shared" si="8"/>
        <v>-0.57499999999999996</v>
      </c>
      <c r="BF53" s="9">
        <f>0</f>
        <v>0</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row>
    <row r="54" spans="1:62">
      <c r="A54" s="9">
        <f>ROUND(-1+52*2/240,3)</f>
        <v>-0.56699999999999995</v>
      </c>
      <c r="B54" s="9">
        <f>IF(OR(Inputs!$F$6=TRUE,Inputs!$F$6="TRUE",Inputs!$F$6=1),(Inputs!$H$6+Inputs!$L$6*(((Inputs!$I$6+(((A54)+1)/2)*(Inputs!$J$6-Inputs!$I$6)))/Inputs!$K$6)^2),NA())</f>
        <v>401.285956</v>
      </c>
      <c r="C54" s="9">
        <f>IF(OR(Inputs!$F$7=TRUE,Inputs!$F$7="TRUE",Inputs!$F$7=1),(Inputs!$H$7+Inputs!$L$7*(((Inputs!$I$7+(((A54)+1)/2)*(Inputs!$J$7-Inputs!$I$7)))/Inputs!$K$7)^2),NA())</f>
        <v>152.34348499999999</v>
      </c>
      <c r="D54" s="9">
        <f>IF(OR(Inputs!$F$8=TRUE,Inputs!$F$8="TRUE",Inputs!$F$8=1),(Inputs!$H$8+Inputs!$L$8*(((Inputs!$I$8+(((A54)+1)/2)*(Inputs!$J$8-Inputs!$I$8)))/Inputs!$K$8)^2),NA())</f>
        <v>345.23688499999997</v>
      </c>
      <c r="E54" s="9">
        <f>IF(OR(Inputs!$F$9=TRUE,Inputs!$F$9="TRUE",Inputs!$F$9=1),(Inputs!$H$9+Inputs!$L$9*(((Inputs!$I$9+(((A54)+1)/2)*(Inputs!$J$9-Inputs!$I$9)))/Inputs!$K$9)^2),NA())</f>
        <v>338.451775</v>
      </c>
      <c r="F54" s="10"/>
      <c r="G54" s="9">
        <f t="shared" si="0"/>
        <v>-0.56699999999999995</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c r="L54" s="10"/>
      <c r="M54" s="9">
        <f t="shared" si="1"/>
        <v>-0.56699999999999995</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289.62180438822787</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2388.6422341040561</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2917.1629942998779</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2924.6625028341482</v>
      </c>
      <c r="R54" s="10"/>
      <c r="S54" s="9">
        <f t="shared" si="2"/>
        <v>-0.56699999999999995</v>
      </c>
      <c r="T54" s="9">
        <f>(Inputs!$I$6+(((A54)+1)/2)*(Inputs!$J$6-Inputs!$I$6))</f>
        <v>-34.019999999999996</v>
      </c>
      <c r="U54" s="9">
        <f>(Inputs!$I$7+(((A54)+1)/2)*(Inputs!$J$7-Inputs!$I$7))</f>
        <v>-226.79999999999998</v>
      </c>
      <c r="V54" s="9">
        <f>(Inputs!$I$8+(((A54)+1)/2)*(Inputs!$J$8-Inputs!$I$8))</f>
        <v>-453.59999999999997</v>
      </c>
      <c r="W54" s="9">
        <f>(Inputs!$I$9+(((A54)+1)/2)*(Inputs!$J$9-Inputs!$I$9))</f>
        <v>-453.59999999999997</v>
      </c>
      <c r="X54" s="10"/>
      <c r="Y54" s="9">
        <f t="shared" si="3"/>
        <v>-0.56699999999999995</v>
      </c>
      <c r="Z54" s="9">
        <f>(Inputs!$H$6+Inputs!$L$6*(((Inputs!$I$6+(((A54)+1)/2)*(Inputs!$J$6-Inputs!$I$6)))/Inputs!$K$6)^2)</f>
        <v>401.285956</v>
      </c>
      <c r="AA54" s="9">
        <f>(Inputs!$H$7+Inputs!$L$7*(((Inputs!$I$7+(((A54)+1)/2)*(Inputs!$J$7-Inputs!$I$7)))/Inputs!$K$7)^2)</f>
        <v>152.34348499999999</v>
      </c>
      <c r="AB54" s="9">
        <f>(Inputs!$H$8+Inputs!$L$8*(((Inputs!$I$8+(((A54)+1)/2)*(Inputs!$J$8-Inputs!$I$8)))/Inputs!$K$8)^2)</f>
        <v>345.23688499999997</v>
      </c>
      <c r="AC54" s="9">
        <f>(Inputs!$H$9+Inputs!$L$9*(((Inputs!$I$9+(((A54)+1)/2)*(Inputs!$J$9-Inputs!$I$9)))/Inputs!$K$9)^2)</f>
        <v>338.451775</v>
      </c>
      <c r="AD54" s="10"/>
      <c r="AE54" s="9">
        <f t="shared" si="4"/>
        <v>-0.56699999999999995</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1562.9067154259183</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73564.00880956366</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147516.89294631965</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148763.57599227005</v>
      </c>
      <c r="AJ54" s="10"/>
      <c r="AK54" s="9">
        <f t="shared" si="5"/>
        <v>-0.56699999999999995</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289.62180438822787</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2388.6422341040561</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2917.1629942998779</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2924.6625028341482</v>
      </c>
      <c r="AP54" s="10"/>
      <c r="AQ54" s="9">
        <f t="shared" si="6"/>
        <v>-0.56699999999999995</v>
      </c>
      <c r="AR54" s="9">
        <f>0</f>
        <v>0</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311.83376355084624</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164.60122388559449</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103.85429106122632</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103.85429106122632</v>
      </c>
      <c r="AW54" s="10"/>
      <c r="AX54" s="9">
        <f t="shared" si="7"/>
        <v>-0.56699999999999995</v>
      </c>
      <c r="AY54" s="9">
        <f>0</f>
        <v>0</v>
      </c>
      <c r="AZ54" s="9">
        <f>IF(OR(Inputs!$F$6=TRUE,Inputs!$F$6="TRUE",Inputs!$F$6=1),(Inputs!$H$6+Inputs!$L$6*(((Inputs!$I$6+(((A54)+1)/2)*(Inputs!$J$6-Inputs!$I$6)))/Inputs!$K$6)^2),NA())</f>
        <v>401.285956</v>
      </c>
      <c r="BA54" s="9">
        <f>IF(OR(Inputs!$F$7=TRUE,Inputs!$F$7="TRUE",Inputs!$F$7=1),(Inputs!$H$7+Inputs!$L$7*(((Inputs!$I$7+(((A54)+1)/2)*(Inputs!$J$7-Inputs!$I$7)))/Inputs!$K$7)^2),NA())</f>
        <v>152.34348499999999</v>
      </c>
      <c r="BB54" s="9">
        <f>IF(OR(Inputs!$F$8=TRUE,Inputs!$F$8="TRUE",Inputs!$F$8=1),(Inputs!$H$8+Inputs!$L$8*(((Inputs!$I$8+(((A54)+1)/2)*(Inputs!$J$8-Inputs!$I$8)))/Inputs!$K$8)^2),NA())</f>
        <v>345.23688499999997</v>
      </c>
      <c r="BC54" s="9">
        <f>IF(OR(Inputs!$F$9=TRUE,Inputs!$F$9="TRUE",Inputs!$F$9=1),(Inputs!$H$9+Inputs!$L$9*(((Inputs!$I$9+(((A54)+1)/2)*(Inputs!$J$9-Inputs!$I$9)))/Inputs!$K$9)^2),NA())</f>
        <v>338.451775</v>
      </c>
      <c r="BD54" s="10"/>
      <c r="BE54" s="9">
        <f t="shared" si="8"/>
        <v>-0.56699999999999995</v>
      </c>
      <c r="BF54" s="9">
        <f>0</f>
        <v>0</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row>
    <row r="55" spans="1:62">
      <c r="A55" s="9">
        <f>ROUND(-1+53*2/240,3)</f>
        <v>-0.55800000000000005</v>
      </c>
      <c r="B55" s="9">
        <f>IF(OR(Inputs!$F$6=TRUE,Inputs!$F$6="TRUE",Inputs!$F$6=1),(Inputs!$H$6+Inputs!$L$6*(((Inputs!$I$6+(((A55)+1)/2)*(Inputs!$J$6-Inputs!$I$6)))/Inputs!$K$6)^2),NA())</f>
        <v>401.24545599999999</v>
      </c>
      <c r="C55" s="9">
        <f>IF(OR(Inputs!$F$7=TRUE,Inputs!$F$7="TRUE",Inputs!$F$7=1),(Inputs!$H$7+Inputs!$L$7*(((Inputs!$I$7+(((A55)+1)/2)*(Inputs!$J$7-Inputs!$I$7)))/Inputs!$K$7)^2),NA())</f>
        <v>148.64786000000004</v>
      </c>
      <c r="D55" s="9">
        <f>IF(OR(Inputs!$F$8=TRUE,Inputs!$F$8="TRUE",Inputs!$F$8=1),(Inputs!$H$8+Inputs!$L$8*(((Inputs!$I$8+(((A55)+1)/2)*(Inputs!$J$8-Inputs!$I$8)))/Inputs!$K$8)^2),NA())</f>
        <v>335.46626000000009</v>
      </c>
      <c r="E55" s="9">
        <f>IF(OR(Inputs!$F$9=TRUE,Inputs!$F$9="TRUE",Inputs!$F$9=1),(Inputs!$H$9+Inputs!$L$9*(((Inputs!$I$9+(((A55)+1)/2)*(Inputs!$J$9-Inputs!$I$9)))/Inputs!$K$9)^2),NA())</f>
        <v>328.57990000000007</v>
      </c>
      <c r="F55" s="10"/>
      <c r="G55" s="9">
        <f t="shared" si="0"/>
        <v>-0.55800000000000005</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c r="L55" s="10"/>
      <c r="M55" s="9">
        <f t="shared" si="1"/>
        <v>-0.55800000000000005</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285.07465841232926</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2368.4179263142755</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2884.2979360666113</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2891.2043869114741</v>
      </c>
      <c r="R55" s="10"/>
      <c r="S55" s="9">
        <f t="shared" si="2"/>
        <v>-0.55800000000000005</v>
      </c>
      <c r="T55" s="9">
        <f>(Inputs!$I$6+(((A55)+1)/2)*(Inputs!$J$6-Inputs!$I$6))</f>
        <v>-33.480000000000004</v>
      </c>
      <c r="U55" s="9">
        <f>(Inputs!$I$7+(((A55)+1)/2)*(Inputs!$J$7-Inputs!$I$7))</f>
        <v>-223.20000000000002</v>
      </c>
      <c r="V55" s="9">
        <f>(Inputs!$I$8+(((A55)+1)/2)*(Inputs!$J$8-Inputs!$I$8))</f>
        <v>-446.40000000000003</v>
      </c>
      <c r="W55" s="9">
        <f>(Inputs!$I$9+(((A55)+1)/2)*(Inputs!$J$9-Inputs!$I$9))</f>
        <v>-446.40000000000003</v>
      </c>
      <c r="X55" s="10"/>
      <c r="Y55" s="9">
        <f t="shared" si="3"/>
        <v>-0.55800000000000005</v>
      </c>
      <c r="Z55" s="9">
        <f>(Inputs!$H$6+Inputs!$L$6*(((Inputs!$I$6+(((A55)+1)/2)*(Inputs!$J$6-Inputs!$I$6)))/Inputs!$K$6)^2)</f>
        <v>401.24545599999999</v>
      </c>
      <c r="AA55" s="9">
        <f>(Inputs!$H$7+Inputs!$L$7*(((Inputs!$I$7+(((A55)+1)/2)*(Inputs!$J$7-Inputs!$I$7)))/Inputs!$K$7)^2)</f>
        <v>148.64786000000004</v>
      </c>
      <c r="AB55" s="9">
        <f>(Inputs!$H$8+Inputs!$L$8*(((Inputs!$I$8+(((A55)+1)/2)*(Inputs!$J$8-Inputs!$I$8)))/Inputs!$K$8)^2)</f>
        <v>335.46626000000009</v>
      </c>
      <c r="AC55" s="9">
        <f>(Inputs!$H$9+Inputs!$L$9*(((Inputs!$I$9+(((A55)+1)/2)*(Inputs!$J$9-Inputs!$I$9)))/Inputs!$K$9)^2)</f>
        <v>328.57990000000007</v>
      </c>
      <c r="AD55" s="10"/>
      <c r="AE55" s="9">
        <f t="shared" si="4"/>
        <v>-0.55800000000000005</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1531.1763248895636</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72633.650912181911</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145672.74759155032</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146958.10294394437</v>
      </c>
      <c r="AJ55" s="10"/>
      <c r="AK55" s="9">
        <f t="shared" si="5"/>
        <v>-0.55800000000000005</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285.07465841232926</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2368.4179263142755</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2884.2979360666113</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2891.2043869114741</v>
      </c>
      <c r="AP55" s="10"/>
      <c r="AQ55" s="9">
        <f t="shared" si="6"/>
        <v>-0.55800000000000005</v>
      </c>
      <c r="AR55" s="9">
        <f>0</f>
        <v>0</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339.56994237948749</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74.900300403130714</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163.03235651708437</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163.03235651708437</v>
      </c>
      <c r="AW55" s="10"/>
      <c r="AX55" s="9">
        <f t="shared" si="7"/>
        <v>-0.55800000000000005</v>
      </c>
      <c r="AY55" s="9">
        <f>0</f>
        <v>0</v>
      </c>
      <c r="AZ55" s="9">
        <f>IF(OR(Inputs!$F$6=TRUE,Inputs!$F$6="TRUE",Inputs!$F$6=1),(Inputs!$H$6+Inputs!$L$6*(((Inputs!$I$6+(((A55)+1)/2)*(Inputs!$J$6-Inputs!$I$6)))/Inputs!$K$6)^2),NA())</f>
        <v>401.24545599999999</v>
      </c>
      <c r="BA55" s="9">
        <f>IF(OR(Inputs!$F$7=TRUE,Inputs!$F$7="TRUE",Inputs!$F$7=1),(Inputs!$H$7+Inputs!$L$7*(((Inputs!$I$7+(((A55)+1)/2)*(Inputs!$J$7-Inputs!$I$7)))/Inputs!$K$7)^2),NA())</f>
        <v>148.64786000000004</v>
      </c>
      <c r="BB55" s="9">
        <f>IF(OR(Inputs!$F$8=TRUE,Inputs!$F$8="TRUE",Inputs!$F$8=1),(Inputs!$H$8+Inputs!$L$8*(((Inputs!$I$8+(((A55)+1)/2)*(Inputs!$J$8-Inputs!$I$8)))/Inputs!$K$8)^2),NA())</f>
        <v>335.46626000000009</v>
      </c>
      <c r="BC55" s="9">
        <f>IF(OR(Inputs!$F$9=TRUE,Inputs!$F$9="TRUE",Inputs!$F$9=1),(Inputs!$H$9+Inputs!$L$9*(((Inputs!$I$9+(((A55)+1)/2)*(Inputs!$J$9-Inputs!$I$9)))/Inputs!$K$9)^2),NA())</f>
        <v>328.57990000000007</v>
      </c>
      <c r="BD55" s="10"/>
      <c r="BE55" s="9">
        <f t="shared" si="8"/>
        <v>-0.55800000000000005</v>
      </c>
      <c r="BF55" s="9">
        <f>0</f>
        <v>0</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row>
    <row r="56" spans="1:62">
      <c r="A56" s="9">
        <f>ROUND(-1+54*2/240,3)</f>
        <v>-0.55000000000000004</v>
      </c>
      <c r="B56" s="9">
        <f>IF(OR(Inputs!$F$6=TRUE,Inputs!$F$6="TRUE",Inputs!$F$6=1),(Inputs!$H$6+Inputs!$L$6*(((Inputs!$I$6+(((A56)+1)/2)*(Inputs!$J$6-Inputs!$I$6)))/Inputs!$K$6)^2),NA())</f>
        <v>401.21</v>
      </c>
      <c r="C56" s="9">
        <f>IF(OR(Inputs!$F$7=TRUE,Inputs!$F$7="TRUE",Inputs!$F$7=1),(Inputs!$H$7+Inputs!$L$7*(((Inputs!$I$7+(((A56)+1)/2)*(Inputs!$J$7-Inputs!$I$7)))/Inputs!$K$7)^2),NA())</f>
        <v>145.41250000000002</v>
      </c>
      <c r="D56" s="9">
        <f>IF(OR(Inputs!$F$8=TRUE,Inputs!$F$8="TRUE",Inputs!$F$8=1),(Inputs!$H$8+Inputs!$L$8*(((Inputs!$I$8+(((A56)+1)/2)*(Inputs!$J$8-Inputs!$I$8)))/Inputs!$K$8)^2),NA())</f>
        <v>326.91250000000002</v>
      </c>
      <c r="E56" s="9">
        <f>IF(OR(Inputs!$F$9=TRUE,Inputs!$F$9="TRUE",Inputs!$F$9=1),(Inputs!$H$9+Inputs!$L$9*(((Inputs!$I$9+(((A56)+1)/2)*(Inputs!$J$9-Inputs!$I$9)))/Inputs!$K$9)^2),NA())</f>
        <v>319.93750000000006</v>
      </c>
      <c r="F56" s="10"/>
      <c r="G56" s="9">
        <f t="shared" si="0"/>
        <v>-0.55000000000000004</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c r="L56" s="10"/>
      <c r="M56" s="9">
        <f t="shared" si="1"/>
        <v>-0.55000000000000004</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281.03076297523637</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2350.5783406390192</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2855.2737239108219</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2861.6534020483109</v>
      </c>
      <c r="R56" s="10"/>
      <c r="S56" s="9">
        <f t="shared" si="2"/>
        <v>-0.55000000000000004</v>
      </c>
      <c r="T56" s="9">
        <f>(Inputs!$I$6+(((A56)+1)/2)*(Inputs!$J$6-Inputs!$I$6))</f>
        <v>-33</v>
      </c>
      <c r="U56" s="9">
        <f>(Inputs!$I$7+(((A56)+1)/2)*(Inputs!$J$7-Inputs!$I$7))</f>
        <v>-220.00000000000003</v>
      </c>
      <c r="V56" s="9">
        <f>(Inputs!$I$8+(((A56)+1)/2)*(Inputs!$J$8-Inputs!$I$8))</f>
        <v>-440.00000000000006</v>
      </c>
      <c r="W56" s="9">
        <f>(Inputs!$I$9+(((A56)+1)/2)*(Inputs!$J$9-Inputs!$I$9))</f>
        <v>-440.00000000000006</v>
      </c>
      <c r="X56" s="10"/>
      <c r="Y56" s="9">
        <f t="shared" si="3"/>
        <v>-0.55000000000000004</v>
      </c>
      <c r="Z56" s="9">
        <f>(Inputs!$H$6+Inputs!$L$6*(((Inputs!$I$6+(((A56)+1)/2)*(Inputs!$J$6-Inputs!$I$6)))/Inputs!$K$6)^2)</f>
        <v>401.21</v>
      </c>
      <c r="AA56" s="9">
        <f>(Inputs!$H$7+Inputs!$L$7*(((Inputs!$I$7+(((A56)+1)/2)*(Inputs!$J$7-Inputs!$I$7)))/Inputs!$K$7)^2)</f>
        <v>145.41250000000002</v>
      </c>
      <c r="AB56" s="9">
        <f>(Inputs!$H$8+Inputs!$L$8*(((Inputs!$I$8+(((A56)+1)/2)*(Inputs!$J$8-Inputs!$I$8)))/Inputs!$K$8)^2)</f>
        <v>326.91250000000002</v>
      </c>
      <c r="AC56" s="9">
        <f>(Inputs!$H$9+Inputs!$L$9*(((Inputs!$I$9+(((A56)+1)/2)*(Inputs!$J$9-Inputs!$I$9)))/Inputs!$K$9)^2)</f>
        <v>319.93750000000006</v>
      </c>
      <c r="AD56" s="10"/>
      <c r="AE56" s="9">
        <f t="shared" si="4"/>
        <v>-0.55000000000000004</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1503.3898868855904</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71800.159556671249</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144029.30762810478</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145349.53259232538</v>
      </c>
      <c r="AJ56" s="10"/>
      <c r="AK56" s="9">
        <f t="shared" si="5"/>
        <v>-0.55000000000000004</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281.03076297523637</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2350.5783406390192</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2855.2737239108219</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2861.6534020483109</v>
      </c>
      <c r="AP56" s="10"/>
      <c r="AQ56" s="9">
        <f t="shared" si="6"/>
        <v>-0.55000000000000004</v>
      </c>
      <c r="AR56" s="9">
        <f>0</f>
        <v>0</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342.05712046848419</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59.092313072163279</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150.9476985708431</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150.9476985708431</v>
      </c>
      <c r="AW56" s="10"/>
      <c r="AX56" s="9">
        <f t="shared" si="7"/>
        <v>-0.55000000000000004</v>
      </c>
      <c r="AY56" s="9">
        <f>0</f>
        <v>0</v>
      </c>
      <c r="AZ56" s="9">
        <f>IF(OR(Inputs!$F$6=TRUE,Inputs!$F$6="TRUE",Inputs!$F$6=1),(Inputs!$H$6+Inputs!$L$6*(((Inputs!$I$6+(((A56)+1)/2)*(Inputs!$J$6-Inputs!$I$6)))/Inputs!$K$6)^2),NA())</f>
        <v>401.21</v>
      </c>
      <c r="BA56" s="9">
        <f>IF(OR(Inputs!$F$7=TRUE,Inputs!$F$7="TRUE",Inputs!$F$7=1),(Inputs!$H$7+Inputs!$L$7*(((Inputs!$I$7+(((A56)+1)/2)*(Inputs!$J$7-Inputs!$I$7)))/Inputs!$K$7)^2),NA())</f>
        <v>145.41250000000002</v>
      </c>
      <c r="BB56" s="9">
        <f>IF(OR(Inputs!$F$8=TRUE,Inputs!$F$8="TRUE",Inputs!$F$8=1),(Inputs!$H$8+Inputs!$L$8*(((Inputs!$I$8+(((A56)+1)/2)*(Inputs!$J$8-Inputs!$I$8)))/Inputs!$K$8)^2),NA())</f>
        <v>326.91250000000002</v>
      </c>
      <c r="BC56" s="9">
        <f>IF(OR(Inputs!$F$9=TRUE,Inputs!$F$9="TRUE",Inputs!$F$9=1),(Inputs!$H$9+Inputs!$L$9*(((Inputs!$I$9+(((A56)+1)/2)*(Inputs!$J$9-Inputs!$I$9)))/Inputs!$K$9)^2),NA())</f>
        <v>319.93750000000006</v>
      </c>
      <c r="BD56" s="10"/>
      <c r="BE56" s="9">
        <f t="shared" si="8"/>
        <v>-0.55000000000000004</v>
      </c>
      <c r="BF56" s="9">
        <f>0</f>
        <v>0</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row>
    <row r="57" spans="1:62">
      <c r="A57" s="9">
        <f>ROUND(-1+55*2/240,3)</f>
        <v>-0.54200000000000004</v>
      </c>
      <c r="B57" s="9">
        <f>IF(OR(Inputs!$F$6=TRUE,Inputs!$F$6="TRUE",Inputs!$F$6=1),(Inputs!$H$6+Inputs!$L$6*(((Inputs!$I$6+(((A57)+1)/2)*(Inputs!$J$6-Inputs!$I$6)))/Inputs!$K$6)^2),NA())</f>
        <v>401.17505599999998</v>
      </c>
      <c r="C57" s="9">
        <f>IF(OR(Inputs!$F$7=TRUE,Inputs!$F$7="TRUE",Inputs!$F$7=1),(Inputs!$H$7+Inputs!$L$7*(((Inputs!$I$7+(((A57)+1)/2)*(Inputs!$J$7-Inputs!$I$7)))/Inputs!$K$7)^2),NA())</f>
        <v>142.22386</v>
      </c>
      <c r="D57" s="9">
        <f>IF(OR(Inputs!$F$8=TRUE,Inputs!$F$8="TRUE",Inputs!$F$8=1),(Inputs!$H$8+Inputs!$L$8*(((Inputs!$I$8+(((A57)+1)/2)*(Inputs!$J$8-Inputs!$I$8)))/Inputs!$K$8)^2),NA())</f>
        <v>318.48226</v>
      </c>
      <c r="E57" s="9">
        <f>IF(OR(Inputs!$F$9=TRUE,Inputs!$F$9="TRUE",Inputs!$F$9=1),(Inputs!$H$9+Inputs!$L$9*(((Inputs!$I$9+(((A57)+1)/2)*(Inputs!$J$9-Inputs!$I$9)))/Inputs!$K$9)^2),NA())</f>
        <v>311.41990000000004</v>
      </c>
      <c r="F57" s="10"/>
      <c r="G57" s="9">
        <f t="shared" si="0"/>
        <v>-0.54200000000000004</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c r="L57" s="10"/>
      <c r="M57" s="9">
        <f t="shared" si="1"/>
        <v>-0.54200000000000004</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276.9850224748036</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2332.8690468950272</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2826.4324125999719</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2832.2859502946644</v>
      </c>
      <c r="R57" s="10"/>
      <c r="S57" s="9">
        <f t="shared" si="2"/>
        <v>-0.54200000000000004</v>
      </c>
      <c r="T57" s="9">
        <f>(Inputs!$I$6+(((A57)+1)/2)*(Inputs!$J$6-Inputs!$I$6))</f>
        <v>-32.520000000000003</v>
      </c>
      <c r="U57" s="9">
        <f>(Inputs!$I$7+(((A57)+1)/2)*(Inputs!$J$7-Inputs!$I$7))</f>
        <v>-216.8</v>
      </c>
      <c r="V57" s="9">
        <f>(Inputs!$I$8+(((A57)+1)/2)*(Inputs!$J$8-Inputs!$I$8))</f>
        <v>-433.6</v>
      </c>
      <c r="W57" s="9">
        <f>(Inputs!$I$9+(((A57)+1)/2)*(Inputs!$J$9-Inputs!$I$9))</f>
        <v>-433.6</v>
      </c>
      <c r="X57" s="10"/>
      <c r="Y57" s="9">
        <f t="shared" si="3"/>
        <v>-0.54200000000000004</v>
      </c>
      <c r="Z57" s="9">
        <f>(Inputs!$H$6+Inputs!$L$6*(((Inputs!$I$6+(((A57)+1)/2)*(Inputs!$J$6-Inputs!$I$6)))/Inputs!$K$6)^2)</f>
        <v>401.17505599999998</v>
      </c>
      <c r="AA57" s="9">
        <f>(Inputs!$H$7+Inputs!$L$7*(((Inputs!$I$7+(((A57)+1)/2)*(Inputs!$J$7-Inputs!$I$7)))/Inputs!$K$7)^2)</f>
        <v>142.22386</v>
      </c>
      <c r="AB57" s="9">
        <f>(Inputs!$H$8+Inputs!$L$8*(((Inputs!$I$8+(((A57)+1)/2)*(Inputs!$J$8-Inputs!$I$8)))/Inputs!$K$8)^2)</f>
        <v>318.48226</v>
      </c>
      <c r="AC57" s="9">
        <f>(Inputs!$H$9+Inputs!$L$9*(((Inputs!$I$9+(((A57)+1)/2)*(Inputs!$J$9-Inputs!$I$9)))/Inputs!$K$9)^2)</f>
        <v>311.41990000000004</v>
      </c>
      <c r="AD57" s="10"/>
      <c r="AE57" s="9">
        <f t="shared" si="4"/>
        <v>-0.54200000000000004</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1475.9975196772957</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70960.39235808824</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142381.49272875171</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143737.05130179538</v>
      </c>
      <c r="AJ57" s="10"/>
      <c r="AK57" s="9">
        <f t="shared" si="5"/>
        <v>-0.54200000000000004</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276.9850224748036</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2332.8690468950272</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2826.4324125999719</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2832.2859502946644</v>
      </c>
      <c r="AP57" s="10"/>
      <c r="AQ57" s="9">
        <f t="shared" si="6"/>
        <v>-0.54200000000000004</v>
      </c>
      <c r="AR57" s="9">
        <f>0</f>
        <v>0</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334.10969838197406</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133.80081217908099</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65.40122120167689</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65.40122120167689</v>
      </c>
      <c r="AW57" s="10"/>
      <c r="AX57" s="9">
        <f t="shared" si="7"/>
        <v>-0.54200000000000004</v>
      </c>
      <c r="AY57" s="9">
        <f>0</f>
        <v>0</v>
      </c>
      <c r="AZ57" s="9">
        <f>IF(OR(Inputs!$F$6=TRUE,Inputs!$F$6="TRUE",Inputs!$F$6=1),(Inputs!$H$6+Inputs!$L$6*(((Inputs!$I$6+(((A57)+1)/2)*(Inputs!$J$6-Inputs!$I$6)))/Inputs!$K$6)^2),NA())</f>
        <v>401.17505599999998</v>
      </c>
      <c r="BA57" s="9">
        <f>IF(OR(Inputs!$F$7=TRUE,Inputs!$F$7="TRUE",Inputs!$F$7=1),(Inputs!$H$7+Inputs!$L$7*(((Inputs!$I$7+(((A57)+1)/2)*(Inputs!$J$7-Inputs!$I$7)))/Inputs!$K$7)^2),NA())</f>
        <v>142.22386</v>
      </c>
      <c r="BB57" s="9">
        <f>IF(OR(Inputs!$F$8=TRUE,Inputs!$F$8="TRUE",Inputs!$F$8=1),(Inputs!$H$8+Inputs!$L$8*(((Inputs!$I$8+(((A57)+1)/2)*(Inputs!$J$8-Inputs!$I$8)))/Inputs!$K$8)^2),NA())</f>
        <v>318.48226</v>
      </c>
      <c r="BC57" s="9">
        <f>IF(OR(Inputs!$F$9=TRUE,Inputs!$F$9="TRUE",Inputs!$F$9=1),(Inputs!$H$9+Inputs!$L$9*(((Inputs!$I$9+(((A57)+1)/2)*(Inputs!$J$9-Inputs!$I$9)))/Inputs!$K$9)^2),NA())</f>
        <v>311.41990000000004</v>
      </c>
      <c r="BD57" s="10"/>
      <c r="BE57" s="9">
        <f t="shared" si="8"/>
        <v>-0.54200000000000004</v>
      </c>
      <c r="BF57" s="9">
        <f>0</f>
        <v>0</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row>
    <row r="58" spans="1:62">
      <c r="A58" s="9">
        <f>ROUND(-1+56*2/240,3)</f>
        <v>-0.53300000000000003</v>
      </c>
      <c r="B58" s="9">
        <f>IF(OR(Inputs!$F$6=TRUE,Inputs!$F$6="TRUE",Inputs!$F$6=1),(Inputs!$H$6+Inputs!$L$6*(((Inputs!$I$6+(((A58)+1)/2)*(Inputs!$J$6-Inputs!$I$6)))/Inputs!$K$6)^2),NA())</f>
        <v>401.13635599999998</v>
      </c>
      <c r="C58" s="9">
        <f>IF(OR(Inputs!$F$7=TRUE,Inputs!$F$7="TRUE",Inputs!$F$7=1),(Inputs!$H$7+Inputs!$L$7*(((Inputs!$I$7+(((A58)+1)/2)*(Inputs!$J$7-Inputs!$I$7)))/Inputs!$K$7)^2),NA())</f>
        <v>138.69248500000003</v>
      </c>
      <c r="D58" s="9">
        <f>IF(OR(Inputs!$F$8=TRUE,Inputs!$F$8="TRUE",Inputs!$F$8=1),(Inputs!$H$8+Inputs!$L$8*(((Inputs!$I$8+(((A58)+1)/2)*(Inputs!$J$8-Inputs!$I$8)))/Inputs!$K$8)^2),NA())</f>
        <v>309.14588500000002</v>
      </c>
      <c r="E58" s="9">
        <f>IF(OR(Inputs!$F$9=TRUE,Inputs!$F$9="TRUE",Inputs!$F$9=1),(Inputs!$H$9+Inputs!$L$9*(((Inputs!$I$9+(((A58)+1)/2)*(Inputs!$J$9-Inputs!$I$9)))/Inputs!$K$9)^2),NA())</f>
        <v>301.98677500000002</v>
      </c>
      <c r="F58" s="10"/>
      <c r="G58" s="9">
        <f t="shared" si="0"/>
        <v>-0.53300000000000003</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c r="L58" s="10"/>
      <c r="M58" s="9">
        <f t="shared" si="1"/>
        <v>-0.53300000000000003</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272.43139005576148</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2313.1026509349281</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2794.2104632719002</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2799.4731921013499</v>
      </c>
      <c r="R58" s="10"/>
      <c r="S58" s="9">
        <f t="shared" si="2"/>
        <v>-0.53300000000000003</v>
      </c>
      <c r="T58" s="9">
        <f>(Inputs!$I$6+(((A58)+1)/2)*(Inputs!$J$6-Inputs!$I$6))</f>
        <v>-31.98</v>
      </c>
      <c r="U58" s="9">
        <f>(Inputs!$I$7+(((A58)+1)/2)*(Inputs!$J$7-Inputs!$I$7))</f>
        <v>-213.20000000000002</v>
      </c>
      <c r="V58" s="9">
        <f>(Inputs!$I$8+(((A58)+1)/2)*(Inputs!$J$8-Inputs!$I$8))</f>
        <v>-426.40000000000003</v>
      </c>
      <c r="W58" s="9">
        <f>(Inputs!$I$9+(((A58)+1)/2)*(Inputs!$J$9-Inputs!$I$9))</f>
        <v>-426.40000000000003</v>
      </c>
      <c r="X58" s="10"/>
      <c r="Y58" s="9">
        <f t="shared" si="3"/>
        <v>-0.53300000000000003</v>
      </c>
      <c r="Z58" s="9">
        <f>(Inputs!$H$6+Inputs!$L$6*(((Inputs!$I$6+(((A58)+1)/2)*(Inputs!$J$6-Inputs!$I$6)))/Inputs!$K$6)^2)</f>
        <v>401.13635599999998</v>
      </c>
      <c r="AA58" s="9">
        <f>(Inputs!$H$7+Inputs!$L$7*(((Inputs!$I$7+(((A58)+1)/2)*(Inputs!$J$7-Inputs!$I$7)))/Inputs!$K$7)^2)</f>
        <v>138.69248500000003</v>
      </c>
      <c r="AB58" s="9">
        <f>(Inputs!$H$8+Inputs!$L$8*(((Inputs!$I$8+(((A58)+1)/2)*(Inputs!$J$8-Inputs!$I$8)))/Inputs!$K$8)^2)</f>
        <v>309.14588500000002</v>
      </c>
      <c r="AC58" s="9">
        <f>(Inputs!$H$9+Inputs!$L$9*(((Inputs!$I$9+(((A58)+1)/2)*(Inputs!$J$9-Inputs!$I$9)))/Inputs!$K$9)^2)</f>
        <v>301.98677500000002</v>
      </c>
      <c r="AD58" s="10"/>
      <c r="AE58" s="9">
        <f t="shared" si="4"/>
        <v>-0.53300000000000003</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1445.6525287208501</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70007.969882483565</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140521.95276394088</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141917.81409441895</v>
      </c>
      <c r="AJ58" s="10"/>
      <c r="AK58" s="9">
        <f t="shared" si="5"/>
        <v>-0.53300000000000003</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272.43139005576148</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2313.1026509349281</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2794.2104632719002</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2799.4731921013499</v>
      </c>
      <c r="AP58" s="10"/>
      <c r="AQ58" s="9">
        <f t="shared" si="6"/>
        <v>-0.53300000000000003</v>
      </c>
      <c r="AR58" s="9">
        <f>0</f>
        <v>0</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356.35230458683765</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183.48378695912282</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212.40877485298893</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212.40877485298893</v>
      </c>
      <c r="AW58" s="10"/>
      <c r="AX58" s="9">
        <f t="shared" si="7"/>
        <v>-0.53300000000000003</v>
      </c>
      <c r="AY58" s="9">
        <f>0</f>
        <v>0</v>
      </c>
      <c r="AZ58" s="9">
        <f>IF(OR(Inputs!$F$6=TRUE,Inputs!$F$6="TRUE",Inputs!$F$6=1),(Inputs!$H$6+Inputs!$L$6*(((Inputs!$I$6+(((A58)+1)/2)*(Inputs!$J$6-Inputs!$I$6)))/Inputs!$K$6)^2),NA())</f>
        <v>401.13635599999998</v>
      </c>
      <c r="BA58" s="9">
        <f>IF(OR(Inputs!$F$7=TRUE,Inputs!$F$7="TRUE",Inputs!$F$7=1),(Inputs!$H$7+Inputs!$L$7*(((Inputs!$I$7+(((A58)+1)/2)*(Inputs!$J$7-Inputs!$I$7)))/Inputs!$K$7)^2),NA())</f>
        <v>138.69248500000003</v>
      </c>
      <c r="BB58" s="9">
        <f>IF(OR(Inputs!$F$8=TRUE,Inputs!$F$8="TRUE",Inputs!$F$8=1),(Inputs!$H$8+Inputs!$L$8*(((Inputs!$I$8+(((A58)+1)/2)*(Inputs!$J$8-Inputs!$I$8)))/Inputs!$K$8)^2),NA())</f>
        <v>309.14588500000002</v>
      </c>
      <c r="BC58" s="9">
        <f>IF(OR(Inputs!$F$9=TRUE,Inputs!$F$9="TRUE",Inputs!$F$9=1),(Inputs!$H$9+Inputs!$L$9*(((Inputs!$I$9+(((A58)+1)/2)*(Inputs!$J$9-Inputs!$I$9)))/Inputs!$K$9)^2),NA())</f>
        <v>301.98677500000002</v>
      </c>
      <c r="BD58" s="10"/>
      <c r="BE58" s="9">
        <f t="shared" si="8"/>
        <v>-0.53300000000000003</v>
      </c>
      <c r="BF58" s="9">
        <f>0</f>
        <v>0</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row>
    <row r="59" spans="1:62">
      <c r="A59" s="9">
        <f>ROUND(-1+57*2/240,3)</f>
        <v>-0.52500000000000002</v>
      </c>
      <c r="B59" s="9">
        <f>IF(OR(Inputs!$F$6=TRUE,Inputs!$F$6="TRUE",Inputs!$F$6=1),(Inputs!$H$6+Inputs!$L$6*(((Inputs!$I$6+(((A59)+1)/2)*(Inputs!$J$6-Inputs!$I$6)))/Inputs!$K$6)^2),NA())</f>
        <v>401.10250000000002</v>
      </c>
      <c r="C59" s="9">
        <f>IF(OR(Inputs!$F$7=TRUE,Inputs!$F$7="TRUE",Inputs!$F$7=1),(Inputs!$H$7+Inputs!$L$7*(((Inputs!$I$7+(((A59)+1)/2)*(Inputs!$J$7-Inputs!$I$7)))/Inputs!$K$7)^2),NA())</f>
        <v>135.60312500000001</v>
      </c>
      <c r="D59" s="9">
        <f>IF(OR(Inputs!$F$8=TRUE,Inputs!$F$8="TRUE",Inputs!$F$8=1),(Inputs!$H$8+Inputs!$L$8*(((Inputs!$I$8+(((A59)+1)/2)*(Inputs!$J$8-Inputs!$I$8)))/Inputs!$K$8)^2),NA())</f>
        <v>300.97812500000003</v>
      </c>
      <c r="E59" s="9">
        <f>IF(OR(Inputs!$F$9=TRUE,Inputs!$F$9="TRUE",Inputs!$F$9=1),(Inputs!$H$9+Inputs!$L$9*(((Inputs!$I$9+(((A59)+1)/2)*(Inputs!$J$9-Inputs!$I$9)))/Inputs!$K$9)^2),NA())</f>
        <v>293.734375</v>
      </c>
      <c r="F59" s="10"/>
      <c r="G59" s="9">
        <f t="shared" si="0"/>
        <v>-0.52500000000000002</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c r="L59" s="10"/>
      <c r="M59" s="9">
        <f t="shared" si="1"/>
        <v>-0.52500000000000002</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268.38181174398898</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2295.6722738105373</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2765.7736366966515</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2770.5125083741054</v>
      </c>
      <c r="R59" s="10"/>
      <c r="S59" s="9">
        <f t="shared" si="2"/>
        <v>-0.52500000000000002</v>
      </c>
      <c r="T59" s="9">
        <f>(Inputs!$I$6+(((A59)+1)/2)*(Inputs!$J$6-Inputs!$I$6))</f>
        <v>-31.5</v>
      </c>
      <c r="U59" s="9">
        <f>(Inputs!$I$7+(((A59)+1)/2)*(Inputs!$J$7-Inputs!$I$7))</f>
        <v>-210</v>
      </c>
      <c r="V59" s="9">
        <f>(Inputs!$I$8+(((A59)+1)/2)*(Inputs!$J$8-Inputs!$I$8))</f>
        <v>-420</v>
      </c>
      <c r="W59" s="9">
        <f>(Inputs!$I$9+(((A59)+1)/2)*(Inputs!$J$9-Inputs!$I$9))</f>
        <v>-420</v>
      </c>
      <c r="X59" s="10"/>
      <c r="Y59" s="9">
        <f t="shared" si="3"/>
        <v>-0.52500000000000002</v>
      </c>
      <c r="Z59" s="9">
        <f>(Inputs!$H$6+Inputs!$L$6*(((Inputs!$I$6+(((A59)+1)/2)*(Inputs!$J$6-Inputs!$I$6)))/Inputs!$K$6)^2)</f>
        <v>401.10250000000002</v>
      </c>
      <c r="AA59" s="9">
        <f>(Inputs!$H$7+Inputs!$L$7*(((Inputs!$I$7+(((A59)+1)/2)*(Inputs!$J$7-Inputs!$I$7)))/Inputs!$K$7)^2)</f>
        <v>135.60312500000001</v>
      </c>
      <c r="AB59" s="9">
        <f>(Inputs!$H$8+Inputs!$L$8*(((Inputs!$I$8+(((A59)+1)/2)*(Inputs!$J$8-Inputs!$I$8)))/Inputs!$K$8)^2)</f>
        <v>300.97812500000003</v>
      </c>
      <c r="AC59" s="9">
        <f>(Inputs!$H$9+Inputs!$L$9*(((Inputs!$I$9+(((A59)+1)/2)*(Inputs!$J$9-Inputs!$I$9)))/Inputs!$K$9)^2)</f>
        <v>293.734375</v>
      </c>
      <c r="AD59" s="10"/>
      <c r="AE59" s="9">
        <f t="shared" si="4"/>
        <v>-0.52500000000000002</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1419.0985822283808</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69154.378330409847</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138863.4454390576</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140295.61983985599</v>
      </c>
      <c r="AJ59" s="10"/>
      <c r="AK59" s="9">
        <f t="shared" si="5"/>
        <v>-0.52500000000000002</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268.38181174398898</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2295.6722738105373</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2765.7736366966515</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2770.5125083741054</v>
      </c>
      <c r="AP59" s="10"/>
      <c r="AQ59" s="9">
        <f t="shared" si="6"/>
        <v>-0.52500000000000002</v>
      </c>
      <c r="AR59" s="9">
        <f>0</f>
        <v>0</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355.15219987006986</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174.88445258075103</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84.226931254842498</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84.226931254842498</v>
      </c>
      <c r="AW59" s="10"/>
      <c r="AX59" s="9">
        <f t="shared" si="7"/>
        <v>-0.52500000000000002</v>
      </c>
      <c r="AY59" s="9">
        <f>0</f>
        <v>0</v>
      </c>
      <c r="AZ59" s="9">
        <f>IF(OR(Inputs!$F$6=TRUE,Inputs!$F$6="TRUE",Inputs!$F$6=1),(Inputs!$H$6+Inputs!$L$6*(((Inputs!$I$6+(((A59)+1)/2)*(Inputs!$J$6-Inputs!$I$6)))/Inputs!$K$6)^2),NA())</f>
        <v>401.10250000000002</v>
      </c>
      <c r="BA59" s="9">
        <f>IF(OR(Inputs!$F$7=TRUE,Inputs!$F$7="TRUE",Inputs!$F$7=1),(Inputs!$H$7+Inputs!$L$7*(((Inputs!$I$7+(((A59)+1)/2)*(Inputs!$J$7-Inputs!$I$7)))/Inputs!$K$7)^2),NA())</f>
        <v>135.60312500000001</v>
      </c>
      <c r="BB59" s="9">
        <f>IF(OR(Inputs!$F$8=TRUE,Inputs!$F$8="TRUE",Inputs!$F$8=1),(Inputs!$H$8+Inputs!$L$8*(((Inputs!$I$8+(((A59)+1)/2)*(Inputs!$J$8-Inputs!$I$8)))/Inputs!$K$8)^2),NA())</f>
        <v>300.97812500000003</v>
      </c>
      <c r="BC59" s="9">
        <f>IF(OR(Inputs!$F$9=TRUE,Inputs!$F$9="TRUE",Inputs!$F$9=1),(Inputs!$H$9+Inputs!$L$9*(((Inputs!$I$9+(((A59)+1)/2)*(Inputs!$J$9-Inputs!$I$9)))/Inputs!$K$9)^2),NA())</f>
        <v>293.734375</v>
      </c>
      <c r="BD59" s="10"/>
      <c r="BE59" s="9">
        <f t="shared" si="8"/>
        <v>-0.52500000000000002</v>
      </c>
      <c r="BF59" s="9">
        <f>0</f>
        <v>0</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row>
    <row r="60" spans="1:62">
      <c r="A60" s="9">
        <f>ROUND(-1+58*2/240,3)</f>
        <v>-0.51700000000000002</v>
      </c>
      <c r="B60" s="9">
        <f>IF(OR(Inputs!$F$6=TRUE,Inputs!$F$6="TRUE",Inputs!$F$6=1),(Inputs!$H$6+Inputs!$L$6*(((Inputs!$I$6+(((A60)+1)/2)*(Inputs!$J$6-Inputs!$I$6)))/Inputs!$K$6)^2),NA())</f>
        <v>401.06915600000002</v>
      </c>
      <c r="C60" s="9">
        <f>IF(OR(Inputs!$F$7=TRUE,Inputs!$F$7="TRUE",Inputs!$F$7=1),(Inputs!$H$7+Inputs!$L$7*(((Inputs!$I$7+(((A60)+1)/2)*(Inputs!$J$7-Inputs!$I$7)))/Inputs!$K$7)^2),NA())</f>
        <v>132.560485</v>
      </c>
      <c r="D60" s="9">
        <f>IF(OR(Inputs!$F$8=TRUE,Inputs!$F$8="TRUE",Inputs!$F$8=1),(Inputs!$H$8+Inputs!$L$8*(((Inputs!$I$8+(((A60)+1)/2)*(Inputs!$J$8-Inputs!$I$8)))/Inputs!$K$8)^2),NA())</f>
        <v>292.93388499999998</v>
      </c>
      <c r="E60" s="9">
        <f>IF(OR(Inputs!$F$9=TRUE,Inputs!$F$9="TRUE",Inputs!$F$9=1),(Inputs!$H$9+Inputs!$L$9*(((Inputs!$I$9+(((A60)+1)/2)*(Inputs!$J$9-Inputs!$I$9)))/Inputs!$K$9)^2),NA())</f>
        <v>285.60677499999997</v>
      </c>
      <c r="F60" s="10"/>
      <c r="G60" s="9">
        <f t="shared" si="0"/>
        <v>-0.51700000000000002</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c r="L60" s="10"/>
      <c r="M60" s="9">
        <f t="shared" si="1"/>
        <v>-0.51700000000000002</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264.33046660928352</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2278.3738359403364</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2737.5347497540224</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2741.751327862371</v>
      </c>
      <c r="R60" s="10"/>
      <c r="S60" s="9">
        <f t="shared" si="2"/>
        <v>-0.51700000000000002</v>
      </c>
      <c r="T60" s="9">
        <f>(Inputs!$I$6+(((A60)+1)/2)*(Inputs!$J$6-Inputs!$I$6))</f>
        <v>-31.02</v>
      </c>
      <c r="U60" s="9">
        <f>(Inputs!$I$7+(((A60)+1)/2)*(Inputs!$J$7-Inputs!$I$7))</f>
        <v>-206.8</v>
      </c>
      <c r="V60" s="9">
        <f>(Inputs!$I$8+(((A60)+1)/2)*(Inputs!$J$8-Inputs!$I$8))</f>
        <v>-413.6</v>
      </c>
      <c r="W60" s="9">
        <f>(Inputs!$I$9+(((A60)+1)/2)*(Inputs!$J$9-Inputs!$I$9))</f>
        <v>-413.6</v>
      </c>
      <c r="X60" s="10"/>
      <c r="Y60" s="9">
        <f t="shared" si="3"/>
        <v>-0.51700000000000002</v>
      </c>
      <c r="Z60" s="9">
        <f>(Inputs!$H$6+Inputs!$L$6*(((Inputs!$I$6+(((A60)+1)/2)*(Inputs!$J$6-Inputs!$I$6)))/Inputs!$K$6)^2)</f>
        <v>401.06915600000002</v>
      </c>
      <c r="AA60" s="9">
        <f>(Inputs!$H$7+Inputs!$L$7*(((Inputs!$I$7+(((A60)+1)/2)*(Inputs!$J$7-Inputs!$I$7)))/Inputs!$K$7)^2)</f>
        <v>132.560485</v>
      </c>
      <c r="AB60" s="9">
        <f>(Inputs!$H$8+Inputs!$L$8*(((Inputs!$I$8+(((A60)+1)/2)*(Inputs!$J$8-Inputs!$I$8)))/Inputs!$K$8)^2)</f>
        <v>292.93388499999998</v>
      </c>
      <c r="AC60" s="9">
        <f>(Inputs!$H$9+Inputs!$L$9*(((Inputs!$I$9+(((A60)+1)/2)*(Inputs!$J$9-Inputs!$I$9)))/Inputs!$K$9)^2)</f>
        <v>285.60677499999997</v>
      </c>
      <c r="AD60" s="10"/>
      <c r="AE60" s="9">
        <f t="shared" si="4"/>
        <v>-0.51700000000000002</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1392.939657729881</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68294.05018691234</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137199.22635367911</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138668.17023633642</v>
      </c>
      <c r="AJ60" s="10"/>
      <c r="AK60" s="9">
        <f t="shared" si="5"/>
        <v>-0.51700000000000002</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264.33046660928352</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2278.3738359403364</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2737.5347497540224</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2741.751327862371</v>
      </c>
      <c r="AP60" s="10"/>
      <c r="AQ60" s="9">
        <f t="shared" si="6"/>
        <v>-0.51700000000000002</v>
      </c>
      <c r="AR60" s="9">
        <f>0</f>
        <v>0</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348.41775448813667</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116.94295620721593</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156.86055225250439</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156.86055225250439</v>
      </c>
      <c r="AW60" s="10"/>
      <c r="AX60" s="9">
        <f t="shared" si="7"/>
        <v>-0.51700000000000002</v>
      </c>
      <c r="AY60" s="9">
        <f>0</f>
        <v>0</v>
      </c>
      <c r="AZ60" s="9">
        <f>IF(OR(Inputs!$F$6=TRUE,Inputs!$F$6="TRUE",Inputs!$F$6=1),(Inputs!$H$6+Inputs!$L$6*(((Inputs!$I$6+(((A60)+1)/2)*(Inputs!$J$6-Inputs!$I$6)))/Inputs!$K$6)^2),NA())</f>
        <v>401.06915600000002</v>
      </c>
      <c r="BA60" s="9">
        <f>IF(OR(Inputs!$F$7=TRUE,Inputs!$F$7="TRUE",Inputs!$F$7=1),(Inputs!$H$7+Inputs!$L$7*(((Inputs!$I$7+(((A60)+1)/2)*(Inputs!$J$7-Inputs!$I$7)))/Inputs!$K$7)^2),NA())</f>
        <v>132.560485</v>
      </c>
      <c r="BB60" s="9">
        <f>IF(OR(Inputs!$F$8=TRUE,Inputs!$F$8="TRUE",Inputs!$F$8=1),(Inputs!$H$8+Inputs!$L$8*(((Inputs!$I$8+(((A60)+1)/2)*(Inputs!$J$8-Inputs!$I$8)))/Inputs!$K$8)^2),NA())</f>
        <v>292.93388499999998</v>
      </c>
      <c r="BC60" s="9">
        <f>IF(OR(Inputs!$F$9=TRUE,Inputs!$F$9="TRUE",Inputs!$F$9=1),(Inputs!$H$9+Inputs!$L$9*(((Inputs!$I$9+(((A60)+1)/2)*(Inputs!$J$9-Inputs!$I$9)))/Inputs!$K$9)^2),NA())</f>
        <v>285.60677499999997</v>
      </c>
      <c r="BD60" s="10"/>
      <c r="BE60" s="9">
        <f t="shared" si="8"/>
        <v>-0.51700000000000002</v>
      </c>
      <c r="BF60" s="9">
        <f>0</f>
        <v>0</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row>
    <row r="61" spans="1:62">
      <c r="A61" s="9">
        <f>ROUND(-1+59*2/240,3)</f>
        <v>-0.50800000000000001</v>
      </c>
      <c r="B61" s="9">
        <f>IF(OR(Inputs!$F$6=TRUE,Inputs!$F$6="TRUE",Inputs!$F$6=1),(Inputs!$H$6+Inputs!$L$6*(((Inputs!$I$6+(((A61)+1)/2)*(Inputs!$J$6-Inputs!$I$6)))/Inputs!$K$6)^2),NA())</f>
        <v>401.03225600000002</v>
      </c>
      <c r="C61" s="9">
        <f>IF(OR(Inputs!$F$7=TRUE,Inputs!$F$7="TRUE",Inputs!$F$7=1),(Inputs!$H$7+Inputs!$L$7*(((Inputs!$I$7+(((A61)+1)/2)*(Inputs!$J$7-Inputs!$I$7)))/Inputs!$K$7)^2),NA())</f>
        <v>129.19336000000001</v>
      </c>
      <c r="D61" s="9">
        <f>IF(OR(Inputs!$F$8=TRUE,Inputs!$F$8="TRUE",Inputs!$F$8=1),(Inputs!$H$8+Inputs!$L$8*(((Inputs!$I$8+(((A61)+1)/2)*(Inputs!$J$8-Inputs!$I$8)))/Inputs!$K$8)^2),NA())</f>
        <v>284.03176000000002</v>
      </c>
      <c r="E61" s="9">
        <f>IF(OR(Inputs!$F$9=TRUE,Inputs!$F$9="TRUE",Inputs!$F$9=1),(Inputs!$H$9+Inputs!$L$9*(((Inputs!$I$9+(((A61)+1)/2)*(Inputs!$J$9-Inputs!$I$9)))/Inputs!$K$9)^2),NA())</f>
        <v>276.61239999999998</v>
      </c>
      <c r="F61" s="10"/>
      <c r="G61" s="9">
        <f t="shared" si="0"/>
        <v>-0.50800000000000001</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c r="L61" s="10"/>
      <c r="M61" s="9">
        <f t="shared" si="1"/>
        <v>-0.50800000000000001</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259.77062280686749</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2259.0710879618118</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2706.008765684096</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2709.6400639267208</v>
      </c>
      <c r="R61" s="10"/>
      <c r="S61" s="9">
        <f t="shared" si="2"/>
        <v>-0.50800000000000001</v>
      </c>
      <c r="T61" s="9">
        <f>(Inputs!$I$6+(((A61)+1)/2)*(Inputs!$J$6-Inputs!$I$6))</f>
        <v>-30.48</v>
      </c>
      <c r="U61" s="9">
        <f>(Inputs!$I$7+(((A61)+1)/2)*(Inputs!$J$7-Inputs!$I$7))</f>
        <v>-203.2</v>
      </c>
      <c r="V61" s="9">
        <f>(Inputs!$I$8+(((A61)+1)/2)*(Inputs!$J$8-Inputs!$I$8))</f>
        <v>-406.4</v>
      </c>
      <c r="W61" s="9">
        <f>(Inputs!$I$9+(((A61)+1)/2)*(Inputs!$J$9-Inputs!$I$9))</f>
        <v>-406.4</v>
      </c>
      <c r="X61" s="10"/>
      <c r="Y61" s="9">
        <f t="shared" si="3"/>
        <v>-0.50800000000000001</v>
      </c>
      <c r="Z61" s="9">
        <f>(Inputs!$H$6+Inputs!$L$6*(((Inputs!$I$6+(((A61)+1)/2)*(Inputs!$J$6-Inputs!$I$6)))/Inputs!$K$6)^2)</f>
        <v>401.03225600000002</v>
      </c>
      <c r="AA61" s="9">
        <f>(Inputs!$H$7+Inputs!$L$7*(((Inputs!$I$7+(((A61)+1)/2)*(Inputs!$J$7-Inputs!$I$7)))/Inputs!$K$7)^2)</f>
        <v>129.19336000000001</v>
      </c>
      <c r="AB61" s="9">
        <f>(Inputs!$H$8+Inputs!$L$8*(((Inputs!$I$8+(((A61)+1)/2)*(Inputs!$J$8-Inputs!$I$8)))/Inputs!$K$8)^2)</f>
        <v>284.03176000000002</v>
      </c>
      <c r="AC61" s="9">
        <f>(Inputs!$H$9+Inputs!$L$9*(((Inputs!$I$9+(((A61)+1)/2)*(Inputs!$J$9-Inputs!$I$9)))/Inputs!$K$9)^2)</f>
        <v>276.61239999999998</v>
      </c>
      <c r="AD61" s="10"/>
      <c r="AE61" s="9">
        <f t="shared" si="4"/>
        <v>-0.50800000000000001</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1363.9834103540206</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67317.943918600111</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135319.59136217399</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136830.44158266968</v>
      </c>
      <c r="AJ61" s="10"/>
      <c r="AK61" s="9">
        <f t="shared" si="5"/>
        <v>-0.50800000000000001</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259.77062280686749</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2259.0710879618118</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2706.008765684096</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2709.6400639267208</v>
      </c>
      <c r="AP61" s="10"/>
      <c r="AQ61" s="9">
        <f t="shared" si="6"/>
        <v>-0.50800000000000001</v>
      </c>
      <c r="AR61" s="9">
        <f>0</f>
        <v>0</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336.53379042210992</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96.304056189010396</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188.6266833438749</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188.6266833438749</v>
      </c>
      <c r="AW61" s="10"/>
      <c r="AX61" s="9">
        <f t="shared" si="7"/>
        <v>-0.50800000000000001</v>
      </c>
      <c r="AY61" s="9">
        <f>0</f>
        <v>0</v>
      </c>
      <c r="AZ61" s="9">
        <f>IF(OR(Inputs!$F$6=TRUE,Inputs!$F$6="TRUE",Inputs!$F$6=1),(Inputs!$H$6+Inputs!$L$6*(((Inputs!$I$6+(((A61)+1)/2)*(Inputs!$J$6-Inputs!$I$6)))/Inputs!$K$6)^2),NA())</f>
        <v>401.03225600000002</v>
      </c>
      <c r="BA61" s="9">
        <f>IF(OR(Inputs!$F$7=TRUE,Inputs!$F$7="TRUE",Inputs!$F$7=1),(Inputs!$H$7+Inputs!$L$7*(((Inputs!$I$7+(((A61)+1)/2)*(Inputs!$J$7-Inputs!$I$7)))/Inputs!$K$7)^2),NA())</f>
        <v>129.19336000000001</v>
      </c>
      <c r="BB61" s="9">
        <f>IF(OR(Inputs!$F$8=TRUE,Inputs!$F$8="TRUE",Inputs!$F$8=1),(Inputs!$H$8+Inputs!$L$8*(((Inputs!$I$8+(((A61)+1)/2)*(Inputs!$J$8-Inputs!$I$8)))/Inputs!$K$8)^2),NA())</f>
        <v>284.03176000000002</v>
      </c>
      <c r="BC61" s="9">
        <f>IF(OR(Inputs!$F$9=TRUE,Inputs!$F$9="TRUE",Inputs!$F$9=1),(Inputs!$H$9+Inputs!$L$9*(((Inputs!$I$9+(((A61)+1)/2)*(Inputs!$J$9-Inputs!$I$9)))/Inputs!$K$9)^2),NA())</f>
        <v>276.61239999999998</v>
      </c>
      <c r="BD61" s="10"/>
      <c r="BE61" s="9">
        <f t="shared" si="8"/>
        <v>-0.50800000000000001</v>
      </c>
      <c r="BF61" s="9">
        <f>0</f>
        <v>0</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row>
    <row r="62" spans="1:62">
      <c r="A62" s="9">
        <f>ROUND(-1+60*2/240,3)</f>
        <v>-0.5</v>
      </c>
      <c r="B62" s="9">
        <f>IF(OR(Inputs!$F$6=TRUE,Inputs!$F$6="TRUE",Inputs!$F$6=1),(Inputs!$H$6+Inputs!$L$6*(((Inputs!$I$6+(((A62)+1)/2)*(Inputs!$J$6-Inputs!$I$6)))/Inputs!$K$6)^2),NA())</f>
        <v>401</v>
      </c>
      <c r="C62" s="9">
        <f>IF(OR(Inputs!$F$7=TRUE,Inputs!$F$7="TRUE",Inputs!$F$7=1),(Inputs!$H$7+Inputs!$L$7*(((Inputs!$I$7+(((A62)+1)/2)*(Inputs!$J$7-Inputs!$I$7)))/Inputs!$K$7)^2),NA())</f>
        <v>126.25</v>
      </c>
      <c r="D62" s="9">
        <f>IF(OR(Inputs!$F$8=TRUE,Inputs!$F$8="TRUE",Inputs!$F$8=1),(Inputs!$H$8+Inputs!$L$8*(((Inputs!$I$8+(((A62)+1)/2)*(Inputs!$J$8-Inputs!$I$8)))/Inputs!$K$8)^2),NA())</f>
        <v>276.25</v>
      </c>
      <c r="E62" s="9">
        <f>IF(OR(Inputs!$F$9=TRUE,Inputs!$F$9="TRUE",Inputs!$F$9=1),(Inputs!$H$9+Inputs!$L$9*(((Inputs!$I$9+(((A62)+1)/2)*(Inputs!$J$9-Inputs!$I$9)))/Inputs!$K$9)^2),NA())</f>
        <v>268.75</v>
      </c>
      <c r="F62" s="10"/>
      <c r="G62" s="9">
        <f t="shared" si="0"/>
        <v>-0.5</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c r="L62" s="10"/>
      <c r="M62" s="9">
        <f t="shared" si="1"/>
        <v>-0.5</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255.71560694058931</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2242.0535908117408</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2678.2070044248176</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2681.3205118758365</v>
      </c>
      <c r="R62" s="10"/>
      <c r="S62" s="9">
        <f t="shared" si="2"/>
        <v>-0.5</v>
      </c>
      <c r="T62" s="9">
        <f>(Inputs!$I$6+(((A62)+1)/2)*(Inputs!$J$6-Inputs!$I$6))</f>
        <v>-30</v>
      </c>
      <c r="U62" s="9">
        <f>(Inputs!$I$7+(((A62)+1)/2)*(Inputs!$J$7-Inputs!$I$7))</f>
        <v>-200</v>
      </c>
      <c r="V62" s="9">
        <f>(Inputs!$I$8+(((A62)+1)/2)*(Inputs!$J$8-Inputs!$I$8))</f>
        <v>-400</v>
      </c>
      <c r="W62" s="9">
        <f>(Inputs!$I$9+(((A62)+1)/2)*(Inputs!$J$9-Inputs!$I$9))</f>
        <v>-400</v>
      </c>
      <c r="X62" s="10"/>
      <c r="Y62" s="9">
        <f t="shared" si="3"/>
        <v>-0.5</v>
      </c>
      <c r="Z62" s="9">
        <f>(Inputs!$H$6+Inputs!$L$6*(((Inputs!$I$6+(((A62)+1)/2)*(Inputs!$J$6-Inputs!$I$6)))/Inputs!$K$6)^2)</f>
        <v>401</v>
      </c>
      <c r="AA62" s="9">
        <f>(Inputs!$H$7+Inputs!$L$7*(((Inputs!$I$7+(((A62)+1)/2)*(Inputs!$J$7-Inputs!$I$7)))/Inputs!$K$7)^2)</f>
        <v>126.25</v>
      </c>
      <c r="AB62" s="9">
        <f>(Inputs!$H$8+Inputs!$L$8*(((Inputs!$I$8+(((A62)+1)/2)*(Inputs!$J$8-Inputs!$I$8)))/Inputs!$K$8)^2)</f>
        <v>276.25</v>
      </c>
      <c r="AC62" s="9">
        <f>(Inputs!$H$9+Inputs!$L$9*(((Inputs!$I$9+(((A62)+1)/2)*(Inputs!$J$9-Inputs!$I$9)))/Inputs!$K$9)^2)</f>
        <v>268.75</v>
      </c>
      <c r="AD62" s="10"/>
      <c r="AE62" s="9">
        <f t="shared" si="4"/>
        <v>-0.5</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1338.6648839632076</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66442.807601025852</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133641.7255249072</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135190.30115575515</v>
      </c>
      <c r="AJ62" s="10"/>
      <c r="AK62" s="9">
        <f t="shared" si="5"/>
        <v>-0.5</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255.71560694058931</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2242.0535908117408</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2678.2070044248176</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2681.3205118758365</v>
      </c>
      <c r="AP62" s="10"/>
      <c r="AQ62" s="9">
        <f t="shared" si="6"/>
        <v>-0.5</v>
      </c>
      <c r="AR62" s="9">
        <f>0</f>
        <v>0</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336.97644838088075</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148.22726874237361</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102.57205251412729</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102.57205251412729</v>
      </c>
      <c r="AW62" s="10"/>
      <c r="AX62" s="9">
        <f t="shared" si="7"/>
        <v>-0.5</v>
      </c>
      <c r="AY62" s="9">
        <f>0</f>
        <v>0</v>
      </c>
      <c r="AZ62" s="9">
        <f>IF(OR(Inputs!$F$6=TRUE,Inputs!$F$6="TRUE",Inputs!$F$6=1),(Inputs!$H$6+Inputs!$L$6*(((Inputs!$I$6+(((A62)+1)/2)*(Inputs!$J$6-Inputs!$I$6)))/Inputs!$K$6)^2),NA())</f>
        <v>401</v>
      </c>
      <c r="BA62" s="9">
        <f>IF(OR(Inputs!$F$7=TRUE,Inputs!$F$7="TRUE",Inputs!$F$7=1),(Inputs!$H$7+Inputs!$L$7*(((Inputs!$I$7+(((A62)+1)/2)*(Inputs!$J$7-Inputs!$I$7)))/Inputs!$K$7)^2),NA())</f>
        <v>126.25</v>
      </c>
      <c r="BB62" s="9">
        <f>IF(OR(Inputs!$F$8=TRUE,Inputs!$F$8="TRUE",Inputs!$F$8=1),(Inputs!$H$8+Inputs!$L$8*(((Inputs!$I$8+(((A62)+1)/2)*(Inputs!$J$8-Inputs!$I$8)))/Inputs!$K$8)^2),NA())</f>
        <v>276.25</v>
      </c>
      <c r="BC62" s="9">
        <f>IF(OR(Inputs!$F$9=TRUE,Inputs!$F$9="TRUE",Inputs!$F$9=1),(Inputs!$H$9+Inputs!$L$9*(((Inputs!$I$9+(((A62)+1)/2)*(Inputs!$J$9-Inputs!$I$9)))/Inputs!$K$9)^2),NA())</f>
        <v>268.75</v>
      </c>
      <c r="BD62" s="10"/>
      <c r="BE62" s="9">
        <f t="shared" si="8"/>
        <v>-0.5</v>
      </c>
      <c r="BF62" s="9">
        <f>0</f>
        <v>0</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row>
    <row r="63" spans="1:62">
      <c r="A63" s="9">
        <f>ROUND(-1+61*2/240,3)</f>
        <v>-0.49199999999999999</v>
      </c>
      <c r="B63" s="9">
        <f>IF(OR(Inputs!$F$6=TRUE,Inputs!$F$6="TRUE",Inputs!$F$6=1),(Inputs!$H$6+Inputs!$L$6*(((Inputs!$I$6+(((A63)+1)/2)*(Inputs!$J$6-Inputs!$I$6)))/Inputs!$K$6)^2),NA())</f>
        <v>400.968256</v>
      </c>
      <c r="C63" s="9">
        <f>IF(OR(Inputs!$F$7=TRUE,Inputs!$F$7="TRUE",Inputs!$F$7=1),(Inputs!$H$7+Inputs!$L$7*(((Inputs!$I$7+(((A63)+1)/2)*(Inputs!$J$7-Inputs!$I$7)))/Inputs!$K$7)^2),NA())</f>
        <v>123.35336000000002</v>
      </c>
      <c r="D63" s="9">
        <f>IF(OR(Inputs!$F$8=TRUE,Inputs!$F$8="TRUE",Inputs!$F$8=1),(Inputs!$H$8+Inputs!$L$8*(((Inputs!$I$8+(((A63)+1)/2)*(Inputs!$J$8-Inputs!$I$8)))/Inputs!$K$8)^2),NA())</f>
        <v>268.59176000000002</v>
      </c>
      <c r="E63" s="9">
        <f>IF(OR(Inputs!$F$9=TRUE,Inputs!$F$9="TRUE",Inputs!$F$9=1),(Inputs!$H$9+Inputs!$L$9*(((Inputs!$I$9+(((A63)+1)/2)*(Inputs!$J$9-Inputs!$I$9)))/Inputs!$K$9)^2),NA())</f>
        <v>261.01240000000007</v>
      </c>
      <c r="F63" s="10"/>
      <c r="G63" s="9">
        <f t="shared" si="0"/>
        <v>-0.49199999999999999</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c r="L63" s="10"/>
      <c r="M63" s="9">
        <f t="shared" si="1"/>
        <v>-0.49199999999999999</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251.65890325568003</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2225.168186472958</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2650.6188352046966</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2653.2172841269139</v>
      </c>
      <c r="R63" s="10"/>
      <c r="S63" s="9">
        <f t="shared" si="2"/>
        <v>-0.49199999999999999</v>
      </c>
      <c r="T63" s="9">
        <f>(Inputs!$I$6+(((A63)+1)/2)*(Inputs!$J$6-Inputs!$I$6))</f>
        <v>-29.52</v>
      </c>
      <c r="U63" s="9">
        <f>(Inputs!$I$7+(((A63)+1)/2)*(Inputs!$J$7-Inputs!$I$7))</f>
        <v>-196.8</v>
      </c>
      <c r="V63" s="9">
        <f>(Inputs!$I$8+(((A63)+1)/2)*(Inputs!$J$8-Inputs!$I$8))</f>
        <v>-393.6</v>
      </c>
      <c r="W63" s="9">
        <f>(Inputs!$I$9+(((A63)+1)/2)*(Inputs!$J$9-Inputs!$I$9))</f>
        <v>-393.6</v>
      </c>
      <c r="X63" s="10"/>
      <c r="Y63" s="9">
        <f t="shared" si="3"/>
        <v>-0.49199999999999999</v>
      </c>
      <c r="Z63" s="9">
        <f>(Inputs!$H$6+Inputs!$L$6*(((Inputs!$I$6+(((A63)+1)/2)*(Inputs!$J$6-Inputs!$I$6)))/Inputs!$K$6)^2)</f>
        <v>400.968256</v>
      </c>
      <c r="AA63" s="9">
        <f>(Inputs!$H$7+Inputs!$L$7*(((Inputs!$I$7+(((A63)+1)/2)*(Inputs!$J$7-Inputs!$I$7)))/Inputs!$K$7)^2)</f>
        <v>123.35336000000002</v>
      </c>
      <c r="AB63" s="9">
        <f>(Inputs!$H$8+Inputs!$L$8*(((Inputs!$I$8+(((A63)+1)/2)*(Inputs!$J$8-Inputs!$I$8)))/Inputs!$K$8)^2)</f>
        <v>268.59176000000002</v>
      </c>
      <c r="AC63" s="9">
        <f>(Inputs!$H$9+Inputs!$L$9*(((Inputs!$I$9+(((A63)+1)/2)*(Inputs!$J$9-Inputs!$I$9)))/Inputs!$K$9)^2)</f>
        <v>261.01240000000007</v>
      </c>
      <c r="AD63" s="10"/>
      <c r="AE63" s="9">
        <f t="shared" si="4"/>
        <v>-0.49199999999999999</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1313.742289353554</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65560.470643463414</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131956.70325951499</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133543.44578265701</v>
      </c>
      <c r="AJ63" s="10"/>
      <c r="AK63" s="9">
        <f t="shared" si="5"/>
        <v>-0.49199999999999999</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251.65890325568003</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2225.168186472958</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2650.6188352046966</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2653.2172841269139</v>
      </c>
      <c r="AP63" s="10"/>
      <c r="AQ63" s="9">
        <f t="shared" si="6"/>
        <v>-0.49199999999999999</v>
      </c>
      <c r="AR63" s="9">
        <f>0</f>
        <v>0</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325.2916223337665</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182.5608679528587</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217.06648222521574</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217.06648222521574</v>
      </c>
      <c r="AW63" s="10"/>
      <c r="AX63" s="9">
        <f t="shared" si="7"/>
        <v>-0.49199999999999999</v>
      </c>
      <c r="AY63" s="9">
        <f>0</f>
        <v>0</v>
      </c>
      <c r="AZ63" s="9">
        <f>IF(OR(Inputs!$F$6=TRUE,Inputs!$F$6="TRUE",Inputs!$F$6=1),(Inputs!$H$6+Inputs!$L$6*(((Inputs!$I$6+(((A63)+1)/2)*(Inputs!$J$6-Inputs!$I$6)))/Inputs!$K$6)^2),NA())</f>
        <v>400.968256</v>
      </c>
      <c r="BA63" s="9">
        <f>IF(OR(Inputs!$F$7=TRUE,Inputs!$F$7="TRUE",Inputs!$F$7=1),(Inputs!$H$7+Inputs!$L$7*(((Inputs!$I$7+(((A63)+1)/2)*(Inputs!$J$7-Inputs!$I$7)))/Inputs!$K$7)^2),NA())</f>
        <v>123.35336000000002</v>
      </c>
      <c r="BB63" s="9">
        <f>IF(OR(Inputs!$F$8=TRUE,Inputs!$F$8="TRUE",Inputs!$F$8=1),(Inputs!$H$8+Inputs!$L$8*(((Inputs!$I$8+(((A63)+1)/2)*(Inputs!$J$8-Inputs!$I$8)))/Inputs!$K$8)^2),NA())</f>
        <v>268.59176000000002</v>
      </c>
      <c r="BC63" s="9">
        <f>IF(OR(Inputs!$F$9=TRUE,Inputs!$F$9="TRUE",Inputs!$F$9=1),(Inputs!$H$9+Inputs!$L$9*(((Inputs!$I$9+(((A63)+1)/2)*(Inputs!$J$9-Inputs!$I$9)))/Inputs!$K$9)^2),NA())</f>
        <v>261.01240000000007</v>
      </c>
      <c r="BD63" s="10"/>
      <c r="BE63" s="9">
        <f t="shared" si="8"/>
        <v>-0.49199999999999999</v>
      </c>
      <c r="BF63" s="9">
        <f>0</f>
        <v>0</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row>
    <row r="64" spans="1:62">
      <c r="A64" s="9">
        <f>ROUND(-1+62*2/240,3)</f>
        <v>-0.48299999999999998</v>
      </c>
      <c r="B64" s="9">
        <f>IF(OR(Inputs!$F$6=TRUE,Inputs!$F$6="TRUE",Inputs!$F$6=1),(Inputs!$H$6+Inputs!$L$6*(((Inputs!$I$6+(((A64)+1)/2)*(Inputs!$J$6-Inputs!$I$6)))/Inputs!$K$6)^2),NA())</f>
        <v>400.933156</v>
      </c>
      <c r="C64" s="9">
        <f>IF(OR(Inputs!$F$7=TRUE,Inputs!$F$7="TRUE",Inputs!$F$7=1),(Inputs!$H$7+Inputs!$L$7*(((Inputs!$I$7+(((A64)+1)/2)*(Inputs!$J$7-Inputs!$I$7)))/Inputs!$K$7)^2),NA())</f>
        <v>120.150485</v>
      </c>
      <c r="D64" s="9">
        <f>IF(OR(Inputs!$F$8=TRUE,Inputs!$F$8="TRUE",Inputs!$F$8=1),(Inputs!$H$8+Inputs!$L$8*(((Inputs!$I$8+(((A64)+1)/2)*(Inputs!$J$8-Inputs!$I$8)))/Inputs!$K$8)^2),NA())</f>
        <v>260.12388499999997</v>
      </c>
      <c r="E64" s="9">
        <f>IF(OR(Inputs!$F$9=TRUE,Inputs!$F$9="TRUE",Inputs!$F$9=1),(Inputs!$H$9+Inputs!$L$9*(((Inputs!$I$9+(((A64)+1)/2)*(Inputs!$J$9-Inputs!$I$9)))/Inputs!$K$9)^2),NA())</f>
        <v>252.45677499999999</v>
      </c>
      <c r="F64" s="10"/>
      <c r="G64" s="9">
        <f t="shared" si="0"/>
        <v>-0.48299999999999998</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c r="L64" s="10"/>
      <c r="M64" s="9">
        <f t="shared" si="1"/>
        <v>-0.48299999999999998</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247.09312581512671</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2206.3295518032787</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2619.8438215786618</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2621.8666360326106</v>
      </c>
      <c r="R64" s="10"/>
      <c r="S64" s="9">
        <f t="shared" si="2"/>
        <v>-0.48299999999999998</v>
      </c>
      <c r="T64" s="9">
        <f>(Inputs!$I$6+(((A64)+1)/2)*(Inputs!$J$6-Inputs!$I$6))</f>
        <v>-28.98</v>
      </c>
      <c r="U64" s="9">
        <f>(Inputs!$I$7+(((A64)+1)/2)*(Inputs!$J$7-Inputs!$I$7))</f>
        <v>-193.2</v>
      </c>
      <c r="V64" s="9">
        <f>(Inputs!$I$8+(((A64)+1)/2)*(Inputs!$J$8-Inputs!$I$8))</f>
        <v>-386.4</v>
      </c>
      <c r="W64" s="9">
        <f>(Inputs!$I$9+(((A64)+1)/2)*(Inputs!$J$9-Inputs!$I$9))</f>
        <v>-386.4</v>
      </c>
      <c r="X64" s="10"/>
      <c r="Y64" s="9">
        <f t="shared" si="3"/>
        <v>-0.48299999999999998</v>
      </c>
      <c r="Z64" s="9">
        <f>(Inputs!$H$6+Inputs!$L$6*(((Inputs!$I$6+(((A64)+1)/2)*(Inputs!$J$6-Inputs!$I$6)))/Inputs!$K$6)^2)</f>
        <v>400.933156</v>
      </c>
      <c r="AA64" s="9">
        <f>(Inputs!$H$7+Inputs!$L$7*(((Inputs!$I$7+(((A64)+1)/2)*(Inputs!$J$7-Inputs!$I$7)))/Inputs!$K$7)^2)</f>
        <v>120.150485</v>
      </c>
      <c r="AB64" s="9">
        <f>(Inputs!$H$8+Inputs!$L$8*(((Inputs!$I$8+(((A64)+1)/2)*(Inputs!$J$8-Inputs!$I$8)))/Inputs!$K$8)^2)</f>
        <v>260.12388499999997</v>
      </c>
      <c r="AC64" s="9">
        <f>(Inputs!$H$9+Inputs!$L$9*(((Inputs!$I$9+(((A64)+1)/2)*(Inputs!$J$9-Inputs!$I$9)))/Inputs!$K$9)^2)</f>
        <v>252.45677499999999</v>
      </c>
      <c r="AD64" s="10"/>
      <c r="AE64" s="9">
        <f t="shared" si="4"/>
        <v>-0.48299999999999998</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1286.1779839771466</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64559.049991512897</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130051.89381794153</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131682.0935215104</v>
      </c>
      <c r="AJ64" s="10"/>
      <c r="AK64" s="9">
        <f t="shared" si="5"/>
        <v>-0.48299999999999998</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247.09312581512671</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2206.3295518032787</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2619.8438215786618</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2621.8666360326106</v>
      </c>
      <c r="AP64" s="10"/>
      <c r="AQ64" s="9">
        <f t="shared" si="6"/>
        <v>-0.48299999999999998</v>
      </c>
      <c r="AR64" s="9">
        <f>0</f>
        <v>0</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313.3993516115093</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181.68211217090496</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119.39759898165072</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119.39759898165072</v>
      </c>
      <c r="AW64" s="10"/>
      <c r="AX64" s="9">
        <f t="shared" si="7"/>
        <v>-0.48299999999999998</v>
      </c>
      <c r="AY64" s="9">
        <f>0</f>
        <v>0</v>
      </c>
      <c r="AZ64" s="9">
        <f>IF(OR(Inputs!$F$6=TRUE,Inputs!$F$6="TRUE",Inputs!$F$6=1),(Inputs!$H$6+Inputs!$L$6*(((Inputs!$I$6+(((A64)+1)/2)*(Inputs!$J$6-Inputs!$I$6)))/Inputs!$K$6)^2),NA())</f>
        <v>400.933156</v>
      </c>
      <c r="BA64" s="9">
        <f>IF(OR(Inputs!$F$7=TRUE,Inputs!$F$7="TRUE",Inputs!$F$7=1),(Inputs!$H$7+Inputs!$L$7*(((Inputs!$I$7+(((A64)+1)/2)*(Inputs!$J$7-Inputs!$I$7)))/Inputs!$K$7)^2),NA())</f>
        <v>120.150485</v>
      </c>
      <c r="BB64" s="9">
        <f>IF(OR(Inputs!$F$8=TRUE,Inputs!$F$8="TRUE",Inputs!$F$8=1),(Inputs!$H$8+Inputs!$L$8*(((Inputs!$I$8+(((A64)+1)/2)*(Inputs!$J$8-Inputs!$I$8)))/Inputs!$K$8)^2),NA())</f>
        <v>260.12388499999997</v>
      </c>
      <c r="BC64" s="9">
        <f>IF(OR(Inputs!$F$9=TRUE,Inputs!$F$9="TRUE",Inputs!$F$9=1),(Inputs!$H$9+Inputs!$L$9*(((Inputs!$I$9+(((A64)+1)/2)*(Inputs!$J$9-Inputs!$I$9)))/Inputs!$K$9)^2),NA())</f>
        <v>252.45677499999999</v>
      </c>
      <c r="BD64" s="10"/>
      <c r="BE64" s="9">
        <f t="shared" si="8"/>
        <v>-0.48299999999999998</v>
      </c>
      <c r="BF64" s="9">
        <f>0</f>
        <v>0</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row>
    <row r="65" spans="1:62">
      <c r="A65" s="9">
        <f>ROUND(-1+63*2/240,3)</f>
        <v>-0.47499999999999998</v>
      </c>
      <c r="B65" s="9">
        <f>IF(OR(Inputs!$F$6=TRUE,Inputs!$F$6="TRUE",Inputs!$F$6=1),(Inputs!$H$6+Inputs!$L$6*(((Inputs!$I$6+(((A65)+1)/2)*(Inputs!$J$6-Inputs!$I$6)))/Inputs!$K$6)^2),NA())</f>
        <v>400.90249999999997</v>
      </c>
      <c r="C65" s="9">
        <f>IF(OR(Inputs!$F$7=TRUE,Inputs!$F$7="TRUE",Inputs!$F$7=1),(Inputs!$H$7+Inputs!$L$7*(((Inputs!$I$7+(((A65)+1)/2)*(Inputs!$J$7-Inputs!$I$7)))/Inputs!$K$7)^2),NA())</f>
        <v>117.35312499999999</v>
      </c>
      <c r="D65" s="9">
        <f>IF(OR(Inputs!$F$8=TRUE,Inputs!$F$8="TRUE",Inputs!$F$8=1),(Inputs!$H$8+Inputs!$L$8*(((Inputs!$I$8+(((A65)+1)/2)*(Inputs!$J$8-Inputs!$I$8)))/Inputs!$K$8)^2),NA())</f>
        <v>252.72812500000001</v>
      </c>
      <c r="E65" s="9">
        <f>IF(OR(Inputs!$F$9=TRUE,Inputs!$F$9="TRUE",Inputs!$F$9=1),(Inputs!$H$9+Inputs!$L$9*(((Inputs!$I$9+(((A65)+1)/2)*(Inputs!$J$9-Inputs!$I$9)))/Inputs!$K$9)^2),NA())</f>
        <v>244.984375</v>
      </c>
      <c r="F65" s="10"/>
      <c r="G65" s="9">
        <f t="shared" si="0"/>
        <v>-0.47499999999999998</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c r="L65" s="10"/>
      <c r="M65" s="9">
        <f t="shared" si="1"/>
        <v>-0.47499999999999998</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243.03292006845169</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2189.7233886221143</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2592.7265593356356</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2594.2415995855963</v>
      </c>
      <c r="R65" s="10"/>
      <c r="S65" s="9">
        <f t="shared" si="2"/>
        <v>-0.47499999999999998</v>
      </c>
      <c r="T65" s="9">
        <f>(Inputs!$I$6+(((A65)+1)/2)*(Inputs!$J$6-Inputs!$I$6))</f>
        <v>-28.5</v>
      </c>
      <c r="U65" s="9">
        <f>(Inputs!$I$7+(((A65)+1)/2)*(Inputs!$J$7-Inputs!$I$7))</f>
        <v>-190</v>
      </c>
      <c r="V65" s="9">
        <f>(Inputs!$I$8+(((A65)+1)/2)*(Inputs!$J$8-Inputs!$I$8))</f>
        <v>-380</v>
      </c>
      <c r="W65" s="9">
        <f>(Inputs!$I$9+(((A65)+1)/2)*(Inputs!$J$9-Inputs!$I$9))</f>
        <v>-380</v>
      </c>
      <c r="X65" s="10"/>
      <c r="Y65" s="9">
        <f t="shared" si="3"/>
        <v>-0.47499999999999998</v>
      </c>
      <c r="Z65" s="9">
        <f>(Inputs!$H$6+Inputs!$L$6*(((Inputs!$I$6+(((A65)+1)/2)*(Inputs!$J$6-Inputs!$I$6)))/Inputs!$K$6)^2)</f>
        <v>400.90249999999997</v>
      </c>
      <c r="AA65" s="9">
        <f>(Inputs!$H$7+Inputs!$L$7*(((Inputs!$I$7+(((A65)+1)/2)*(Inputs!$J$7-Inputs!$I$7)))/Inputs!$K$7)^2)</f>
        <v>117.35312499999999</v>
      </c>
      <c r="AB65" s="9">
        <f>(Inputs!$H$8+Inputs!$L$8*(((Inputs!$I$8+(((A65)+1)/2)*(Inputs!$J$8-Inputs!$I$8)))/Inputs!$K$8)^2)</f>
        <v>252.72812500000001</v>
      </c>
      <c r="AC65" s="9">
        <f>(Inputs!$H$9+Inputs!$L$9*(((Inputs!$I$9+(((A65)+1)/2)*(Inputs!$J$9-Inputs!$I$9)))/Inputs!$K$9)^2)</f>
        <v>244.984375</v>
      </c>
      <c r="AD65" s="10"/>
      <c r="AE65" s="9">
        <f t="shared" si="4"/>
        <v>-0.47499999999999998</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1262.0976764465599</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63660.920126394747</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128350.03703989064</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130019.31854284673</v>
      </c>
      <c r="AJ65" s="10"/>
      <c r="AK65" s="9">
        <f t="shared" si="5"/>
        <v>-0.47499999999999998</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243.03292006845169</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2189.7233886221143</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2592.7265593356356</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2594.2415995855963</v>
      </c>
      <c r="AP65" s="10"/>
      <c r="AQ65" s="9">
        <f t="shared" si="6"/>
        <v>-0.47499999999999998</v>
      </c>
      <c r="AR65" s="9">
        <f>0</f>
        <v>0</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310.24247262167495</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192.36525445858067</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124.30714013426088</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124.30714013426088</v>
      </c>
      <c r="AW65" s="10"/>
      <c r="AX65" s="9">
        <f t="shared" si="7"/>
        <v>-0.47499999999999998</v>
      </c>
      <c r="AY65" s="9">
        <f>0</f>
        <v>0</v>
      </c>
      <c r="AZ65" s="9">
        <f>IF(OR(Inputs!$F$6=TRUE,Inputs!$F$6="TRUE",Inputs!$F$6=1),(Inputs!$H$6+Inputs!$L$6*(((Inputs!$I$6+(((A65)+1)/2)*(Inputs!$J$6-Inputs!$I$6)))/Inputs!$K$6)^2),NA())</f>
        <v>400.90249999999997</v>
      </c>
      <c r="BA65" s="9">
        <f>IF(OR(Inputs!$F$7=TRUE,Inputs!$F$7="TRUE",Inputs!$F$7=1),(Inputs!$H$7+Inputs!$L$7*(((Inputs!$I$7+(((A65)+1)/2)*(Inputs!$J$7-Inputs!$I$7)))/Inputs!$K$7)^2),NA())</f>
        <v>117.35312499999999</v>
      </c>
      <c r="BB65" s="9">
        <f>IF(OR(Inputs!$F$8=TRUE,Inputs!$F$8="TRUE",Inputs!$F$8=1),(Inputs!$H$8+Inputs!$L$8*(((Inputs!$I$8+(((A65)+1)/2)*(Inputs!$J$8-Inputs!$I$8)))/Inputs!$K$8)^2),NA())</f>
        <v>252.72812500000001</v>
      </c>
      <c r="BC65" s="9">
        <f>IF(OR(Inputs!$F$9=TRUE,Inputs!$F$9="TRUE",Inputs!$F$9=1),(Inputs!$H$9+Inputs!$L$9*(((Inputs!$I$9+(((A65)+1)/2)*(Inputs!$J$9-Inputs!$I$9)))/Inputs!$K$9)^2),NA())</f>
        <v>244.984375</v>
      </c>
      <c r="BD65" s="10"/>
      <c r="BE65" s="9">
        <f t="shared" si="8"/>
        <v>-0.47499999999999998</v>
      </c>
      <c r="BF65" s="9">
        <f>0</f>
        <v>0</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row>
    <row r="66" spans="1:62">
      <c r="A66" s="9">
        <f>ROUND(-1+64*2/240,3)</f>
        <v>-0.46700000000000003</v>
      </c>
      <c r="B66" s="9">
        <f>IF(OR(Inputs!$F$6=TRUE,Inputs!$F$6="TRUE",Inputs!$F$6=1),(Inputs!$H$6+Inputs!$L$6*(((Inputs!$I$6+(((A66)+1)/2)*(Inputs!$J$6-Inputs!$I$6)))/Inputs!$K$6)^2),NA())</f>
        <v>400.87235600000002</v>
      </c>
      <c r="C66" s="9">
        <f>IF(OR(Inputs!$F$7=TRUE,Inputs!$F$7="TRUE",Inputs!$F$7=1),(Inputs!$H$7+Inputs!$L$7*(((Inputs!$I$7+(((A66)+1)/2)*(Inputs!$J$7-Inputs!$I$7)))/Inputs!$K$7)^2),NA())</f>
        <v>114.60248500000003</v>
      </c>
      <c r="D66" s="9">
        <f>IF(OR(Inputs!$F$8=TRUE,Inputs!$F$8="TRUE",Inputs!$F$8=1),(Inputs!$H$8+Inputs!$L$8*(((Inputs!$I$8+(((A66)+1)/2)*(Inputs!$J$8-Inputs!$I$8)))/Inputs!$K$8)^2),NA())</f>
        <v>245.45588500000008</v>
      </c>
      <c r="E66" s="9">
        <f>IF(OR(Inputs!$F$9=TRUE,Inputs!$F$9="TRUE",Inputs!$F$9=1),(Inputs!$H$9+Inputs!$L$9*(((Inputs!$I$9+(((A66)+1)/2)*(Inputs!$J$9-Inputs!$I$9)))/Inputs!$K$9)^2),NA())</f>
        <v>237.63677500000009</v>
      </c>
      <c r="F66" s="10"/>
      <c r="G66" s="9">
        <f t="shared" ref="G66:G129" si="9">A66</f>
        <v>-0.46700000000000003</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c r="L66" s="10"/>
      <c r="M66" s="9">
        <f t="shared" ref="M66:M129" si="10">A66</f>
        <v>-0.46700000000000003</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238.9711062399071</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2173.2474236401672</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2565.8389850239537</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2566.8504470413018</v>
      </c>
      <c r="R66" s="10"/>
      <c r="S66" s="9">
        <f t="shared" ref="S66:S129" si="11">A66</f>
        <v>-0.46700000000000003</v>
      </c>
      <c r="T66" s="9">
        <f>(Inputs!$I$6+(((A66)+1)/2)*(Inputs!$J$6-Inputs!$I$6))</f>
        <v>-28.020000000000003</v>
      </c>
      <c r="U66" s="9">
        <f>(Inputs!$I$7+(((A66)+1)/2)*(Inputs!$J$7-Inputs!$I$7))</f>
        <v>-186.80000000000004</v>
      </c>
      <c r="V66" s="9">
        <f>(Inputs!$I$8+(((A66)+1)/2)*(Inputs!$J$8-Inputs!$I$8))</f>
        <v>-373.60000000000008</v>
      </c>
      <c r="W66" s="9">
        <f>(Inputs!$I$9+(((A66)+1)/2)*(Inputs!$J$9-Inputs!$I$9))</f>
        <v>-373.60000000000008</v>
      </c>
      <c r="X66" s="10"/>
      <c r="Y66" s="9">
        <f t="shared" ref="Y66:Y129" si="12">A66</f>
        <v>-0.46700000000000003</v>
      </c>
      <c r="Z66" s="9">
        <f>(Inputs!$H$6+Inputs!$L$6*(((Inputs!$I$6+(((A66)+1)/2)*(Inputs!$J$6-Inputs!$I$6)))/Inputs!$K$6)^2)</f>
        <v>400.87235600000002</v>
      </c>
      <c r="AA66" s="9">
        <f>(Inputs!$H$7+Inputs!$L$7*(((Inputs!$I$7+(((A66)+1)/2)*(Inputs!$J$7-Inputs!$I$7)))/Inputs!$K$7)^2)</f>
        <v>114.60248500000003</v>
      </c>
      <c r="AB66" s="9">
        <f>(Inputs!$H$8+Inputs!$L$8*(((Inputs!$I$8+(((A66)+1)/2)*(Inputs!$J$8-Inputs!$I$8)))/Inputs!$K$8)^2)</f>
        <v>245.45588500000008</v>
      </c>
      <c r="AC66" s="9">
        <f>(Inputs!$H$9+Inputs!$L$9*(((Inputs!$I$9+(((A66)+1)/2)*(Inputs!$J$9-Inputs!$I$9)))/Inputs!$K$9)^2)</f>
        <v>237.63677500000009</v>
      </c>
      <c r="AD66" s="10"/>
      <c r="AE66" s="9">
        <f t="shared" ref="AE66:AE129" si="13">A66</f>
        <v>-0.46700000000000003</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1238.4141686788944</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62755.128441167384</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126639.46756829675</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128348.24821852474</v>
      </c>
      <c r="AJ66" s="10"/>
      <c r="AK66" s="9">
        <f t="shared" ref="AK66:AK129" si="14">A66</f>
        <v>-0.46700000000000003</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238.9711062399071</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2173.2474236401672</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2565.8389850239537</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2566.8504470413018</v>
      </c>
      <c r="AP66" s="10"/>
      <c r="AQ66" s="9">
        <f t="shared" ref="AQ66:AQ129" si="15">A66</f>
        <v>-0.46700000000000003</v>
      </c>
      <c r="AR66" s="9">
        <f>0</f>
        <v>0</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309.72025248527711</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159.22773232045836</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169.84043751788209</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169.84043751788209</v>
      </c>
      <c r="AW66" s="10"/>
      <c r="AX66" s="9">
        <f t="shared" ref="AX66:AX129" si="16">A66</f>
        <v>-0.46700000000000003</v>
      </c>
      <c r="AY66" s="9">
        <f>0</f>
        <v>0</v>
      </c>
      <c r="AZ66" s="9">
        <f>IF(OR(Inputs!$F$6=TRUE,Inputs!$F$6="TRUE",Inputs!$F$6=1),(Inputs!$H$6+Inputs!$L$6*(((Inputs!$I$6+(((A66)+1)/2)*(Inputs!$J$6-Inputs!$I$6)))/Inputs!$K$6)^2),NA())</f>
        <v>400.87235600000002</v>
      </c>
      <c r="BA66" s="9">
        <f>IF(OR(Inputs!$F$7=TRUE,Inputs!$F$7="TRUE",Inputs!$F$7=1),(Inputs!$H$7+Inputs!$L$7*(((Inputs!$I$7+(((A66)+1)/2)*(Inputs!$J$7-Inputs!$I$7)))/Inputs!$K$7)^2),NA())</f>
        <v>114.60248500000003</v>
      </c>
      <c r="BB66" s="9">
        <f>IF(OR(Inputs!$F$8=TRUE,Inputs!$F$8="TRUE",Inputs!$F$8=1),(Inputs!$H$8+Inputs!$L$8*(((Inputs!$I$8+(((A66)+1)/2)*(Inputs!$J$8-Inputs!$I$8)))/Inputs!$K$8)^2),NA())</f>
        <v>245.45588500000008</v>
      </c>
      <c r="BC66" s="9">
        <f>IF(OR(Inputs!$F$9=TRUE,Inputs!$F$9="TRUE",Inputs!$F$9=1),(Inputs!$H$9+Inputs!$L$9*(((Inputs!$I$9+(((A66)+1)/2)*(Inputs!$J$9-Inputs!$I$9)))/Inputs!$K$9)^2),NA())</f>
        <v>237.63677500000009</v>
      </c>
      <c r="BD66" s="10"/>
      <c r="BE66" s="9">
        <f t="shared" ref="BE66:BE129" si="17">A66</f>
        <v>-0.46700000000000003</v>
      </c>
      <c r="BF66" s="9">
        <f>0</f>
        <v>0</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row>
    <row r="67" spans="1:62">
      <c r="A67" s="9">
        <f>ROUND(-1+65*2/240,3)</f>
        <v>-0.45800000000000002</v>
      </c>
      <c r="B67" s="9">
        <f>IF(OR(Inputs!$F$6=TRUE,Inputs!$F$6="TRUE",Inputs!$F$6=1),(Inputs!$H$6+Inputs!$L$6*(((Inputs!$I$6+(((A67)+1)/2)*(Inputs!$J$6-Inputs!$I$6)))/Inputs!$K$6)^2),NA())</f>
        <v>400.83905600000003</v>
      </c>
      <c r="C67" s="9">
        <f>IF(OR(Inputs!$F$7=TRUE,Inputs!$F$7="TRUE",Inputs!$F$7=1),(Inputs!$H$7+Inputs!$L$7*(((Inputs!$I$7+(((A67)+1)/2)*(Inputs!$J$7-Inputs!$I$7)))/Inputs!$K$7)^2),NA())</f>
        <v>111.56385999999999</v>
      </c>
      <c r="D67" s="9">
        <f>IF(OR(Inputs!$F$8=TRUE,Inputs!$F$8="TRUE",Inputs!$F$8=1),(Inputs!$H$8+Inputs!$L$8*(((Inputs!$I$8+(((A67)+1)/2)*(Inputs!$J$8-Inputs!$I$8)))/Inputs!$K$8)^2),NA())</f>
        <v>237.42225999999997</v>
      </c>
      <c r="E67" s="9">
        <f>IF(OR(Inputs!$F$9=TRUE,Inputs!$F$9="TRUE",Inputs!$F$9=1),(Inputs!$H$9+Inputs!$L$9*(((Inputs!$I$9+(((A67)+1)/2)*(Inputs!$J$9-Inputs!$I$9)))/Inputs!$K$9)^2),NA())</f>
        <v>229.51989999999998</v>
      </c>
      <c r="F67" s="10"/>
      <c r="G67" s="9">
        <f t="shared" si="9"/>
        <v>-0.45800000000000002</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c r="L67" s="10"/>
      <c r="M67" s="9">
        <f t="shared" si="10"/>
        <v>-0.45800000000000002</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234.39967548141172</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2154.8661396533071</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2535.8714943942873</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2536.3221234523189</v>
      </c>
      <c r="R67" s="10"/>
      <c r="S67" s="9">
        <f t="shared" si="11"/>
        <v>-0.45800000000000002</v>
      </c>
      <c r="T67" s="9">
        <f>(Inputs!$I$6+(((A67)+1)/2)*(Inputs!$J$6-Inputs!$I$6))</f>
        <v>-27.479999999999997</v>
      </c>
      <c r="U67" s="9">
        <f>(Inputs!$I$7+(((A67)+1)/2)*(Inputs!$J$7-Inputs!$I$7))</f>
        <v>-183.2</v>
      </c>
      <c r="V67" s="9">
        <f>(Inputs!$I$8+(((A67)+1)/2)*(Inputs!$J$8-Inputs!$I$8))</f>
        <v>-366.4</v>
      </c>
      <c r="W67" s="9">
        <f>(Inputs!$I$9+(((A67)+1)/2)*(Inputs!$J$9-Inputs!$I$9))</f>
        <v>-366.4</v>
      </c>
      <c r="X67" s="10"/>
      <c r="Y67" s="9">
        <f t="shared" si="12"/>
        <v>-0.45800000000000002</v>
      </c>
      <c r="Z67" s="9">
        <f>(Inputs!$H$6+Inputs!$L$6*(((Inputs!$I$6+(((A67)+1)/2)*(Inputs!$J$6-Inputs!$I$6)))/Inputs!$K$6)^2)</f>
        <v>400.83905600000003</v>
      </c>
      <c r="AA67" s="9">
        <f>(Inputs!$H$7+Inputs!$L$7*(((Inputs!$I$7+(((A67)+1)/2)*(Inputs!$J$7-Inputs!$I$7)))/Inputs!$K$7)^2)</f>
        <v>111.56385999999999</v>
      </c>
      <c r="AB67" s="9">
        <f>(Inputs!$H$8+Inputs!$L$8*(((Inputs!$I$8+(((A67)+1)/2)*(Inputs!$J$8-Inputs!$I$8)))/Inputs!$K$8)^2)</f>
        <v>237.42225999999997</v>
      </c>
      <c r="AC67" s="9">
        <f>(Inputs!$H$9+Inputs!$L$9*(((Inputs!$I$9+(((A67)+1)/2)*(Inputs!$J$9-Inputs!$I$9)))/Inputs!$K$9)^2)</f>
        <v>229.51989999999998</v>
      </c>
      <c r="AD67" s="10"/>
      <c r="AE67" s="9">
        <f t="shared" si="13"/>
        <v>-0.45800000000000002</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1212.2448567525639</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61726.773205847087</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124704.01211642462</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126457.71562969436</v>
      </c>
      <c r="AJ67" s="10"/>
      <c r="AK67" s="9">
        <f t="shared" si="14"/>
        <v>-0.45800000000000002</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234.39967548141172</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2154.8661396533071</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2535.8714943942873</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2536.3221234523189</v>
      </c>
      <c r="AP67" s="10"/>
      <c r="AQ67" s="9">
        <f t="shared" si="15"/>
        <v>-0.45800000000000002</v>
      </c>
      <c r="AR67" s="9">
        <f>0</f>
        <v>0</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291.14730692285178</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87.902722054547837</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107.46005409193637</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107.46005409193637</v>
      </c>
      <c r="AW67" s="10"/>
      <c r="AX67" s="9">
        <f t="shared" si="16"/>
        <v>-0.45800000000000002</v>
      </c>
      <c r="AY67" s="9">
        <f>0</f>
        <v>0</v>
      </c>
      <c r="AZ67" s="9">
        <f>IF(OR(Inputs!$F$6=TRUE,Inputs!$F$6="TRUE",Inputs!$F$6=1),(Inputs!$H$6+Inputs!$L$6*(((Inputs!$I$6+(((A67)+1)/2)*(Inputs!$J$6-Inputs!$I$6)))/Inputs!$K$6)^2),NA())</f>
        <v>400.83905600000003</v>
      </c>
      <c r="BA67" s="9">
        <f>IF(OR(Inputs!$F$7=TRUE,Inputs!$F$7="TRUE",Inputs!$F$7=1),(Inputs!$H$7+Inputs!$L$7*(((Inputs!$I$7+(((A67)+1)/2)*(Inputs!$J$7-Inputs!$I$7)))/Inputs!$K$7)^2),NA())</f>
        <v>111.56385999999999</v>
      </c>
      <c r="BB67" s="9">
        <f>IF(OR(Inputs!$F$8=TRUE,Inputs!$F$8="TRUE",Inputs!$F$8=1),(Inputs!$H$8+Inputs!$L$8*(((Inputs!$I$8+(((A67)+1)/2)*(Inputs!$J$8-Inputs!$I$8)))/Inputs!$K$8)^2),NA())</f>
        <v>237.42225999999997</v>
      </c>
      <c r="BC67" s="9">
        <f>IF(OR(Inputs!$F$9=TRUE,Inputs!$F$9="TRUE",Inputs!$F$9=1),(Inputs!$H$9+Inputs!$L$9*(((Inputs!$I$9+(((A67)+1)/2)*(Inputs!$J$9-Inputs!$I$9)))/Inputs!$K$9)^2),NA())</f>
        <v>229.51989999999998</v>
      </c>
      <c r="BD67" s="10"/>
      <c r="BE67" s="9">
        <f t="shared" si="17"/>
        <v>-0.45800000000000002</v>
      </c>
      <c r="BF67" s="9">
        <f>0</f>
        <v>0</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row>
    <row r="68" spans="1:62">
      <c r="A68" s="9">
        <f>ROUND(-1+66*2/240,3)</f>
        <v>-0.45</v>
      </c>
      <c r="B68" s="9">
        <f>IF(OR(Inputs!$F$6=TRUE,Inputs!$F$6="TRUE",Inputs!$F$6=1),(Inputs!$H$6+Inputs!$L$6*(((Inputs!$I$6+(((A68)+1)/2)*(Inputs!$J$6-Inputs!$I$6)))/Inputs!$K$6)^2),NA())</f>
        <v>400.81</v>
      </c>
      <c r="C68" s="9">
        <f>IF(OR(Inputs!$F$7=TRUE,Inputs!$F$7="TRUE",Inputs!$F$7=1),(Inputs!$H$7+Inputs!$L$7*(((Inputs!$I$7+(((A68)+1)/2)*(Inputs!$J$7-Inputs!$I$7)))/Inputs!$K$7)^2),NA())</f>
        <v>108.91249999999998</v>
      </c>
      <c r="D68" s="9">
        <f>IF(OR(Inputs!$F$8=TRUE,Inputs!$F$8="TRUE",Inputs!$F$8=1),(Inputs!$H$8+Inputs!$L$8*(((Inputs!$I$8+(((A68)+1)/2)*(Inputs!$J$8-Inputs!$I$8)))/Inputs!$K$8)^2),NA())</f>
        <v>230.41249999999997</v>
      </c>
      <c r="E68" s="9">
        <f>IF(OR(Inputs!$F$9=TRUE,Inputs!$F$9="TRUE",Inputs!$F$9=1),(Inputs!$H$9+Inputs!$L$9*(((Inputs!$I$9+(((A68)+1)/2)*(Inputs!$J$9-Inputs!$I$9)))/Inputs!$K$9)^2),NA())</f>
        <v>222.43749999999997</v>
      </c>
      <c r="F68" s="10"/>
      <c r="G68" s="9">
        <f t="shared" si="9"/>
        <v>-0.45</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c r="L68" s="10"/>
      <c r="M68" s="9">
        <f t="shared" si="10"/>
        <v>-0.45</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230.33452978340816</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2138.6626146641388</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2509.4893010076516</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2509.4471205524701</v>
      </c>
      <c r="R68" s="10"/>
      <c r="S68" s="9">
        <f t="shared" si="11"/>
        <v>-0.45</v>
      </c>
      <c r="T68" s="9">
        <f>(Inputs!$I$6+(((A68)+1)/2)*(Inputs!$J$6-Inputs!$I$6))</f>
        <v>-27</v>
      </c>
      <c r="U68" s="9">
        <f>(Inputs!$I$7+(((A68)+1)/2)*(Inputs!$J$7-Inputs!$I$7))</f>
        <v>-179.99999999999997</v>
      </c>
      <c r="V68" s="9">
        <f>(Inputs!$I$8+(((A68)+1)/2)*(Inputs!$J$8-Inputs!$I$8))</f>
        <v>-359.99999999999994</v>
      </c>
      <c r="W68" s="9">
        <f>(Inputs!$I$9+(((A68)+1)/2)*(Inputs!$J$9-Inputs!$I$9))</f>
        <v>-359.99999999999994</v>
      </c>
      <c r="X68" s="10"/>
      <c r="Y68" s="9">
        <f t="shared" si="12"/>
        <v>-0.45</v>
      </c>
      <c r="Z68" s="9">
        <f>(Inputs!$H$6+Inputs!$L$6*(((Inputs!$I$6+(((A68)+1)/2)*(Inputs!$J$6-Inputs!$I$6)))/Inputs!$K$6)^2)</f>
        <v>400.81</v>
      </c>
      <c r="AA68" s="9">
        <f>(Inputs!$H$7+Inputs!$L$7*(((Inputs!$I$7+(((A68)+1)/2)*(Inputs!$J$7-Inputs!$I$7)))/Inputs!$K$7)^2)</f>
        <v>108.91249999999998</v>
      </c>
      <c r="AB68" s="9">
        <f>(Inputs!$H$8+Inputs!$L$8*(((Inputs!$I$8+(((A68)+1)/2)*(Inputs!$J$8-Inputs!$I$8)))/Inputs!$K$8)^2)</f>
        <v>230.41249999999997</v>
      </c>
      <c r="AC68" s="9">
        <f>(Inputs!$H$9+Inputs!$L$9*(((Inputs!$I$9+(((A68)+1)/2)*(Inputs!$J$9-Inputs!$I$9)))/Inputs!$K$9)^2)</f>
        <v>222.43749999999997</v>
      </c>
      <c r="AD68" s="10"/>
      <c r="AE68" s="9">
        <f t="shared" si="13"/>
        <v>-0.45</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1189.4054357952016</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60804.218334368896</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122973.18039248711</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124767.23503203207</v>
      </c>
      <c r="AJ68" s="10"/>
      <c r="AK68" s="9">
        <f t="shared" si="14"/>
        <v>-0.45</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230.33452978340816</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2138.6626146641388</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2509.4893010076516</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2509.4471205524701</v>
      </c>
      <c r="AP68" s="10"/>
      <c r="AQ68" s="9">
        <f t="shared" si="15"/>
        <v>-0.45</v>
      </c>
      <c r="AR68" s="9">
        <f>0</f>
        <v>0</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289.34226854100302</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141.81143429065708</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99.304959692825179</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99.304959692825179</v>
      </c>
      <c r="AW68" s="10"/>
      <c r="AX68" s="9">
        <f t="shared" si="16"/>
        <v>-0.45</v>
      </c>
      <c r="AY68" s="9">
        <f>0</f>
        <v>0</v>
      </c>
      <c r="AZ68" s="9">
        <f>IF(OR(Inputs!$F$6=TRUE,Inputs!$F$6="TRUE",Inputs!$F$6=1),(Inputs!$H$6+Inputs!$L$6*(((Inputs!$I$6+(((A68)+1)/2)*(Inputs!$J$6-Inputs!$I$6)))/Inputs!$K$6)^2),NA())</f>
        <v>400.81</v>
      </c>
      <c r="BA68" s="9">
        <f>IF(OR(Inputs!$F$7=TRUE,Inputs!$F$7="TRUE",Inputs!$F$7=1),(Inputs!$H$7+Inputs!$L$7*(((Inputs!$I$7+(((A68)+1)/2)*(Inputs!$J$7-Inputs!$I$7)))/Inputs!$K$7)^2),NA())</f>
        <v>108.91249999999998</v>
      </c>
      <c r="BB68" s="9">
        <f>IF(OR(Inputs!$F$8=TRUE,Inputs!$F$8="TRUE",Inputs!$F$8=1),(Inputs!$H$8+Inputs!$L$8*(((Inputs!$I$8+(((A68)+1)/2)*(Inputs!$J$8-Inputs!$I$8)))/Inputs!$K$8)^2),NA())</f>
        <v>230.41249999999997</v>
      </c>
      <c r="BC68" s="9">
        <f>IF(OR(Inputs!$F$9=TRUE,Inputs!$F$9="TRUE",Inputs!$F$9=1),(Inputs!$H$9+Inputs!$L$9*(((Inputs!$I$9+(((A68)+1)/2)*(Inputs!$J$9-Inputs!$I$9)))/Inputs!$K$9)^2),NA())</f>
        <v>222.43749999999997</v>
      </c>
      <c r="BD68" s="10"/>
      <c r="BE68" s="9">
        <f t="shared" si="17"/>
        <v>-0.45</v>
      </c>
      <c r="BF68" s="9">
        <f>0</f>
        <v>0</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row>
    <row r="69" spans="1:62">
      <c r="A69" s="9">
        <f>ROUND(-1+67*2/240,3)</f>
        <v>-0.442</v>
      </c>
      <c r="B69" s="9">
        <f>IF(OR(Inputs!$F$6=TRUE,Inputs!$F$6="TRUE",Inputs!$F$6=1),(Inputs!$H$6+Inputs!$L$6*(((Inputs!$I$6+(((A69)+1)/2)*(Inputs!$J$6-Inputs!$I$6)))/Inputs!$K$6)^2),NA())</f>
        <v>400.78145599999999</v>
      </c>
      <c r="C69" s="9">
        <f>IF(OR(Inputs!$F$7=TRUE,Inputs!$F$7="TRUE",Inputs!$F$7=1),(Inputs!$H$7+Inputs!$L$7*(((Inputs!$I$7+(((A69)+1)/2)*(Inputs!$J$7-Inputs!$I$7)))/Inputs!$K$7)^2),NA())</f>
        <v>106.30785999999998</v>
      </c>
      <c r="D69" s="9">
        <f>IF(OR(Inputs!$F$8=TRUE,Inputs!$F$8="TRUE",Inputs!$F$8=1),(Inputs!$H$8+Inputs!$L$8*(((Inputs!$I$8+(((A69)+1)/2)*(Inputs!$J$8-Inputs!$I$8)))/Inputs!$K$8)^2),NA())</f>
        <v>223.52625999999995</v>
      </c>
      <c r="E69" s="9">
        <f>IF(OR(Inputs!$F$9=TRUE,Inputs!$F$9="TRUE",Inputs!$F$9=1),(Inputs!$H$9+Inputs!$L$9*(((Inputs!$I$9+(((A69)+1)/2)*(Inputs!$J$9-Inputs!$I$9)))/Inputs!$K$9)^2),NA())</f>
        <v>215.47989999999996</v>
      </c>
      <c r="F69" s="10"/>
      <c r="G69" s="9">
        <f t="shared" si="9"/>
        <v>-0.442</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c r="L69" s="10"/>
      <c r="M69" s="9">
        <f t="shared" si="10"/>
        <v>-0.442</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226.26785644062778</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2122.5845865903175</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2483.353077122159</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2482.824118237223</v>
      </c>
      <c r="R69" s="10"/>
      <c r="S69" s="9">
        <f t="shared" si="11"/>
        <v>-0.442</v>
      </c>
      <c r="T69" s="9">
        <f>(Inputs!$I$6+(((A69)+1)/2)*(Inputs!$J$6-Inputs!$I$6))</f>
        <v>-26.519999999999996</v>
      </c>
      <c r="U69" s="9">
        <f>(Inputs!$I$7+(((A69)+1)/2)*(Inputs!$J$7-Inputs!$I$7))</f>
        <v>-176.79999999999998</v>
      </c>
      <c r="V69" s="9">
        <f>(Inputs!$I$8+(((A69)+1)/2)*(Inputs!$J$8-Inputs!$I$8))</f>
        <v>-353.59999999999997</v>
      </c>
      <c r="W69" s="9">
        <f>(Inputs!$I$9+(((A69)+1)/2)*(Inputs!$J$9-Inputs!$I$9))</f>
        <v>-353.59999999999997</v>
      </c>
      <c r="X69" s="10"/>
      <c r="Y69" s="9">
        <f t="shared" si="12"/>
        <v>-0.442</v>
      </c>
      <c r="Z69" s="9">
        <f>(Inputs!$H$6+Inputs!$L$6*(((Inputs!$I$6+(((A69)+1)/2)*(Inputs!$J$6-Inputs!$I$6)))/Inputs!$K$6)^2)</f>
        <v>400.78145599999999</v>
      </c>
      <c r="AA69" s="9">
        <f>(Inputs!$H$7+Inputs!$L$7*(((Inputs!$I$7+(((A69)+1)/2)*(Inputs!$J$7-Inputs!$I$7)))/Inputs!$K$7)^2)</f>
        <v>106.30785999999998</v>
      </c>
      <c r="AB69" s="9">
        <f>(Inputs!$H$8+Inputs!$L$8*(((Inputs!$I$8+(((A69)+1)/2)*(Inputs!$J$8-Inputs!$I$8)))/Inputs!$K$8)^2)</f>
        <v>223.52625999999995</v>
      </c>
      <c r="AC69" s="9">
        <f>(Inputs!$H$9+Inputs!$L$9*(((Inputs!$I$9+(((A69)+1)/2)*(Inputs!$J$9-Inputs!$I$9)))/Inputs!$K$9)^2)</f>
        <v>215.47989999999996</v>
      </c>
      <c r="AD69" s="10"/>
      <c r="AE69" s="9">
        <f t="shared" si="13"/>
        <v>-0.442</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1166.9636404009684</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59873.551783396411</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121231.96584214328</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123066.75329043697</v>
      </c>
      <c r="AJ69" s="10"/>
      <c r="AK69" s="9">
        <f t="shared" si="14"/>
        <v>-0.442</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226.26785644062778</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2122.5845865903175</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2483.353077122159</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2482.824118237223</v>
      </c>
      <c r="AP69" s="10"/>
      <c r="AQ69" s="9">
        <f t="shared" si="15"/>
        <v>-0.442</v>
      </c>
      <c r="AR69" s="9">
        <f>0</f>
        <v>0</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274.52106022364342</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213.27737267613111</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196.89962334566582</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196.89962334566582</v>
      </c>
      <c r="AW69" s="10"/>
      <c r="AX69" s="9">
        <f t="shared" si="16"/>
        <v>-0.442</v>
      </c>
      <c r="AY69" s="9">
        <f>0</f>
        <v>0</v>
      </c>
      <c r="AZ69" s="9">
        <f>IF(OR(Inputs!$F$6=TRUE,Inputs!$F$6="TRUE",Inputs!$F$6=1),(Inputs!$H$6+Inputs!$L$6*(((Inputs!$I$6+(((A69)+1)/2)*(Inputs!$J$6-Inputs!$I$6)))/Inputs!$K$6)^2),NA())</f>
        <v>400.78145599999999</v>
      </c>
      <c r="BA69" s="9">
        <f>IF(OR(Inputs!$F$7=TRUE,Inputs!$F$7="TRUE",Inputs!$F$7=1),(Inputs!$H$7+Inputs!$L$7*(((Inputs!$I$7+(((A69)+1)/2)*(Inputs!$J$7-Inputs!$I$7)))/Inputs!$K$7)^2),NA())</f>
        <v>106.30785999999998</v>
      </c>
      <c r="BB69" s="9">
        <f>IF(OR(Inputs!$F$8=TRUE,Inputs!$F$8="TRUE",Inputs!$F$8=1),(Inputs!$H$8+Inputs!$L$8*(((Inputs!$I$8+(((A69)+1)/2)*(Inputs!$J$8-Inputs!$I$8)))/Inputs!$K$8)^2),NA())</f>
        <v>223.52625999999995</v>
      </c>
      <c r="BC69" s="9">
        <f>IF(OR(Inputs!$F$9=TRUE,Inputs!$F$9="TRUE",Inputs!$F$9=1),(Inputs!$H$9+Inputs!$L$9*(((Inputs!$I$9+(((A69)+1)/2)*(Inputs!$J$9-Inputs!$I$9)))/Inputs!$K$9)^2),NA())</f>
        <v>215.47989999999996</v>
      </c>
      <c r="BD69" s="10"/>
      <c r="BE69" s="9">
        <f t="shared" si="17"/>
        <v>-0.442</v>
      </c>
      <c r="BF69" s="9">
        <f>0</f>
        <v>0</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row>
    <row r="70" spans="1:62">
      <c r="A70" s="9">
        <f>ROUND(-1+68*2/240,3)</f>
        <v>-0.433</v>
      </c>
      <c r="B70" s="9">
        <f>IF(OR(Inputs!$F$6=TRUE,Inputs!$F$6="TRUE",Inputs!$F$6=1),(Inputs!$H$6+Inputs!$L$6*(((Inputs!$I$6+(((A70)+1)/2)*(Inputs!$J$6-Inputs!$I$6)))/Inputs!$K$6)^2),NA())</f>
        <v>400.749956</v>
      </c>
      <c r="C70" s="9">
        <f>IF(OR(Inputs!$F$7=TRUE,Inputs!$F$7="TRUE",Inputs!$F$7=1),(Inputs!$H$7+Inputs!$L$7*(((Inputs!$I$7+(((A70)+1)/2)*(Inputs!$J$7-Inputs!$I$7)))/Inputs!$K$7)^2),NA())</f>
        <v>103.43348500000002</v>
      </c>
      <c r="D70" s="9">
        <f>IF(OR(Inputs!$F$8=TRUE,Inputs!$F$8="TRUE",Inputs!$F$8=1),(Inputs!$H$8+Inputs!$L$8*(((Inputs!$I$8+(((A70)+1)/2)*(Inputs!$J$8-Inputs!$I$8)))/Inputs!$K$8)^2),NA())</f>
        <v>215.92688500000006</v>
      </c>
      <c r="E70" s="9">
        <f>IF(OR(Inputs!$F$9=TRUE,Inputs!$F$9="TRUE",Inputs!$F$9=1),(Inputs!$H$9+Inputs!$L$9*(((Inputs!$I$9+(((A70)+1)/2)*(Inputs!$J$9-Inputs!$I$9)))/Inputs!$K$9)^2),NA())</f>
        <v>207.80177500000005</v>
      </c>
      <c r="F70" s="10"/>
      <c r="G70" s="9">
        <f t="shared" si="9"/>
        <v>-0.433</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c r="L70" s="10"/>
      <c r="M70" s="9">
        <f t="shared" si="10"/>
        <v>-0.433</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221.6910551464016</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2104.6439840188036</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2454.2502981172429</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2453.1817732967602</v>
      </c>
      <c r="R70" s="10"/>
      <c r="S70" s="9">
        <f t="shared" si="11"/>
        <v>-0.433</v>
      </c>
      <c r="T70" s="9">
        <f>(Inputs!$I$6+(((A70)+1)/2)*(Inputs!$J$6-Inputs!$I$6))</f>
        <v>-25.980000000000004</v>
      </c>
      <c r="U70" s="9">
        <f>(Inputs!$I$7+(((A70)+1)/2)*(Inputs!$J$7-Inputs!$I$7))</f>
        <v>-173.20000000000002</v>
      </c>
      <c r="V70" s="9">
        <f>(Inputs!$I$8+(((A70)+1)/2)*(Inputs!$J$8-Inputs!$I$8))</f>
        <v>-346.40000000000003</v>
      </c>
      <c r="W70" s="9">
        <f>(Inputs!$I$9+(((A70)+1)/2)*(Inputs!$J$9-Inputs!$I$9))</f>
        <v>-346.40000000000003</v>
      </c>
      <c r="X70" s="10"/>
      <c r="Y70" s="9">
        <f t="shared" si="12"/>
        <v>-0.433</v>
      </c>
      <c r="Z70" s="9">
        <f>(Inputs!$H$6+Inputs!$L$6*(((Inputs!$I$6+(((A70)+1)/2)*(Inputs!$J$6-Inputs!$I$6)))/Inputs!$K$6)^2)</f>
        <v>400.749956</v>
      </c>
      <c r="AA70" s="9">
        <f>(Inputs!$H$7+Inputs!$L$7*(((Inputs!$I$7+(((A70)+1)/2)*(Inputs!$J$7-Inputs!$I$7)))/Inputs!$K$7)^2)</f>
        <v>103.43348500000002</v>
      </c>
      <c r="AB70" s="9">
        <f>(Inputs!$H$8+Inputs!$L$8*(((Inputs!$I$8+(((A70)+1)/2)*(Inputs!$J$8-Inputs!$I$8)))/Inputs!$K$8)^2)</f>
        <v>215.92688500000006</v>
      </c>
      <c r="AC70" s="9">
        <f>(Inputs!$H$9+Inputs!$L$9*(((Inputs!$I$9+(((A70)+1)/2)*(Inputs!$J$9-Inputs!$I$9)))/Inputs!$K$9)^2)</f>
        <v>207.80177500000005</v>
      </c>
      <c r="AD70" s="10"/>
      <c r="AE70" s="9">
        <f t="shared" si="13"/>
        <v>-0.433</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1142.192225081589</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58816.681987083728</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119259.99280237066</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121141.0430123097</v>
      </c>
      <c r="AJ70" s="10"/>
      <c r="AK70" s="9">
        <f t="shared" si="14"/>
        <v>-0.433</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221.6910551464016</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2104.6439840188036</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2454.2502981172429</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2453.1817732967602</v>
      </c>
      <c r="AP70" s="10"/>
      <c r="AQ70" s="9">
        <f t="shared" si="15"/>
        <v>-0.433</v>
      </c>
      <c r="AR70" s="9">
        <f>0</f>
        <v>0</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273.43373538712251</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174.20048025772203</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92.7921672822971</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92.7921672822971</v>
      </c>
      <c r="AW70" s="10"/>
      <c r="AX70" s="9">
        <f t="shared" si="16"/>
        <v>-0.433</v>
      </c>
      <c r="AY70" s="9">
        <f>0</f>
        <v>0</v>
      </c>
      <c r="AZ70" s="9">
        <f>IF(OR(Inputs!$F$6=TRUE,Inputs!$F$6="TRUE",Inputs!$F$6=1),(Inputs!$H$6+Inputs!$L$6*(((Inputs!$I$6+(((A70)+1)/2)*(Inputs!$J$6-Inputs!$I$6)))/Inputs!$K$6)^2),NA())</f>
        <v>400.749956</v>
      </c>
      <c r="BA70" s="9">
        <f>IF(OR(Inputs!$F$7=TRUE,Inputs!$F$7="TRUE",Inputs!$F$7=1),(Inputs!$H$7+Inputs!$L$7*(((Inputs!$I$7+(((A70)+1)/2)*(Inputs!$J$7-Inputs!$I$7)))/Inputs!$K$7)^2),NA())</f>
        <v>103.43348500000002</v>
      </c>
      <c r="BB70" s="9">
        <f>IF(OR(Inputs!$F$8=TRUE,Inputs!$F$8="TRUE",Inputs!$F$8=1),(Inputs!$H$8+Inputs!$L$8*(((Inputs!$I$8+(((A70)+1)/2)*(Inputs!$J$8-Inputs!$I$8)))/Inputs!$K$8)^2),NA())</f>
        <v>215.92688500000006</v>
      </c>
      <c r="BC70" s="9">
        <f>IF(OR(Inputs!$F$9=TRUE,Inputs!$F$9="TRUE",Inputs!$F$9=1),(Inputs!$H$9+Inputs!$L$9*(((Inputs!$I$9+(((A70)+1)/2)*(Inputs!$J$9-Inputs!$I$9)))/Inputs!$K$9)^2),NA())</f>
        <v>207.80177500000005</v>
      </c>
      <c r="BD70" s="10"/>
      <c r="BE70" s="9">
        <f t="shared" si="17"/>
        <v>-0.433</v>
      </c>
      <c r="BF70" s="9">
        <f>0</f>
        <v>0</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row>
    <row r="71" spans="1:62">
      <c r="A71" s="9">
        <f>ROUND(-1+69*2/240,3)</f>
        <v>-0.42499999999999999</v>
      </c>
      <c r="B71" s="9">
        <f>IF(OR(Inputs!$F$6=TRUE,Inputs!$F$6="TRUE",Inputs!$F$6=1),(Inputs!$H$6+Inputs!$L$6*(((Inputs!$I$6+(((A71)+1)/2)*(Inputs!$J$6-Inputs!$I$6)))/Inputs!$K$6)^2),NA())</f>
        <v>400.72250000000003</v>
      </c>
      <c r="C71" s="9">
        <f>IF(OR(Inputs!$F$7=TRUE,Inputs!$F$7="TRUE",Inputs!$F$7=1),(Inputs!$H$7+Inputs!$L$7*(((Inputs!$I$7+(((A71)+1)/2)*(Inputs!$J$7-Inputs!$I$7)))/Inputs!$K$7)^2),NA())</f>
        <v>100.92812500000001</v>
      </c>
      <c r="D71" s="9">
        <f>IF(OR(Inputs!$F$8=TRUE,Inputs!$F$8="TRUE",Inputs!$F$8=1),(Inputs!$H$8+Inputs!$L$8*(((Inputs!$I$8+(((A71)+1)/2)*(Inputs!$J$8-Inputs!$I$8)))/Inputs!$K$8)^2),NA())</f>
        <v>209.30312500000002</v>
      </c>
      <c r="E71" s="9">
        <f>IF(OR(Inputs!$F$9=TRUE,Inputs!$F$9="TRUE",Inputs!$F$9=1),(Inputs!$H$9+Inputs!$L$9*(((Inputs!$I$9+(((A71)+1)/2)*(Inputs!$J$9-Inputs!$I$9)))/Inputs!$K$9)^2),NA())</f>
        <v>201.10937500000003</v>
      </c>
      <c r="F71" s="10"/>
      <c r="G71" s="9">
        <f t="shared" si="9"/>
        <v>-0.42499999999999999</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c r="L71" s="10"/>
      <c r="M71" s="9">
        <f t="shared" si="10"/>
        <v>-0.42499999999999999</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217.62122157998533</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2088.8245942087237</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2428.6539519989774</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2427.1137937459166</v>
      </c>
      <c r="R71" s="10"/>
      <c r="S71" s="9">
        <f t="shared" si="11"/>
        <v>-0.42499999999999999</v>
      </c>
      <c r="T71" s="9">
        <f>(Inputs!$I$6+(((A71)+1)/2)*(Inputs!$J$6-Inputs!$I$6))</f>
        <v>-25.5</v>
      </c>
      <c r="U71" s="9">
        <f>(Inputs!$I$7+(((A71)+1)/2)*(Inputs!$J$7-Inputs!$I$7))</f>
        <v>-170.00000000000003</v>
      </c>
      <c r="V71" s="9">
        <f>(Inputs!$I$8+(((A71)+1)/2)*(Inputs!$J$8-Inputs!$I$8))</f>
        <v>-340.00000000000006</v>
      </c>
      <c r="W71" s="9">
        <f>(Inputs!$I$9+(((A71)+1)/2)*(Inputs!$J$9-Inputs!$I$9))</f>
        <v>-340.00000000000006</v>
      </c>
      <c r="X71" s="10"/>
      <c r="Y71" s="9">
        <f t="shared" si="12"/>
        <v>-0.42499999999999999</v>
      </c>
      <c r="Z71" s="9">
        <f>(Inputs!$H$6+Inputs!$L$6*(((Inputs!$I$6+(((A71)+1)/2)*(Inputs!$J$6-Inputs!$I$6)))/Inputs!$K$6)^2)</f>
        <v>400.72250000000003</v>
      </c>
      <c r="AA71" s="9">
        <f>(Inputs!$H$7+Inputs!$L$7*(((Inputs!$I$7+(((A71)+1)/2)*(Inputs!$J$7-Inputs!$I$7)))/Inputs!$K$7)^2)</f>
        <v>100.92812500000001</v>
      </c>
      <c r="AB71" s="9">
        <f>(Inputs!$H$8+Inputs!$L$8*(((Inputs!$I$8+(((A71)+1)/2)*(Inputs!$J$8-Inputs!$I$8)))/Inputs!$K$8)^2)</f>
        <v>209.30312500000002</v>
      </c>
      <c r="AC71" s="9">
        <f>(Inputs!$H$9+Inputs!$L$9*(((Inputs!$I$9+(((A71)+1)/2)*(Inputs!$J$9-Inputs!$I$9)))/Inputs!$K$9)^2)</f>
        <v>201.10937500000003</v>
      </c>
      <c r="AD71" s="10"/>
      <c r="AE71" s="9">
        <f t="shared" si="13"/>
        <v>-0.42499999999999999</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1120.5962262068354</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57868.317490881207</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117494.84561465748</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119417.39021214147</v>
      </c>
      <c r="AJ71" s="10"/>
      <c r="AK71" s="9">
        <f t="shared" si="14"/>
        <v>-0.42499999999999999</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217.62122157998533</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2088.8245942087237</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2428.6539519989774</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2427.1137937459166</v>
      </c>
      <c r="AP71" s="10"/>
      <c r="AQ71" s="9">
        <f t="shared" si="15"/>
        <v>-0.42499999999999999</v>
      </c>
      <c r="AR71" s="9">
        <f>0</f>
        <v>0</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271.72277085419893</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114.50242234257864</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177.92905258860779</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177.92905258860779</v>
      </c>
      <c r="AW71" s="10"/>
      <c r="AX71" s="9">
        <f t="shared" si="16"/>
        <v>-0.42499999999999999</v>
      </c>
      <c r="AY71" s="9">
        <f>0</f>
        <v>0</v>
      </c>
      <c r="AZ71" s="9">
        <f>IF(OR(Inputs!$F$6=TRUE,Inputs!$F$6="TRUE",Inputs!$F$6=1),(Inputs!$H$6+Inputs!$L$6*(((Inputs!$I$6+(((A71)+1)/2)*(Inputs!$J$6-Inputs!$I$6)))/Inputs!$K$6)^2),NA())</f>
        <v>400.72250000000003</v>
      </c>
      <c r="BA71" s="9">
        <f>IF(OR(Inputs!$F$7=TRUE,Inputs!$F$7="TRUE",Inputs!$F$7=1),(Inputs!$H$7+Inputs!$L$7*(((Inputs!$I$7+(((A71)+1)/2)*(Inputs!$J$7-Inputs!$I$7)))/Inputs!$K$7)^2),NA())</f>
        <v>100.92812500000001</v>
      </c>
      <c r="BB71" s="9">
        <f>IF(OR(Inputs!$F$8=TRUE,Inputs!$F$8="TRUE",Inputs!$F$8=1),(Inputs!$H$8+Inputs!$L$8*(((Inputs!$I$8+(((A71)+1)/2)*(Inputs!$J$8-Inputs!$I$8)))/Inputs!$K$8)^2),NA())</f>
        <v>209.30312500000002</v>
      </c>
      <c r="BC71" s="9">
        <f>IF(OR(Inputs!$F$9=TRUE,Inputs!$F$9="TRUE",Inputs!$F$9=1),(Inputs!$H$9+Inputs!$L$9*(((Inputs!$I$9+(((A71)+1)/2)*(Inputs!$J$9-Inputs!$I$9)))/Inputs!$K$9)^2),NA())</f>
        <v>201.10937500000003</v>
      </c>
      <c r="BD71" s="10"/>
      <c r="BE71" s="9">
        <f t="shared" si="17"/>
        <v>-0.42499999999999999</v>
      </c>
      <c r="BF71" s="9">
        <f>0</f>
        <v>0</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row>
    <row r="72" spans="1:62">
      <c r="A72" s="9">
        <f>ROUND(-1+70*2/240,3)</f>
        <v>-0.41699999999999998</v>
      </c>
      <c r="B72" s="9">
        <f>IF(OR(Inputs!$F$6=TRUE,Inputs!$F$6="TRUE",Inputs!$F$6=1),(Inputs!$H$6+Inputs!$L$6*(((Inputs!$I$6+(((A72)+1)/2)*(Inputs!$J$6-Inputs!$I$6)))/Inputs!$K$6)^2),NA())</f>
        <v>400.69555600000001</v>
      </c>
      <c r="C72" s="9">
        <f>IF(OR(Inputs!$F$7=TRUE,Inputs!$F$7="TRUE",Inputs!$F$7=1),(Inputs!$H$7+Inputs!$L$7*(((Inputs!$I$7+(((A72)+1)/2)*(Inputs!$J$7-Inputs!$I$7)))/Inputs!$K$7)^2),NA())</f>
        <v>98.46948500000002</v>
      </c>
      <c r="D72" s="9">
        <f>IF(OR(Inputs!$F$8=TRUE,Inputs!$F$8="TRUE",Inputs!$F$8=1),(Inputs!$H$8+Inputs!$L$8*(((Inputs!$I$8+(((A72)+1)/2)*(Inputs!$J$8-Inputs!$I$8)))/Inputs!$K$8)^2),NA())</f>
        <v>202.80288500000003</v>
      </c>
      <c r="E72" s="9">
        <f>IF(OR(Inputs!$F$9=TRUE,Inputs!$F$9="TRUE",Inputs!$F$9=1),(Inputs!$H$9+Inputs!$L$9*(((Inputs!$I$9+(((A72)+1)/2)*(Inputs!$J$9-Inputs!$I$9)))/Inputs!$K$9)^2),NA())</f>
        <v>194.54177500000003</v>
      </c>
      <c r="F72" s="10"/>
      <c r="G72" s="9">
        <f t="shared" si="9"/>
        <v>-0.41699999999999998</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c r="L72" s="10"/>
      <c r="M72" s="9">
        <f t="shared" si="10"/>
        <v>-0.41699999999999998</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213.54994147342623</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2073.1221403730683</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2403.3196601901172</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2401.3162100798154</v>
      </c>
      <c r="R72" s="10"/>
      <c r="S72" s="9">
        <f t="shared" si="11"/>
        <v>-0.41699999999999998</v>
      </c>
      <c r="T72" s="9">
        <f>(Inputs!$I$6+(((A72)+1)/2)*(Inputs!$J$6-Inputs!$I$6))</f>
        <v>-25.020000000000003</v>
      </c>
      <c r="U72" s="9">
        <f>(Inputs!$I$7+(((A72)+1)/2)*(Inputs!$J$7-Inputs!$I$7))</f>
        <v>-166.8</v>
      </c>
      <c r="V72" s="9">
        <f>(Inputs!$I$8+(((A72)+1)/2)*(Inputs!$J$8-Inputs!$I$8))</f>
        <v>-333.6</v>
      </c>
      <c r="W72" s="9">
        <f>(Inputs!$I$9+(((A72)+1)/2)*(Inputs!$J$9-Inputs!$I$9))</f>
        <v>-333.6</v>
      </c>
      <c r="X72" s="10"/>
      <c r="Y72" s="9">
        <f t="shared" si="12"/>
        <v>-0.41699999999999998</v>
      </c>
      <c r="Z72" s="9">
        <f>(Inputs!$H$6+Inputs!$L$6*(((Inputs!$I$6+(((A72)+1)/2)*(Inputs!$J$6-Inputs!$I$6)))/Inputs!$K$6)^2)</f>
        <v>400.69555600000001</v>
      </c>
      <c r="AA72" s="9">
        <f>(Inputs!$H$7+Inputs!$L$7*(((Inputs!$I$7+(((A72)+1)/2)*(Inputs!$J$7-Inputs!$I$7)))/Inputs!$K$7)^2)</f>
        <v>98.46948500000002</v>
      </c>
      <c r="AB72" s="9">
        <f>(Inputs!$H$8+Inputs!$L$8*(((Inputs!$I$8+(((A72)+1)/2)*(Inputs!$J$8-Inputs!$I$8)))/Inputs!$K$8)^2)</f>
        <v>202.80288500000003</v>
      </c>
      <c r="AC72" s="9">
        <f>(Inputs!$H$9+Inputs!$L$9*(((Inputs!$I$9+(((A72)+1)/2)*(Inputs!$J$9-Inputs!$I$9)))/Inputs!$K$9)^2)</f>
        <v>194.54177500000003</v>
      </c>
      <c r="AD72" s="10"/>
      <c r="AE72" s="9">
        <f t="shared" si="13"/>
        <v>-0.41699999999999998</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1099.3986361532616</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56911.414376867069</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115717.53155231776</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117681.90206940661</v>
      </c>
      <c r="AJ72" s="10"/>
      <c r="AK72" s="9">
        <f t="shared" si="14"/>
        <v>-0.41699999999999998</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213.54994147342623</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2073.1221403730683</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2403.3196601901172</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2401.3162100798154</v>
      </c>
      <c r="AP72" s="10"/>
      <c r="AQ72" s="9">
        <f t="shared" si="15"/>
        <v>-0.41699999999999998</v>
      </c>
      <c r="AR72" s="9">
        <f>0</f>
        <v>0</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281.12293473102153</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81.285788137904532</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184.54757753114495</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184.54757753114495</v>
      </c>
      <c r="AW72" s="10"/>
      <c r="AX72" s="9">
        <f t="shared" si="16"/>
        <v>-0.41699999999999998</v>
      </c>
      <c r="AY72" s="9">
        <f>0</f>
        <v>0</v>
      </c>
      <c r="AZ72" s="9">
        <f>IF(OR(Inputs!$F$6=TRUE,Inputs!$F$6="TRUE",Inputs!$F$6=1),(Inputs!$H$6+Inputs!$L$6*(((Inputs!$I$6+(((A72)+1)/2)*(Inputs!$J$6-Inputs!$I$6)))/Inputs!$K$6)^2),NA())</f>
        <v>400.69555600000001</v>
      </c>
      <c r="BA72" s="9">
        <f>IF(OR(Inputs!$F$7=TRUE,Inputs!$F$7="TRUE",Inputs!$F$7=1),(Inputs!$H$7+Inputs!$L$7*(((Inputs!$I$7+(((A72)+1)/2)*(Inputs!$J$7-Inputs!$I$7)))/Inputs!$K$7)^2),NA())</f>
        <v>98.46948500000002</v>
      </c>
      <c r="BB72" s="9">
        <f>IF(OR(Inputs!$F$8=TRUE,Inputs!$F$8="TRUE",Inputs!$F$8=1),(Inputs!$H$8+Inputs!$L$8*(((Inputs!$I$8+(((A72)+1)/2)*(Inputs!$J$8-Inputs!$I$8)))/Inputs!$K$8)^2),NA())</f>
        <v>202.80288500000003</v>
      </c>
      <c r="BC72" s="9">
        <f>IF(OR(Inputs!$F$9=TRUE,Inputs!$F$9="TRUE",Inputs!$F$9=1),(Inputs!$H$9+Inputs!$L$9*(((Inputs!$I$9+(((A72)+1)/2)*(Inputs!$J$9-Inputs!$I$9)))/Inputs!$K$9)^2),NA())</f>
        <v>194.54177500000003</v>
      </c>
      <c r="BD72" s="10"/>
      <c r="BE72" s="9">
        <f t="shared" si="17"/>
        <v>-0.41699999999999998</v>
      </c>
      <c r="BF72" s="9">
        <f>0</f>
        <v>0</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row>
    <row r="73" spans="1:62">
      <c r="A73" s="9">
        <f>ROUND(-1+71*2/240,3)</f>
        <v>-0.40799999999999997</v>
      </c>
      <c r="B73" s="9">
        <f>IF(OR(Inputs!$F$6=TRUE,Inputs!$F$6="TRUE",Inputs!$F$6=1),(Inputs!$H$6+Inputs!$L$6*(((Inputs!$I$6+(((A73)+1)/2)*(Inputs!$J$6-Inputs!$I$6)))/Inputs!$K$6)^2),NA())</f>
        <v>400.66585600000002</v>
      </c>
      <c r="C73" s="9">
        <f>IF(OR(Inputs!$F$7=TRUE,Inputs!$F$7="TRUE",Inputs!$F$7=1),(Inputs!$H$7+Inputs!$L$7*(((Inputs!$I$7+(((A73)+1)/2)*(Inputs!$J$7-Inputs!$I$7)))/Inputs!$K$7)^2),NA())</f>
        <v>95.759359999999987</v>
      </c>
      <c r="D73" s="9">
        <f>IF(OR(Inputs!$F$8=TRUE,Inputs!$F$8="TRUE",Inputs!$F$8=1),(Inputs!$H$8+Inputs!$L$8*(((Inputs!$I$8+(((A73)+1)/2)*(Inputs!$J$8-Inputs!$I$8)))/Inputs!$K$8)^2),NA())</f>
        <v>195.63775999999996</v>
      </c>
      <c r="E73" s="9">
        <f>IF(OR(Inputs!$F$9=TRUE,Inputs!$F$9="TRUE",Inputs!$F$9=1),(Inputs!$H$9+Inputs!$L$9*(((Inputs!$I$9+(((A73)+1)/2)*(Inputs!$J$9-Inputs!$I$9)))/Inputs!$K$9)^2),NA())</f>
        <v>187.30239999999995</v>
      </c>
      <c r="F73" s="10"/>
      <c r="G73" s="9">
        <f t="shared" si="9"/>
        <v>-0.40799999999999997</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c r="L73" s="10"/>
      <c r="M73" s="9">
        <f t="shared" si="10"/>
        <v>-0.40799999999999997</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208.96805477241764</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2055.5919229887031</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2375.1380654706691</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2372.6244588040913</v>
      </c>
      <c r="R73" s="10"/>
      <c r="S73" s="9">
        <f t="shared" si="11"/>
        <v>-0.40799999999999997</v>
      </c>
      <c r="T73" s="9">
        <f>(Inputs!$I$6+(((A73)+1)/2)*(Inputs!$J$6-Inputs!$I$6))</f>
        <v>-24.479999999999997</v>
      </c>
      <c r="U73" s="9">
        <f>(Inputs!$I$7+(((A73)+1)/2)*(Inputs!$J$7-Inputs!$I$7))</f>
        <v>-163.19999999999996</v>
      </c>
      <c r="V73" s="9">
        <f>(Inputs!$I$8+(((A73)+1)/2)*(Inputs!$J$8-Inputs!$I$8))</f>
        <v>-326.39999999999992</v>
      </c>
      <c r="W73" s="9">
        <f>(Inputs!$I$9+(((A73)+1)/2)*(Inputs!$J$9-Inputs!$I$9))</f>
        <v>-326.39999999999992</v>
      </c>
      <c r="X73" s="10"/>
      <c r="Y73" s="9">
        <f t="shared" si="12"/>
        <v>-0.40799999999999997</v>
      </c>
      <c r="Z73" s="9">
        <f>(Inputs!$H$6+Inputs!$L$6*(((Inputs!$I$6+(((A73)+1)/2)*(Inputs!$J$6-Inputs!$I$6)))/Inputs!$K$6)^2)</f>
        <v>400.66585600000002</v>
      </c>
      <c r="AA73" s="9">
        <f>(Inputs!$H$7+Inputs!$L$7*(((Inputs!$I$7+(((A73)+1)/2)*(Inputs!$J$7-Inputs!$I$7)))/Inputs!$K$7)^2)</f>
        <v>95.759359999999987</v>
      </c>
      <c r="AB73" s="9">
        <f>(Inputs!$H$8+Inputs!$L$8*(((Inputs!$I$8+(((A73)+1)/2)*(Inputs!$J$8-Inputs!$I$8)))/Inputs!$K$8)^2)</f>
        <v>195.63775999999996</v>
      </c>
      <c r="AC73" s="9">
        <f>(Inputs!$H$9+Inputs!$L$9*(((Inputs!$I$9+(((A73)+1)/2)*(Inputs!$J$9-Inputs!$I$9)))/Inputs!$K$9)^2)</f>
        <v>187.30239999999995</v>
      </c>
      <c r="AD73" s="10"/>
      <c r="AE73" s="9">
        <f t="shared" si="13"/>
        <v>-0.40799999999999997</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1076.027871037179</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55824.531214984359</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113702.76930301559</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115714.5656563071</v>
      </c>
      <c r="AJ73" s="10"/>
      <c r="AK73" s="9">
        <f t="shared" si="14"/>
        <v>-0.40799999999999997</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208.96805477241764</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2055.5919229887031</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2375.1380654706691</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2372.6244588040913</v>
      </c>
      <c r="AP73" s="10"/>
      <c r="AQ73" s="9">
        <f t="shared" si="15"/>
        <v>-0.40799999999999997</v>
      </c>
      <c r="AR73" s="9">
        <f>0</f>
        <v>0</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259.89680022722393</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102.95017423788758</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86.539393953253025</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86.539393953253025</v>
      </c>
      <c r="AW73" s="10"/>
      <c r="AX73" s="9">
        <f t="shared" si="16"/>
        <v>-0.40799999999999997</v>
      </c>
      <c r="AY73" s="9">
        <f>0</f>
        <v>0</v>
      </c>
      <c r="AZ73" s="9">
        <f>IF(OR(Inputs!$F$6=TRUE,Inputs!$F$6="TRUE",Inputs!$F$6=1),(Inputs!$H$6+Inputs!$L$6*(((Inputs!$I$6+(((A73)+1)/2)*(Inputs!$J$6-Inputs!$I$6)))/Inputs!$K$6)^2),NA())</f>
        <v>400.66585600000002</v>
      </c>
      <c r="BA73" s="9">
        <f>IF(OR(Inputs!$F$7=TRUE,Inputs!$F$7="TRUE",Inputs!$F$7=1),(Inputs!$H$7+Inputs!$L$7*(((Inputs!$I$7+(((A73)+1)/2)*(Inputs!$J$7-Inputs!$I$7)))/Inputs!$K$7)^2),NA())</f>
        <v>95.759359999999987</v>
      </c>
      <c r="BB73" s="9">
        <f>IF(OR(Inputs!$F$8=TRUE,Inputs!$F$8="TRUE",Inputs!$F$8=1),(Inputs!$H$8+Inputs!$L$8*(((Inputs!$I$8+(((A73)+1)/2)*(Inputs!$J$8-Inputs!$I$8)))/Inputs!$K$8)^2),NA())</f>
        <v>195.63775999999996</v>
      </c>
      <c r="BC73" s="9">
        <f>IF(OR(Inputs!$F$9=TRUE,Inputs!$F$9="TRUE",Inputs!$F$9=1),(Inputs!$H$9+Inputs!$L$9*(((Inputs!$I$9+(((A73)+1)/2)*(Inputs!$J$9-Inputs!$I$9)))/Inputs!$K$9)^2),NA())</f>
        <v>187.30239999999995</v>
      </c>
      <c r="BD73" s="10"/>
      <c r="BE73" s="9">
        <f t="shared" si="17"/>
        <v>-0.40799999999999997</v>
      </c>
      <c r="BF73" s="9">
        <f>0</f>
        <v>0</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row>
    <row r="74" spans="1:62">
      <c r="A74" s="9">
        <f>ROUND(-1+72*2/240,3)</f>
        <v>-0.4</v>
      </c>
      <c r="B74" s="9">
        <f>IF(OR(Inputs!$F$6=TRUE,Inputs!$F$6="TRUE",Inputs!$F$6=1),(Inputs!$H$6+Inputs!$L$6*(((Inputs!$I$6+(((A74)+1)/2)*(Inputs!$J$6-Inputs!$I$6)))/Inputs!$K$6)^2),NA())</f>
        <v>400.64</v>
      </c>
      <c r="C74" s="9">
        <f>IF(OR(Inputs!$F$7=TRUE,Inputs!$F$7="TRUE",Inputs!$F$7=1),(Inputs!$H$7+Inputs!$L$7*(((Inputs!$I$7+(((A74)+1)/2)*(Inputs!$J$7-Inputs!$I$7)))/Inputs!$K$7)^2),NA())</f>
        <v>93.4</v>
      </c>
      <c r="D74" s="9">
        <f>IF(OR(Inputs!$F$8=TRUE,Inputs!$F$8="TRUE",Inputs!$F$8=1),(Inputs!$H$8+Inputs!$L$8*(((Inputs!$I$8+(((A74)+1)/2)*(Inputs!$J$8-Inputs!$I$8)))/Inputs!$K$8)^2),NA())</f>
        <v>189.40000000000003</v>
      </c>
      <c r="E74" s="9">
        <f>IF(OR(Inputs!$F$9=TRUE,Inputs!$F$9="TRUE",Inputs!$F$9=1),(Inputs!$H$9+Inputs!$L$9*(((Inputs!$I$9+(((A74)+1)/2)*(Inputs!$J$9-Inputs!$I$9)))/Inputs!$K$9)^2),NA())</f>
        <v>181.00000000000003</v>
      </c>
      <c r="F74" s="10"/>
      <c r="G74" s="9">
        <f t="shared" si="9"/>
        <v>-0.4</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c r="L74" s="10"/>
      <c r="M74" s="9">
        <f t="shared" si="10"/>
        <v>-0.4</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204.89378747120131</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2040.124647642961</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2350.3771823153534</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2347.4209581836103</v>
      </c>
      <c r="R74" s="10"/>
      <c r="S74" s="9">
        <f t="shared" si="11"/>
        <v>-0.4</v>
      </c>
      <c r="T74" s="9">
        <f>(Inputs!$I$6+(((A74)+1)/2)*(Inputs!$J$6-Inputs!$I$6))</f>
        <v>-24</v>
      </c>
      <c r="U74" s="9">
        <f>(Inputs!$I$7+(((A74)+1)/2)*(Inputs!$J$7-Inputs!$I$7))</f>
        <v>-160</v>
      </c>
      <c r="V74" s="9">
        <f>(Inputs!$I$8+(((A74)+1)/2)*(Inputs!$J$8-Inputs!$I$8))</f>
        <v>-320</v>
      </c>
      <c r="W74" s="9">
        <f>(Inputs!$I$9+(((A74)+1)/2)*(Inputs!$J$9-Inputs!$I$9))</f>
        <v>-320</v>
      </c>
      <c r="X74" s="10"/>
      <c r="Y74" s="9">
        <f t="shared" si="12"/>
        <v>-0.4</v>
      </c>
      <c r="Z74" s="9">
        <f>(Inputs!$H$6+Inputs!$L$6*(((Inputs!$I$6+(((A74)+1)/2)*(Inputs!$J$6-Inputs!$I$6)))/Inputs!$K$6)^2)</f>
        <v>400.64</v>
      </c>
      <c r="AA74" s="9">
        <f>(Inputs!$H$7+Inputs!$L$7*(((Inputs!$I$7+(((A74)+1)/2)*(Inputs!$J$7-Inputs!$I$7)))/Inputs!$K$7)^2)</f>
        <v>93.4</v>
      </c>
      <c r="AB74" s="9">
        <f>(Inputs!$H$8+Inputs!$L$8*(((Inputs!$I$8+(((A74)+1)/2)*(Inputs!$J$8-Inputs!$I$8)))/Inputs!$K$8)^2)</f>
        <v>189.40000000000003</v>
      </c>
      <c r="AC74" s="9">
        <f>(Inputs!$H$9+Inputs!$L$9*(((Inputs!$I$9+(((A74)+1)/2)*(Inputs!$J$9-Inputs!$I$9)))/Inputs!$K$9)^2)</f>
        <v>181.00000000000003</v>
      </c>
      <c r="AD74" s="10"/>
      <c r="AE74" s="9">
        <f t="shared" si="13"/>
        <v>-0.4</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1055.6776964389417</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54849.059895729632</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111897.61266068535</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113951.87151114203</v>
      </c>
      <c r="AJ74" s="10"/>
      <c r="AK74" s="9">
        <f t="shared" si="14"/>
        <v>-0.4</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204.89378747120131</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2040.124647642961</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2350.3771823153534</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2347.4209581836103</v>
      </c>
      <c r="AP74" s="10"/>
      <c r="AQ74" s="9">
        <f t="shared" si="15"/>
        <v>-0.4</v>
      </c>
      <c r="AR74" s="9">
        <f>0</f>
        <v>0</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268.57917598156757</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138.70370323809672</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230.83673823808448</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230.83673823808448</v>
      </c>
      <c r="AW74" s="10"/>
      <c r="AX74" s="9">
        <f t="shared" si="16"/>
        <v>-0.4</v>
      </c>
      <c r="AY74" s="9">
        <f>0</f>
        <v>0</v>
      </c>
      <c r="AZ74" s="9">
        <f>IF(OR(Inputs!$F$6=TRUE,Inputs!$F$6="TRUE",Inputs!$F$6=1),(Inputs!$H$6+Inputs!$L$6*(((Inputs!$I$6+(((A74)+1)/2)*(Inputs!$J$6-Inputs!$I$6)))/Inputs!$K$6)^2),NA())</f>
        <v>400.64</v>
      </c>
      <c r="BA74" s="9">
        <f>IF(OR(Inputs!$F$7=TRUE,Inputs!$F$7="TRUE",Inputs!$F$7=1),(Inputs!$H$7+Inputs!$L$7*(((Inputs!$I$7+(((A74)+1)/2)*(Inputs!$J$7-Inputs!$I$7)))/Inputs!$K$7)^2),NA())</f>
        <v>93.4</v>
      </c>
      <c r="BB74" s="9">
        <f>IF(OR(Inputs!$F$8=TRUE,Inputs!$F$8="TRUE",Inputs!$F$8=1),(Inputs!$H$8+Inputs!$L$8*(((Inputs!$I$8+(((A74)+1)/2)*(Inputs!$J$8-Inputs!$I$8)))/Inputs!$K$8)^2),NA())</f>
        <v>189.40000000000003</v>
      </c>
      <c r="BC74" s="9">
        <f>IF(OR(Inputs!$F$9=TRUE,Inputs!$F$9="TRUE",Inputs!$F$9=1),(Inputs!$H$9+Inputs!$L$9*(((Inputs!$I$9+(((A74)+1)/2)*(Inputs!$J$9-Inputs!$I$9)))/Inputs!$K$9)^2),NA())</f>
        <v>181.00000000000003</v>
      </c>
      <c r="BD74" s="10"/>
      <c r="BE74" s="9">
        <f t="shared" si="17"/>
        <v>-0.4</v>
      </c>
      <c r="BF74" s="9">
        <f>0</f>
        <v>0</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row>
    <row r="75" spans="1:62">
      <c r="A75" s="9">
        <f>ROUND(-1+73*2/240,3)</f>
        <v>-0.39200000000000002</v>
      </c>
      <c r="B75" s="9">
        <f>IF(OR(Inputs!$F$6=TRUE,Inputs!$F$6="TRUE",Inputs!$F$6=1),(Inputs!$H$6+Inputs!$L$6*(((Inputs!$I$6+(((A75)+1)/2)*(Inputs!$J$6-Inputs!$I$6)))/Inputs!$K$6)^2),NA())</f>
        <v>400.61465600000002</v>
      </c>
      <c r="C75" s="9">
        <f>IF(OR(Inputs!$F$7=TRUE,Inputs!$F$7="TRUE",Inputs!$F$7=1),(Inputs!$H$7+Inputs!$L$7*(((Inputs!$I$7+(((A75)+1)/2)*(Inputs!$J$7-Inputs!$I$7)))/Inputs!$K$7)^2),NA())</f>
        <v>91.087360000000018</v>
      </c>
      <c r="D75" s="9">
        <f>IF(OR(Inputs!$F$8=TRUE,Inputs!$F$8="TRUE",Inputs!$F$8=1),(Inputs!$H$8+Inputs!$L$8*(((Inputs!$I$8+(((A75)+1)/2)*(Inputs!$J$8-Inputs!$I$8)))/Inputs!$K$8)^2),NA())</f>
        <v>183.28576000000001</v>
      </c>
      <c r="E75" s="9">
        <f>IF(OR(Inputs!$F$9=TRUE,Inputs!$F$9="TRUE",Inputs!$F$9=1),(Inputs!$H$9+Inputs!$L$9*(((Inputs!$I$9+(((A75)+1)/2)*(Inputs!$J$9-Inputs!$I$9)))/Inputs!$K$9)^2),NA())</f>
        <v>174.82240000000002</v>
      </c>
      <c r="F75" s="10"/>
      <c r="G75" s="9">
        <f t="shared" si="9"/>
        <v>-0.39200000000000002</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c r="L75" s="10"/>
      <c r="M75" s="9">
        <f t="shared" si="10"/>
        <v>-0.39200000000000002</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200.81815536858818</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2024.760402222058</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2325.8936779166315</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2322.5061095929641</v>
      </c>
      <c r="R75" s="10"/>
      <c r="S75" s="9">
        <f t="shared" si="11"/>
        <v>-0.39200000000000002</v>
      </c>
      <c r="T75" s="9">
        <f>(Inputs!$I$6+(((A75)+1)/2)*(Inputs!$J$6-Inputs!$I$6))</f>
        <v>-23.520000000000003</v>
      </c>
      <c r="U75" s="9">
        <f>(Inputs!$I$7+(((A75)+1)/2)*(Inputs!$J$7-Inputs!$I$7))</f>
        <v>-156.80000000000001</v>
      </c>
      <c r="V75" s="9">
        <f>(Inputs!$I$8+(((A75)+1)/2)*(Inputs!$J$8-Inputs!$I$8))</f>
        <v>-313.60000000000002</v>
      </c>
      <c r="W75" s="9">
        <f>(Inputs!$I$9+(((A75)+1)/2)*(Inputs!$J$9-Inputs!$I$9))</f>
        <v>-313.60000000000002</v>
      </c>
      <c r="X75" s="10"/>
      <c r="Y75" s="9">
        <f t="shared" si="12"/>
        <v>-0.39200000000000002</v>
      </c>
      <c r="Z75" s="9">
        <f>(Inputs!$H$6+Inputs!$L$6*(((Inputs!$I$6+(((A75)+1)/2)*(Inputs!$J$6-Inputs!$I$6)))/Inputs!$K$6)^2)</f>
        <v>400.61465600000002</v>
      </c>
      <c r="AA75" s="9">
        <f>(Inputs!$H$7+Inputs!$L$7*(((Inputs!$I$7+(((A75)+1)/2)*(Inputs!$J$7-Inputs!$I$7)))/Inputs!$K$7)^2)</f>
        <v>91.087360000000018</v>
      </c>
      <c r="AB75" s="9">
        <f>(Inputs!$H$8+Inputs!$L$8*(((Inputs!$I$8+(((A75)+1)/2)*(Inputs!$J$8-Inputs!$I$8)))/Inputs!$K$8)^2)</f>
        <v>183.28576000000001</v>
      </c>
      <c r="AC75" s="9">
        <f>(Inputs!$H$9+Inputs!$L$9*(((Inputs!$I$9+(((A75)+1)/2)*(Inputs!$J$9-Inputs!$I$9)))/Inputs!$K$9)^2)</f>
        <v>174.82240000000002</v>
      </c>
      <c r="AD75" s="10"/>
      <c r="AE75" s="9">
        <f t="shared" si="13"/>
        <v>-0.39200000000000002</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1035.7266710358547</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53864.661948684428</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110078.39441314916</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112175.37883709899</v>
      </c>
      <c r="AJ75" s="10"/>
      <c r="AK75" s="9">
        <f t="shared" si="14"/>
        <v>-0.39200000000000002</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200.81815536858818</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2024.760402222058</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2325.8936779166315</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2322.5061095929641</v>
      </c>
      <c r="AP75" s="10"/>
      <c r="AQ75" s="9">
        <f t="shared" si="15"/>
        <v>-0.39200000000000002</v>
      </c>
      <c r="AR75" s="9">
        <f>0</f>
        <v>0</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294.44993900710983</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196.0871704583181</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100.74451979110265</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100.74451979110265</v>
      </c>
      <c r="AW75" s="10"/>
      <c r="AX75" s="9">
        <f t="shared" si="16"/>
        <v>-0.39200000000000002</v>
      </c>
      <c r="AY75" s="9">
        <f>0</f>
        <v>0</v>
      </c>
      <c r="AZ75" s="9">
        <f>IF(OR(Inputs!$F$6=TRUE,Inputs!$F$6="TRUE",Inputs!$F$6=1),(Inputs!$H$6+Inputs!$L$6*(((Inputs!$I$6+(((A75)+1)/2)*(Inputs!$J$6-Inputs!$I$6)))/Inputs!$K$6)^2),NA())</f>
        <v>400.61465600000002</v>
      </c>
      <c r="BA75" s="9">
        <f>IF(OR(Inputs!$F$7=TRUE,Inputs!$F$7="TRUE",Inputs!$F$7=1),(Inputs!$H$7+Inputs!$L$7*(((Inputs!$I$7+(((A75)+1)/2)*(Inputs!$J$7-Inputs!$I$7)))/Inputs!$K$7)^2),NA())</f>
        <v>91.087360000000018</v>
      </c>
      <c r="BB75" s="9">
        <f>IF(OR(Inputs!$F$8=TRUE,Inputs!$F$8="TRUE",Inputs!$F$8=1),(Inputs!$H$8+Inputs!$L$8*(((Inputs!$I$8+(((A75)+1)/2)*(Inputs!$J$8-Inputs!$I$8)))/Inputs!$K$8)^2),NA())</f>
        <v>183.28576000000001</v>
      </c>
      <c r="BC75" s="9">
        <f>IF(OR(Inputs!$F$9=TRUE,Inputs!$F$9="TRUE",Inputs!$F$9=1),(Inputs!$H$9+Inputs!$L$9*(((Inputs!$I$9+(((A75)+1)/2)*(Inputs!$J$9-Inputs!$I$9)))/Inputs!$K$9)^2),NA())</f>
        <v>174.82240000000002</v>
      </c>
      <c r="BD75" s="10"/>
      <c r="BE75" s="9">
        <f t="shared" si="17"/>
        <v>-0.39200000000000002</v>
      </c>
      <c r="BF75" s="9">
        <f>0</f>
        <v>0</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row>
    <row r="76" spans="1:62">
      <c r="A76" s="9">
        <f>ROUND(-1+74*2/240,3)</f>
        <v>-0.38300000000000001</v>
      </c>
      <c r="B76" s="9">
        <f>IF(OR(Inputs!$F$6=TRUE,Inputs!$F$6="TRUE",Inputs!$F$6=1),(Inputs!$H$6+Inputs!$L$6*(((Inputs!$I$6+(((A76)+1)/2)*(Inputs!$J$6-Inputs!$I$6)))/Inputs!$K$6)^2),NA())</f>
        <v>400.58675599999998</v>
      </c>
      <c r="C76" s="9">
        <f>IF(OR(Inputs!$F$7=TRUE,Inputs!$F$7="TRUE",Inputs!$F$7=1),(Inputs!$H$7+Inputs!$L$7*(((Inputs!$I$7+(((A76)+1)/2)*(Inputs!$J$7-Inputs!$I$7)))/Inputs!$K$7)^2),NA())</f>
        <v>88.541484999999994</v>
      </c>
      <c r="D76" s="9">
        <f>IF(OR(Inputs!$F$8=TRUE,Inputs!$F$8="TRUE",Inputs!$F$8=1),(Inputs!$H$8+Inputs!$L$8*(((Inputs!$I$8+(((A76)+1)/2)*(Inputs!$J$8-Inputs!$I$8)))/Inputs!$K$8)^2),NA())</f>
        <v>176.55488499999996</v>
      </c>
      <c r="E76" s="9">
        <f>IF(OR(Inputs!$F$9=TRUE,Inputs!$F$9="TRUE",Inputs!$F$9=1),(Inputs!$H$9+Inputs!$L$9*(((Inputs!$I$9+(((A76)+1)/2)*(Inputs!$J$9-Inputs!$I$9)))/Inputs!$K$9)^2),NA())</f>
        <v>168.02177499999996</v>
      </c>
      <c r="F76" s="10"/>
      <c r="G76" s="9">
        <f t="shared" si="9"/>
        <v>-0.38300000000000001</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c r="L76" s="10"/>
      <c r="M76" s="9">
        <f t="shared" si="10"/>
        <v>-0.38300000000000001</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196.23147061896577</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2007.5913959656798</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2298.6870308669572</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2294.8290503255125</v>
      </c>
      <c r="R76" s="10"/>
      <c r="S76" s="9">
        <f t="shared" si="11"/>
        <v>-0.38300000000000001</v>
      </c>
      <c r="T76" s="9">
        <f>(Inputs!$I$6+(((A76)+1)/2)*(Inputs!$J$6-Inputs!$I$6))</f>
        <v>-22.980000000000004</v>
      </c>
      <c r="U76" s="9">
        <f>(Inputs!$I$7+(((A76)+1)/2)*(Inputs!$J$7-Inputs!$I$7))</f>
        <v>-153.19999999999999</v>
      </c>
      <c r="V76" s="9">
        <f>(Inputs!$I$8+(((A76)+1)/2)*(Inputs!$J$8-Inputs!$I$8))</f>
        <v>-306.39999999999998</v>
      </c>
      <c r="W76" s="9">
        <f>(Inputs!$I$9+(((A76)+1)/2)*(Inputs!$J$9-Inputs!$I$9))</f>
        <v>-306.39999999999998</v>
      </c>
      <c r="X76" s="10"/>
      <c r="Y76" s="9">
        <f t="shared" si="12"/>
        <v>-0.38300000000000001</v>
      </c>
      <c r="Z76" s="9">
        <f>(Inputs!$H$6+Inputs!$L$6*(((Inputs!$I$6+(((A76)+1)/2)*(Inputs!$J$6-Inputs!$I$6)))/Inputs!$K$6)^2)</f>
        <v>400.58675599999998</v>
      </c>
      <c r="AA76" s="9">
        <f>(Inputs!$H$7+Inputs!$L$7*(((Inputs!$I$7+(((A76)+1)/2)*(Inputs!$J$7-Inputs!$I$7)))/Inputs!$K$7)^2)</f>
        <v>88.541484999999994</v>
      </c>
      <c r="AB76" s="9">
        <f>(Inputs!$H$8+Inputs!$L$8*(((Inputs!$I$8+(((A76)+1)/2)*(Inputs!$J$8-Inputs!$I$8)))/Inputs!$K$8)^2)</f>
        <v>176.55488499999996</v>
      </c>
      <c r="AC76" s="9">
        <f>(Inputs!$H$9+Inputs!$L$9*(((Inputs!$I$9+(((A76)+1)/2)*(Inputs!$J$9-Inputs!$I$9)))/Inputs!$K$9)^2)</f>
        <v>168.02177499999996</v>
      </c>
      <c r="AD76" s="10"/>
      <c r="AE76" s="9">
        <f t="shared" si="13"/>
        <v>-0.38300000000000001</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1013.7591589562022</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52746.404314813168</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108014.18286329445</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110159.51485401145</v>
      </c>
      <c r="AJ76" s="10"/>
      <c r="AK76" s="9">
        <f t="shared" si="14"/>
        <v>-0.38300000000000001</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196.23147061896577</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2007.5913959656798</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2298.6870308669572</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2294.8290503255125</v>
      </c>
      <c r="AP76" s="10"/>
      <c r="AQ76" s="9">
        <f t="shared" si="15"/>
        <v>-0.38300000000000001</v>
      </c>
      <c r="AR76" s="9">
        <f>0</f>
        <v>0</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282.16327342785746</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154.02382606022226</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152.82930948380636</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152.82930948380636</v>
      </c>
      <c r="AW76" s="10"/>
      <c r="AX76" s="9">
        <f t="shared" si="16"/>
        <v>-0.38300000000000001</v>
      </c>
      <c r="AY76" s="9">
        <f>0</f>
        <v>0</v>
      </c>
      <c r="AZ76" s="9">
        <f>IF(OR(Inputs!$F$6=TRUE,Inputs!$F$6="TRUE",Inputs!$F$6=1),(Inputs!$H$6+Inputs!$L$6*(((Inputs!$I$6+(((A76)+1)/2)*(Inputs!$J$6-Inputs!$I$6)))/Inputs!$K$6)^2),NA())</f>
        <v>400.58675599999998</v>
      </c>
      <c r="BA76" s="9">
        <f>IF(OR(Inputs!$F$7=TRUE,Inputs!$F$7="TRUE",Inputs!$F$7=1),(Inputs!$H$7+Inputs!$L$7*(((Inputs!$I$7+(((A76)+1)/2)*(Inputs!$J$7-Inputs!$I$7)))/Inputs!$K$7)^2),NA())</f>
        <v>88.541484999999994</v>
      </c>
      <c r="BB76" s="9">
        <f>IF(OR(Inputs!$F$8=TRUE,Inputs!$F$8="TRUE",Inputs!$F$8=1),(Inputs!$H$8+Inputs!$L$8*(((Inputs!$I$8+(((A76)+1)/2)*(Inputs!$J$8-Inputs!$I$8)))/Inputs!$K$8)^2),NA())</f>
        <v>176.55488499999996</v>
      </c>
      <c r="BC76" s="9">
        <f>IF(OR(Inputs!$F$9=TRUE,Inputs!$F$9="TRUE",Inputs!$F$9=1),(Inputs!$H$9+Inputs!$L$9*(((Inputs!$I$9+(((A76)+1)/2)*(Inputs!$J$9-Inputs!$I$9)))/Inputs!$K$9)^2),NA())</f>
        <v>168.02177499999996</v>
      </c>
      <c r="BD76" s="10"/>
      <c r="BE76" s="9">
        <f t="shared" si="17"/>
        <v>-0.38300000000000001</v>
      </c>
      <c r="BF76" s="9">
        <f>0</f>
        <v>0</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row>
    <row r="77" spans="1:62">
      <c r="A77" s="9">
        <f>ROUND(-1+75*2/240,3)</f>
        <v>-0.375</v>
      </c>
      <c r="B77" s="9">
        <f>IF(OR(Inputs!$F$6=TRUE,Inputs!$F$6="TRUE",Inputs!$F$6=1),(Inputs!$H$6+Inputs!$L$6*(((Inputs!$I$6+(((A77)+1)/2)*(Inputs!$J$6-Inputs!$I$6)))/Inputs!$K$6)^2),NA())</f>
        <v>400.5625</v>
      </c>
      <c r="C77" s="9">
        <f>IF(OR(Inputs!$F$7=TRUE,Inputs!$F$7="TRUE",Inputs!$F$7=1),(Inputs!$H$7+Inputs!$L$7*(((Inputs!$I$7+(((A77)+1)/2)*(Inputs!$J$7-Inputs!$I$7)))/Inputs!$K$7)^2),NA())</f>
        <v>86.328125</v>
      </c>
      <c r="D77" s="9">
        <f>IF(OR(Inputs!$F$8=TRUE,Inputs!$F$8="TRUE",Inputs!$F$8=1),(Inputs!$H$8+Inputs!$L$8*(((Inputs!$I$8+(((A77)+1)/2)*(Inputs!$J$8-Inputs!$I$8)))/Inputs!$K$8)^2),NA())</f>
        <v>170.703125</v>
      </c>
      <c r="E77" s="9">
        <f>IF(OR(Inputs!$F$9=TRUE,Inputs!$F$9="TRUE",Inputs!$F$9=1),(Inputs!$H$9+Inputs!$L$9*(((Inputs!$I$9+(((A77)+1)/2)*(Inputs!$J$9-Inputs!$I$9)))/Inputs!$K$9)^2),NA())</f>
        <v>162.109375</v>
      </c>
      <c r="F77" s="10"/>
      <c r="G77" s="9">
        <f t="shared" si="9"/>
        <v>-0.375</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c r="L77" s="10"/>
      <c r="M77" s="9">
        <f t="shared" si="10"/>
        <v>-0.375</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192.15302566213933</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1992.425429394599</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2274.808041014935</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2270.5464453803947</v>
      </c>
      <c r="R77" s="10"/>
      <c r="S77" s="9">
        <f t="shared" si="11"/>
        <v>-0.375</v>
      </c>
      <c r="T77" s="9">
        <f>(Inputs!$I$6+(((A77)+1)/2)*(Inputs!$J$6-Inputs!$I$6))</f>
        <v>-22.5</v>
      </c>
      <c r="U77" s="9">
        <f>(Inputs!$I$7+(((A77)+1)/2)*(Inputs!$J$7-Inputs!$I$7))</f>
        <v>-150</v>
      </c>
      <c r="V77" s="9">
        <f>(Inputs!$I$8+(((A77)+1)/2)*(Inputs!$J$8-Inputs!$I$8))</f>
        <v>-300</v>
      </c>
      <c r="W77" s="9">
        <f>(Inputs!$I$9+(((A77)+1)/2)*(Inputs!$J$9-Inputs!$I$9))</f>
        <v>-300</v>
      </c>
      <c r="X77" s="10"/>
      <c r="Y77" s="9">
        <f t="shared" si="12"/>
        <v>-0.375</v>
      </c>
      <c r="Z77" s="9">
        <f>(Inputs!$H$6+Inputs!$L$6*(((Inputs!$I$6+(((A77)+1)/2)*(Inputs!$J$6-Inputs!$I$6)))/Inputs!$K$6)^2)</f>
        <v>400.5625</v>
      </c>
      <c r="AA77" s="9">
        <f>(Inputs!$H$7+Inputs!$L$7*(((Inputs!$I$7+(((A77)+1)/2)*(Inputs!$J$7-Inputs!$I$7)))/Inputs!$K$7)^2)</f>
        <v>86.328125</v>
      </c>
      <c r="AB77" s="9">
        <f>(Inputs!$H$8+Inputs!$L$8*(((Inputs!$I$8+(((A77)+1)/2)*(Inputs!$J$8-Inputs!$I$8)))/Inputs!$K$8)^2)</f>
        <v>170.703125</v>
      </c>
      <c r="AC77" s="9">
        <f>(Inputs!$H$9+Inputs!$L$9*(((Inputs!$I$9+(((A77)+1)/2)*(Inputs!$J$9-Inputs!$I$9)))/Inputs!$K$9)^2)</f>
        <v>162.109375</v>
      </c>
      <c r="AD77" s="10"/>
      <c r="AE77" s="9">
        <f t="shared" si="13"/>
        <v>-0.375</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994.65707646456565</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51742.672553663324</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106162.98410826577</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108351.50932337677</v>
      </c>
      <c r="AJ77" s="10"/>
      <c r="AK77" s="9">
        <f t="shared" si="14"/>
        <v>-0.375</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192.15302566213933</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1992.425429394599</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2274.808041014935</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2270.5464453803947</v>
      </c>
      <c r="AP77" s="10"/>
      <c r="AQ77" s="9">
        <f t="shared" si="15"/>
        <v>-0.375</v>
      </c>
      <c r="AR77" s="9">
        <f>0</f>
        <v>0</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286.69936407981004</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62.285551766672661</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172.68927295130561</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172.68927295130561</v>
      </c>
      <c r="AW77" s="10"/>
      <c r="AX77" s="9">
        <f t="shared" si="16"/>
        <v>-0.375</v>
      </c>
      <c r="AY77" s="9">
        <f>0</f>
        <v>0</v>
      </c>
      <c r="AZ77" s="9">
        <f>IF(OR(Inputs!$F$6=TRUE,Inputs!$F$6="TRUE",Inputs!$F$6=1),(Inputs!$H$6+Inputs!$L$6*(((Inputs!$I$6+(((A77)+1)/2)*(Inputs!$J$6-Inputs!$I$6)))/Inputs!$K$6)^2),NA())</f>
        <v>400.5625</v>
      </c>
      <c r="BA77" s="9">
        <f>IF(OR(Inputs!$F$7=TRUE,Inputs!$F$7="TRUE",Inputs!$F$7=1),(Inputs!$H$7+Inputs!$L$7*(((Inputs!$I$7+(((A77)+1)/2)*(Inputs!$J$7-Inputs!$I$7)))/Inputs!$K$7)^2),NA())</f>
        <v>86.328125</v>
      </c>
      <c r="BB77" s="9">
        <f>IF(OR(Inputs!$F$8=TRUE,Inputs!$F$8="TRUE",Inputs!$F$8=1),(Inputs!$H$8+Inputs!$L$8*(((Inputs!$I$8+(((A77)+1)/2)*(Inputs!$J$8-Inputs!$I$8)))/Inputs!$K$8)^2),NA())</f>
        <v>170.703125</v>
      </c>
      <c r="BC77" s="9">
        <f>IF(OR(Inputs!$F$9=TRUE,Inputs!$F$9="TRUE",Inputs!$F$9=1),(Inputs!$H$9+Inputs!$L$9*(((Inputs!$I$9+(((A77)+1)/2)*(Inputs!$J$9-Inputs!$I$9)))/Inputs!$K$9)^2),NA())</f>
        <v>162.109375</v>
      </c>
      <c r="BD77" s="10"/>
      <c r="BE77" s="9">
        <f t="shared" si="17"/>
        <v>-0.375</v>
      </c>
      <c r="BF77" s="9">
        <f>0</f>
        <v>0</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row>
    <row r="78" spans="1:62">
      <c r="A78" s="9">
        <f>ROUND(-1+76*2/240,3)</f>
        <v>-0.36699999999999999</v>
      </c>
      <c r="B78" s="9">
        <f>IF(OR(Inputs!$F$6=TRUE,Inputs!$F$6="TRUE",Inputs!$F$6=1),(Inputs!$H$6+Inputs!$L$6*(((Inputs!$I$6+(((A78)+1)/2)*(Inputs!$J$6-Inputs!$I$6)))/Inputs!$K$6)^2),NA())</f>
        <v>400.53875599999998</v>
      </c>
      <c r="C78" s="9">
        <f>IF(OR(Inputs!$F$7=TRUE,Inputs!$F$7="TRUE",Inputs!$F$7=1),(Inputs!$H$7+Inputs!$L$7*(((Inputs!$I$7+(((A78)+1)/2)*(Inputs!$J$7-Inputs!$I$7)))/Inputs!$K$7)^2),NA())</f>
        <v>84.161485000000013</v>
      </c>
      <c r="D78" s="9">
        <f>IF(OR(Inputs!$F$8=TRUE,Inputs!$F$8="TRUE",Inputs!$F$8=1),(Inputs!$H$8+Inputs!$L$8*(((Inputs!$I$8+(((A78)+1)/2)*(Inputs!$J$8-Inputs!$I$8)))/Inputs!$K$8)^2),NA())</f>
        <v>164.97488500000003</v>
      </c>
      <c r="E78" s="9">
        <f>IF(OR(Inputs!$F$9=TRUE,Inputs!$F$9="TRUE",Inputs!$F$9=1),(Inputs!$H$9+Inputs!$L$9*(((Inputs!$I$9+(((A78)+1)/2)*(Inputs!$J$9-Inputs!$I$9)))/Inputs!$K$9)^2),NA())</f>
        <v>156.32177500000003</v>
      </c>
      <c r="F78" s="10"/>
      <c r="G78" s="9">
        <f t="shared" si="9"/>
        <v>-0.36699999999999999</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c r="L78" s="10"/>
      <c r="M78" s="9">
        <f t="shared" si="10"/>
        <v>-0.36699999999999999</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188.07329824273955</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1977.3411093049315</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2251.220159662244</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2246.5699860788272</v>
      </c>
      <c r="R78" s="10"/>
      <c r="S78" s="9">
        <f t="shared" si="11"/>
        <v>-0.36699999999999999</v>
      </c>
      <c r="T78" s="9">
        <f>(Inputs!$I$6+(((A78)+1)/2)*(Inputs!$J$6-Inputs!$I$6))</f>
        <v>-22.019999999999996</v>
      </c>
      <c r="U78" s="9">
        <f>(Inputs!$I$7+(((A78)+1)/2)*(Inputs!$J$7-Inputs!$I$7))</f>
        <v>-146.80000000000001</v>
      </c>
      <c r="V78" s="9">
        <f>(Inputs!$I$8+(((A78)+1)/2)*(Inputs!$J$8-Inputs!$I$8))</f>
        <v>-293.60000000000002</v>
      </c>
      <c r="W78" s="9">
        <f>(Inputs!$I$9+(((A78)+1)/2)*(Inputs!$J$9-Inputs!$I$9))</f>
        <v>-293.60000000000002</v>
      </c>
      <c r="X78" s="10"/>
      <c r="Y78" s="9">
        <f t="shared" si="12"/>
        <v>-0.36699999999999999</v>
      </c>
      <c r="Z78" s="9">
        <f>(Inputs!$H$6+Inputs!$L$6*(((Inputs!$I$6+(((A78)+1)/2)*(Inputs!$J$6-Inputs!$I$6)))/Inputs!$K$6)^2)</f>
        <v>400.53875599999998</v>
      </c>
      <c r="AA78" s="9">
        <f>(Inputs!$H$7+Inputs!$L$7*(((Inputs!$I$7+(((A78)+1)/2)*(Inputs!$J$7-Inputs!$I$7)))/Inputs!$K$7)^2)</f>
        <v>84.161485000000013</v>
      </c>
      <c r="AB78" s="9">
        <f>(Inputs!$H$8+Inputs!$L$8*(((Inputs!$I$8+(((A78)+1)/2)*(Inputs!$J$8-Inputs!$I$8)))/Inputs!$K$8)^2)</f>
        <v>164.97488500000003</v>
      </c>
      <c r="AC78" s="9">
        <f>(Inputs!$H$9+Inputs!$L$9*(((Inputs!$I$9+(((A78)+1)/2)*(Inputs!$J$9-Inputs!$I$9)))/Inputs!$K$9)^2)</f>
        <v>156.32177500000003</v>
      </c>
      <c r="AD78" s="10"/>
      <c r="AE78" s="9">
        <f t="shared" si="13"/>
        <v>-0.36699999999999999</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975.95484033236517</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50729.687364037367</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104295.72641077245</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106527.61610975237</v>
      </c>
      <c r="AJ78" s="10"/>
      <c r="AK78" s="9">
        <f t="shared" si="14"/>
        <v>-0.36699999999999999</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188.07329824273955</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1977.3411093049315</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2251.220159662244</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2246.5699860788272</v>
      </c>
      <c r="AP78" s="10"/>
      <c r="AQ78" s="9">
        <f t="shared" si="15"/>
        <v>-0.36699999999999999</v>
      </c>
      <c r="AR78" s="9">
        <f>0</f>
        <v>0</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310.91396483385586</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77.532883747100286</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95.836893128897557</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95.836893128897557</v>
      </c>
      <c r="AW78" s="10"/>
      <c r="AX78" s="9">
        <f t="shared" si="16"/>
        <v>-0.36699999999999999</v>
      </c>
      <c r="AY78" s="9">
        <f>0</f>
        <v>0</v>
      </c>
      <c r="AZ78" s="9">
        <f>IF(OR(Inputs!$F$6=TRUE,Inputs!$F$6="TRUE",Inputs!$F$6=1),(Inputs!$H$6+Inputs!$L$6*(((Inputs!$I$6+(((A78)+1)/2)*(Inputs!$J$6-Inputs!$I$6)))/Inputs!$K$6)^2),NA())</f>
        <v>400.53875599999998</v>
      </c>
      <c r="BA78" s="9">
        <f>IF(OR(Inputs!$F$7=TRUE,Inputs!$F$7="TRUE",Inputs!$F$7=1),(Inputs!$H$7+Inputs!$L$7*(((Inputs!$I$7+(((A78)+1)/2)*(Inputs!$J$7-Inputs!$I$7)))/Inputs!$K$7)^2),NA())</f>
        <v>84.161485000000013</v>
      </c>
      <c r="BB78" s="9">
        <f>IF(OR(Inputs!$F$8=TRUE,Inputs!$F$8="TRUE",Inputs!$F$8=1),(Inputs!$H$8+Inputs!$L$8*(((Inputs!$I$8+(((A78)+1)/2)*(Inputs!$J$8-Inputs!$I$8)))/Inputs!$K$8)^2),NA())</f>
        <v>164.97488500000003</v>
      </c>
      <c r="BC78" s="9">
        <f>IF(OR(Inputs!$F$9=TRUE,Inputs!$F$9="TRUE",Inputs!$F$9=1),(Inputs!$H$9+Inputs!$L$9*(((Inputs!$I$9+(((A78)+1)/2)*(Inputs!$J$9-Inputs!$I$9)))/Inputs!$K$9)^2),NA())</f>
        <v>156.32177500000003</v>
      </c>
      <c r="BD78" s="10"/>
      <c r="BE78" s="9">
        <f t="shared" si="17"/>
        <v>-0.36699999999999999</v>
      </c>
      <c r="BF78" s="9">
        <f>0</f>
        <v>0</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row>
    <row r="79" spans="1:62">
      <c r="A79" s="9">
        <f>ROUND(-1+77*2/240,3)</f>
        <v>-0.35799999999999998</v>
      </c>
      <c r="B79" s="9">
        <f>IF(OR(Inputs!$F$6=TRUE,Inputs!$F$6="TRUE",Inputs!$F$6=1),(Inputs!$H$6+Inputs!$L$6*(((Inputs!$I$6+(((A79)+1)/2)*(Inputs!$J$6-Inputs!$I$6)))/Inputs!$K$6)^2),NA())</f>
        <v>400.51265599999999</v>
      </c>
      <c r="C79" s="9">
        <f>IF(OR(Inputs!$F$7=TRUE,Inputs!$F$7="TRUE",Inputs!$F$7=1),(Inputs!$H$7+Inputs!$L$7*(((Inputs!$I$7+(((A79)+1)/2)*(Inputs!$J$7-Inputs!$I$7)))/Inputs!$K$7)^2),NA())</f>
        <v>81.779859999999999</v>
      </c>
      <c r="D79" s="9">
        <f>IF(OR(Inputs!$F$8=TRUE,Inputs!$F$8="TRUE",Inputs!$F$8=1),(Inputs!$H$8+Inputs!$L$8*(((Inputs!$I$8+(((A79)+1)/2)*(Inputs!$J$8-Inputs!$I$8)))/Inputs!$K$8)^2),NA())</f>
        <v>158.67825999999999</v>
      </c>
      <c r="E79" s="9">
        <f>IF(OR(Inputs!$F$9=TRUE,Inputs!$F$9="TRUE",Inputs!$F$9=1),(Inputs!$H$9+Inputs!$L$9*(((Inputs!$I$9+(((A79)+1)/2)*(Inputs!$J$9-Inputs!$I$9)))/Inputs!$K$9)^2),NA())</f>
        <v>149.9599</v>
      </c>
      <c r="F79" s="10"/>
      <c r="G79" s="9">
        <f t="shared" si="9"/>
        <v>-0.35799999999999998</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c r="L79" s="10"/>
      <c r="M79" s="9">
        <f t="shared" si="10"/>
        <v>-0.35799999999999998</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183.48210491224643</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1960.4577208252515</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2225.0365616310273</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2219.9689945701207</v>
      </c>
      <c r="R79" s="10"/>
      <c r="S79" s="9">
        <f t="shared" si="11"/>
        <v>-0.35799999999999998</v>
      </c>
      <c r="T79" s="9">
        <f>(Inputs!$I$6+(((A79)+1)/2)*(Inputs!$J$6-Inputs!$I$6))</f>
        <v>-21.479999999999997</v>
      </c>
      <c r="U79" s="9">
        <f>(Inputs!$I$7+(((A79)+1)/2)*(Inputs!$J$7-Inputs!$I$7))</f>
        <v>-143.19999999999999</v>
      </c>
      <c r="V79" s="9">
        <f>(Inputs!$I$8+(((A79)+1)/2)*(Inputs!$J$8-Inputs!$I$8))</f>
        <v>-286.39999999999998</v>
      </c>
      <c r="W79" s="9">
        <f>(Inputs!$I$9+(((A79)+1)/2)*(Inputs!$J$9-Inputs!$I$9))</f>
        <v>-286.39999999999998</v>
      </c>
      <c r="X79" s="10"/>
      <c r="Y79" s="9">
        <f t="shared" si="12"/>
        <v>-0.35799999999999998</v>
      </c>
      <c r="Z79" s="9">
        <f>(Inputs!$H$6+Inputs!$L$6*(((Inputs!$I$6+(((A79)+1)/2)*(Inputs!$J$6-Inputs!$I$6)))/Inputs!$K$6)^2)</f>
        <v>400.51265599999999</v>
      </c>
      <c r="AA79" s="9">
        <f>(Inputs!$H$7+Inputs!$L$7*(((Inputs!$I$7+(((A79)+1)/2)*(Inputs!$J$7-Inputs!$I$7)))/Inputs!$K$7)^2)</f>
        <v>81.779859999999999</v>
      </c>
      <c r="AB79" s="9">
        <f>(Inputs!$H$8+Inputs!$L$8*(((Inputs!$I$8+(((A79)+1)/2)*(Inputs!$J$8-Inputs!$I$8)))/Inputs!$K$8)^2)</f>
        <v>158.67825999999999</v>
      </c>
      <c r="AC79" s="9">
        <f>(Inputs!$H$9+Inputs!$L$9*(((Inputs!$I$9+(((A79)+1)/2)*(Inputs!$J$9-Inputs!$I$9)))/Inputs!$K$9)^2)</f>
        <v>149.9599</v>
      </c>
      <c r="AD79" s="10"/>
      <c r="AE79" s="9">
        <f t="shared" si="13"/>
        <v>-0.35799999999999998</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955.39303220836666</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49578.910558030424</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102175.04570747222</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104455.88098801924</v>
      </c>
      <c r="AJ79" s="10"/>
      <c r="AK79" s="9">
        <f t="shared" si="14"/>
        <v>-0.35799999999999998</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183.48210491224643</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1960.4577208252515</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2225.0365616310273</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2219.9689945701207</v>
      </c>
      <c r="AP79" s="10"/>
      <c r="AQ79" s="9">
        <f t="shared" si="15"/>
        <v>-0.35799999999999998</v>
      </c>
      <c r="AR79" s="9">
        <f>0</f>
        <v>0</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332.09835231911904</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174.06783789927727</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168.78610805388928</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168.78610805388928</v>
      </c>
      <c r="AW79" s="10"/>
      <c r="AX79" s="9">
        <f t="shared" si="16"/>
        <v>-0.35799999999999998</v>
      </c>
      <c r="AY79" s="9">
        <f>0</f>
        <v>0</v>
      </c>
      <c r="AZ79" s="9">
        <f>IF(OR(Inputs!$F$6=TRUE,Inputs!$F$6="TRUE",Inputs!$F$6=1),(Inputs!$H$6+Inputs!$L$6*(((Inputs!$I$6+(((A79)+1)/2)*(Inputs!$J$6-Inputs!$I$6)))/Inputs!$K$6)^2),NA())</f>
        <v>400.51265599999999</v>
      </c>
      <c r="BA79" s="9">
        <f>IF(OR(Inputs!$F$7=TRUE,Inputs!$F$7="TRUE",Inputs!$F$7=1),(Inputs!$H$7+Inputs!$L$7*(((Inputs!$I$7+(((A79)+1)/2)*(Inputs!$J$7-Inputs!$I$7)))/Inputs!$K$7)^2),NA())</f>
        <v>81.779859999999999</v>
      </c>
      <c r="BB79" s="9">
        <f>IF(OR(Inputs!$F$8=TRUE,Inputs!$F$8="TRUE",Inputs!$F$8=1),(Inputs!$H$8+Inputs!$L$8*(((Inputs!$I$8+(((A79)+1)/2)*(Inputs!$J$8-Inputs!$I$8)))/Inputs!$K$8)^2),NA())</f>
        <v>158.67825999999999</v>
      </c>
      <c r="BC79" s="9">
        <f>IF(OR(Inputs!$F$9=TRUE,Inputs!$F$9="TRUE",Inputs!$F$9=1),(Inputs!$H$9+Inputs!$L$9*(((Inputs!$I$9+(((A79)+1)/2)*(Inputs!$J$9-Inputs!$I$9)))/Inputs!$K$9)^2),NA())</f>
        <v>149.9599</v>
      </c>
      <c r="BD79" s="10"/>
      <c r="BE79" s="9">
        <f t="shared" si="17"/>
        <v>-0.35799999999999998</v>
      </c>
      <c r="BF79" s="9">
        <f>0</f>
        <v>0</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row>
    <row r="80" spans="1:62">
      <c r="A80" s="9">
        <f>ROUND(-1+78*2/240,3)</f>
        <v>-0.35</v>
      </c>
      <c r="B80" s="9">
        <f>IF(OR(Inputs!$F$6=TRUE,Inputs!$F$6="TRUE",Inputs!$F$6=1),(Inputs!$H$6+Inputs!$L$6*(((Inputs!$I$6+(((A80)+1)/2)*(Inputs!$J$6-Inputs!$I$6)))/Inputs!$K$6)^2),NA())</f>
        <v>400.49</v>
      </c>
      <c r="C80" s="9">
        <f>IF(OR(Inputs!$F$7=TRUE,Inputs!$F$7="TRUE",Inputs!$F$7=1),(Inputs!$H$7+Inputs!$L$7*(((Inputs!$I$7+(((A80)+1)/2)*(Inputs!$J$7-Inputs!$I$7)))/Inputs!$K$7)^2),NA())</f>
        <v>79.712499999999991</v>
      </c>
      <c r="D80" s="9">
        <f>IF(OR(Inputs!$F$8=TRUE,Inputs!$F$8="TRUE",Inputs!$F$8=1),(Inputs!$H$8+Inputs!$L$8*(((Inputs!$I$8+(((A80)+1)/2)*(Inputs!$J$8-Inputs!$I$8)))/Inputs!$K$8)^2),NA())</f>
        <v>153.21249999999998</v>
      </c>
      <c r="E80" s="9">
        <f>IF(OR(Inputs!$F$9=TRUE,Inputs!$F$9="TRUE",Inputs!$F$9=1),(Inputs!$H$9+Inputs!$L$9*(((Inputs!$I$9+(((A80)+1)/2)*(Inputs!$J$9-Inputs!$I$9)))/Inputs!$K$9)^2),NA())</f>
        <v>144.4375</v>
      </c>
      <c r="F80" s="10"/>
      <c r="G80" s="9">
        <f t="shared" si="9"/>
        <v>-0.35</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c r="L80" s="10"/>
      <c r="M80" s="9">
        <f t="shared" si="10"/>
        <v>-0.35</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179.39974021759684</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1945.5158603718908</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2202.0797024944559</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2196.6604138172584</v>
      </c>
      <c r="R80" s="10"/>
      <c r="S80" s="9">
        <f t="shared" si="11"/>
        <v>-0.35</v>
      </c>
      <c r="T80" s="9">
        <f>(Inputs!$I$6+(((A80)+1)/2)*(Inputs!$J$6-Inputs!$I$6))</f>
        <v>-21</v>
      </c>
      <c r="U80" s="9">
        <f>(Inputs!$I$7+(((A80)+1)/2)*(Inputs!$J$7-Inputs!$I$7))</f>
        <v>-140</v>
      </c>
      <c r="V80" s="9">
        <f>(Inputs!$I$8+(((A80)+1)/2)*(Inputs!$J$8-Inputs!$I$8))</f>
        <v>-280</v>
      </c>
      <c r="W80" s="9">
        <f>(Inputs!$I$9+(((A80)+1)/2)*(Inputs!$J$9-Inputs!$I$9))</f>
        <v>-280</v>
      </c>
      <c r="X80" s="10"/>
      <c r="Y80" s="9">
        <f t="shared" si="12"/>
        <v>-0.35</v>
      </c>
      <c r="Z80" s="9">
        <f>(Inputs!$H$6+Inputs!$L$6*(((Inputs!$I$6+(((A80)+1)/2)*(Inputs!$J$6-Inputs!$I$6)))/Inputs!$K$6)^2)</f>
        <v>400.49</v>
      </c>
      <c r="AA80" s="9">
        <f>(Inputs!$H$7+Inputs!$L$7*(((Inputs!$I$7+(((A80)+1)/2)*(Inputs!$J$7-Inputs!$I$7)))/Inputs!$K$7)^2)</f>
        <v>79.712499999999991</v>
      </c>
      <c r="AB80" s="9">
        <f>(Inputs!$H$8+Inputs!$L$8*(((Inputs!$I$8+(((A80)+1)/2)*(Inputs!$J$8-Inputs!$I$8)))/Inputs!$K$8)^2)</f>
        <v>153.21249999999998</v>
      </c>
      <c r="AC80" s="9">
        <f>(Inputs!$H$9+Inputs!$L$9*(((Inputs!$I$9+(((A80)+1)/2)*(Inputs!$J$9-Inputs!$I$9)))/Inputs!$K$9)^2)</f>
        <v>144.4375</v>
      </c>
      <c r="AD80" s="10"/>
      <c r="AE80" s="9">
        <f t="shared" si="13"/>
        <v>-0.35</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937.54117429259725</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48545.986799792699</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100271.4657357698</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102595.90779409655</v>
      </c>
      <c r="AJ80" s="10"/>
      <c r="AK80" s="9">
        <f t="shared" si="14"/>
        <v>-0.35</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179.39974021759684</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1945.5158603718908</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2202.0797024944559</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2196.6604138172584</v>
      </c>
      <c r="AP80" s="10"/>
      <c r="AQ80" s="9">
        <f t="shared" si="15"/>
        <v>-0.35</v>
      </c>
      <c r="AR80" s="9">
        <f>0</f>
        <v>0</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317.91812880175183</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204.7986580113276</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165.51370619139581</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165.51370619139581</v>
      </c>
      <c r="AW80" s="10"/>
      <c r="AX80" s="9">
        <f t="shared" si="16"/>
        <v>-0.35</v>
      </c>
      <c r="AY80" s="9">
        <f>0</f>
        <v>0</v>
      </c>
      <c r="AZ80" s="9">
        <f>IF(OR(Inputs!$F$6=TRUE,Inputs!$F$6="TRUE",Inputs!$F$6=1),(Inputs!$H$6+Inputs!$L$6*(((Inputs!$I$6+(((A80)+1)/2)*(Inputs!$J$6-Inputs!$I$6)))/Inputs!$K$6)^2),NA())</f>
        <v>400.49</v>
      </c>
      <c r="BA80" s="9">
        <f>IF(OR(Inputs!$F$7=TRUE,Inputs!$F$7="TRUE",Inputs!$F$7=1),(Inputs!$H$7+Inputs!$L$7*(((Inputs!$I$7+(((A80)+1)/2)*(Inputs!$J$7-Inputs!$I$7)))/Inputs!$K$7)^2),NA())</f>
        <v>79.712499999999991</v>
      </c>
      <c r="BB80" s="9">
        <f>IF(OR(Inputs!$F$8=TRUE,Inputs!$F$8="TRUE",Inputs!$F$8=1),(Inputs!$H$8+Inputs!$L$8*(((Inputs!$I$8+(((A80)+1)/2)*(Inputs!$J$8-Inputs!$I$8)))/Inputs!$K$8)^2),NA())</f>
        <v>153.21249999999998</v>
      </c>
      <c r="BC80" s="9">
        <f>IF(OR(Inputs!$F$9=TRUE,Inputs!$F$9="TRUE",Inputs!$F$9=1),(Inputs!$H$9+Inputs!$L$9*(((Inputs!$I$9+(((A80)+1)/2)*(Inputs!$J$9-Inputs!$I$9)))/Inputs!$K$9)^2),NA())</f>
        <v>144.4375</v>
      </c>
      <c r="BD80" s="10"/>
      <c r="BE80" s="9">
        <f t="shared" si="17"/>
        <v>-0.35</v>
      </c>
      <c r="BF80" s="9">
        <f>0</f>
        <v>0</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row>
    <row r="81" spans="1:62">
      <c r="A81" s="9">
        <f>ROUND(-1+79*2/240,3)</f>
        <v>-0.34200000000000003</v>
      </c>
      <c r="B81" s="9">
        <f>IF(OR(Inputs!$F$6=TRUE,Inputs!$F$6="TRUE",Inputs!$F$6=1),(Inputs!$H$6+Inputs!$L$6*(((Inputs!$I$6+(((A81)+1)/2)*(Inputs!$J$6-Inputs!$I$6)))/Inputs!$K$6)^2),NA())</f>
        <v>400.46785599999998</v>
      </c>
      <c r="C81" s="9">
        <f>IF(OR(Inputs!$F$7=TRUE,Inputs!$F$7="TRUE",Inputs!$F$7=1),(Inputs!$H$7+Inputs!$L$7*(((Inputs!$I$7+(((A81)+1)/2)*(Inputs!$J$7-Inputs!$I$7)))/Inputs!$K$7)^2),NA())</f>
        <v>77.691860000000005</v>
      </c>
      <c r="D81" s="9">
        <f>IF(OR(Inputs!$F$8=TRUE,Inputs!$F$8="TRUE",Inputs!$F$8=1),(Inputs!$H$8+Inputs!$L$8*(((Inputs!$I$8+(((A81)+1)/2)*(Inputs!$J$8-Inputs!$I$8)))/Inputs!$K$8)^2),NA())</f>
        <v>147.87026000000003</v>
      </c>
      <c r="E81" s="9">
        <f>IF(OR(Inputs!$F$9=TRUE,Inputs!$F$9="TRUE",Inputs!$F$9=1),(Inputs!$H$9+Inputs!$L$9*(((Inputs!$I$9+(((A81)+1)/2)*(Inputs!$J$9-Inputs!$I$9)))/Inputs!$K$9)^2),NA())</f>
        <v>139.03990000000002</v>
      </c>
      <c r="F81" s="10"/>
      <c r="G81" s="9">
        <f t="shared" si="9"/>
        <v>-0.34200000000000003</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c r="L81" s="10"/>
      <c r="M81" s="9">
        <f t="shared" si="10"/>
        <v>-0.34200000000000003</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175.31617596466526</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1930.6236674148881</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2179.4248345006054</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2173.6737724055174</v>
      </c>
      <c r="R81" s="10"/>
      <c r="S81" s="9">
        <f t="shared" si="11"/>
        <v>-0.34200000000000003</v>
      </c>
      <c r="T81" s="9">
        <f>(Inputs!$I$6+(((A81)+1)/2)*(Inputs!$J$6-Inputs!$I$6))</f>
        <v>-20.520000000000003</v>
      </c>
      <c r="U81" s="9">
        <f>(Inputs!$I$7+(((A81)+1)/2)*(Inputs!$J$7-Inputs!$I$7))</f>
        <v>-136.80000000000001</v>
      </c>
      <c r="V81" s="9">
        <f>(Inputs!$I$8+(((A81)+1)/2)*(Inputs!$J$8-Inputs!$I$8))</f>
        <v>-273.60000000000002</v>
      </c>
      <c r="W81" s="9">
        <f>(Inputs!$I$9+(((A81)+1)/2)*(Inputs!$J$9-Inputs!$I$9))</f>
        <v>-273.60000000000002</v>
      </c>
      <c r="X81" s="10"/>
      <c r="Y81" s="9">
        <f t="shared" si="12"/>
        <v>-0.34200000000000003</v>
      </c>
      <c r="Z81" s="9">
        <f>(Inputs!$H$6+Inputs!$L$6*(((Inputs!$I$6+(((A81)+1)/2)*(Inputs!$J$6-Inputs!$I$6)))/Inputs!$K$6)^2)</f>
        <v>400.46785599999998</v>
      </c>
      <c r="AA81" s="9">
        <f>(Inputs!$H$7+Inputs!$L$7*(((Inputs!$I$7+(((A81)+1)/2)*(Inputs!$J$7-Inputs!$I$7)))/Inputs!$K$7)^2)</f>
        <v>77.691860000000005</v>
      </c>
      <c r="AB81" s="9">
        <f>(Inputs!$H$8+Inputs!$L$8*(((Inputs!$I$8+(((A81)+1)/2)*(Inputs!$J$8-Inputs!$I$8)))/Inputs!$K$8)^2)</f>
        <v>147.87026000000003</v>
      </c>
      <c r="AC81" s="9">
        <f>(Inputs!$H$9+Inputs!$L$9*(((Inputs!$I$9+(((A81)+1)/2)*(Inputs!$J$9-Inputs!$I$9)))/Inputs!$K$9)^2)</f>
        <v>139.03990000000002</v>
      </c>
      <c r="AD81" s="10"/>
      <c r="AE81" s="9">
        <f t="shared" si="13"/>
        <v>-0.34200000000000003</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920.0898163795357</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47503.575396581917</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98349.742170340367</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100717.84021445007</v>
      </c>
      <c r="AJ81" s="10"/>
      <c r="AK81" s="9">
        <f t="shared" si="14"/>
        <v>-0.34200000000000003</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175.31617596466526</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1930.6236674148881</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2179.4248345006054</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2173.6737724055174</v>
      </c>
      <c r="AP81" s="10"/>
      <c r="AQ81" s="9">
        <f t="shared" si="15"/>
        <v>-0.34200000000000003</v>
      </c>
      <c r="AR81" s="9">
        <f>0</f>
        <v>0</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339.41132343124292</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162.32750479230745</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122.27219530903733</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122.27219530903733</v>
      </c>
      <c r="AW81" s="10"/>
      <c r="AX81" s="9">
        <f t="shared" si="16"/>
        <v>-0.34200000000000003</v>
      </c>
      <c r="AY81" s="9">
        <f>0</f>
        <v>0</v>
      </c>
      <c r="AZ81" s="9">
        <f>IF(OR(Inputs!$F$6=TRUE,Inputs!$F$6="TRUE",Inputs!$F$6=1),(Inputs!$H$6+Inputs!$L$6*(((Inputs!$I$6+(((A81)+1)/2)*(Inputs!$J$6-Inputs!$I$6)))/Inputs!$K$6)^2),NA())</f>
        <v>400.46785599999998</v>
      </c>
      <c r="BA81" s="9">
        <f>IF(OR(Inputs!$F$7=TRUE,Inputs!$F$7="TRUE",Inputs!$F$7=1),(Inputs!$H$7+Inputs!$L$7*(((Inputs!$I$7+(((A81)+1)/2)*(Inputs!$J$7-Inputs!$I$7)))/Inputs!$K$7)^2),NA())</f>
        <v>77.691860000000005</v>
      </c>
      <c r="BB81" s="9">
        <f>IF(OR(Inputs!$F$8=TRUE,Inputs!$F$8="TRUE",Inputs!$F$8=1),(Inputs!$H$8+Inputs!$L$8*(((Inputs!$I$8+(((A81)+1)/2)*(Inputs!$J$8-Inputs!$I$8)))/Inputs!$K$8)^2),NA())</f>
        <v>147.87026000000003</v>
      </c>
      <c r="BC81" s="9">
        <f>IF(OR(Inputs!$F$9=TRUE,Inputs!$F$9="TRUE",Inputs!$F$9=1),(Inputs!$H$9+Inputs!$L$9*(((Inputs!$I$9+(((A81)+1)/2)*(Inputs!$J$9-Inputs!$I$9)))/Inputs!$K$9)^2),NA())</f>
        <v>139.03990000000002</v>
      </c>
      <c r="BD81" s="10"/>
      <c r="BE81" s="9">
        <f t="shared" si="17"/>
        <v>-0.34200000000000003</v>
      </c>
      <c r="BF81" s="9">
        <f>0</f>
        <v>0</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row>
    <row r="82" spans="1:62">
      <c r="A82" s="9">
        <f>ROUND(-1+80*2/240,3)</f>
        <v>-0.33300000000000002</v>
      </c>
      <c r="B82" s="9">
        <f>IF(OR(Inputs!$F$6=TRUE,Inputs!$F$6="TRUE",Inputs!$F$6=1),(Inputs!$H$6+Inputs!$L$6*(((Inputs!$I$6+(((A82)+1)/2)*(Inputs!$J$6-Inputs!$I$6)))/Inputs!$K$6)^2),NA())</f>
        <v>400.443556</v>
      </c>
      <c r="C82" s="9">
        <f>IF(OR(Inputs!$F$7=TRUE,Inputs!$F$7="TRUE",Inputs!$F$7=1),(Inputs!$H$7+Inputs!$L$7*(((Inputs!$I$7+(((A82)+1)/2)*(Inputs!$J$7-Inputs!$I$7)))/Inputs!$K$7)^2),NA())</f>
        <v>75.474484999999987</v>
      </c>
      <c r="D82" s="9">
        <f>IF(OR(Inputs!$F$8=TRUE,Inputs!$F$8="TRUE",Inputs!$F$8=1),(Inputs!$H$8+Inputs!$L$8*(((Inputs!$I$8+(((A82)+1)/2)*(Inputs!$J$8-Inputs!$I$8)))/Inputs!$K$8)^2),NA())</f>
        <v>142.00788499999999</v>
      </c>
      <c r="E82" s="9">
        <f>IF(OR(Inputs!$F$9=TRUE,Inputs!$F$9="TRUE",Inputs!$F$9=1),(Inputs!$H$9+Inputs!$L$9*(((Inputs!$I$9+(((A82)+1)/2)*(Inputs!$J$9-Inputs!$I$9)))/Inputs!$K$9)^2),NA())</f>
        <v>133.11677499999996</v>
      </c>
      <c r="F82" s="10"/>
      <c r="G82" s="9">
        <f t="shared" si="9"/>
        <v>-0.33300000000000002</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c r="L82" s="10"/>
      <c r="M82" s="9">
        <f t="shared" si="10"/>
        <v>-0.33300000000000002</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170.72076550892686</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1913.9128492305069</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2154.3022886046497</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2148.2041818743169</v>
      </c>
      <c r="R82" s="10"/>
      <c r="S82" s="9">
        <f t="shared" si="11"/>
        <v>-0.33300000000000002</v>
      </c>
      <c r="T82" s="9">
        <f>(Inputs!$I$6+(((A82)+1)/2)*(Inputs!$J$6-Inputs!$I$6))</f>
        <v>-19.979999999999997</v>
      </c>
      <c r="U82" s="9">
        <f>(Inputs!$I$7+(((A82)+1)/2)*(Inputs!$J$7-Inputs!$I$7))</f>
        <v>-133.19999999999999</v>
      </c>
      <c r="V82" s="9">
        <f>(Inputs!$I$8+(((A82)+1)/2)*(Inputs!$J$8-Inputs!$I$8))</f>
        <v>-266.39999999999998</v>
      </c>
      <c r="W82" s="9">
        <f>(Inputs!$I$9+(((A82)+1)/2)*(Inputs!$J$9-Inputs!$I$9))</f>
        <v>-266.39999999999998</v>
      </c>
      <c r="X82" s="10"/>
      <c r="Y82" s="9">
        <f t="shared" si="12"/>
        <v>-0.33300000000000002</v>
      </c>
      <c r="Z82" s="9">
        <f>(Inputs!$H$6+Inputs!$L$6*(((Inputs!$I$6+(((A82)+1)/2)*(Inputs!$J$6-Inputs!$I$6)))/Inputs!$K$6)^2)</f>
        <v>400.443556</v>
      </c>
      <c r="AA82" s="9">
        <f>(Inputs!$H$7+Inputs!$L$7*(((Inputs!$I$7+(((A82)+1)/2)*(Inputs!$J$7-Inputs!$I$7)))/Inputs!$K$7)^2)</f>
        <v>75.474484999999987</v>
      </c>
      <c r="AB82" s="9">
        <f>(Inputs!$H$8+Inputs!$L$8*(((Inputs!$I$8+(((A82)+1)/2)*(Inputs!$J$8-Inputs!$I$8)))/Inputs!$K$8)^2)</f>
        <v>142.00788499999999</v>
      </c>
      <c r="AC82" s="9">
        <f>(Inputs!$H$9+Inputs!$L$9*(((Inputs!$I$9+(((A82)+1)/2)*(Inputs!$J$9-Inputs!$I$9)))/Inputs!$K$9)^2)</f>
        <v>133.11677499999996</v>
      </c>
      <c r="AD82" s="10"/>
      <c r="AE82" s="9">
        <f t="shared" si="13"/>
        <v>-0.33300000000000002</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900.93601014903118</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46319.46200614894</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96165.26695903478</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98582.478222103353</v>
      </c>
      <c r="AJ82" s="10"/>
      <c r="AK82" s="9">
        <f t="shared" si="14"/>
        <v>-0.33300000000000002</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170.72076550892686</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1913.9128492305069</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2154.3022886046497</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2148.2041818743169</v>
      </c>
      <c r="AP82" s="10"/>
      <c r="AQ82" s="9">
        <f t="shared" si="15"/>
        <v>-0.33300000000000002</v>
      </c>
      <c r="AR82" s="9">
        <f>0</f>
        <v>0</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340.46230136639679</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106.55345093398108</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189.56856785410338</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189.56856785410338</v>
      </c>
      <c r="AW82" s="10"/>
      <c r="AX82" s="9">
        <f t="shared" si="16"/>
        <v>-0.33300000000000002</v>
      </c>
      <c r="AY82" s="9">
        <f>0</f>
        <v>0</v>
      </c>
      <c r="AZ82" s="9">
        <f>IF(OR(Inputs!$F$6=TRUE,Inputs!$F$6="TRUE",Inputs!$F$6=1),(Inputs!$H$6+Inputs!$L$6*(((Inputs!$I$6+(((A82)+1)/2)*(Inputs!$J$6-Inputs!$I$6)))/Inputs!$K$6)^2),NA())</f>
        <v>400.443556</v>
      </c>
      <c r="BA82" s="9">
        <f>IF(OR(Inputs!$F$7=TRUE,Inputs!$F$7="TRUE",Inputs!$F$7=1),(Inputs!$H$7+Inputs!$L$7*(((Inputs!$I$7+(((A82)+1)/2)*(Inputs!$J$7-Inputs!$I$7)))/Inputs!$K$7)^2),NA())</f>
        <v>75.474484999999987</v>
      </c>
      <c r="BB82" s="9">
        <f>IF(OR(Inputs!$F$8=TRUE,Inputs!$F$8="TRUE",Inputs!$F$8=1),(Inputs!$H$8+Inputs!$L$8*(((Inputs!$I$8+(((A82)+1)/2)*(Inputs!$J$8-Inputs!$I$8)))/Inputs!$K$8)^2),NA())</f>
        <v>142.00788499999999</v>
      </c>
      <c r="BC82" s="9">
        <f>IF(OR(Inputs!$F$9=TRUE,Inputs!$F$9="TRUE",Inputs!$F$9=1),(Inputs!$H$9+Inputs!$L$9*(((Inputs!$I$9+(((A82)+1)/2)*(Inputs!$J$9-Inputs!$I$9)))/Inputs!$K$9)^2),NA())</f>
        <v>133.11677499999996</v>
      </c>
      <c r="BD82" s="10"/>
      <c r="BE82" s="9">
        <f t="shared" si="17"/>
        <v>-0.33300000000000002</v>
      </c>
      <c r="BF82" s="9">
        <f>0</f>
        <v>0</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row>
    <row r="83" spans="1:62">
      <c r="A83" s="9">
        <f>ROUND(-1+81*2/240,3)</f>
        <v>-0.32500000000000001</v>
      </c>
      <c r="B83" s="9">
        <f>IF(OR(Inputs!$F$6=TRUE,Inputs!$F$6="TRUE",Inputs!$F$6=1),(Inputs!$H$6+Inputs!$L$6*(((Inputs!$I$6+(((A83)+1)/2)*(Inputs!$J$6-Inputs!$I$6)))/Inputs!$K$6)^2),NA())</f>
        <v>400.42250000000001</v>
      </c>
      <c r="C83" s="9">
        <f>IF(OR(Inputs!$F$7=TRUE,Inputs!$F$7="TRUE",Inputs!$F$7=1),(Inputs!$H$7+Inputs!$L$7*(((Inputs!$I$7+(((A83)+1)/2)*(Inputs!$J$7-Inputs!$I$7)))/Inputs!$K$7)^2),NA())</f>
        <v>73.553124999999994</v>
      </c>
      <c r="D83" s="9">
        <f>IF(OR(Inputs!$F$8=TRUE,Inputs!$F$8="TRUE",Inputs!$F$8=1),(Inputs!$H$8+Inputs!$L$8*(((Inputs!$I$8+(((A83)+1)/2)*(Inputs!$J$8-Inputs!$I$8)))/Inputs!$K$8)^2),NA())</f>
        <v>136.92812500000002</v>
      </c>
      <c r="E83" s="9">
        <f>IF(OR(Inputs!$F$9=TRUE,Inputs!$F$9="TRUE",Inputs!$F$9=1),(Inputs!$H$9+Inputs!$L$9*(((Inputs!$I$9+(((A83)+1)/2)*(Inputs!$J$9-Inputs!$I$9)))/Inputs!$K$9)^2),NA())</f>
        <v>127.98437500000001</v>
      </c>
      <c r="F83" s="10"/>
      <c r="G83" s="9">
        <f t="shared" si="9"/>
        <v>-0.32500000000000001</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c r="L83" s="10"/>
      <c r="M83" s="9">
        <f t="shared" si="10"/>
        <v>-0.32500000000000001</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166.63474072408775</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1899.0802840621604</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2132.2970556960481</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2125.9160621487108</v>
      </c>
      <c r="R83" s="10"/>
      <c r="S83" s="9">
        <f t="shared" si="11"/>
        <v>-0.32500000000000001</v>
      </c>
      <c r="T83" s="9">
        <f>(Inputs!$I$6+(((A83)+1)/2)*(Inputs!$J$6-Inputs!$I$6))</f>
        <v>-19.5</v>
      </c>
      <c r="U83" s="9">
        <f>(Inputs!$I$7+(((A83)+1)/2)*(Inputs!$J$7-Inputs!$I$7))</f>
        <v>-130</v>
      </c>
      <c r="V83" s="9">
        <f>(Inputs!$I$8+(((A83)+1)/2)*(Inputs!$J$8-Inputs!$I$8))</f>
        <v>-260</v>
      </c>
      <c r="W83" s="9">
        <f>(Inputs!$I$9+(((A83)+1)/2)*(Inputs!$J$9-Inputs!$I$9))</f>
        <v>-260</v>
      </c>
      <c r="X83" s="10"/>
      <c r="Y83" s="9">
        <f t="shared" si="12"/>
        <v>-0.32500000000000001</v>
      </c>
      <c r="Z83" s="9">
        <f>(Inputs!$H$6+Inputs!$L$6*(((Inputs!$I$6+(((A83)+1)/2)*(Inputs!$J$6-Inputs!$I$6)))/Inputs!$K$6)^2)</f>
        <v>400.42250000000001</v>
      </c>
      <c r="AA83" s="9">
        <f>(Inputs!$H$7+Inputs!$L$7*(((Inputs!$I$7+(((A83)+1)/2)*(Inputs!$J$7-Inputs!$I$7)))/Inputs!$K$7)^2)</f>
        <v>73.553124999999994</v>
      </c>
      <c r="AB83" s="9">
        <f>(Inputs!$H$8+Inputs!$L$8*(((Inputs!$I$8+(((A83)+1)/2)*(Inputs!$J$8-Inputs!$I$8)))/Inputs!$K$8)^2)</f>
        <v>136.92812500000002</v>
      </c>
      <c r="AC83" s="9">
        <f>(Inputs!$H$9+Inputs!$L$9*(((Inputs!$I$9+(((A83)+1)/2)*(Inputs!$J$9-Inputs!$I$9)))/Inputs!$K$9)^2)</f>
        <v>127.98437500000001</v>
      </c>
      <c r="AD83" s="10"/>
      <c r="AE83" s="9">
        <f t="shared" si="13"/>
        <v>-0.32500000000000001</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884.3363729737207</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45256.747830272761</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94202.718556589636</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96663.529051192891</v>
      </c>
      <c r="AJ83" s="10"/>
      <c r="AK83" s="9">
        <f t="shared" si="14"/>
        <v>-0.32500000000000001</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166.63474072408775</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1899.0802840621604</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2132.2970556960481</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2125.9160621487108</v>
      </c>
      <c r="AP83" s="10"/>
      <c r="AQ83" s="9">
        <f t="shared" si="15"/>
        <v>-0.32500000000000001</v>
      </c>
      <c r="AR83" s="9">
        <f>0</f>
        <v>0</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363.81454233492502</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117.5912562060257</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175.19977595405177</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175.19977595405177</v>
      </c>
      <c r="AW83" s="10"/>
      <c r="AX83" s="9">
        <f t="shared" si="16"/>
        <v>-0.32500000000000001</v>
      </c>
      <c r="AY83" s="9">
        <f>0</f>
        <v>0</v>
      </c>
      <c r="AZ83" s="9">
        <f>IF(OR(Inputs!$F$6=TRUE,Inputs!$F$6="TRUE",Inputs!$F$6=1),(Inputs!$H$6+Inputs!$L$6*(((Inputs!$I$6+(((A83)+1)/2)*(Inputs!$J$6-Inputs!$I$6)))/Inputs!$K$6)^2),NA())</f>
        <v>400.42250000000001</v>
      </c>
      <c r="BA83" s="9">
        <f>IF(OR(Inputs!$F$7=TRUE,Inputs!$F$7="TRUE",Inputs!$F$7=1),(Inputs!$H$7+Inputs!$L$7*(((Inputs!$I$7+(((A83)+1)/2)*(Inputs!$J$7-Inputs!$I$7)))/Inputs!$K$7)^2),NA())</f>
        <v>73.553124999999994</v>
      </c>
      <c r="BB83" s="9">
        <f>IF(OR(Inputs!$F$8=TRUE,Inputs!$F$8="TRUE",Inputs!$F$8=1),(Inputs!$H$8+Inputs!$L$8*(((Inputs!$I$8+(((A83)+1)/2)*(Inputs!$J$8-Inputs!$I$8)))/Inputs!$K$8)^2),NA())</f>
        <v>136.92812500000002</v>
      </c>
      <c r="BC83" s="9">
        <f>IF(OR(Inputs!$F$9=TRUE,Inputs!$F$9="TRUE",Inputs!$F$9=1),(Inputs!$H$9+Inputs!$L$9*(((Inputs!$I$9+(((A83)+1)/2)*(Inputs!$J$9-Inputs!$I$9)))/Inputs!$K$9)^2),NA())</f>
        <v>127.98437500000001</v>
      </c>
      <c r="BD83" s="10"/>
      <c r="BE83" s="9">
        <f t="shared" si="17"/>
        <v>-0.32500000000000001</v>
      </c>
      <c r="BF83" s="9">
        <f>0</f>
        <v>0</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row>
    <row r="84" spans="1:62">
      <c r="A84" s="9">
        <f>ROUND(-1+82*2/240,3)</f>
        <v>-0.317</v>
      </c>
      <c r="B84" s="9">
        <f>IF(OR(Inputs!$F$6=TRUE,Inputs!$F$6="TRUE",Inputs!$F$6=1),(Inputs!$H$6+Inputs!$L$6*(((Inputs!$I$6+(((A84)+1)/2)*(Inputs!$J$6-Inputs!$I$6)))/Inputs!$K$6)^2),NA())</f>
        <v>400.40195599999998</v>
      </c>
      <c r="C84" s="9">
        <f>IF(OR(Inputs!$F$7=TRUE,Inputs!$F$7="TRUE",Inputs!$F$7=1),(Inputs!$H$7+Inputs!$L$7*(((Inputs!$I$7+(((A84)+1)/2)*(Inputs!$J$7-Inputs!$I$7)))/Inputs!$K$7)^2),NA())</f>
        <v>71.678484999999966</v>
      </c>
      <c r="D84" s="9">
        <f>IF(OR(Inputs!$F$8=TRUE,Inputs!$F$8="TRUE",Inputs!$F$8=1),(Inputs!$H$8+Inputs!$L$8*(((Inputs!$I$8+(((A84)+1)/2)*(Inputs!$J$8-Inputs!$I$8)))/Inputs!$K$8)^2),NA())</f>
        <v>131.97188499999993</v>
      </c>
      <c r="E84" s="9">
        <f>IF(OR(Inputs!$F$9=TRUE,Inputs!$F$9="TRUE",Inputs!$F$9=1),(Inputs!$H$9+Inputs!$L$9*(((Inputs!$I$9+(((A84)+1)/2)*(Inputs!$J$9-Inputs!$I$9)))/Inputs!$K$9)^2),NA())</f>
        <v>122.97677499999993</v>
      </c>
      <c r="F84" s="10"/>
      <c r="G84" s="9">
        <f t="shared" si="9"/>
        <v>-0.317</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c r="L84" s="10"/>
      <c r="M84" s="9">
        <f t="shared" si="10"/>
        <v>-0.317</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162.54759981556018</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1884.2501620063235</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2110.5999273700668</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2103.9625390161777</v>
      </c>
      <c r="R84" s="10"/>
      <c r="S84" s="9">
        <f t="shared" si="11"/>
        <v>-0.317</v>
      </c>
      <c r="T84" s="9">
        <f>(Inputs!$I$6+(((A84)+1)/2)*(Inputs!$J$6-Inputs!$I$6))</f>
        <v>-19.019999999999996</v>
      </c>
      <c r="U84" s="9">
        <f>(Inputs!$I$7+(((A84)+1)/2)*(Inputs!$J$7-Inputs!$I$7))</f>
        <v>-126.79999999999995</v>
      </c>
      <c r="V84" s="9">
        <f>(Inputs!$I$8+(((A84)+1)/2)*(Inputs!$J$8-Inputs!$I$8))</f>
        <v>-253.59999999999991</v>
      </c>
      <c r="W84" s="9">
        <f>(Inputs!$I$9+(((A84)+1)/2)*(Inputs!$J$9-Inputs!$I$9))</f>
        <v>-253.59999999999991</v>
      </c>
      <c r="X84" s="10"/>
      <c r="Y84" s="9">
        <f t="shared" si="12"/>
        <v>-0.317</v>
      </c>
      <c r="Z84" s="9">
        <f>(Inputs!$H$6+Inputs!$L$6*(((Inputs!$I$6+(((A84)+1)/2)*(Inputs!$J$6-Inputs!$I$6)))/Inputs!$K$6)^2)</f>
        <v>400.40195599999998</v>
      </c>
      <c r="AA84" s="9">
        <f>(Inputs!$H$7+Inputs!$L$7*(((Inputs!$I$7+(((A84)+1)/2)*(Inputs!$J$7-Inputs!$I$7)))/Inputs!$K$7)^2)</f>
        <v>71.678484999999966</v>
      </c>
      <c r="AB84" s="9">
        <f>(Inputs!$H$8+Inputs!$L$8*(((Inputs!$I$8+(((A84)+1)/2)*(Inputs!$J$8-Inputs!$I$8)))/Inputs!$K$8)^2)</f>
        <v>131.97188499999993</v>
      </c>
      <c r="AC84" s="9">
        <f>(Inputs!$H$9+Inputs!$L$9*(((Inputs!$I$9+(((A84)+1)/2)*(Inputs!$J$9-Inputs!$I$9)))/Inputs!$K$9)^2)</f>
        <v>122.97677499999993</v>
      </c>
      <c r="AD84" s="10"/>
      <c r="AE84" s="9">
        <f t="shared" si="13"/>
        <v>-0.317</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868.13784564244827</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44184.449188712351</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92219.880843034611</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94724.177856921175</v>
      </c>
      <c r="AJ84" s="10"/>
      <c r="AK84" s="9">
        <f t="shared" si="14"/>
        <v>-0.317</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162.54759981556018</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1884.2501620063235</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2110.5999273700668</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2103.9625390161777</v>
      </c>
      <c r="AP84" s="10"/>
      <c r="AQ84" s="9">
        <f t="shared" si="15"/>
        <v>-0.317</v>
      </c>
      <c r="AR84" s="9">
        <f>0</f>
        <v>0</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361.83380490671362</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173.73194471752504</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106.50819849406707</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106.50819849406707</v>
      </c>
      <c r="AW84" s="10"/>
      <c r="AX84" s="9">
        <f t="shared" si="16"/>
        <v>-0.317</v>
      </c>
      <c r="AY84" s="9">
        <f>0</f>
        <v>0</v>
      </c>
      <c r="AZ84" s="9">
        <f>IF(OR(Inputs!$F$6=TRUE,Inputs!$F$6="TRUE",Inputs!$F$6=1),(Inputs!$H$6+Inputs!$L$6*(((Inputs!$I$6+(((A84)+1)/2)*(Inputs!$J$6-Inputs!$I$6)))/Inputs!$K$6)^2),NA())</f>
        <v>400.40195599999998</v>
      </c>
      <c r="BA84" s="9">
        <f>IF(OR(Inputs!$F$7=TRUE,Inputs!$F$7="TRUE",Inputs!$F$7=1),(Inputs!$H$7+Inputs!$L$7*(((Inputs!$I$7+(((A84)+1)/2)*(Inputs!$J$7-Inputs!$I$7)))/Inputs!$K$7)^2),NA())</f>
        <v>71.678484999999966</v>
      </c>
      <c r="BB84" s="9">
        <f>IF(OR(Inputs!$F$8=TRUE,Inputs!$F$8="TRUE",Inputs!$F$8=1),(Inputs!$H$8+Inputs!$L$8*(((Inputs!$I$8+(((A84)+1)/2)*(Inputs!$J$8-Inputs!$I$8)))/Inputs!$K$8)^2),NA())</f>
        <v>131.97188499999993</v>
      </c>
      <c r="BC84" s="9">
        <f>IF(OR(Inputs!$F$9=TRUE,Inputs!$F$9="TRUE",Inputs!$F$9=1),(Inputs!$H$9+Inputs!$L$9*(((Inputs!$I$9+(((A84)+1)/2)*(Inputs!$J$9-Inputs!$I$9)))/Inputs!$K$9)^2),NA())</f>
        <v>122.97677499999993</v>
      </c>
      <c r="BD84" s="10"/>
      <c r="BE84" s="9">
        <f t="shared" si="17"/>
        <v>-0.317</v>
      </c>
      <c r="BF84" s="9">
        <f>0</f>
        <v>0</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row>
    <row r="85" spans="1:62">
      <c r="A85" s="9">
        <f>ROUND(-1+83*2/240,3)</f>
        <v>-0.308</v>
      </c>
      <c r="B85" s="9">
        <f>IF(OR(Inputs!$F$6=TRUE,Inputs!$F$6="TRUE",Inputs!$F$6=1),(Inputs!$H$6+Inputs!$L$6*(((Inputs!$I$6+(((A85)+1)/2)*(Inputs!$J$6-Inputs!$I$6)))/Inputs!$K$6)^2),NA())</f>
        <v>400.379456</v>
      </c>
      <c r="C85" s="9">
        <f>IF(OR(Inputs!$F$7=TRUE,Inputs!$F$7="TRUE",Inputs!$F$7=1),(Inputs!$H$7+Inputs!$L$7*(((Inputs!$I$7+(((A85)+1)/2)*(Inputs!$J$7-Inputs!$I$7)))/Inputs!$K$7)^2),NA())</f>
        <v>69.625360000000029</v>
      </c>
      <c r="D85" s="9">
        <f>IF(OR(Inputs!$F$8=TRUE,Inputs!$F$8="TRUE",Inputs!$F$8=1),(Inputs!$H$8+Inputs!$L$8*(((Inputs!$I$8+(((A85)+1)/2)*(Inputs!$J$8-Inputs!$I$8)))/Inputs!$K$8)^2),NA())</f>
        <v>126.54376000000006</v>
      </c>
      <c r="E85" s="9">
        <f>IF(OR(Inputs!$F$9=TRUE,Inputs!$F$9="TRUE",Inputs!$F$9=1),(Inputs!$H$9+Inputs!$L$9*(((Inputs!$I$9+(((A85)+1)/2)*(Inputs!$J$9-Inputs!$I$9)))/Inputs!$K$9)^2),NA())</f>
        <v>117.49240000000006</v>
      </c>
      <c r="F85" s="10"/>
      <c r="G85" s="9">
        <f t="shared" si="9"/>
        <v>-0.308</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c r="L85" s="10"/>
      <c r="M85" s="9">
        <f t="shared" si="10"/>
        <v>-0.308</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157.94826555448978</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1867.5449465593661</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2086.5595222069446</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2079.6685463681242</v>
      </c>
      <c r="R85" s="10"/>
      <c r="S85" s="9">
        <f t="shared" si="11"/>
        <v>-0.308</v>
      </c>
      <c r="T85" s="9">
        <f>(Inputs!$I$6+(((A85)+1)/2)*(Inputs!$J$6-Inputs!$I$6))</f>
        <v>-18.480000000000004</v>
      </c>
      <c r="U85" s="9">
        <f>(Inputs!$I$7+(((A85)+1)/2)*(Inputs!$J$7-Inputs!$I$7))</f>
        <v>-123.20000000000005</v>
      </c>
      <c r="V85" s="9">
        <f>(Inputs!$I$8+(((A85)+1)/2)*(Inputs!$J$8-Inputs!$I$8))</f>
        <v>-246.40000000000009</v>
      </c>
      <c r="W85" s="9">
        <f>(Inputs!$I$9+(((A85)+1)/2)*(Inputs!$J$9-Inputs!$I$9))</f>
        <v>-246.40000000000009</v>
      </c>
      <c r="X85" s="10"/>
      <c r="Y85" s="9">
        <f t="shared" si="12"/>
        <v>-0.308</v>
      </c>
      <c r="Z85" s="9">
        <f>(Inputs!$H$6+Inputs!$L$6*(((Inputs!$I$6+(((A85)+1)/2)*(Inputs!$J$6-Inputs!$I$6)))/Inputs!$K$6)^2)</f>
        <v>400.379456</v>
      </c>
      <c r="AA85" s="9">
        <f>(Inputs!$H$7+Inputs!$L$7*(((Inputs!$I$7+(((A85)+1)/2)*(Inputs!$J$7-Inputs!$I$7)))/Inputs!$K$7)^2)</f>
        <v>69.625360000000029</v>
      </c>
      <c r="AB85" s="9">
        <f>(Inputs!$H$8+Inputs!$L$8*(((Inputs!$I$8+(((A85)+1)/2)*(Inputs!$J$8-Inputs!$I$8)))/Inputs!$K$8)^2)</f>
        <v>126.54376000000006</v>
      </c>
      <c r="AC85" s="9">
        <f>(Inputs!$H$9+Inputs!$L$9*(((Inputs!$I$9+(((A85)+1)/2)*(Inputs!$J$9-Inputs!$I$9)))/Inputs!$K$9)^2)</f>
        <v>117.49240000000006</v>
      </c>
      <c r="AD85" s="10"/>
      <c r="AE85" s="9">
        <f t="shared" si="13"/>
        <v>-0.308</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850.39418523880806</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42966.667538375812</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89964.073356015142</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92517.080109217073</v>
      </c>
      <c r="AJ85" s="10"/>
      <c r="AK85" s="9">
        <f t="shared" si="14"/>
        <v>-0.308</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157.94826555448978</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1867.5449465593661</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2086.5595222069446</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2079.6685463681242</v>
      </c>
      <c r="AP85" s="10"/>
      <c r="AQ85" s="9">
        <f t="shared" si="15"/>
        <v>-0.308</v>
      </c>
      <c r="AR85" s="9">
        <f>0</f>
        <v>0</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379.87134705923478</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191.20807783550785</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220.25655922124861</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220.25655922124861</v>
      </c>
      <c r="AW85" s="10"/>
      <c r="AX85" s="9">
        <f t="shared" si="16"/>
        <v>-0.308</v>
      </c>
      <c r="AY85" s="9">
        <f>0</f>
        <v>0</v>
      </c>
      <c r="AZ85" s="9">
        <f>IF(OR(Inputs!$F$6=TRUE,Inputs!$F$6="TRUE",Inputs!$F$6=1),(Inputs!$H$6+Inputs!$L$6*(((Inputs!$I$6+(((A85)+1)/2)*(Inputs!$J$6-Inputs!$I$6)))/Inputs!$K$6)^2),NA())</f>
        <v>400.379456</v>
      </c>
      <c r="BA85" s="9">
        <f>IF(OR(Inputs!$F$7=TRUE,Inputs!$F$7="TRUE",Inputs!$F$7=1),(Inputs!$H$7+Inputs!$L$7*(((Inputs!$I$7+(((A85)+1)/2)*(Inputs!$J$7-Inputs!$I$7)))/Inputs!$K$7)^2),NA())</f>
        <v>69.625360000000029</v>
      </c>
      <c r="BB85" s="9">
        <f>IF(OR(Inputs!$F$8=TRUE,Inputs!$F$8="TRUE",Inputs!$F$8=1),(Inputs!$H$8+Inputs!$L$8*(((Inputs!$I$8+(((A85)+1)/2)*(Inputs!$J$8-Inputs!$I$8)))/Inputs!$K$8)^2),NA())</f>
        <v>126.54376000000006</v>
      </c>
      <c r="BC85" s="9">
        <f>IF(OR(Inputs!$F$9=TRUE,Inputs!$F$9="TRUE",Inputs!$F$9=1),(Inputs!$H$9+Inputs!$L$9*(((Inputs!$I$9+(((A85)+1)/2)*(Inputs!$J$9-Inputs!$I$9)))/Inputs!$K$9)^2),NA())</f>
        <v>117.49240000000006</v>
      </c>
      <c r="BD85" s="10"/>
      <c r="BE85" s="9">
        <f t="shared" si="17"/>
        <v>-0.308</v>
      </c>
      <c r="BF85" s="9">
        <f>0</f>
        <v>0</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row>
    <row r="86" spans="1:62">
      <c r="A86" s="9">
        <f>ROUND(-1+84*2/240,3)</f>
        <v>-0.3</v>
      </c>
      <c r="B86" s="9">
        <f>IF(OR(Inputs!$F$6=TRUE,Inputs!$F$6="TRUE",Inputs!$F$6=1),(Inputs!$H$6+Inputs!$L$6*(((Inputs!$I$6+(((A86)+1)/2)*(Inputs!$J$6-Inputs!$I$6)))/Inputs!$K$6)^2),NA())</f>
        <v>400.36</v>
      </c>
      <c r="C86" s="9">
        <f>IF(OR(Inputs!$F$7=TRUE,Inputs!$F$7="TRUE",Inputs!$F$7=1),(Inputs!$H$7+Inputs!$L$7*(((Inputs!$I$7+(((A86)+1)/2)*(Inputs!$J$7-Inputs!$I$7)))/Inputs!$K$7)^2),NA())</f>
        <v>67.849999999999994</v>
      </c>
      <c r="D86" s="9">
        <f>IF(OR(Inputs!$F$8=TRUE,Inputs!$F$8="TRUE",Inputs!$F$8=1),(Inputs!$H$8+Inputs!$L$8*(((Inputs!$I$8+(((A86)+1)/2)*(Inputs!$J$8-Inputs!$I$8)))/Inputs!$K$8)^2),NA())</f>
        <v>121.85</v>
      </c>
      <c r="E86" s="9">
        <f>IF(OR(Inputs!$F$9=TRUE,Inputs!$F$9="TRUE",Inputs!$F$9=1),(Inputs!$H$9+Inputs!$L$9*(((Inputs!$I$9+(((A86)+1)/2)*(Inputs!$J$9-Inputs!$I$9)))/Inputs!$K$9)^2),NA())</f>
        <v>112.75</v>
      </c>
      <c r="F86" s="10"/>
      <c r="G86" s="9">
        <f t="shared" si="9"/>
        <v>-0.3</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c r="L86" s="10"/>
      <c r="M86" s="9">
        <f t="shared" si="10"/>
        <v>-0.3</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153.85884194651075</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1852.6524141587827</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2065.5176137733747</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2058.4353644245243</v>
      </c>
      <c r="R86" s="10"/>
      <c r="S86" s="9">
        <f t="shared" si="11"/>
        <v>-0.3</v>
      </c>
      <c r="T86" s="9">
        <f>(Inputs!$I$6+(((A86)+1)/2)*(Inputs!$J$6-Inputs!$I$6))</f>
        <v>-18</v>
      </c>
      <c r="U86" s="9">
        <f>(Inputs!$I$7+(((A86)+1)/2)*(Inputs!$J$7-Inputs!$I$7))</f>
        <v>-120</v>
      </c>
      <c r="V86" s="9">
        <f>(Inputs!$I$8+(((A86)+1)/2)*(Inputs!$J$8-Inputs!$I$8))</f>
        <v>-240</v>
      </c>
      <c r="W86" s="9">
        <f>(Inputs!$I$9+(((A86)+1)/2)*(Inputs!$J$9-Inputs!$I$9))</f>
        <v>-240</v>
      </c>
      <c r="X86" s="10"/>
      <c r="Y86" s="9">
        <f t="shared" si="12"/>
        <v>-0.3</v>
      </c>
      <c r="Z86" s="9">
        <f>(Inputs!$H$6+Inputs!$L$6*(((Inputs!$I$6+(((A86)+1)/2)*(Inputs!$J$6-Inputs!$I$6)))/Inputs!$K$6)^2)</f>
        <v>400.36</v>
      </c>
      <c r="AA86" s="9">
        <f>(Inputs!$H$7+Inputs!$L$7*(((Inputs!$I$7+(((A86)+1)/2)*(Inputs!$J$7-Inputs!$I$7)))/Inputs!$K$7)^2)</f>
        <v>67.849999999999994</v>
      </c>
      <c r="AB86" s="9">
        <f>(Inputs!$H$8+Inputs!$L$8*(((Inputs!$I$8+(((A86)+1)/2)*(Inputs!$J$8-Inputs!$I$8)))/Inputs!$K$8)^2)</f>
        <v>121.85</v>
      </c>
      <c r="AC86" s="9">
        <f>(Inputs!$H$9+Inputs!$L$9*(((Inputs!$I$9+(((A86)+1)/2)*(Inputs!$J$9-Inputs!$I$9)))/Inputs!$K$9)^2)</f>
        <v>112.75</v>
      </c>
      <c r="AD86" s="10"/>
      <c r="AE86" s="9">
        <f t="shared" si="13"/>
        <v>-0.3</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835.04862778640972</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41874.057232795858</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87935.819541909106</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90531.858717313269</v>
      </c>
      <c r="AJ86" s="10"/>
      <c r="AK86" s="9">
        <f t="shared" si="14"/>
        <v>-0.3</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153.85884194651075</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1852.6524141587827</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2065.5176137733747</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2058.4353644245243</v>
      </c>
      <c r="AP86" s="10"/>
      <c r="AQ86" s="9">
        <f t="shared" si="15"/>
        <v>-0.3</v>
      </c>
      <c r="AR86" s="9">
        <f>0</f>
        <v>0</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392.02205415360987</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187.74824264735327</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69.603548486504238</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69.603548486504238</v>
      </c>
      <c r="AW86" s="10"/>
      <c r="AX86" s="9">
        <f t="shared" si="16"/>
        <v>-0.3</v>
      </c>
      <c r="AY86" s="9">
        <f>0</f>
        <v>0</v>
      </c>
      <c r="AZ86" s="9">
        <f>IF(OR(Inputs!$F$6=TRUE,Inputs!$F$6="TRUE",Inputs!$F$6=1),(Inputs!$H$6+Inputs!$L$6*(((Inputs!$I$6+(((A86)+1)/2)*(Inputs!$J$6-Inputs!$I$6)))/Inputs!$K$6)^2),NA())</f>
        <v>400.36</v>
      </c>
      <c r="BA86" s="9">
        <f>IF(OR(Inputs!$F$7=TRUE,Inputs!$F$7="TRUE",Inputs!$F$7=1),(Inputs!$H$7+Inputs!$L$7*(((Inputs!$I$7+(((A86)+1)/2)*(Inputs!$J$7-Inputs!$I$7)))/Inputs!$K$7)^2),NA())</f>
        <v>67.849999999999994</v>
      </c>
      <c r="BB86" s="9">
        <f>IF(OR(Inputs!$F$8=TRUE,Inputs!$F$8="TRUE",Inputs!$F$8=1),(Inputs!$H$8+Inputs!$L$8*(((Inputs!$I$8+(((A86)+1)/2)*(Inputs!$J$8-Inputs!$I$8)))/Inputs!$K$8)^2),NA())</f>
        <v>121.85</v>
      </c>
      <c r="BC86" s="9">
        <f>IF(OR(Inputs!$F$9=TRUE,Inputs!$F$9="TRUE",Inputs!$F$9=1),(Inputs!$H$9+Inputs!$L$9*(((Inputs!$I$9+(((A86)+1)/2)*(Inputs!$J$9-Inputs!$I$9)))/Inputs!$K$9)^2),NA())</f>
        <v>112.75</v>
      </c>
      <c r="BD86" s="10"/>
      <c r="BE86" s="9">
        <f t="shared" si="17"/>
        <v>-0.3</v>
      </c>
      <c r="BF86" s="9">
        <f>0</f>
        <v>0</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row>
    <row r="87" spans="1:62">
      <c r="A87" s="9">
        <f>ROUND(-1+85*2/240,3)</f>
        <v>-0.29199999999999998</v>
      </c>
      <c r="B87" s="9">
        <f>IF(OR(Inputs!$F$6=TRUE,Inputs!$F$6="TRUE",Inputs!$F$6=1),(Inputs!$H$6+Inputs!$L$6*(((Inputs!$I$6+(((A87)+1)/2)*(Inputs!$J$6-Inputs!$I$6)))/Inputs!$K$6)^2),NA())</f>
        <v>400.34105599999998</v>
      </c>
      <c r="C87" s="9">
        <f>IF(OR(Inputs!$F$7=TRUE,Inputs!$F$7="TRUE",Inputs!$F$7=1),(Inputs!$H$7+Inputs!$L$7*(((Inputs!$I$7+(((A87)+1)/2)*(Inputs!$J$7-Inputs!$I$7)))/Inputs!$K$7)^2),NA())</f>
        <v>66.12136000000001</v>
      </c>
      <c r="D87" s="9">
        <f>IF(OR(Inputs!$F$8=TRUE,Inputs!$F$8="TRUE",Inputs!$F$8=1),(Inputs!$H$8+Inputs!$L$8*(((Inputs!$I$8+(((A87)+1)/2)*(Inputs!$J$8-Inputs!$I$8)))/Inputs!$K$8)^2),NA())</f>
        <v>117.27976000000002</v>
      </c>
      <c r="E87" s="9">
        <f>IF(OR(Inputs!$F$9=TRUE,Inputs!$F$9="TRUE",Inputs!$F$9=1),(Inputs!$H$9+Inputs!$L$9*(((Inputs!$I$9+(((A87)+1)/2)*(Inputs!$J$9-Inputs!$I$9)))/Inputs!$K$9)^2),NA())</f>
        <v>108.13240000000002</v>
      </c>
      <c r="F87" s="10"/>
      <c r="G87" s="9">
        <f t="shared" si="9"/>
        <v>-0.29199999999999998</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c r="L87" s="10"/>
      <c r="M87" s="9">
        <f t="shared" si="10"/>
        <v>-0.29199999999999998</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149.76838614406955</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1837.6927794236622</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2044.7821149976342</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2037.5440336049603</v>
      </c>
      <c r="R87" s="10"/>
      <c r="S87" s="9">
        <f t="shared" si="11"/>
        <v>-0.29199999999999998</v>
      </c>
      <c r="T87" s="9">
        <f>(Inputs!$I$6+(((A87)+1)/2)*(Inputs!$J$6-Inputs!$I$6))</f>
        <v>-17.520000000000003</v>
      </c>
      <c r="U87" s="9">
        <f>(Inputs!$I$7+(((A87)+1)/2)*(Inputs!$J$7-Inputs!$I$7))</f>
        <v>-116.80000000000001</v>
      </c>
      <c r="V87" s="9">
        <f>(Inputs!$I$8+(((A87)+1)/2)*(Inputs!$J$8-Inputs!$I$8))</f>
        <v>-233.60000000000002</v>
      </c>
      <c r="W87" s="9">
        <f>(Inputs!$I$9+(((A87)+1)/2)*(Inputs!$J$9-Inputs!$I$9))</f>
        <v>-233.60000000000002</v>
      </c>
      <c r="X87" s="10"/>
      <c r="Y87" s="9">
        <f t="shared" si="12"/>
        <v>-0.29199999999999998</v>
      </c>
      <c r="Z87" s="9">
        <f>(Inputs!$H$6+Inputs!$L$6*(((Inputs!$I$6+(((A87)+1)/2)*(Inputs!$J$6-Inputs!$I$6)))/Inputs!$K$6)^2)</f>
        <v>400.34105599999998</v>
      </c>
      <c r="AA87" s="9">
        <f>(Inputs!$H$7+Inputs!$L$7*(((Inputs!$I$7+(((A87)+1)/2)*(Inputs!$J$7-Inputs!$I$7)))/Inputs!$K$7)^2)</f>
        <v>66.12136000000001</v>
      </c>
      <c r="AB87" s="9">
        <f>(Inputs!$H$8+Inputs!$L$8*(((Inputs!$I$8+(((A87)+1)/2)*(Inputs!$J$8-Inputs!$I$8)))/Inputs!$K$8)^2)</f>
        <v>117.27976000000002</v>
      </c>
      <c r="AC87" s="9">
        <f>(Inputs!$H$9+Inputs!$L$9*(((Inputs!$I$9+(((A87)+1)/2)*(Inputs!$J$9-Inputs!$I$9)))/Inputs!$K$9)^2)</f>
        <v>108.13240000000002</v>
      </c>
      <c r="AD87" s="10"/>
      <c r="AE87" s="9">
        <f t="shared" si="13"/>
        <v>-0.29199999999999998</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820.10474594276889</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40771.968102242492</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85885.112955286982</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88523.856088207307</v>
      </c>
      <c r="AJ87" s="10"/>
      <c r="AK87" s="9">
        <f t="shared" si="14"/>
        <v>-0.29199999999999998</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149.76838614406955</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1837.6927794236622</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2044.7821149976342</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2037.5440336049603</v>
      </c>
      <c r="AP87" s="10"/>
      <c r="AQ87" s="9">
        <f t="shared" si="15"/>
        <v>-0.29199999999999998</v>
      </c>
      <c r="AR87" s="9">
        <f>0</f>
        <v>0</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395.37288831242051</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166.17083063137764</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142.71283057846875</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142.71283057846875</v>
      </c>
      <c r="AW87" s="10"/>
      <c r="AX87" s="9">
        <f t="shared" si="16"/>
        <v>-0.29199999999999998</v>
      </c>
      <c r="AY87" s="9">
        <f>0</f>
        <v>0</v>
      </c>
      <c r="AZ87" s="9">
        <f>IF(OR(Inputs!$F$6=TRUE,Inputs!$F$6="TRUE",Inputs!$F$6=1),(Inputs!$H$6+Inputs!$L$6*(((Inputs!$I$6+(((A87)+1)/2)*(Inputs!$J$6-Inputs!$I$6)))/Inputs!$K$6)^2),NA())</f>
        <v>400.34105599999998</v>
      </c>
      <c r="BA87" s="9">
        <f>IF(OR(Inputs!$F$7=TRUE,Inputs!$F$7="TRUE",Inputs!$F$7=1),(Inputs!$H$7+Inputs!$L$7*(((Inputs!$I$7+(((A87)+1)/2)*(Inputs!$J$7-Inputs!$I$7)))/Inputs!$K$7)^2),NA())</f>
        <v>66.12136000000001</v>
      </c>
      <c r="BB87" s="9">
        <f>IF(OR(Inputs!$F$8=TRUE,Inputs!$F$8="TRUE",Inputs!$F$8=1),(Inputs!$H$8+Inputs!$L$8*(((Inputs!$I$8+(((A87)+1)/2)*(Inputs!$J$8-Inputs!$I$8)))/Inputs!$K$8)^2),NA())</f>
        <v>117.27976000000002</v>
      </c>
      <c r="BC87" s="9">
        <f>IF(OR(Inputs!$F$9=TRUE,Inputs!$F$9="TRUE",Inputs!$F$9=1),(Inputs!$H$9+Inputs!$L$9*(((Inputs!$I$9+(((A87)+1)/2)*(Inputs!$J$9-Inputs!$I$9)))/Inputs!$K$9)^2),NA())</f>
        <v>108.13240000000002</v>
      </c>
      <c r="BD87" s="10"/>
      <c r="BE87" s="9">
        <f t="shared" si="17"/>
        <v>-0.29199999999999998</v>
      </c>
      <c r="BF87" s="9">
        <f>0</f>
        <v>0</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row>
    <row r="88" spans="1:62">
      <c r="A88" s="9">
        <f>ROUND(-1+86*2/240,3)</f>
        <v>-0.28299999999999997</v>
      </c>
      <c r="B88" s="9">
        <f>IF(OR(Inputs!$F$6=TRUE,Inputs!$F$6="TRUE",Inputs!$F$6=1),(Inputs!$H$6+Inputs!$L$6*(((Inputs!$I$6+(((A88)+1)/2)*(Inputs!$J$6-Inputs!$I$6)))/Inputs!$K$6)^2),NA())</f>
        <v>400.320356</v>
      </c>
      <c r="C88" s="9">
        <f>IF(OR(Inputs!$F$7=TRUE,Inputs!$F$7="TRUE",Inputs!$F$7=1),(Inputs!$H$7+Inputs!$L$7*(((Inputs!$I$7+(((A88)+1)/2)*(Inputs!$J$7-Inputs!$I$7)))/Inputs!$K$7)^2),NA())</f>
        <v>64.232484999999997</v>
      </c>
      <c r="D88" s="9">
        <f>IF(OR(Inputs!$F$8=TRUE,Inputs!$F$8="TRUE",Inputs!$F$8=1),(Inputs!$H$8+Inputs!$L$8*(((Inputs!$I$8+(((A88)+1)/2)*(Inputs!$J$8-Inputs!$I$8)))/Inputs!$K$8)^2),NA())</f>
        <v>112.28588499999998</v>
      </c>
      <c r="E88" s="9">
        <f>IF(OR(Inputs!$F$9=TRUE,Inputs!$F$9="TRUE",Inputs!$F$9=1),(Inputs!$H$9+Inputs!$L$9*(((Inputs!$I$9+(((A88)+1)/2)*(Inputs!$J$9-Inputs!$I$9)))/Inputs!$K$9)^2),NA())</f>
        <v>103.08677499999997</v>
      </c>
      <c r="F88" s="10"/>
      <c r="G88" s="9">
        <f t="shared" si="9"/>
        <v>-0.28299999999999997</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c r="L88" s="10"/>
      <c r="M88" s="9">
        <f t="shared" si="10"/>
        <v>-0.28299999999999997</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145.1654231364553</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1820.7472062686497</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2021.8172313671027</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2014.4506510814815</v>
      </c>
      <c r="R88" s="10"/>
      <c r="S88" s="9">
        <f t="shared" si="11"/>
        <v>-0.28299999999999997</v>
      </c>
      <c r="T88" s="9">
        <f>(Inputs!$I$6+(((A88)+1)/2)*(Inputs!$J$6-Inputs!$I$6))</f>
        <v>-16.979999999999997</v>
      </c>
      <c r="U88" s="9">
        <f>(Inputs!$I$7+(((A88)+1)/2)*(Inputs!$J$7-Inputs!$I$7))</f>
        <v>-113.19999999999999</v>
      </c>
      <c r="V88" s="9">
        <f>(Inputs!$I$8+(((A88)+1)/2)*(Inputs!$J$8-Inputs!$I$8))</f>
        <v>-226.39999999999998</v>
      </c>
      <c r="W88" s="9">
        <f>(Inputs!$I$9+(((A88)+1)/2)*(Inputs!$J$9-Inputs!$I$9))</f>
        <v>-226.39999999999998</v>
      </c>
      <c r="X88" s="10"/>
      <c r="Y88" s="9">
        <f t="shared" si="12"/>
        <v>-0.28299999999999997</v>
      </c>
      <c r="Z88" s="9">
        <f>(Inputs!$H$6+Inputs!$L$6*(((Inputs!$I$6+(((A88)+1)/2)*(Inputs!$J$6-Inputs!$I$6)))/Inputs!$K$6)^2)</f>
        <v>400.320356</v>
      </c>
      <c r="AA88" s="9">
        <f>(Inputs!$H$7+Inputs!$L$7*(((Inputs!$I$7+(((A88)+1)/2)*(Inputs!$J$7-Inputs!$I$7)))/Inputs!$K$7)^2)</f>
        <v>64.232484999999997</v>
      </c>
      <c r="AB88" s="9">
        <f>(Inputs!$H$8+Inputs!$L$8*(((Inputs!$I$8+(((A88)+1)/2)*(Inputs!$J$8-Inputs!$I$8)))/Inputs!$K$8)^2)</f>
        <v>112.28588499999998</v>
      </c>
      <c r="AC88" s="9">
        <f>(Inputs!$H$9+Inputs!$L$9*(((Inputs!$I$9+(((A88)+1)/2)*(Inputs!$J$9-Inputs!$I$9)))/Inputs!$K$9)^2)</f>
        <v>103.08677499999997</v>
      </c>
      <c r="AD88" s="10"/>
      <c r="AE88" s="9">
        <f t="shared" si="13"/>
        <v>-0.28299999999999997</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803.77322034790814</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39520.902450731875</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83550.376695550047</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86236.664786476933</v>
      </c>
      <c r="AJ88" s="10"/>
      <c r="AK88" s="9">
        <f t="shared" si="14"/>
        <v>-0.28299999999999997</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145.1654231364553</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1820.7472062686497</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2021.8172313671027</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2014.4506510814815</v>
      </c>
      <c r="AP88" s="10"/>
      <c r="AQ88" s="9">
        <f t="shared" si="15"/>
        <v>-0.28299999999999997</v>
      </c>
      <c r="AR88" s="9">
        <f>0</f>
        <v>0</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391.83521152426374</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106.97667359655283</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144.72885879136467</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144.72885879136467</v>
      </c>
      <c r="AW88" s="10"/>
      <c r="AX88" s="9">
        <f t="shared" si="16"/>
        <v>-0.28299999999999997</v>
      </c>
      <c r="AY88" s="9">
        <f>0</f>
        <v>0</v>
      </c>
      <c r="AZ88" s="9">
        <f>IF(OR(Inputs!$F$6=TRUE,Inputs!$F$6="TRUE",Inputs!$F$6=1),(Inputs!$H$6+Inputs!$L$6*(((Inputs!$I$6+(((A88)+1)/2)*(Inputs!$J$6-Inputs!$I$6)))/Inputs!$K$6)^2),NA())</f>
        <v>400.320356</v>
      </c>
      <c r="BA88" s="9">
        <f>IF(OR(Inputs!$F$7=TRUE,Inputs!$F$7="TRUE",Inputs!$F$7=1),(Inputs!$H$7+Inputs!$L$7*(((Inputs!$I$7+(((A88)+1)/2)*(Inputs!$J$7-Inputs!$I$7)))/Inputs!$K$7)^2),NA())</f>
        <v>64.232484999999997</v>
      </c>
      <c r="BB88" s="9">
        <f>IF(OR(Inputs!$F$8=TRUE,Inputs!$F$8="TRUE",Inputs!$F$8=1),(Inputs!$H$8+Inputs!$L$8*(((Inputs!$I$8+(((A88)+1)/2)*(Inputs!$J$8-Inputs!$I$8)))/Inputs!$K$8)^2),NA())</f>
        <v>112.28588499999998</v>
      </c>
      <c r="BC88" s="9">
        <f>IF(OR(Inputs!$F$9=TRUE,Inputs!$F$9="TRUE",Inputs!$F$9=1),(Inputs!$H$9+Inputs!$L$9*(((Inputs!$I$9+(((A88)+1)/2)*(Inputs!$J$9-Inputs!$I$9)))/Inputs!$K$9)^2),NA())</f>
        <v>103.08677499999997</v>
      </c>
      <c r="BD88" s="10"/>
      <c r="BE88" s="9">
        <f t="shared" si="17"/>
        <v>-0.28299999999999997</v>
      </c>
      <c r="BF88" s="9">
        <f>0</f>
        <v>0</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row>
    <row r="89" spans="1:62">
      <c r="A89" s="9">
        <f>ROUND(-1+87*2/240,3)</f>
        <v>-0.27500000000000002</v>
      </c>
      <c r="B89" s="9">
        <f>IF(OR(Inputs!$F$6=TRUE,Inputs!$F$6="TRUE",Inputs!$F$6=1),(Inputs!$H$6+Inputs!$L$6*(((Inputs!$I$6+(((A89)+1)/2)*(Inputs!$J$6-Inputs!$I$6)))/Inputs!$K$6)^2),NA())</f>
        <v>400.30250000000001</v>
      </c>
      <c r="C89" s="9">
        <f>IF(OR(Inputs!$F$7=TRUE,Inputs!$F$7="TRUE",Inputs!$F$7=1),(Inputs!$H$7+Inputs!$L$7*(((Inputs!$I$7+(((A89)+1)/2)*(Inputs!$J$7-Inputs!$I$7)))/Inputs!$K$7)^2),NA())</f>
        <v>62.603125000000006</v>
      </c>
      <c r="D89" s="9">
        <f>IF(OR(Inputs!$F$8=TRUE,Inputs!$F$8="TRUE",Inputs!$F$8=1),(Inputs!$H$8+Inputs!$L$8*(((Inputs!$I$8+(((A89)+1)/2)*(Inputs!$J$8-Inputs!$I$8)))/Inputs!$K$8)^2),NA())</f>
        <v>107.97812500000001</v>
      </c>
      <c r="E89" s="9">
        <f>IF(OR(Inputs!$F$9=TRUE,Inputs!$F$9="TRUE",Inputs!$F$9=1),(Inputs!$H$9+Inputs!$L$9*(((Inputs!$I$9+(((A89)+1)/2)*(Inputs!$J$9-Inputs!$I$9)))/Inputs!$K$9)^2),NA())</f>
        <v>98.734375000000014</v>
      </c>
      <c r="F89" s="10"/>
      <c r="G89" s="9">
        <f t="shared" si="9"/>
        <v>-0.27500000000000002</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c r="L89" s="10"/>
      <c r="M89" s="9">
        <f t="shared" si="10"/>
        <v>-0.27500000000000002</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141.07286347980531</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1805.5451664153147</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2001.7212437803278</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1994.2864981877931</v>
      </c>
      <c r="R89" s="10"/>
      <c r="S89" s="9">
        <f t="shared" si="11"/>
        <v>-0.27500000000000002</v>
      </c>
      <c r="T89" s="9">
        <f>(Inputs!$I$6+(((A89)+1)/2)*(Inputs!$J$6-Inputs!$I$6))</f>
        <v>-16.5</v>
      </c>
      <c r="U89" s="9">
        <f>(Inputs!$I$7+(((A89)+1)/2)*(Inputs!$J$7-Inputs!$I$7))</f>
        <v>-110</v>
      </c>
      <c r="V89" s="9">
        <f>(Inputs!$I$8+(((A89)+1)/2)*(Inputs!$J$8-Inputs!$I$8))</f>
        <v>-220</v>
      </c>
      <c r="W89" s="9">
        <f>(Inputs!$I$9+(((A89)+1)/2)*(Inputs!$J$9-Inputs!$I$9))</f>
        <v>-220</v>
      </c>
      <c r="X89" s="10"/>
      <c r="Y89" s="9">
        <f t="shared" si="12"/>
        <v>-0.27500000000000002</v>
      </c>
      <c r="Z89" s="9">
        <f>(Inputs!$H$6+Inputs!$L$6*(((Inputs!$I$6+(((A89)+1)/2)*(Inputs!$J$6-Inputs!$I$6)))/Inputs!$K$6)^2)</f>
        <v>400.30250000000001</v>
      </c>
      <c r="AA89" s="9">
        <f>(Inputs!$H$7+Inputs!$L$7*(((Inputs!$I$7+(((A89)+1)/2)*(Inputs!$J$7-Inputs!$I$7)))/Inputs!$K$7)^2)</f>
        <v>62.603125000000006</v>
      </c>
      <c r="AB89" s="9">
        <f>(Inputs!$H$8+Inputs!$L$8*(((Inputs!$I$8+(((A89)+1)/2)*(Inputs!$J$8-Inputs!$I$8)))/Inputs!$K$8)^2)</f>
        <v>107.97812500000001</v>
      </c>
      <c r="AC89" s="9">
        <f>(Inputs!$H$9+Inputs!$L$9*(((Inputs!$I$9+(((A89)+1)/2)*(Inputs!$J$9-Inputs!$I$9)))/Inputs!$K$9)^2)</f>
        <v>98.734375000000014</v>
      </c>
      <c r="AD89" s="10"/>
      <c r="AE89" s="9">
        <f t="shared" si="13"/>
        <v>-0.27500000000000002</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789.68346359198381</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38399.016251949753</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81449.692174078271</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84177.698176889273</v>
      </c>
      <c r="AJ89" s="10"/>
      <c r="AK89" s="9">
        <f t="shared" si="14"/>
        <v>-0.27500000000000002</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141.07286347980531</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1805.5451664153147</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2001.7212437803278</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1994.2864981877931</v>
      </c>
      <c r="AP89" s="10"/>
      <c r="AQ89" s="9">
        <f t="shared" si="15"/>
        <v>-0.27500000000000002</v>
      </c>
      <c r="AR89" s="9">
        <f>0</f>
        <v>0</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387.14310586746348</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119.85391272646716</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59.092313072163165</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59.092313072163165</v>
      </c>
      <c r="AW89" s="10"/>
      <c r="AX89" s="9">
        <f t="shared" si="16"/>
        <v>-0.27500000000000002</v>
      </c>
      <c r="AY89" s="9">
        <f>0</f>
        <v>0</v>
      </c>
      <c r="AZ89" s="9">
        <f>IF(OR(Inputs!$F$6=TRUE,Inputs!$F$6="TRUE",Inputs!$F$6=1),(Inputs!$H$6+Inputs!$L$6*(((Inputs!$I$6+(((A89)+1)/2)*(Inputs!$J$6-Inputs!$I$6)))/Inputs!$K$6)^2),NA())</f>
        <v>400.30250000000001</v>
      </c>
      <c r="BA89" s="9">
        <f>IF(OR(Inputs!$F$7=TRUE,Inputs!$F$7="TRUE",Inputs!$F$7=1),(Inputs!$H$7+Inputs!$L$7*(((Inputs!$I$7+(((A89)+1)/2)*(Inputs!$J$7-Inputs!$I$7)))/Inputs!$K$7)^2),NA())</f>
        <v>62.603125000000006</v>
      </c>
      <c r="BB89" s="9">
        <f>IF(OR(Inputs!$F$8=TRUE,Inputs!$F$8="TRUE",Inputs!$F$8=1),(Inputs!$H$8+Inputs!$L$8*(((Inputs!$I$8+(((A89)+1)/2)*(Inputs!$J$8-Inputs!$I$8)))/Inputs!$K$8)^2),NA())</f>
        <v>107.97812500000001</v>
      </c>
      <c r="BC89" s="9">
        <f>IF(OR(Inputs!$F$9=TRUE,Inputs!$F$9="TRUE",Inputs!$F$9=1),(Inputs!$H$9+Inputs!$L$9*(((Inputs!$I$9+(((A89)+1)/2)*(Inputs!$J$9-Inputs!$I$9)))/Inputs!$K$9)^2),NA())</f>
        <v>98.734375000000014</v>
      </c>
      <c r="BD89" s="10"/>
      <c r="BE89" s="9">
        <f t="shared" si="17"/>
        <v>-0.27500000000000002</v>
      </c>
      <c r="BF89" s="9">
        <f>0</f>
        <v>0</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row>
    <row r="90" spans="1:62">
      <c r="A90" s="9">
        <f>ROUND(-1+88*2/240,3)</f>
        <v>-0.26700000000000002</v>
      </c>
      <c r="B90" s="9">
        <f>IF(OR(Inputs!$F$6=TRUE,Inputs!$F$6="TRUE",Inputs!$F$6=1),(Inputs!$H$6+Inputs!$L$6*(((Inputs!$I$6+(((A90)+1)/2)*(Inputs!$J$6-Inputs!$I$6)))/Inputs!$K$6)^2),NA())</f>
        <v>400.28515599999997</v>
      </c>
      <c r="C90" s="9">
        <f>IF(OR(Inputs!$F$7=TRUE,Inputs!$F$7="TRUE",Inputs!$F$7=1),(Inputs!$H$7+Inputs!$L$7*(((Inputs!$I$7+(((A90)+1)/2)*(Inputs!$J$7-Inputs!$I$7)))/Inputs!$K$7)^2),NA())</f>
        <v>61.020485000000001</v>
      </c>
      <c r="D90" s="9">
        <f>IF(OR(Inputs!$F$8=TRUE,Inputs!$F$8="TRUE",Inputs!$F$8=1),(Inputs!$H$8+Inputs!$L$8*(((Inputs!$I$8+(((A90)+1)/2)*(Inputs!$J$8-Inputs!$I$8)))/Inputs!$K$8)^2),NA())</f>
        <v>103.793885</v>
      </c>
      <c r="E90" s="9">
        <f>IF(OR(Inputs!$F$9=TRUE,Inputs!$F$9="TRUE",Inputs!$F$9=1),(Inputs!$H$9+Inputs!$L$9*(((Inputs!$I$9+(((A90)+1)/2)*(Inputs!$J$9-Inputs!$I$9)))/Inputs!$K$9)^2),NA())</f>
        <v>94.506775000000005</v>
      </c>
      <c r="F90" s="10"/>
      <c r="G90" s="9">
        <f t="shared" si="9"/>
        <v>-0.26700000000000002</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c r="L90" s="10"/>
      <c r="M90" s="9">
        <f t="shared" si="10"/>
        <v>-0.26700000000000002</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136.97935601639551</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1790.1731691891571</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1981.9171770542725</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1974.4623337460125</v>
      </c>
      <c r="R90" s="10"/>
      <c r="S90" s="9">
        <f t="shared" si="11"/>
        <v>-0.26700000000000002</v>
      </c>
      <c r="T90" s="9">
        <f>(Inputs!$I$6+(((A90)+1)/2)*(Inputs!$J$6-Inputs!$I$6))</f>
        <v>-16.020000000000003</v>
      </c>
      <c r="U90" s="9">
        <f>(Inputs!$I$7+(((A90)+1)/2)*(Inputs!$J$7-Inputs!$I$7))</f>
        <v>-106.80000000000001</v>
      </c>
      <c r="V90" s="9">
        <f>(Inputs!$I$8+(((A90)+1)/2)*(Inputs!$J$8-Inputs!$I$8))</f>
        <v>-213.60000000000002</v>
      </c>
      <c r="W90" s="9">
        <f>(Inputs!$I$9+(((A90)+1)/2)*(Inputs!$J$9-Inputs!$I$9))</f>
        <v>-213.60000000000002</v>
      </c>
      <c r="X90" s="10"/>
      <c r="Y90" s="9">
        <f t="shared" si="12"/>
        <v>-0.26700000000000002</v>
      </c>
      <c r="Z90" s="9">
        <f>(Inputs!$H$6+Inputs!$L$6*(((Inputs!$I$6+(((A90)+1)/2)*(Inputs!$J$6-Inputs!$I$6)))/Inputs!$K$6)^2)</f>
        <v>400.28515599999997</v>
      </c>
      <c r="AA90" s="9">
        <f>(Inputs!$H$7+Inputs!$L$7*(((Inputs!$I$7+(((A90)+1)/2)*(Inputs!$J$7-Inputs!$I$7)))/Inputs!$K$7)^2)</f>
        <v>61.020485000000001</v>
      </c>
      <c r="AB90" s="9">
        <f>(Inputs!$H$8+Inputs!$L$8*(((Inputs!$I$8+(((A90)+1)/2)*(Inputs!$J$8-Inputs!$I$8)))/Inputs!$K$8)^2)</f>
        <v>103.793885</v>
      </c>
      <c r="AC90" s="9">
        <f>(Inputs!$H$9+Inputs!$L$9*(((Inputs!$I$9+(((A90)+1)/2)*(Inputs!$J$9-Inputs!$I$9)))/Inputs!$K$9)^2)</f>
        <v>94.506775000000005</v>
      </c>
      <c r="AD90" s="10"/>
      <c r="AE90" s="9">
        <f t="shared" si="13"/>
        <v>-0.26700000000000002</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775.99590388374099</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37268.055555162093</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79324.444519917364</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82093.549408921885</v>
      </c>
      <c r="AJ90" s="10"/>
      <c r="AK90" s="9">
        <f t="shared" si="14"/>
        <v>-0.26700000000000002</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136.97935601639551</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1790.1731691891571</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1981.9171770542725</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1974.4623337460125</v>
      </c>
      <c r="AP90" s="10"/>
      <c r="AQ90" s="9">
        <f t="shared" si="15"/>
        <v>-0.26700000000000002</v>
      </c>
      <c r="AR90" s="9">
        <f>0</f>
        <v>0</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411.95834992609537</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170.54952463051779</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183.09682132314393</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183.09682132314393</v>
      </c>
      <c r="AW90" s="10"/>
      <c r="AX90" s="9">
        <f t="shared" si="16"/>
        <v>-0.26700000000000002</v>
      </c>
      <c r="AY90" s="9">
        <f>0</f>
        <v>0</v>
      </c>
      <c r="AZ90" s="9">
        <f>IF(OR(Inputs!$F$6=TRUE,Inputs!$F$6="TRUE",Inputs!$F$6=1),(Inputs!$H$6+Inputs!$L$6*(((Inputs!$I$6+(((A90)+1)/2)*(Inputs!$J$6-Inputs!$I$6)))/Inputs!$K$6)^2),NA())</f>
        <v>400.28515599999997</v>
      </c>
      <c r="BA90" s="9">
        <f>IF(OR(Inputs!$F$7=TRUE,Inputs!$F$7="TRUE",Inputs!$F$7=1),(Inputs!$H$7+Inputs!$L$7*(((Inputs!$I$7+(((A90)+1)/2)*(Inputs!$J$7-Inputs!$I$7)))/Inputs!$K$7)^2),NA())</f>
        <v>61.020485000000001</v>
      </c>
      <c r="BB90" s="9">
        <f>IF(OR(Inputs!$F$8=TRUE,Inputs!$F$8="TRUE",Inputs!$F$8=1),(Inputs!$H$8+Inputs!$L$8*(((Inputs!$I$8+(((A90)+1)/2)*(Inputs!$J$8-Inputs!$I$8)))/Inputs!$K$8)^2),NA())</f>
        <v>103.793885</v>
      </c>
      <c r="BC90" s="9">
        <f>IF(OR(Inputs!$F$9=TRUE,Inputs!$F$9="TRUE",Inputs!$F$9=1),(Inputs!$H$9+Inputs!$L$9*(((Inputs!$I$9+(((A90)+1)/2)*(Inputs!$J$9-Inputs!$I$9)))/Inputs!$K$9)^2),NA())</f>
        <v>94.506775000000005</v>
      </c>
      <c r="BD90" s="10"/>
      <c r="BE90" s="9">
        <f t="shared" si="17"/>
        <v>-0.26700000000000002</v>
      </c>
      <c r="BF90" s="9">
        <f>0</f>
        <v>0</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row>
    <row r="91" spans="1:62">
      <c r="A91" s="9">
        <f>ROUND(-1+89*2/240,3)</f>
        <v>-0.25800000000000001</v>
      </c>
      <c r="B91" s="9">
        <f>IF(OR(Inputs!$F$6=TRUE,Inputs!$F$6="TRUE",Inputs!$F$6=1),(Inputs!$H$6+Inputs!$L$6*(((Inputs!$I$6+(((A91)+1)/2)*(Inputs!$J$6-Inputs!$I$6)))/Inputs!$K$6)^2),NA())</f>
        <v>400.266256</v>
      </c>
      <c r="C91" s="9">
        <f>IF(OR(Inputs!$F$7=TRUE,Inputs!$F$7="TRUE",Inputs!$F$7=1),(Inputs!$H$7+Inputs!$L$7*(((Inputs!$I$7+(((A91)+1)/2)*(Inputs!$J$7-Inputs!$I$7)))/Inputs!$K$7)^2),NA())</f>
        <v>59.29585999999999</v>
      </c>
      <c r="D91" s="9">
        <f>IF(OR(Inputs!$F$8=TRUE,Inputs!$F$8="TRUE",Inputs!$F$8=1),(Inputs!$H$8+Inputs!$L$8*(((Inputs!$I$8+(((A91)+1)/2)*(Inputs!$J$8-Inputs!$I$8)))/Inputs!$K$8)^2),NA())</f>
        <v>99.234259999999978</v>
      </c>
      <c r="E91" s="9">
        <f>IF(OR(Inputs!$F$9=TRUE,Inputs!$F$9="TRUE",Inputs!$F$9=1),(Inputs!$H$9+Inputs!$L$9*(((Inputs!$I$9+(((A91)+1)/2)*(Inputs!$J$9-Inputs!$I$9)))/Inputs!$K$9)^2),NA())</f>
        <v>89.899899999999974</v>
      </c>
      <c r="F91" s="10"/>
      <c r="G91" s="9">
        <f t="shared" si="9"/>
        <v>-0.25800000000000001</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c r="L91" s="10"/>
      <c r="M91" s="9">
        <f t="shared" si="10"/>
        <v>-0.25800000000000001</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132.37306093279591</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1772.6233215244902</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1959.9757509009801</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1952.5621718334994</v>
      </c>
      <c r="R91" s="10"/>
      <c r="S91" s="9">
        <f t="shared" si="11"/>
        <v>-0.25800000000000001</v>
      </c>
      <c r="T91" s="9">
        <f>(Inputs!$I$6+(((A91)+1)/2)*(Inputs!$J$6-Inputs!$I$6))</f>
        <v>-15.480000000000004</v>
      </c>
      <c r="U91" s="9">
        <f>(Inputs!$I$7+(((A91)+1)/2)*(Inputs!$J$7-Inputs!$I$7))</f>
        <v>-103.19999999999999</v>
      </c>
      <c r="V91" s="9">
        <f>(Inputs!$I$8+(((A91)+1)/2)*(Inputs!$J$8-Inputs!$I$8))</f>
        <v>-206.39999999999998</v>
      </c>
      <c r="W91" s="9">
        <f>(Inputs!$I$9+(((A91)+1)/2)*(Inputs!$J$9-Inputs!$I$9))</f>
        <v>-206.39999999999998</v>
      </c>
      <c r="X91" s="10"/>
      <c r="Y91" s="9">
        <f t="shared" si="12"/>
        <v>-0.25800000000000001</v>
      </c>
      <c r="Z91" s="9">
        <f>(Inputs!$H$6+Inputs!$L$6*(((Inputs!$I$6+(((A91)+1)/2)*(Inputs!$J$6-Inputs!$I$6)))/Inputs!$K$6)^2)</f>
        <v>400.266256</v>
      </c>
      <c r="AA91" s="9">
        <f>(Inputs!$H$7+Inputs!$L$7*(((Inputs!$I$7+(((A91)+1)/2)*(Inputs!$J$7-Inputs!$I$7)))/Inputs!$K$7)^2)</f>
        <v>59.29585999999999</v>
      </c>
      <c r="AB91" s="9">
        <f>(Inputs!$H$8+Inputs!$L$8*(((Inputs!$I$8+(((A91)+1)/2)*(Inputs!$J$8-Inputs!$I$8)))/Inputs!$K$8)^2)</f>
        <v>99.234259999999978</v>
      </c>
      <c r="AC91" s="9">
        <f>(Inputs!$H$9+Inputs!$L$9*(((Inputs!$I$9+(((A91)+1)/2)*(Inputs!$J$9-Inputs!$I$9)))/Inputs!$K$9)^2)</f>
        <v>89.899899999999974</v>
      </c>
      <c r="AD91" s="10"/>
      <c r="AE91" s="9">
        <f t="shared" si="13"/>
        <v>-0.25800000000000001</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761.07834624841939</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35985.146745264501</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76903.375781969487</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79717.834992360746</v>
      </c>
      <c r="AJ91" s="10"/>
      <c r="AK91" s="9">
        <f t="shared" si="14"/>
        <v>-0.25800000000000001</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132.37306093279591</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1772.6233215244902</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1959.9757509009801</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1952.5621718334994</v>
      </c>
      <c r="AP91" s="10"/>
      <c r="AQ91" s="9">
        <f t="shared" si="15"/>
        <v>-0.25800000000000001</v>
      </c>
      <c r="AR91" s="9">
        <f>0</f>
        <v>0</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398.02576729991495</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184.56314417059855</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121.8970743858531</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121.8970743858531</v>
      </c>
      <c r="AW91" s="10"/>
      <c r="AX91" s="9">
        <f t="shared" si="16"/>
        <v>-0.25800000000000001</v>
      </c>
      <c r="AY91" s="9">
        <f>0</f>
        <v>0</v>
      </c>
      <c r="AZ91" s="9">
        <f>IF(OR(Inputs!$F$6=TRUE,Inputs!$F$6="TRUE",Inputs!$F$6=1),(Inputs!$H$6+Inputs!$L$6*(((Inputs!$I$6+(((A91)+1)/2)*(Inputs!$J$6-Inputs!$I$6)))/Inputs!$K$6)^2),NA())</f>
        <v>400.266256</v>
      </c>
      <c r="BA91" s="9">
        <f>IF(OR(Inputs!$F$7=TRUE,Inputs!$F$7="TRUE",Inputs!$F$7=1),(Inputs!$H$7+Inputs!$L$7*(((Inputs!$I$7+(((A91)+1)/2)*(Inputs!$J$7-Inputs!$I$7)))/Inputs!$K$7)^2),NA())</f>
        <v>59.29585999999999</v>
      </c>
      <c r="BB91" s="9">
        <f>IF(OR(Inputs!$F$8=TRUE,Inputs!$F$8="TRUE",Inputs!$F$8=1),(Inputs!$H$8+Inputs!$L$8*(((Inputs!$I$8+(((A91)+1)/2)*(Inputs!$J$8-Inputs!$I$8)))/Inputs!$K$8)^2),NA())</f>
        <v>99.234259999999978</v>
      </c>
      <c r="BC91" s="9">
        <f>IF(OR(Inputs!$F$9=TRUE,Inputs!$F$9="TRUE",Inputs!$F$9=1),(Inputs!$H$9+Inputs!$L$9*(((Inputs!$I$9+(((A91)+1)/2)*(Inputs!$J$9-Inputs!$I$9)))/Inputs!$K$9)^2),NA())</f>
        <v>89.899899999999974</v>
      </c>
      <c r="BD91" s="10"/>
      <c r="BE91" s="9">
        <f t="shared" si="17"/>
        <v>-0.25800000000000001</v>
      </c>
      <c r="BF91" s="9">
        <f>0</f>
        <v>0</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row>
    <row r="92" spans="1:62">
      <c r="A92" s="9">
        <f>ROUND(-1+90*2/240,3)</f>
        <v>-0.25</v>
      </c>
      <c r="B92" s="9">
        <f>IF(OR(Inputs!$F$6=TRUE,Inputs!$F$6="TRUE",Inputs!$F$6=1),(Inputs!$H$6+Inputs!$L$6*(((Inputs!$I$6+(((A92)+1)/2)*(Inputs!$J$6-Inputs!$I$6)))/Inputs!$K$6)^2),NA())</f>
        <v>400.25</v>
      </c>
      <c r="C92" s="9">
        <f>IF(OR(Inputs!$F$7=TRUE,Inputs!$F$7="TRUE",Inputs!$F$7=1),(Inputs!$H$7+Inputs!$L$7*(((Inputs!$I$7+(((A92)+1)/2)*(Inputs!$J$7-Inputs!$I$7)))/Inputs!$K$7)^2),NA())</f>
        <v>57.8125</v>
      </c>
      <c r="D92" s="9">
        <f>IF(OR(Inputs!$F$8=TRUE,Inputs!$F$8="TRUE",Inputs!$F$8=1),(Inputs!$H$8+Inputs!$L$8*(((Inputs!$I$8+(((A92)+1)/2)*(Inputs!$J$8-Inputs!$I$8)))/Inputs!$K$8)^2),NA())</f>
        <v>95.3125</v>
      </c>
      <c r="E92" s="9">
        <f>IF(OR(Inputs!$F$9=TRUE,Inputs!$F$9="TRUE",Inputs!$F$9=1),(Inputs!$H$9+Inputs!$L$9*(((Inputs!$I$9+(((A92)+1)/2)*(Inputs!$J$9-Inputs!$I$9)))/Inputs!$K$9)^2),NA())</f>
        <v>85.9375</v>
      </c>
      <c r="F92" s="10"/>
      <c r="G92" s="9">
        <f t="shared" si="9"/>
        <v>-0.25</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c r="L92" s="10"/>
      <c r="M92" s="9">
        <f t="shared" si="10"/>
        <v>-0.25</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128.27762939589343</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1756.7415501153985</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1940.7603378833421</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1933.4467080059392</v>
      </c>
      <c r="R92" s="10"/>
      <c r="S92" s="9">
        <f t="shared" si="11"/>
        <v>-0.25</v>
      </c>
      <c r="T92" s="9">
        <f>(Inputs!$I$6+(((A92)+1)/2)*(Inputs!$J$6-Inputs!$I$6))</f>
        <v>-15</v>
      </c>
      <c r="U92" s="9">
        <f>(Inputs!$I$7+(((A92)+1)/2)*(Inputs!$J$7-Inputs!$I$7))</f>
        <v>-100</v>
      </c>
      <c r="V92" s="9">
        <f>(Inputs!$I$8+(((A92)+1)/2)*(Inputs!$J$8-Inputs!$I$8))</f>
        <v>-200</v>
      </c>
      <c r="W92" s="9">
        <f>(Inputs!$I$9+(((A92)+1)/2)*(Inputs!$J$9-Inputs!$I$9))</f>
        <v>-200</v>
      </c>
      <c r="X92" s="10"/>
      <c r="Y92" s="9">
        <f t="shared" si="12"/>
        <v>-0.25</v>
      </c>
      <c r="Z92" s="9">
        <f>(Inputs!$H$6+Inputs!$L$6*(((Inputs!$I$6+(((A92)+1)/2)*(Inputs!$J$6-Inputs!$I$6)))/Inputs!$K$6)^2)</f>
        <v>400.25</v>
      </c>
      <c r="AA92" s="9">
        <f>(Inputs!$H$7+Inputs!$L$7*(((Inputs!$I$7+(((A92)+1)/2)*(Inputs!$J$7-Inputs!$I$7)))/Inputs!$K$7)^2)</f>
        <v>57.8125</v>
      </c>
      <c r="AB92" s="9">
        <f>(Inputs!$H$8+Inputs!$L$8*(((Inputs!$I$8+(((A92)+1)/2)*(Inputs!$J$8-Inputs!$I$8)))/Inputs!$K$8)^2)</f>
        <v>95.3125</v>
      </c>
      <c r="AC92" s="9">
        <f>(Inputs!$H$9+Inputs!$L$9*(((Inputs!$I$9+(((A92)+1)/2)*(Inputs!$J$9-Inputs!$I$9)))/Inputs!$K$9)^2)</f>
        <v>85.9375</v>
      </c>
      <c r="AD92" s="10"/>
      <c r="AE92" s="9">
        <f t="shared" si="13"/>
        <v>-0.25</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748.24597239168259</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34835.678266223142</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74723.811632680532</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77577.661528052326</v>
      </c>
      <c r="AJ92" s="10"/>
      <c r="AK92" s="9">
        <f t="shared" si="14"/>
        <v>-0.25</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128.27762939589343</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1756.7415501153985</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1940.7603378833421</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1933.4467080059392</v>
      </c>
      <c r="AP92" s="10"/>
      <c r="AQ92" s="9">
        <f t="shared" si="15"/>
        <v>-0.25</v>
      </c>
      <c r="AR92" s="9">
        <f>0</f>
        <v>0</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416.63024006091615</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150.02974859207296</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148.22726874237361</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148.22726874237361</v>
      </c>
      <c r="AW92" s="10"/>
      <c r="AX92" s="9">
        <f t="shared" si="16"/>
        <v>-0.25</v>
      </c>
      <c r="AY92" s="9">
        <f>0</f>
        <v>0</v>
      </c>
      <c r="AZ92" s="9">
        <f>IF(OR(Inputs!$F$6=TRUE,Inputs!$F$6="TRUE",Inputs!$F$6=1),(Inputs!$H$6+Inputs!$L$6*(((Inputs!$I$6+(((A92)+1)/2)*(Inputs!$J$6-Inputs!$I$6)))/Inputs!$K$6)^2),NA())</f>
        <v>400.25</v>
      </c>
      <c r="BA92" s="9">
        <f>IF(OR(Inputs!$F$7=TRUE,Inputs!$F$7="TRUE",Inputs!$F$7=1),(Inputs!$H$7+Inputs!$L$7*(((Inputs!$I$7+(((A92)+1)/2)*(Inputs!$J$7-Inputs!$I$7)))/Inputs!$K$7)^2),NA())</f>
        <v>57.8125</v>
      </c>
      <c r="BB92" s="9">
        <f>IF(OR(Inputs!$F$8=TRUE,Inputs!$F$8="TRUE",Inputs!$F$8=1),(Inputs!$H$8+Inputs!$L$8*(((Inputs!$I$8+(((A92)+1)/2)*(Inputs!$J$8-Inputs!$I$8)))/Inputs!$K$8)^2),NA())</f>
        <v>95.3125</v>
      </c>
      <c r="BC92" s="9">
        <f>IF(OR(Inputs!$F$9=TRUE,Inputs!$F$9="TRUE",Inputs!$F$9=1),(Inputs!$H$9+Inputs!$L$9*(((Inputs!$I$9+(((A92)+1)/2)*(Inputs!$J$9-Inputs!$I$9)))/Inputs!$K$9)^2),NA())</f>
        <v>85.9375</v>
      </c>
      <c r="BD92" s="10"/>
      <c r="BE92" s="9">
        <f t="shared" si="17"/>
        <v>-0.25</v>
      </c>
      <c r="BF92" s="9">
        <f>0</f>
        <v>0</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row>
    <row r="93" spans="1:62">
      <c r="A93" s="9">
        <f>ROUND(-1+91*2/240,3)</f>
        <v>-0.24199999999999999</v>
      </c>
      <c r="B93" s="9">
        <f>IF(OR(Inputs!$F$6=TRUE,Inputs!$F$6="TRUE",Inputs!$F$6=1),(Inputs!$H$6+Inputs!$L$6*(((Inputs!$I$6+(((A93)+1)/2)*(Inputs!$J$6-Inputs!$I$6)))/Inputs!$K$6)^2),NA())</f>
        <v>400.23425600000002</v>
      </c>
      <c r="C93" s="9">
        <f>IF(OR(Inputs!$F$7=TRUE,Inputs!$F$7="TRUE",Inputs!$F$7=1),(Inputs!$H$7+Inputs!$L$7*(((Inputs!$I$7+(((A93)+1)/2)*(Inputs!$J$7-Inputs!$I$7)))/Inputs!$K$7)^2),NA())</f>
        <v>56.375860000000003</v>
      </c>
      <c r="D93" s="9">
        <f>IF(OR(Inputs!$F$8=TRUE,Inputs!$F$8="TRUE",Inputs!$F$8=1),(Inputs!$H$8+Inputs!$L$8*(((Inputs!$I$8+(((A93)+1)/2)*(Inputs!$J$8-Inputs!$I$8)))/Inputs!$K$8)^2),NA())</f>
        <v>91.514260000000007</v>
      </c>
      <c r="E93" s="9">
        <f>IF(OR(Inputs!$F$9=TRUE,Inputs!$F$9="TRUE",Inputs!$F$9=1),(Inputs!$H$9+Inputs!$L$9*(((Inputs!$I$9+(((A93)+1)/2)*(Inputs!$J$9-Inputs!$I$9)))/Inputs!$K$9)^2),NA())</f>
        <v>82.099900000000019</v>
      </c>
      <c r="F93" s="10"/>
      <c r="G93" s="9">
        <f t="shared" si="9"/>
        <v>-0.24199999999999999</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c r="L93" s="10"/>
      <c r="M93" s="9">
        <f t="shared" si="10"/>
        <v>-0.24199999999999999</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124.18133486180761</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1740.5362553322309</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1921.8010226962556</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1914.6538740696251</v>
      </c>
      <c r="R93" s="10"/>
      <c r="S93" s="9">
        <f t="shared" si="11"/>
        <v>-0.24199999999999999</v>
      </c>
      <c r="T93" s="9">
        <f>(Inputs!$I$6+(((A93)+1)/2)*(Inputs!$J$6-Inputs!$I$6))</f>
        <v>-14.519999999999996</v>
      </c>
      <c r="U93" s="9">
        <f>(Inputs!$I$7+(((A93)+1)/2)*(Inputs!$J$7-Inputs!$I$7))</f>
        <v>-96.800000000000011</v>
      </c>
      <c r="V93" s="9">
        <f>(Inputs!$I$8+(((A93)+1)/2)*(Inputs!$J$8-Inputs!$I$8))</f>
        <v>-193.60000000000002</v>
      </c>
      <c r="W93" s="9">
        <f>(Inputs!$I$9+(((A93)+1)/2)*(Inputs!$J$9-Inputs!$I$9))</f>
        <v>-193.60000000000002</v>
      </c>
      <c r="X93" s="10"/>
      <c r="Y93" s="9">
        <f t="shared" si="12"/>
        <v>-0.24199999999999999</v>
      </c>
      <c r="Z93" s="9">
        <f>(Inputs!$H$6+Inputs!$L$6*(((Inputs!$I$6+(((A93)+1)/2)*(Inputs!$J$6-Inputs!$I$6)))/Inputs!$K$6)^2)</f>
        <v>400.23425600000002</v>
      </c>
      <c r="AA93" s="9">
        <f>(Inputs!$H$7+Inputs!$L$7*(((Inputs!$I$7+(((A93)+1)/2)*(Inputs!$J$7-Inputs!$I$7)))/Inputs!$K$7)^2)</f>
        <v>56.375860000000003</v>
      </c>
      <c r="AB93" s="9">
        <f>(Inputs!$H$8+Inputs!$L$8*(((Inputs!$I$8+(((A93)+1)/2)*(Inputs!$J$8-Inputs!$I$8)))/Inputs!$K$8)^2)</f>
        <v>91.514260000000007</v>
      </c>
      <c r="AC93" s="9">
        <f>(Inputs!$H$9+Inputs!$L$9*(((Inputs!$I$9+(((A93)+1)/2)*(Inputs!$J$9-Inputs!$I$9)))/Inputs!$K$9)^2)</f>
        <v>82.099900000000019</v>
      </c>
      <c r="AD93" s="10"/>
      <c r="AE93" s="9">
        <f t="shared" si="13"/>
        <v>-0.24199999999999999</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735.81627246304902</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33677.983434025526</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72517.744136561756</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75409.967601069555</v>
      </c>
      <c r="AJ93" s="10"/>
      <c r="AK93" s="9">
        <f t="shared" si="14"/>
        <v>-0.24199999999999999</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124.18133486180761</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1740.5362553322309</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1921.8010226962556</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1914.6538740696251</v>
      </c>
      <c r="AP93" s="10"/>
      <c r="AQ93" s="9">
        <f t="shared" si="15"/>
        <v>-0.24199999999999999</v>
      </c>
      <c r="AR93" s="9">
        <f>0</f>
        <v>0</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411.80681282193876</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80.777634091123929</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177.31758154206727</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177.31758154206727</v>
      </c>
      <c r="AW93" s="10"/>
      <c r="AX93" s="9">
        <f t="shared" si="16"/>
        <v>-0.24199999999999999</v>
      </c>
      <c r="AY93" s="9">
        <f>0</f>
        <v>0</v>
      </c>
      <c r="AZ93" s="9">
        <f>IF(OR(Inputs!$F$6=TRUE,Inputs!$F$6="TRUE",Inputs!$F$6=1),(Inputs!$H$6+Inputs!$L$6*(((Inputs!$I$6+(((A93)+1)/2)*(Inputs!$J$6-Inputs!$I$6)))/Inputs!$K$6)^2),NA())</f>
        <v>400.23425600000002</v>
      </c>
      <c r="BA93" s="9">
        <f>IF(OR(Inputs!$F$7=TRUE,Inputs!$F$7="TRUE",Inputs!$F$7=1),(Inputs!$H$7+Inputs!$L$7*(((Inputs!$I$7+(((A93)+1)/2)*(Inputs!$J$7-Inputs!$I$7)))/Inputs!$K$7)^2),NA())</f>
        <v>56.375860000000003</v>
      </c>
      <c r="BB93" s="9">
        <f>IF(OR(Inputs!$F$8=TRUE,Inputs!$F$8="TRUE",Inputs!$F$8=1),(Inputs!$H$8+Inputs!$L$8*(((Inputs!$I$8+(((A93)+1)/2)*(Inputs!$J$8-Inputs!$I$8)))/Inputs!$K$8)^2),NA())</f>
        <v>91.514260000000007</v>
      </c>
      <c r="BC93" s="9">
        <f>IF(OR(Inputs!$F$9=TRUE,Inputs!$F$9="TRUE",Inputs!$F$9=1),(Inputs!$H$9+Inputs!$L$9*(((Inputs!$I$9+(((A93)+1)/2)*(Inputs!$J$9-Inputs!$I$9)))/Inputs!$K$9)^2),NA())</f>
        <v>82.099900000000019</v>
      </c>
      <c r="BD93" s="10"/>
      <c r="BE93" s="9">
        <f t="shared" si="17"/>
        <v>-0.24199999999999999</v>
      </c>
      <c r="BF93" s="9">
        <f>0</f>
        <v>0</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row>
    <row r="94" spans="1:62">
      <c r="A94" s="9">
        <f>ROUND(-1+92*2/240,3)</f>
        <v>-0.23300000000000001</v>
      </c>
      <c r="B94" s="9">
        <f>IF(OR(Inputs!$F$6=TRUE,Inputs!$F$6="TRUE",Inputs!$F$6=1),(Inputs!$H$6+Inputs!$L$6*(((Inputs!$I$6+(((A94)+1)/2)*(Inputs!$J$6-Inputs!$I$6)))/Inputs!$K$6)^2),NA())</f>
        <v>400.21715599999999</v>
      </c>
      <c r="C94" s="9">
        <f>IF(OR(Inputs!$F$7=TRUE,Inputs!$F$7="TRUE",Inputs!$F$7=1),(Inputs!$H$7+Inputs!$L$7*(((Inputs!$I$7+(((A94)+1)/2)*(Inputs!$J$7-Inputs!$I$7)))/Inputs!$K$7)^2),NA())</f>
        <v>54.815484999999995</v>
      </c>
      <c r="D94" s="9">
        <f>IF(OR(Inputs!$F$8=TRUE,Inputs!$F$8="TRUE",Inputs!$F$8=1),(Inputs!$H$8+Inputs!$L$8*(((Inputs!$I$8+(((A94)+1)/2)*(Inputs!$J$8-Inputs!$I$8)))/Inputs!$K$8)^2),NA())</f>
        <v>87.388884999999988</v>
      </c>
      <c r="E94" s="9">
        <f>IF(OR(Inputs!$F$9=TRUE,Inputs!$F$9="TRUE",Inputs!$F$9=1),(Inputs!$H$9+Inputs!$L$9*(((Inputs!$I$9+(((A94)+1)/2)*(Inputs!$J$9-Inputs!$I$9)))/Inputs!$K$9)^2),NA())</f>
        <v>77.931774999999988</v>
      </c>
      <c r="F94" s="10"/>
      <c r="G94" s="9">
        <f t="shared" si="9"/>
        <v>-0.23300000000000001</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c r="L94" s="10"/>
      <c r="M94" s="9">
        <f t="shared" si="10"/>
        <v>-0.23300000000000001</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119.57200585587707</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1721.8385237392074</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1900.7550949797267</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1893.8843896454048</v>
      </c>
      <c r="R94" s="10"/>
      <c r="S94" s="9">
        <f t="shared" si="11"/>
        <v>-0.23300000000000001</v>
      </c>
      <c r="T94" s="9">
        <f>(Inputs!$I$6+(((A94)+1)/2)*(Inputs!$J$6-Inputs!$I$6))</f>
        <v>-13.979999999999997</v>
      </c>
      <c r="U94" s="9">
        <f>(Inputs!$I$7+(((A94)+1)/2)*(Inputs!$J$7-Inputs!$I$7))</f>
        <v>-93.199999999999989</v>
      </c>
      <c r="V94" s="9">
        <f>(Inputs!$I$8+(((A94)+1)/2)*(Inputs!$J$8-Inputs!$I$8))</f>
        <v>-186.39999999999998</v>
      </c>
      <c r="W94" s="9">
        <f>(Inputs!$I$9+(((A94)+1)/2)*(Inputs!$J$9-Inputs!$I$9))</f>
        <v>-186.39999999999998</v>
      </c>
      <c r="X94" s="10"/>
      <c r="Y94" s="9">
        <f t="shared" si="12"/>
        <v>-0.23300000000000001</v>
      </c>
      <c r="Z94" s="9">
        <f>(Inputs!$H$6+Inputs!$L$6*(((Inputs!$I$6+(((A94)+1)/2)*(Inputs!$J$6-Inputs!$I$6)))/Inputs!$K$6)^2)</f>
        <v>400.21715599999999</v>
      </c>
      <c r="AA94" s="9">
        <f>(Inputs!$H$7+Inputs!$L$7*(((Inputs!$I$7+(((A94)+1)/2)*(Inputs!$J$7-Inputs!$I$7)))/Inputs!$K$7)^2)</f>
        <v>54.815484999999995</v>
      </c>
      <c r="AB94" s="9">
        <f>(Inputs!$H$8+Inputs!$L$8*(((Inputs!$I$8+(((A94)+1)/2)*(Inputs!$J$8-Inputs!$I$8)))/Inputs!$K$8)^2)</f>
        <v>87.388884999999988</v>
      </c>
      <c r="AC94" s="9">
        <f>(Inputs!$H$9+Inputs!$L$9*(((Inputs!$I$9+(((A94)+1)/2)*(Inputs!$J$9-Inputs!$I$9)))/Inputs!$K$9)^2)</f>
        <v>77.931774999999988</v>
      </c>
      <c r="AD94" s="10"/>
      <c r="AE94" s="9">
        <f t="shared" si="13"/>
        <v>-0.23300000000000001</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722.3143592884536</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32366.243011376559</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70003.548080772467</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72937.528655693473</v>
      </c>
      <c r="AJ94" s="10"/>
      <c r="AK94" s="9">
        <f t="shared" si="14"/>
        <v>-0.23300000000000001</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119.57200585587707</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1721.8385237392074</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1900.7550949797267</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1893.8843896454048</v>
      </c>
      <c r="AP94" s="10"/>
      <c r="AQ94" s="9">
        <f t="shared" si="15"/>
        <v>-0.23300000000000001</v>
      </c>
      <c r="AR94" s="9">
        <f>0</f>
        <v>0</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419.99717181292027</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102.00835262265619</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139.93519543295716</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139.93519543295716</v>
      </c>
      <c r="AW94" s="10"/>
      <c r="AX94" s="9">
        <f t="shared" si="16"/>
        <v>-0.23300000000000001</v>
      </c>
      <c r="AY94" s="9">
        <f>0</f>
        <v>0</v>
      </c>
      <c r="AZ94" s="9">
        <f>IF(OR(Inputs!$F$6=TRUE,Inputs!$F$6="TRUE",Inputs!$F$6=1),(Inputs!$H$6+Inputs!$L$6*(((Inputs!$I$6+(((A94)+1)/2)*(Inputs!$J$6-Inputs!$I$6)))/Inputs!$K$6)^2),NA())</f>
        <v>400.21715599999999</v>
      </c>
      <c r="BA94" s="9">
        <f>IF(OR(Inputs!$F$7=TRUE,Inputs!$F$7="TRUE",Inputs!$F$7=1),(Inputs!$H$7+Inputs!$L$7*(((Inputs!$I$7+(((A94)+1)/2)*(Inputs!$J$7-Inputs!$I$7)))/Inputs!$K$7)^2),NA())</f>
        <v>54.815484999999995</v>
      </c>
      <c r="BB94" s="9">
        <f>IF(OR(Inputs!$F$8=TRUE,Inputs!$F$8="TRUE",Inputs!$F$8=1),(Inputs!$H$8+Inputs!$L$8*(((Inputs!$I$8+(((A94)+1)/2)*(Inputs!$J$8-Inputs!$I$8)))/Inputs!$K$8)^2),NA())</f>
        <v>87.388884999999988</v>
      </c>
      <c r="BC94" s="9">
        <f>IF(OR(Inputs!$F$9=TRUE,Inputs!$F$9="TRUE",Inputs!$F$9=1),(Inputs!$H$9+Inputs!$L$9*(((Inputs!$I$9+(((A94)+1)/2)*(Inputs!$J$9-Inputs!$I$9)))/Inputs!$K$9)^2),NA())</f>
        <v>77.931774999999988</v>
      </c>
      <c r="BD94" s="10"/>
      <c r="BE94" s="9">
        <f t="shared" si="17"/>
        <v>-0.23300000000000001</v>
      </c>
      <c r="BF94" s="9">
        <f>0</f>
        <v>0</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row>
    <row r="95" spans="1:62">
      <c r="A95" s="9">
        <f>ROUND(-1+93*2/240,3)</f>
        <v>-0.22500000000000001</v>
      </c>
      <c r="B95" s="9">
        <f>IF(OR(Inputs!$F$6=TRUE,Inputs!$F$6="TRUE",Inputs!$F$6=1),(Inputs!$H$6+Inputs!$L$6*(((Inputs!$I$6+(((A95)+1)/2)*(Inputs!$J$6-Inputs!$I$6)))/Inputs!$K$6)^2),NA())</f>
        <v>400.20249999999999</v>
      </c>
      <c r="C95" s="9">
        <f>IF(OR(Inputs!$F$7=TRUE,Inputs!$F$7="TRUE",Inputs!$F$7=1),(Inputs!$H$7+Inputs!$L$7*(((Inputs!$I$7+(((A95)+1)/2)*(Inputs!$J$7-Inputs!$I$7)))/Inputs!$K$7)^2),NA())</f>
        <v>53.478125000000006</v>
      </c>
      <c r="D95" s="9">
        <f>IF(OR(Inputs!$F$8=TRUE,Inputs!$F$8="TRUE",Inputs!$F$8=1),(Inputs!$H$8+Inputs!$L$8*(((Inputs!$I$8+(((A95)+1)/2)*(Inputs!$J$8-Inputs!$I$8)))/Inputs!$K$8)^2),NA())</f>
        <v>83.853125000000006</v>
      </c>
      <c r="E95" s="9">
        <f>IF(OR(Inputs!$F$9=TRUE,Inputs!$F$9="TRUE",Inputs!$F$9=1),(Inputs!$H$9+Inputs!$L$9*(((Inputs!$I$9+(((A95)+1)/2)*(Inputs!$J$9-Inputs!$I$9)))/Inputs!$K$9)^2),NA())</f>
        <v>74.359375</v>
      </c>
      <c r="F95" s="10"/>
      <c r="G95" s="9">
        <f t="shared" si="9"/>
        <v>-0.22500000000000001</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c r="L95" s="10"/>
      <c r="M95" s="9">
        <f t="shared" si="10"/>
        <v>-0.22500000000000001</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115.47396788625974</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1704.7217018039835</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1882.2740929695944</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1875.738231544309</v>
      </c>
      <c r="R95" s="10"/>
      <c r="S95" s="9">
        <f t="shared" si="11"/>
        <v>-0.22500000000000001</v>
      </c>
      <c r="T95" s="9">
        <f>(Inputs!$I$6+(((A95)+1)/2)*(Inputs!$J$6-Inputs!$I$6))</f>
        <v>-13.5</v>
      </c>
      <c r="U95" s="9">
        <f>(Inputs!$I$7+(((A95)+1)/2)*(Inputs!$J$7-Inputs!$I$7))</f>
        <v>-90</v>
      </c>
      <c r="V95" s="9">
        <f>(Inputs!$I$8+(((A95)+1)/2)*(Inputs!$J$8-Inputs!$I$8))</f>
        <v>-180</v>
      </c>
      <c r="W95" s="9">
        <f>(Inputs!$I$9+(((A95)+1)/2)*(Inputs!$J$9-Inputs!$I$9))</f>
        <v>-180</v>
      </c>
      <c r="X95" s="10"/>
      <c r="Y95" s="9">
        <f t="shared" si="12"/>
        <v>-0.22500000000000001</v>
      </c>
      <c r="Z95" s="9">
        <f>(Inputs!$H$6+Inputs!$L$6*(((Inputs!$I$6+(((A95)+1)/2)*(Inputs!$J$6-Inputs!$I$6)))/Inputs!$K$6)^2)</f>
        <v>400.20249999999999</v>
      </c>
      <c r="AA95" s="9">
        <f>(Inputs!$H$7+Inputs!$L$7*(((Inputs!$I$7+(((A95)+1)/2)*(Inputs!$J$7-Inputs!$I$7)))/Inputs!$K$7)^2)</f>
        <v>53.478125000000006</v>
      </c>
      <c r="AB95" s="9">
        <f>(Inputs!$H$8+Inputs!$L$8*(((Inputs!$I$8+(((A95)+1)/2)*(Inputs!$J$8-Inputs!$I$8)))/Inputs!$K$8)^2)</f>
        <v>83.853125000000006</v>
      </c>
      <c r="AC95" s="9">
        <f>(Inputs!$H$9+Inputs!$L$9*(((Inputs!$I$9+(((A95)+1)/2)*(Inputs!$J$9-Inputs!$I$9)))/Inputs!$K$9)^2)</f>
        <v>74.359375</v>
      </c>
      <c r="AD95" s="10"/>
      <c r="AE95" s="9">
        <f t="shared" si="13"/>
        <v>-0.22500000000000001</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710.74081105899654</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31192.487165497882</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67739.372766159489</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70709.017868137787</v>
      </c>
      <c r="AJ95" s="10"/>
      <c r="AK95" s="9">
        <f t="shared" si="14"/>
        <v>-0.22500000000000001</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115.47396788625974</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1704.7217018039835</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1882.2740929695944</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1875.738231544309</v>
      </c>
      <c r="AP95" s="10"/>
      <c r="AQ95" s="9">
        <f t="shared" si="15"/>
        <v>-0.22500000000000001</v>
      </c>
      <c r="AR95" s="9">
        <f>0</f>
        <v>0</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418.77001789703809</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107.95718028019085</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141.8114340348771</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141.8114340348771</v>
      </c>
      <c r="AW95" s="10"/>
      <c r="AX95" s="9">
        <f t="shared" si="16"/>
        <v>-0.22500000000000001</v>
      </c>
      <c r="AY95" s="9">
        <f>0</f>
        <v>0</v>
      </c>
      <c r="AZ95" s="9">
        <f>IF(OR(Inputs!$F$6=TRUE,Inputs!$F$6="TRUE",Inputs!$F$6=1),(Inputs!$H$6+Inputs!$L$6*(((Inputs!$I$6+(((A95)+1)/2)*(Inputs!$J$6-Inputs!$I$6)))/Inputs!$K$6)^2),NA())</f>
        <v>400.20249999999999</v>
      </c>
      <c r="BA95" s="9">
        <f>IF(OR(Inputs!$F$7=TRUE,Inputs!$F$7="TRUE",Inputs!$F$7=1),(Inputs!$H$7+Inputs!$L$7*(((Inputs!$I$7+(((A95)+1)/2)*(Inputs!$J$7-Inputs!$I$7)))/Inputs!$K$7)^2),NA())</f>
        <v>53.478125000000006</v>
      </c>
      <c r="BB95" s="9">
        <f>IF(OR(Inputs!$F$8=TRUE,Inputs!$F$8="TRUE",Inputs!$F$8=1),(Inputs!$H$8+Inputs!$L$8*(((Inputs!$I$8+(((A95)+1)/2)*(Inputs!$J$8-Inputs!$I$8)))/Inputs!$K$8)^2),NA())</f>
        <v>83.853125000000006</v>
      </c>
      <c r="BC95" s="9">
        <f>IF(OR(Inputs!$F$9=TRUE,Inputs!$F$9="TRUE",Inputs!$F$9=1),(Inputs!$H$9+Inputs!$L$9*(((Inputs!$I$9+(((A95)+1)/2)*(Inputs!$J$9-Inputs!$I$9)))/Inputs!$K$9)^2),NA())</f>
        <v>74.359375</v>
      </c>
      <c r="BD95" s="10"/>
      <c r="BE95" s="9">
        <f t="shared" si="17"/>
        <v>-0.22500000000000001</v>
      </c>
      <c r="BF95" s="9">
        <f>0</f>
        <v>0</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row>
    <row r="96" spans="1:62">
      <c r="A96" s="9">
        <f>ROUND(-1+94*2/240,3)</f>
        <v>-0.217</v>
      </c>
      <c r="B96" s="9">
        <f>IF(OR(Inputs!$F$6=TRUE,Inputs!$F$6="TRUE",Inputs!$F$6=1),(Inputs!$H$6+Inputs!$L$6*(((Inputs!$I$6+(((A96)+1)/2)*(Inputs!$J$6-Inputs!$I$6)))/Inputs!$K$6)^2),NA())</f>
        <v>400.188356</v>
      </c>
      <c r="C96" s="9">
        <f>IF(OR(Inputs!$F$7=TRUE,Inputs!$F$7="TRUE",Inputs!$F$7=1),(Inputs!$H$7+Inputs!$L$7*(((Inputs!$I$7+(((A96)+1)/2)*(Inputs!$J$7-Inputs!$I$7)))/Inputs!$K$7)^2),NA())</f>
        <v>52.187485000000009</v>
      </c>
      <c r="D96" s="9">
        <f>IF(OR(Inputs!$F$8=TRUE,Inputs!$F$8="TRUE",Inputs!$F$8=1),(Inputs!$H$8+Inputs!$L$8*(((Inputs!$I$8+(((A96)+1)/2)*(Inputs!$J$8-Inputs!$I$8)))/Inputs!$K$8)^2),NA())</f>
        <v>80.440885000000009</v>
      </c>
      <c r="E96" s="9">
        <f>IF(OR(Inputs!$F$9=TRUE,Inputs!$F$9="TRUE",Inputs!$F$9=1),(Inputs!$H$9+Inputs!$L$9*(((Inputs!$I$9+(((A96)+1)/2)*(Inputs!$J$9-Inputs!$I$9)))/Inputs!$K$9)^2),NA())</f>
        <v>70.911775000000006</v>
      </c>
      <c r="F96" s="10"/>
      <c r="G96" s="9">
        <f t="shared" si="9"/>
        <v>-0.217</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c r="L96" s="10"/>
      <c r="M96" s="9">
        <f t="shared" si="10"/>
        <v>-0.217</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111.3751521138943</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1687.0490582285954</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1863.9766572864032</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1857.8702803822314</v>
      </c>
      <c r="R96" s="10"/>
      <c r="S96" s="9">
        <f t="shared" si="11"/>
        <v>-0.217</v>
      </c>
      <c r="T96" s="9">
        <f>(Inputs!$I$6+(((A96)+1)/2)*(Inputs!$J$6-Inputs!$I$6))</f>
        <v>-13.019999999999996</v>
      </c>
      <c r="U96" s="9">
        <f>(Inputs!$I$7+(((A96)+1)/2)*(Inputs!$J$7-Inputs!$I$7))</f>
        <v>-86.800000000000011</v>
      </c>
      <c r="V96" s="9">
        <f>(Inputs!$I$8+(((A96)+1)/2)*(Inputs!$J$8-Inputs!$I$8))</f>
        <v>-173.60000000000002</v>
      </c>
      <c r="W96" s="9">
        <f>(Inputs!$I$9+(((A96)+1)/2)*(Inputs!$J$9-Inputs!$I$9))</f>
        <v>-173.60000000000002</v>
      </c>
      <c r="X96" s="10"/>
      <c r="Y96" s="9">
        <f t="shared" si="12"/>
        <v>-0.217</v>
      </c>
      <c r="Z96" s="9">
        <f>(Inputs!$H$6+Inputs!$L$6*(((Inputs!$I$6+(((A96)+1)/2)*(Inputs!$J$6-Inputs!$I$6)))/Inputs!$K$6)^2)</f>
        <v>400.188356</v>
      </c>
      <c r="AA96" s="9">
        <f>(Inputs!$H$7+Inputs!$L$7*(((Inputs!$I$7+(((A96)+1)/2)*(Inputs!$J$7-Inputs!$I$7)))/Inputs!$K$7)^2)</f>
        <v>52.187485000000009</v>
      </c>
      <c r="AB96" s="9">
        <f>(Inputs!$H$8+Inputs!$L$8*(((Inputs!$I$8+(((A96)+1)/2)*(Inputs!$J$8-Inputs!$I$8)))/Inputs!$K$8)^2)</f>
        <v>80.440885000000009</v>
      </c>
      <c r="AC96" s="9">
        <f>(Inputs!$H$9+Inputs!$L$9*(((Inputs!$I$9+(((A96)+1)/2)*(Inputs!$J$9-Inputs!$I$9)))/Inputs!$K$9)^2)</f>
        <v>70.911775000000006</v>
      </c>
      <c r="AD96" s="10"/>
      <c r="AE96" s="9">
        <f t="shared" si="13"/>
        <v>-0.217</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699.57036886630374</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30012.020237868906</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65447.122357005865</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68450.856177489288</v>
      </c>
      <c r="AJ96" s="10"/>
      <c r="AK96" s="9">
        <f t="shared" si="14"/>
        <v>-0.217</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111.3751521138943</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1687.0490582285954</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1863.9766572864032</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1857.8702803822314</v>
      </c>
      <c r="AP96" s="10"/>
      <c r="AQ96" s="9">
        <f t="shared" si="15"/>
        <v>-0.217</v>
      </c>
      <c r="AR96" s="9">
        <f>0</f>
        <v>0</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426.34137750916449</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138.72213165552463</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197.49591161858112</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197.49591161858112</v>
      </c>
      <c r="AW96" s="10"/>
      <c r="AX96" s="9">
        <f t="shared" si="16"/>
        <v>-0.217</v>
      </c>
      <c r="AY96" s="9">
        <f>0</f>
        <v>0</v>
      </c>
      <c r="AZ96" s="9">
        <f>IF(OR(Inputs!$F$6=TRUE,Inputs!$F$6="TRUE",Inputs!$F$6=1),(Inputs!$H$6+Inputs!$L$6*(((Inputs!$I$6+(((A96)+1)/2)*(Inputs!$J$6-Inputs!$I$6)))/Inputs!$K$6)^2),NA())</f>
        <v>400.188356</v>
      </c>
      <c r="BA96" s="9">
        <f>IF(OR(Inputs!$F$7=TRUE,Inputs!$F$7="TRUE",Inputs!$F$7=1),(Inputs!$H$7+Inputs!$L$7*(((Inputs!$I$7+(((A96)+1)/2)*(Inputs!$J$7-Inputs!$I$7)))/Inputs!$K$7)^2),NA())</f>
        <v>52.187485000000009</v>
      </c>
      <c r="BB96" s="9">
        <f>IF(OR(Inputs!$F$8=TRUE,Inputs!$F$8="TRUE",Inputs!$F$8=1),(Inputs!$H$8+Inputs!$L$8*(((Inputs!$I$8+(((A96)+1)/2)*(Inputs!$J$8-Inputs!$I$8)))/Inputs!$K$8)^2),NA())</f>
        <v>80.440885000000009</v>
      </c>
      <c r="BC96" s="9">
        <f>IF(OR(Inputs!$F$9=TRUE,Inputs!$F$9="TRUE",Inputs!$F$9=1),(Inputs!$H$9+Inputs!$L$9*(((Inputs!$I$9+(((A96)+1)/2)*(Inputs!$J$9-Inputs!$I$9)))/Inputs!$K$9)^2),NA())</f>
        <v>70.911775000000006</v>
      </c>
      <c r="BD96" s="10"/>
      <c r="BE96" s="9">
        <f t="shared" si="17"/>
        <v>-0.217</v>
      </c>
      <c r="BF96" s="9">
        <f>0</f>
        <v>0</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row>
    <row r="97" spans="1:62">
      <c r="A97" s="9">
        <f>ROUND(-1+95*2/240,3)</f>
        <v>-0.20799999999999999</v>
      </c>
      <c r="B97" s="9">
        <f>IF(OR(Inputs!$F$6=TRUE,Inputs!$F$6="TRUE",Inputs!$F$6=1),(Inputs!$H$6+Inputs!$L$6*(((Inputs!$I$6+(((A97)+1)/2)*(Inputs!$J$6-Inputs!$I$6)))/Inputs!$K$6)^2),NA())</f>
        <v>400.17305599999997</v>
      </c>
      <c r="C97" s="9">
        <f>IF(OR(Inputs!$F$7=TRUE,Inputs!$F$7="TRUE",Inputs!$F$7=1),(Inputs!$H$7+Inputs!$L$7*(((Inputs!$I$7+(((A97)+1)/2)*(Inputs!$J$7-Inputs!$I$7)))/Inputs!$K$7)^2),NA())</f>
        <v>50.791359999999997</v>
      </c>
      <c r="D97" s="9">
        <f>IF(OR(Inputs!$F$8=TRUE,Inputs!$F$8="TRUE",Inputs!$F$8=1),(Inputs!$H$8+Inputs!$L$8*(((Inputs!$I$8+(((A97)+1)/2)*(Inputs!$J$8-Inputs!$I$8)))/Inputs!$K$8)^2),NA())</f>
        <v>76.749759999999981</v>
      </c>
      <c r="E97" s="9">
        <f>IF(OR(Inputs!$F$9=TRUE,Inputs!$F$9="TRUE",Inputs!$F$9=1),(Inputs!$H$9+Inputs!$L$9*(((Inputs!$I$9+(((A97)+1)/2)*(Inputs!$J$9-Inputs!$I$9)))/Inputs!$K$9)^2),NA())</f>
        <v>67.182399999999973</v>
      </c>
      <c r="F97" s="10"/>
      <c r="G97" s="9">
        <f t="shared" si="9"/>
        <v>-0.20799999999999999</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c r="L97" s="10"/>
      <c r="M97" s="9">
        <f t="shared" si="10"/>
        <v>-0.20799999999999999</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106.76308869225281</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1666.3807003058387</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1843.5674135532493</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1838.0723898684603</v>
      </c>
      <c r="R97" s="10"/>
      <c r="S97" s="9">
        <f t="shared" si="11"/>
        <v>-0.20799999999999999</v>
      </c>
      <c r="T97" s="9">
        <f>(Inputs!$I$6+(((A97)+1)/2)*(Inputs!$J$6-Inputs!$I$6))</f>
        <v>-12.479999999999997</v>
      </c>
      <c r="U97" s="9">
        <f>(Inputs!$I$7+(((A97)+1)/2)*(Inputs!$J$7-Inputs!$I$7))</f>
        <v>-83.199999999999989</v>
      </c>
      <c r="V97" s="9">
        <f>(Inputs!$I$8+(((A97)+1)/2)*(Inputs!$J$8-Inputs!$I$8))</f>
        <v>-166.39999999999998</v>
      </c>
      <c r="W97" s="9">
        <f>(Inputs!$I$9+(((A97)+1)/2)*(Inputs!$J$9-Inputs!$I$9))</f>
        <v>-166.39999999999998</v>
      </c>
      <c r="X97" s="10"/>
      <c r="Y97" s="9">
        <f t="shared" si="12"/>
        <v>-0.20799999999999999</v>
      </c>
      <c r="Z97" s="9">
        <f>(Inputs!$H$6+Inputs!$L$6*(((Inputs!$I$6+(((A97)+1)/2)*(Inputs!$J$6-Inputs!$I$6)))/Inputs!$K$6)^2)</f>
        <v>400.17305599999997</v>
      </c>
      <c r="AA97" s="9">
        <f>(Inputs!$H$7+Inputs!$L$7*(((Inputs!$I$7+(((A97)+1)/2)*(Inputs!$J$7-Inputs!$I$7)))/Inputs!$K$7)^2)</f>
        <v>50.791359999999997</v>
      </c>
      <c r="AB97" s="9">
        <f>(Inputs!$H$8+Inputs!$L$8*(((Inputs!$I$8+(((A97)+1)/2)*(Inputs!$J$8-Inputs!$I$8)))/Inputs!$K$8)^2)</f>
        <v>76.749759999999981</v>
      </c>
      <c r="AC97" s="9">
        <f>(Inputs!$H$9+Inputs!$L$9*(((Inputs!$I$9+(((A97)+1)/2)*(Inputs!$J$9-Inputs!$I$9)))/Inputs!$K$9)^2)</f>
        <v>67.182399999999973</v>
      </c>
      <c r="AD97" s="10"/>
      <c r="AE97" s="9">
        <f t="shared" si="13"/>
        <v>-0.20799999999999999</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687.48561925866557</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28676.821975093742</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62834.319273826455</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65874.236993674276</v>
      </c>
      <c r="AJ97" s="10"/>
      <c r="AK97" s="9">
        <f t="shared" si="14"/>
        <v>-0.20799999999999999</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106.76308869225281</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1666.3807003058387</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1843.5674135532493</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1838.0723898684603</v>
      </c>
      <c r="AP97" s="10"/>
      <c r="AQ97" s="9">
        <f t="shared" si="15"/>
        <v>-0.20799999999999999</v>
      </c>
      <c r="AR97" s="9">
        <f>0</f>
        <v>0</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451.45829911970708</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192.03396698916481</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91.154677763187237</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91.154677763187237</v>
      </c>
      <c r="AW97" s="10"/>
      <c r="AX97" s="9">
        <f t="shared" si="16"/>
        <v>-0.20799999999999999</v>
      </c>
      <c r="AY97" s="9">
        <f>0</f>
        <v>0</v>
      </c>
      <c r="AZ97" s="9">
        <f>IF(OR(Inputs!$F$6=TRUE,Inputs!$F$6="TRUE",Inputs!$F$6=1),(Inputs!$H$6+Inputs!$L$6*(((Inputs!$I$6+(((A97)+1)/2)*(Inputs!$J$6-Inputs!$I$6)))/Inputs!$K$6)^2),NA())</f>
        <v>400.17305599999997</v>
      </c>
      <c r="BA97" s="9">
        <f>IF(OR(Inputs!$F$7=TRUE,Inputs!$F$7="TRUE",Inputs!$F$7=1),(Inputs!$H$7+Inputs!$L$7*(((Inputs!$I$7+(((A97)+1)/2)*(Inputs!$J$7-Inputs!$I$7)))/Inputs!$K$7)^2),NA())</f>
        <v>50.791359999999997</v>
      </c>
      <c r="BB97" s="9">
        <f>IF(OR(Inputs!$F$8=TRUE,Inputs!$F$8="TRUE",Inputs!$F$8=1),(Inputs!$H$8+Inputs!$L$8*(((Inputs!$I$8+(((A97)+1)/2)*(Inputs!$J$8-Inputs!$I$8)))/Inputs!$K$8)^2),NA())</f>
        <v>76.749759999999981</v>
      </c>
      <c r="BC97" s="9">
        <f>IF(OR(Inputs!$F$9=TRUE,Inputs!$F$9="TRUE",Inputs!$F$9=1),(Inputs!$H$9+Inputs!$L$9*(((Inputs!$I$9+(((A97)+1)/2)*(Inputs!$J$9-Inputs!$I$9)))/Inputs!$K$9)^2),NA())</f>
        <v>67.182399999999973</v>
      </c>
      <c r="BD97" s="10"/>
      <c r="BE97" s="9">
        <f t="shared" si="17"/>
        <v>-0.20799999999999999</v>
      </c>
      <c r="BF97" s="9">
        <f>0</f>
        <v>0</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row>
    <row r="98" spans="1:62">
      <c r="A98" s="9">
        <f>ROUND(-1+96*2/240,3)</f>
        <v>-0.2</v>
      </c>
      <c r="B98" s="9">
        <f>IF(OR(Inputs!$F$6=TRUE,Inputs!$F$6="TRUE",Inputs!$F$6=1),(Inputs!$H$6+Inputs!$L$6*(((Inputs!$I$6+(((A98)+1)/2)*(Inputs!$J$6-Inputs!$I$6)))/Inputs!$K$6)^2),NA())</f>
        <v>400.16</v>
      </c>
      <c r="C98" s="9">
        <f>IF(OR(Inputs!$F$7=TRUE,Inputs!$F$7="TRUE",Inputs!$F$7=1),(Inputs!$H$7+Inputs!$L$7*(((Inputs!$I$7+(((A98)+1)/2)*(Inputs!$J$7-Inputs!$I$7)))/Inputs!$K$7)^2),NA())</f>
        <v>49.6</v>
      </c>
      <c r="D98" s="9">
        <f>IF(OR(Inputs!$F$8=TRUE,Inputs!$F$8="TRUE",Inputs!$F$8=1),(Inputs!$H$8+Inputs!$L$8*(((Inputs!$I$8+(((A98)+1)/2)*(Inputs!$J$8-Inputs!$I$8)))/Inputs!$K$8)^2),NA())</f>
        <v>73.600000000000009</v>
      </c>
      <c r="E98" s="9">
        <f>IF(OR(Inputs!$F$9=TRUE,Inputs!$F$9="TRUE",Inputs!$F$9=1),(Inputs!$H$9+Inputs!$L$9*(((Inputs!$I$9+(((A98)+1)/2)*(Inputs!$J$9-Inputs!$I$9)))/Inputs!$K$9)^2),NA())</f>
        <v>64</v>
      </c>
      <c r="F98" s="10"/>
      <c r="G98" s="9">
        <f t="shared" si="9"/>
        <v>-0.2</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c r="L98" s="10"/>
      <c r="M98" s="9">
        <f t="shared" si="10"/>
        <v>-0.2</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102.66271090049356</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1647.1842199885127</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1825.5334020523155</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1820.7114117933004</v>
      </c>
      <c r="R98" s="10"/>
      <c r="S98" s="9">
        <f t="shared" si="11"/>
        <v>-0.2</v>
      </c>
      <c r="T98" s="9">
        <f>(Inputs!$I$6+(((A98)+1)/2)*(Inputs!$J$6-Inputs!$I$6))</f>
        <v>-12</v>
      </c>
      <c r="U98" s="9">
        <f>(Inputs!$I$7+(((A98)+1)/2)*(Inputs!$J$7-Inputs!$I$7))</f>
        <v>-80</v>
      </c>
      <c r="V98" s="9">
        <f>(Inputs!$I$8+(((A98)+1)/2)*(Inputs!$J$8-Inputs!$I$8))</f>
        <v>-160</v>
      </c>
      <c r="W98" s="9">
        <f>(Inputs!$I$9+(((A98)+1)/2)*(Inputs!$J$9-Inputs!$I$9))</f>
        <v>-160</v>
      </c>
      <c r="X98" s="10"/>
      <c r="Y98" s="9">
        <f t="shared" si="12"/>
        <v>-0.2</v>
      </c>
      <c r="Z98" s="9">
        <f>(Inputs!$H$6+Inputs!$L$6*(((Inputs!$I$6+(((A98)+1)/2)*(Inputs!$J$6-Inputs!$I$6)))/Inputs!$K$6)^2)</f>
        <v>400.16</v>
      </c>
      <c r="AA98" s="9">
        <f>(Inputs!$H$7+Inputs!$L$7*(((Inputs!$I$7+(((A98)+1)/2)*(Inputs!$J$7-Inputs!$I$7)))/Inputs!$K$7)^2)</f>
        <v>49.6</v>
      </c>
      <c r="AB98" s="9">
        <f>(Inputs!$H$8+Inputs!$L$8*(((Inputs!$I$8+(((A98)+1)/2)*(Inputs!$J$8-Inputs!$I$8)))/Inputs!$K$8)^2)</f>
        <v>73.600000000000009</v>
      </c>
      <c r="AC98" s="9">
        <f>(Inputs!$H$9+Inputs!$L$9*(((Inputs!$I$9+(((A98)+1)/2)*(Inputs!$J$9-Inputs!$I$9)))/Inputs!$K$9)^2)</f>
        <v>64</v>
      </c>
      <c r="AD98" s="10"/>
      <c r="AE98" s="9">
        <f t="shared" si="13"/>
        <v>-0.2</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677.17219926548933</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27484.493056654868</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60481.276073008041</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63551.147455272643</v>
      </c>
      <c r="AJ98" s="10"/>
      <c r="AK98" s="9">
        <f t="shared" si="14"/>
        <v>-0.2</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102.66271090049356</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1647.1842199885127</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1825.5334020523155</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1820.7114117933004</v>
      </c>
      <c r="AP98" s="10"/>
      <c r="AQ98" s="9">
        <f t="shared" si="15"/>
        <v>-0.2</v>
      </c>
      <c r="AR98" s="9">
        <f>0</f>
        <v>0</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437.99189931001791</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156.53516144470419</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138.70370323809672</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138.70370323809672</v>
      </c>
      <c r="AW98" s="10"/>
      <c r="AX98" s="9">
        <f t="shared" si="16"/>
        <v>-0.2</v>
      </c>
      <c r="AY98" s="9">
        <f>0</f>
        <v>0</v>
      </c>
      <c r="AZ98" s="9">
        <f>IF(OR(Inputs!$F$6=TRUE,Inputs!$F$6="TRUE",Inputs!$F$6=1),(Inputs!$H$6+Inputs!$L$6*(((Inputs!$I$6+(((A98)+1)/2)*(Inputs!$J$6-Inputs!$I$6)))/Inputs!$K$6)^2),NA())</f>
        <v>400.16</v>
      </c>
      <c r="BA98" s="9">
        <f>IF(OR(Inputs!$F$7=TRUE,Inputs!$F$7="TRUE",Inputs!$F$7=1),(Inputs!$H$7+Inputs!$L$7*(((Inputs!$I$7+(((A98)+1)/2)*(Inputs!$J$7-Inputs!$I$7)))/Inputs!$K$7)^2),NA())</f>
        <v>49.6</v>
      </c>
      <c r="BB98" s="9">
        <f>IF(OR(Inputs!$F$8=TRUE,Inputs!$F$8="TRUE",Inputs!$F$8=1),(Inputs!$H$8+Inputs!$L$8*(((Inputs!$I$8+(((A98)+1)/2)*(Inputs!$J$8-Inputs!$I$8)))/Inputs!$K$8)^2),NA())</f>
        <v>73.600000000000009</v>
      </c>
      <c r="BC98" s="9">
        <f>IF(OR(Inputs!$F$9=TRUE,Inputs!$F$9="TRUE",Inputs!$F$9=1),(Inputs!$H$9+Inputs!$L$9*(((Inputs!$I$9+(((A98)+1)/2)*(Inputs!$J$9-Inputs!$I$9)))/Inputs!$K$9)^2),NA())</f>
        <v>64</v>
      </c>
      <c r="BD98" s="10"/>
      <c r="BE98" s="9">
        <f t="shared" si="17"/>
        <v>-0.2</v>
      </c>
      <c r="BF98" s="9">
        <f>0</f>
        <v>0</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row>
    <row r="99" spans="1:62">
      <c r="A99" s="9">
        <f>ROUND(-1+97*2/240,3)</f>
        <v>-0.192</v>
      </c>
      <c r="B99" s="9">
        <f>IF(OR(Inputs!$F$6=TRUE,Inputs!$F$6="TRUE",Inputs!$F$6=1),(Inputs!$H$6+Inputs!$L$6*(((Inputs!$I$6+(((A99)+1)/2)*(Inputs!$J$6-Inputs!$I$6)))/Inputs!$K$6)^2),NA())</f>
        <v>400.14745599999998</v>
      </c>
      <c r="C99" s="9">
        <f>IF(OR(Inputs!$F$7=TRUE,Inputs!$F$7="TRUE",Inputs!$F$7=1),(Inputs!$H$7+Inputs!$L$7*(((Inputs!$I$7+(((A99)+1)/2)*(Inputs!$J$7-Inputs!$I$7)))/Inputs!$K$7)^2),NA())</f>
        <v>48.455359999999985</v>
      </c>
      <c r="D99" s="9">
        <f>IF(OR(Inputs!$F$8=TRUE,Inputs!$F$8="TRUE",Inputs!$F$8=1),(Inputs!$H$8+Inputs!$L$8*(((Inputs!$I$8+(((A99)+1)/2)*(Inputs!$J$8-Inputs!$I$8)))/Inputs!$K$8)^2),NA())</f>
        <v>70.573759999999965</v>
      </c>
      <c r="E99" s="9">
        <f>IF(OR(Inputs!$F$9=TRUE,Inputs!$F$9="TRUE",Inputs!$F$9=1),(Inputs!$H$9+Inputs!$L$9*(((Inputs!$I$9+(((A99)+1)/2)*(Inputs!$J$9-Inputs!$I$9)))/Inputs!$K$9)^2),NA())</f>
        <v>60.942399999999964</v>
      </c>
      <c r="F99" s="10"/>
      <c r="G99" s="9">
        <f t="shared" si="9"/>
        <v>-0.192</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c r="L99" s="10"/>
      <c r="M99" s="9">
        <f t="shared" si="10"/>
        <v>-0.192</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98.56164084788621</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1627.0753088758588</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1807.5444441367449</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1803.534814031977</v>
      </c>
      <c r="R99" s="10"/>
      <c r="S99" s="9">
        <f t="shared" si="11"/>
        <v>-0.192</v>
      </c>
      <c r="T99" s="9">
        <f>(Inputs!$I$6+(((A99)+1)/2)*(Inputs!$J$6-Inputs!$I$6))</f>
        <v>-11.519999999999996</v>
      </c>
      <c r="U99" s="9">
        <f>(Inputs!$I$7+(((A99)+1)/2)*(Inputs!$J$7-Inputs!$I$7))</f>
        <v>-76.799999999999955</v>
      </c>
      <c r="V99" s="9">
        <f>(Inputs!$I$8+(((A99)+1)/2)*(Inputs!$J$8-Inputs!$I$8))</f>
        <v>-153.59999999999991</v>
      </c>
      <c r="W99" s="9">
        <f>(Inputs!$I$9+(((A99)+1)/2)*(Inputs!$J$9-Inputs!$I$9))</f>
        <v>-153.59999999999991</v>
      </c>
      <c r="X99" s="10"/>
      <c r="Y99" s="9">
        <f t="shared" si="12"/>
        <v>-0.192</v>
      </c>
      <c r="Z99" s="9">
        <f>(Inputs!$H$6+Inputs!$L$6*(((Inputs!$I$6+(((A99)+1)/2)*(Inputs!$J$6-Inputs!$I$6)))/Inputs!$K$6)^2)</f>
        <v>400.14745599999998</v>
      </c>
      <c r="AA99" s="9">
        <f>(Inputs!$H$7+Inputs!$L$7*(((Inputs!$I$7+(((A99)+1)/2)*(Inputs!$J$7-Inputs!$I$7)))/Inputs!$K$7)^2)</f>
        <v>48.455359999999985</v>
      </c>
      <c r="AB99" s="9">
        <f>(Inputs!$H$8+Inputs!$L$8*(((Inputs!$I$8+(((A99)+1)/2)*(Inputs!$J$8-Inputs!$I$8)))/Inputs!$K$8)^2)</f>
        <v>70.573759999999965</v>
      </c>
      <c r="AC99" s="9">
        <f>(Inputs!$H$9+Inputs!$L$9*(((Inputs!$I$9+(((A99)+1)/2)*(Inputs!$J$9-Inputs!$I$9)))/Inputs!$K$9)^2)</f>
        <v>60.942399999999964</v>
      </c>
      <c r="AD99" s="10"/>
      <c r="AE99" s="9">
        <f t="shared" si="13"/>
        <v>-0.192</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667.26227245312475</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26287.985438442189</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58099.303636993303</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61196.743987923845</v>
      </c>
      <c r="AJ99" s="10"/>
      <c r="AK99" s="9">
        <f t="shared" si="14"/>
        <v>-0.192</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98.56164084788621</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1627.0753088758588</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1807.5444441367449</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1803.534814031977</v>
      </c>
      <c r="AP99" s="10"/>
      <c r="AQ99" s="9">
        <f t="shared" si="15"/>
        <v>-0.192</v>
      </c>
      <c r="AR99" s="9">
        <f>0</f>
        <v>0</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460.56683649361793</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83.710926907578269</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161.20300469800478</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161.20300469800478</v>
      </c>
      <c r="AW99" s="10"/>
      <c r="AX99" s="9">
        <f t="shared" si="16"/>
        <v>-0.192</v>
      </c>
      <c r="AY99" s="9">
        <f>0</f>
        <v>0</v>
      </c>
      <c r="AZ99" s="9">
        <f>IF(OR(Inputs!$F$6=TRUE,Inputs!$F$6="TRUE",Inputs!$F$6=1),(Inputs!$H$6+Inputs!$L$6*(((Inputs!$I$6+(((A99)+1)/2)*(Inputs!$J$6-Inputs!$I$6)))/Inputs!$K$6)^2),NA())</f>
        <v>400.14745599999998</v>
      </c>
      <c r="BA99" s="9">
        <f>IF(OR(Inputs!$F$7=TRUE,Inputs!$F$7="TRUE",Inputs!$F$7=1),(Inputs!$H$7+Inputs!$L$7*(((Inputs!$I$7+(((A99)+1)/2)*(Inputs!$J$7-Inputs!$I$7)))/Inputs!$K$7)^2),NA())</f>
        <v>48.455359999999985</v>
      </c>
      <c r="BB99" s="9">
        <f>IF(OR(Inputs!$F$8=TRUE,Inputs!$F$8="TRUE",Inputs!$F$8=1),(Inputs!$H$8+Inputs!$L$8*(((Inputs!$I$8+(((A99)+1)/2)*(Inputs!$J$8-Inputs!$I$8)))/Inputs!$K$8)^2),NA())</f>
        <v>70.573759999999965</v>
      </c>
      <c r="BC99" s="9">
        <f>IF(OR(Inputs!$F$9=TRUE,Inputs!$F$9="TRUE",Inputs!$F$9=1),(Inputs!$H$9+Inputs!$L$9*(((Inputs!$I$9+(((A99)+1)/2)*(Inputs!$J$9-Inputs!$I$9)))/Inputs!$K$9)^2),NA())</f>
        <v>60.942399999999964</v>
      </c>
      <c r="BD99" s="10"/>
      <c r="BE99" s="9">
        <f t="shared" si="17"/>
        <v>-0.192</v>
      </c>
      <c r="BF99" s="9">
        <f>0</f>
        <v>0</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row>
    <row r="100" spans="1:62">
      <c r="A100" s="9">
        <f>ROUND(-1+98*2/240,3)</f>
        <v>-0.183</v>
      </c>
      <c r="B100" s="9">
        <f>IF(OR(Inputs!$F$6=TRUE,Inputs!$F$6="TRUE",Inputs!$F$6=1),(Inputs!$H$6+Inputs!$L$6*(((Inputs!$I$6+(((A100)+1)/2)*(Inputs!$J$6-Inputs!$I$6)))/Inputs!$K$6)^2),NA())</f>
        <v>400.13395600000001</v>
      </c>
      <c r="C100" s="9">
        <f>IF(OR(Inputs!$F$7=TRUE,Inputs!$F$7="TRUE",Inputs!$F$7=1),(Inputs!$H$7+Inputs!$L$7*(((Inputs!$I$7+(((A100)+1)/2)*(Inputs!$J$7-Inputs!$I$7)))/Inputs!$K$7)^2),NA())</f>
        <v>47.223485000000011</v>
      </c>
      <c r="D100" s="9">
        <f>IF(OR(Inputs!$F$8=TRUE,Inputs!$F$8="TRUE",Inputs!$F$8=1),(Inputs!$H$8+Inputs!$L$8*(((Inputs!$I$8+(((A100)+1)/2)*(Inputs!$J$8-Inputs!$I$8)))/Inputs!$K$8)^2),NA())</f>
        <v>67.316885000000042</v>
      </c>
      <c r="E100" s="9">
        <f>IF(OR(Inputs!$F$9=TRUE,Inputs!$F$9="TRUE",Inputs!$F$9=1),(Inputs!$H$9+Inputs!$L$9*(((Inputs!$I$9+(((A100)+1)/2)*(Inputs!$J$9-Inputs!$I$9)))/Inputs!$K$9)^2),NA())</f>
        <v>57.651775000000036</v>
      </c>
      <c r="F100" s="10"/>
      <c r="G100" s="9">
        <f t="shared" si="9"/>
        <v>-0.183</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c r="L100" s="10"/>
      <c r="M100" s="9">
        <f t="shared" si="10"/>
        <v>-0.183</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93.947143738662049</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1603.172765395027</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1787.2772333793589</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1784.3726742066151</v>
      </c>
      <c r="R100" s="10"/>
      <c r="S100" s="9">
        <f t="shared" si="11"/>
        <v>-0.183</v>
      </c>
      <c r="T100" s="9">
        <f>(Inputs!$I$6+(((A100)+1)/2)*(Inputs!$J$6-Inputs!$I$6))</f>
        <v>-10.980000000000004</v>
      </c>
      <c r="U100" s="9">
        <f>(Inputs!$I$7+(((A100)+1)/2)*(Inputs!$J$7-Inputs!$I$7))</f>
        <v>-73.200000000000045</v>
      </c>
      <c r="V100" s="9">
        <f>(Inputs!$I$8+(((A100)+1)/2)*(Inputs!$J$8-Inputs!$I$8))</f>
        <v>-146.40000000000009</v>
      </c>
      <c r="W100" s="9">
        <f>(Inputs!$I$9+(((A100)+1)/2)*(Inputs!$J$9-Inputs!$I$9))</f>
        <v>-146.40000000000009</v>
      </c>
      <c r="X100" s="10"/>
      <c r="Y100" s="9">
        <f t="shared" si="12"/>
        <v>-0.183</v>
      </c>
      <c r="Z100" s="9">
        <f>(Inputs!$H$6+Inputs!$L$6*(((Inputs!$I$6+(((A100)+1)/2)*(Inputs!$J$6-Inputs!$I$6)))/Inputs!$K$6)^2)</f>
        <v>400.13395600000001</v>
      </c>
      <c r="AA100" s="9">
        <f>(Inputs!$H$7+Inputs!$L$7*(((Inputs!$I$7+(((A100)+1)/2)*(Inputs!$J$7-Inputs!$I$7)))/Inputs!$K$7)^2)</f>
        <v>47.223485000000011</v>
      </c>
      <c r="AB100" s="9">
        <f>(Inputs!$H$8+Inputs!$L$8*(((Inputs!$I$8+(((A100)+1)/2)*(Inputs!$J$8-Inputs!$I$8)))/Inputs!$K$8)^2)</f>
        <v>67.316885000000042</v>
      </c>
      <c r="AC100" s="9">
        <f>(Inputs!$H$9+Inputs!$L$9*(((Inputs!$I$9+(((A100)+1)/2)*(Inputs!$J$9-Inputs!$I$9)))/Inputs!$K$9)^2)</f>
        <v>57.651775000000036</v>
      </c>
      <c r="AD100" s="10"/>
      <c r="AE100" s="9">
        <f t="shared" si="13"/>
        <v>-0.183</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656.59604744514274</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24938.306338684157</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55384.975297901554</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58510.161864771762</v>
      </c>
      <c r="AJ100" s="10"/>
      <c r="AK100" s="9">
        <f t="shared" si="14"/>
        <v>-0.183</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93.947143738662049</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1603.172765395027</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1787.2772333793589</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1784.3726742066151</v>
      </c>
      <c r="AP100" s="10"/>
      <c r="AQ100" s="9">
        <f t="shared" si="15"/>
        <v>-0.183</v>
      </c>
      <c r="AR100" s="9">
        <f>0</f>
        <v>0</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453.35905784425717</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100.1160082137139</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89.83401143233425</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89.83401143233425</v>
      </c>
      <c r="AW100" s="10"/>
      <c r="AX100" s="9">
        <f t="shared" si="16"/>
        <v>-0.183</v>
      </c>
      <c r="AY100" s="9">
        <f>0</f>
        <v>0</v>
      </c>
      <c r="AZ100" s="9">
        <f>IF(OR(Inputs!$F$6=TRUE,Inputs!$F$6="TRUE",Inputs!$F$6=1),(Inputs!$H$6+Inputs!$L$6*(((Inputs!$I$6+(((A100)+1)/2)*(Inputs!$J$6-Inputs!$I$6)))/Inputs!$K$6)^2),NA())</f>
        <v>400.13395600000001</v>
      </c>
      <c r="BA100" s="9">
        <f>IF(OR(Inputs!$F$7=TRUE,Inputs!$F$7="TRUE",Inputs!$F$7=1),(Inputs!$H$7+Inputs!$L$7*(((Inputs!$I$7+(((A100)+1)/2)*(Inputs!$J$7-Inputs!$I$7)))/Inputs!$K$7)^2),NA())</f>
        <v>47.223485000000011</v>
      </c>
      <c r="BB100" s="9">
        <f>IF(OR(Inputs!$F$8=TRUE,Inputs!$F$8="TRUE",Inputs!$F$8=1),(Inputs!$H$8+Inputs!$L$8*(((Inputs!$I$8+(((A100)+1)/2)*(Inputs!$J$8-Inputs!$I$8)))/Inputs!$K$8)^2),NA())</f>
        <v>67.316885000000042</v>
      </c>
      <c r="BC100" s="9">
        <f>IF(OR(Inputs!$F$9=TRUE,Inputs!$F$9="TRUE",Inputs!$F$9=1),(Inputs!$H$9+Inputs!$L$9*(((Inputs!$I$9+(((A100)+1)/2)*(Inputs!$J$9-Inputs!$I$9)))/Inputs!$K$9)^2),NA())</f>
        <v>57.651775000000036</v>
      </c>
      <c r="BD100" s="10"/>
      <c r="BE100" s="9">
        <f t="shared" si="17"/>
        <v>-0.183</v>
      </c>
      <c r="BF100" s="9">
        <f>0</f>
        <v>0</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row>
    <row r="101" spans="1:62">
      <c r="A101" s="9">
        <f>ROUND(-1+99*2/240,3)</f>
        <v>-0.17499999999999999</v>
      </c>
      <c r="B101" s="9">
        <f>IF(OR(Inputs!$F$6=TRUE,Inputs!$F$6="TRUE",Inputs!$F$6=1),(Inputs!$H$6+Inputs!$L$6*(((Inputs!$I$6+(((A101)+1)/2)*(Inputs!$J$6-Inputs!$I$6)))/Inputs!$K$6)^2),NA())</f>
        <v>400.1225</v>
      </c>
      <c r="C101" s="9">
        <f>IF(OR(Inputs!$F$7=TRUE,Inputs!$F$7="TRUE",Inputs!$F$7=1),(Inputs!$H$7+Inputs!$L$7*(((Inputs!$I$7+(((A101)+1)/2)*(Inputs!$J$7-Inputs!$I$7)))/Inputs!$K$7)^2),NA())</f>
        <v>46.178124999999994</v>
      </c>
      <c r="D101" s="9">
        <f>IF(OR(Inputs!$F$8=TRUE,Inputs!$F$8="TRUE",Inputs!$F$8=1),(Inputs!$H$8+Inputs!$L$8*(((Inputs!$I$8+(((A101)+1)/2)*(Inputs!$J$8-Inputs!$I$8)))/Inputs!$K$8)^2),NA())</f>
        <v>64.553124999999994</v>
      </c>
      <c r="E101" s="9">
        <f>IF(OR(Inputs!$F$9=TRUE,Inputs!$F$9="TRUE",Inputs!$F$9=1),(Inputs!$H$9+Inputs!$L$9*(((Inputs!$I$9+(((A101)+1)/2)*(Inputs!$J$9-Inputs!$I$9)))/Inputs!$K$9)^2),NA())</f>
        <v>54.859375</v>
      </c>
      <c r="F101" s="10"/>
      <c r="G101" s="9">
        <f t="shared" si="9"/>
        <v>-0.17499999999999999</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c r="L101" s="10"/>
      <c r="M101" s="9">
        <f t="shared" si="10"/>
        <v>-0.17499999999999999</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89.844693781141672</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1580.593266241955</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1769.1436703985887</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1767.4173230174663</v>
      </c>
      <c r="R101" s="10"/>
      <c r="S101" s="9">
        <f t="shared" si="11"/>
        <v>-0.17499999999999999</v>
      </c>
      <c r="T101" s="9">
        <f>(Inputs!$I$6+(((A101)+1)/2)*(Inputs!$J$6-Inputs!$I$6))</f>
        <v>-10.5</v>
      </c>
      <c r="U101" s="9">
        <f>(Inputs!$I$7+(((A101)+1)/2)*(Inputs!$J$7-Inputs!$I$7))</f>
        <v>-70</v>
      </c>
      <c r="V101" s="9">
        <f>(Inputs!$I$8+(((A101)+1)/2)*(Inputs!$J$8-Inputs!$I$8))</f>
        <v>-140</v>
      </c>
      <c r="W101" s="9">
        <f>(Inputs!$I$9+(((A101)+1)/2)*(Inputs!$J$9-Inputs!$I$9))</f>
        <v>-140</v>
      </c>
      <c r="X101" s="10"/>
      <c r="Y101" s="9">
        <f t="shared" si="12"/>
        <v>-0.17499999999999999</v>
      </c>
      <c r="Z101" s="9">
        <f>(Inputs!$H$6+Inputs!$L$6*(((Inputs!$I$6+(((A101)+1)/2)*(Inputs!$J$6-Inputs!$I$6)))/Inputs!$K$6)^2)</f>
        <v>400.1225</v>
      </c>
      <c r="AA101" s="9">
        <f>(Inputs!$H$7+Inputs!$L$7*(((Inputs!$I$7+(((A101)+1)/2)*(Inputs!$J$7-Inputs!$I$7)))/Inputs!$K$7)^2)</f>
        <v>46.178124999999994</v>
      </c>
      <c r="AB101" s="9">
        <f>(Inputs!$H$8+Inputs!$L$8*(((Inputs!$I$8+(((A101)+1)/2)*(Inputs!$J$8-Inputs!$I$8)))/Inputs!$K$8)^2)</f>
        <v>64.553124999999994</v>
      </c>
      <c r="AC101" s="9">
        <f>(Inputs!$H$9+Inputs!$L$9*(((Inputs!$I$9+(((A101)+1)/2)*(Inputs!$J$9-Inputs!$I$9)))/Inputs!$K$9)^2)</f>
        <v>54.859375</v>
      </c>
      <c r="AD101" s="10"/>
      <c r="AE101" s="9">
        <f t="shared" si="13"/>
        <v>-0.17499999999999999</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647.54391759570331</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23736.827370989729</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52941.64041645862</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56088.157330836737</v>
      </c>
      <c r="AJ101" s="10"/>
      <c r="AK101" s="9">
        <f t="shared" si="14"/>
        <v>-0.17499999999999999</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89.844693781141672</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1580.593266241955</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1769.1436703985887</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1767.4173230174663</v>
      </c>
      <c r="AP101" s="10"/>
      <c r="AQ101" s="9">
        <f t="shared" si="15"/>
        <v>-0.17499999999999999</v>
      </c>
      <c r="AR101" s="9">
        <f>0</f>
        <v>0</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470.10163194835405</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196.96306248477907</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204.7986580113276</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204.7986580113276</v>
      </c>
      <c r="AW101" s="10"/>
      <c r="AX101" s="9">
        <f t="shared" si="16"/>
        <v>-0.17499999999999999</v>
      </c>
      <c r="AY101" s="9">
        <f>0</f>
        <v>0</v>
      </c>
      <c r="AZ101" s="9">
        <f>IF(OR(Inputs!$F$6=TRUE,Inputs!$F$6="TRUE",Inputs!$F$6=1),(Inputs!$H$6+Inputs!$L$6*(((Inputs!$I$6+(((A101)+1)/2)*(Inputs!$J$6-Inputs!$I$6)))/Inputs!$K$6)^2),NA())</f>
        <v>400.1225</v>
      </c>
      <c r="BA101" s="9">
        <f>IF(OR(Inputs!$F$7=TRUE,Inputs!$F$7="TRUE",Inputs!$F$7=1),(Inputs!$H$7+Inputs!$L$7*(((Inputs!$I$7+(((A101)+1)/2)*(Inputs!$J$7-Inputs!$I$7)))/Inputs!$K$7)^2),NA())</f>
        <v>46.178124999999994</v>
      </c>
      <c r="BB101" s="9">
        <f>IF(OR(Inputs!$F$8=TRUE,Inputs!$F$8="TRUE",Inputs!$F$8=1),(Inputs!$H$8+Inputs!$L$8*(((Inputs!$I$8+(((A101)+1)/2)*(Inputs!$J$8-Inputs!$I$8)))/Inputs!$K$8)^2),NA())</f>
        <v>64.553124999999994</v>
      </c>
      <c r="BC101" s="9">
        <f>IF(OR(Inputs!$F$9=TRUE,Inputs!$F$9="TRUE",Inputs!$F$9=1),(Inputs!$H$9+Inputs!$L$9*(((Inputs!$I$9+(((A101)+1)/2)*(Inputs!$J$9-Inputs!$I$9)))/Inputs!$K$9)^2),NA())</f>
        <v>54.859375</v>
      </c>
      <c r="BD101" s="10"/>
      <c r="BE101" s="9">
        <f t="shared" si="17"/>
        <v>-0.17499999999999999</v>
      </c>
      <c r="BF101" s="9">
        <f>0</f>
        <v>0</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row>
    <row r="102" spans="1:62">
      <c r="A102" s="9">
        <f>ROUND(-1+100*2/240,3)</f>
        <v>-0.16700000000000001</v>
      </c>
      <c r="B102" s="9">
        <f>IF(OR(Inputs!$F$6=TRUE,Inputs!$F$6="TRUE",Inputs!$F$6=1),(Inputs!$H$6+Inputs!$L$6*(((Inputs!$I$6+(((A102)+1)/2)*(Inputs!$J$6-Inputs!$I$6)))/Inputs!$K$6)^2),NA())</f>
        <v>400.11155600000001</v>
      </c>
      <c r="C102" s="9">
        <f>IF(OR(Inputs!$F$7=TRUE,Inputs!$F$7="TRUE",Inputs!$F$7=1),(Inputs!$H$7+Inputs!$L$7*(((Inputs!$I$7+(((A102)+1)/2)*(Inputs!$J$7-Inputs!$I$7)))/Inputs!$K$7)^2),NA())</f>
        <v>45.179485</v>
      </c>
      <c r="D102" s="9">
        <f>IF(OR(Inputs!$F$8=TRUE,Inputs!$F$8="TRUE",Inputs!$F$8=1),(Inputs!$H$8+Inputs!$L$8*(((Inputs!$I$8+(((A102)+1)/2)*(Inputs!$J$8-Inputs!$I$8)))/Inputs!$K$8)^2),NA())</f>
        <v>61.91288500000001</v>
      </c>
      <c r="E102" s="9">
        <f>IF(OR(Inputs!$F$9=TRUE,Inputs!$F$9="TRUE",Inputs!$F$9=1),(Inputs!$H$9+Inputs!$L$9*(((Inputs!$I$9+(((A102)+1)/2)*(Inputs!$J$9-Inputs!$I$9)))/Inputs!$K$9)^2),NA())</f>
        <v>52.191775000000007</v>
      </c>
      <c r="F102" s="10"/>
      <c r="G102" s="9">
        <f t="shared" si="9"/>
        <v>-0.16700000000000001</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c r="L102" s="10"/>
      <c r="M102" s="9">
        <f t="shared" si="10"/>
        <v>-0.16700000000000001</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85.741637414401126</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1556.546637394312</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1750.7913108572579</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1750.4567699771662</v>
      </c>
      <c r="R102" s="10"/>
      <c r="S102" s="9">
        <f t="shared" si="11"/>
        <v>-0.16700000000000001</v>
      </c>
      <c r="T102" s="9">
        <f>(Inputs!$I$6+(((A102)+1)/2)*(Inputs!$J$6-Inputs!$I$6))</f>
        <v>-10.020000000000003</v>
      </c>
      <c r="U102" s="9">
        <f>(Inputs!$I$7+(((A102)+1)/2)*(Inputs!$J$7-Inputs!$I$7))</f>
        <v>-66.800000000000011</v>
      </c>
      <c r="V102" s="9">
        <f>(Inputs!$I$8+(((A102)+1)/2)*(Inputs!$J$8-Inputs!$I$8))</f>
        <v>-133.60000000000002</v>
      </c>
      <c r="W102" s="9">
        <f>(Inputs!$I$9+(((A102)+1)/2)*(Inputs!$J$9-Inputs!$I$9))</f>
        <v>-133.60000000000002</v>
      </c>
      <c r="X102" s="10"/>
      <c r="Y102" s="9">
        <f t="shared" si="12"/>
        <v>-0.16700000000000001</v>
      </c>
      <c r="Z102" s="9">
        <f>(Inputs!$H$6+Inputs!$L$6*(((Inputs!$I$6+(((A102)+1)/2)*(Inputs!$J$6-Inputs!$I$6)))/Inputs!$K$6)^2)</f>
        <v>400.11155600000001</v>
      </c>
      <c r="AA102" s="9">
        <f>(Inputs!$H$7+Inputs!$L$7*(((Inputs!$I$7+(((A102)+1)/2)*(Inputs!$J$7-Inputs!$I$7)))/Inputs!$K$7)^2)</f>
        <v>45.179485</v>
      </c>
      <c r="AB102" s="9">
        <f>(Inputs!$H$8+Inputs!$L$8*(((Inputs!$I$8+(((A102)+1)/2)*(Inputs!$J$8-Inputs!$I$8)))/Inputs!$K$8)^2)</f>
        <v>61.91288500000001</v>
      </c>
      <c r="AC102" s="9">
        <f>(Inputs!$H$9+Inputs!$L$9*(((Inputs!$I$9+(((A102)+1)/2)*(Inputs!$J$9-Inputs!$I$9)))/Inputs!$K$9)^2)</f>
        <v>52.191775000000007</v>
      </c>
      <c r="AD102" s="10"/>
      <c r="AE102" s="9">
        <f t="shared" si="13"/>
        <v>-0.16700000000000001</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638.89562293556457</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22535.275057314186</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50469.886122760792</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53634.13236649723</v>
      </c>
      <c r="AJ102" s="10"/>
      <c r="AK102" s="9">
        <f t="shared" si="14"/>
        <v>-0.16700000000000001</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85.741637414401126</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1556.546637394312</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1750.7913108572579</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1750.4567699771662</v>
      </c>
      <c r="AP102" s="10"/>
      <c r="AQ102" s="9">
        <f t="shared" si="15"/>
        <v>-0.16700000000000001</v>
      </c>
      <c r="AR102" s="9">
        <f>0</f>
        <v>0</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463.94875984964921</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218.3616731290067</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121.5271229913207</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121.5271229913207</v>
      </c>
      <c r="AW102" s="10"/>
      <c r="AX102" s="9">
        <f t="shared" si="16"/>
        <v>-0.16700000000000001</v>
      </c>
      <c r="AY102" s="9">
        <f>0</f>
        <v>0</v>
      </c>
      <c r="AZ102" s="9">
        <f>IF(OR(Inputs!$F$6=TRUE,Inputs!$F$6="TRUE",Inputs!$F$6=1),(Inputs!$H$6+Inputs!$L$6*(((Inputs!$I$6+(((A102)+1)/2)*(Inputs!$J$6-Inputs!$I$6)))/Inputs!$K$6)^2),NA())</f>
        <v>400.11155600000001</v>
      </c>
      <c r="BA102" s="9">
        <f>IF(OR(Inputs!$F$7=TRUE,Inputs!$F$7="TRUE",Inputs!$F$7=1),(Inputs!$H$7+Inputs!$L$7*(((Inputs!$I$7+(((A102)+1)/2)*(Inputs!$J$7-Inputs!$I$7)))/Inputs!$K$7)^2),NA())</f>
        <v>45.179485</v>
      </c>
      <c r="BB102" s="9">
        <f>IF(OR(Inputs!$F$8=TRUE,Inputs!$F$8="TRUE",Inputs!$F$8=1),(Inputs!$H$8+Inputs!$L$8*(((Inputs!$I$8+(((A102)+1)/2)*(Inputs!$J$8-Inputs!$I$8)))/Inputs!$K$8)^2),NA())</f>
        <v>61.91288500000001</v>
      </c>
      <c r="BC102" s="9">
        <f>IF(OR(Inputs!$F$9=TRUE,Inputs!$F$9="TRUE",Inputs!$F$9=1),(Inputs!$H$9+Inputs!$L$9*(((Inputs!$I$9+(((A102)+1)/2)*(Inputs!$J$9-Inputs!$I$9)))/Inputs!$K$9)^2),NA())</f>
        <v>52.191775000000007</v>
      </c>
      <c r="BD102" s="10"/>
      <c r="BE102" s="9">
        <f t="shared" si="17"/>
        <v>-0.16700000000000001</v>
      </c>
      <c r="BF102" s="9">
        <f>0</f>
        <v>0</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row>
    <row r="103" spans="1:62">
      <c r="A103" s="9">
        <f>ROUND(-1+101*2/240,3)</f>
        <v>-0.158</v>
      </c>
      <c r="B103" s="9">
        <f>IF(OR(Inputs!$F$6=TRUE,Inputs!$F$6="TRUE",Inputs!$F$6=1),(Inputs!$H$6+Inputs!$L$6*(((Inputs!$I$6+(((A103)+1)/2)*(Inputs!$J$6-Inputs!$I$6)))/Inputs!$K$6)^2),NA())</f>
        <v>400.09985599999999</v>
      </c>
      <c r="C103" s="9">
        <f>IF(OR(Inputs!$F$7=TRUE,Inputs!$F$7="TRUE",Inputs!$F$7=1),(Inputs!$H$7+Inputs!$L$7*(((Inputs!$I$7+(((A103)+1)/2)*(Inputs!$J$7-Inputs!$I$7)))/Inputs!$K$7)^2),NA())</f>
        <v>44.11186</v>
      </c>
      <c r="D103" s="9">
        <f>IF(OR(Inputs!$F$8=TRUE,Inputs!$F$8="TRUE",Inputs!$F$8=1),(Inputs!$H$8+Inputs!$L$8*(((Inputs!$I$8+(((A103)+1)/2)*(Inputs!$J$8-Inputs!$I$8)))/Inputs!$K$8)^2),NA())</f>
        <v>59.090259999999994</v>
      </c>
      <c r="E103" s="9">
        <f>IF(OR(Inputs!$F$9=TRUE,Inputs!$F$9="TRUE",Inputs!$F$9=1),(Inputs!$H$9+Inputs!$L$9*(((Inputs!$I$9+(((A103)+1)/2)*(Inputs!$J$9-Inputs!$I$9)))/Inputs!$K$9)^2),NA())</f>
        <v>49.339899999999993</v>
      </c>
      <c r="F103" s="10"/>
      <c r="G103" s="9">
        <f t="shared" si="9"/>
        <v>-0.158</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c r="L103" s="10"/>
      <c r="M103" s="9">
        <f t="shared" si="10"/>
        <v>-0.158</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81.125008434570049</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1527.4443088866037</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1729.7219498568793</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1731.250542210164</v>
      </c>
      <c r="R103" s="10"/>
      <c r="S103" s="9">
        <f t="shared" si="11"/>
        <v>-0.158</v>
      </c>
      <c r="T103" s="9">
        <f>(Inputs!$I$6+(((A103)+1)/2)*(Inputs!$J$6-Inputs!$I$6))</f>
        <v>-9.480000000000004</v>
      </c>
      <c r="U103" s="9">
        <f>(Inputs!$I$7+(((A103)+1)/2)*(Inputs!$J$7-Inputs!$I$7))</f>
        <v>-63.199999999999989</v>
      </c>
      <c r="V103" s="9">
        <f>(Inputs!$I$8+(((A103)+1)/2)*(Inputs!$J$8-Inputs!$I$8))</f>
        <v>-126.39999999999998</v>
      </c>
      <c r="W103" s="9">
        <f>(Inputs!$I$9+(((A103)+1)/2)*(Inputs!$J$9-Inputs!$I$9))</f>
        <v>-126.39999999999998</v>
      </c>
      <c r="X103" s="10"/>
      <c r="Y103" s="9">
        <f t="shared" si="12"/>
        <v>-0.158</v>
      </c>
      <c r="Z103" s="9">
        <f>(Inputs!$H$6+Inputs!$L$6*(((Inputs!$I$6+(((A103)+1)/2)*(Inputs!$J$6-Inputs!$I$6)))/Inputs!$K$6)^2)</f>
        <v>400.09985599999999</v>
      </c>
      <c r="AA103" s="9">
        <f>(Inputs!$H$7+Inputs!$L$7*(((Inputs!$I$7+(((A103)+1)/2)*(Inputs!$J$7-Inputs!$I$7)))/Inputs!$K$7)^2)</f>
        <v>44.11186</v>
      </c>
      <c r="AB103" s="9">
        <f>(Inputs!$H$8+Inputs!$L$8*(((Inputs!$I$8+(((A103)+1)/2)*(Inputs!$J$8-Inputs!$I$8)))/Inputs!$K$8)^2)</f>
        <v>59.090259999999994</v>
      </c>
      <c r="AC103" s="9">
        <f>(Inputs!$H$9+Inputs!$L$9*(((Inputs!$I$9+(((A103)+1)/2)*(Inputs!$J$9-Inputs!$I$9)))/Inputs!$K$9)^2)</f>
        <v>49.339899999999993</v>
      </c>
      <c r="AD103" s="10"/>
      <c r="AE103" s="9">
        <f t="shared" si="13"/>
        <v>-0.158</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629.649124878404</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21185.666064690809</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47655.990286266868</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50835.231361076301</v>
      </c>
      <c r="AJ103" s="10"/>
      <c r="AK103" s="9">
        <f t="shared" si="14"/>
        <v>-0.158</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81.125008434570049</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1527.4443088866037</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1729.7219498568793</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1731.250542210164</v>
      </c>
      <c r="AP103" s="10"/>
      <c r="AQ103" s="9">
        <f t="shared" si="15"/>
        <v>-0.158</v>
      </c>
      <c r="AR103" s="9">
        <f>0</f>
        <v>0</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463.79010570511156</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154.66089405905174</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168.45952248322774</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168.45952248322774</v>
      </c>
      <c r="AW103" s="10"/>
      <c r="AX103" s="9">
        <f t="shared" si="16"/>
        <v>-0.158</v>
      </c>
      <c r="AY103" s="9">
        <f>0</f>
        <v>0</v>
      </c>
      <c r="AZ103" s="9">
        <f>IF(OR(Inputs!$F$6=TRUE,Inputs!$F$6="TRUE",Inputs!$F$6=1),(Inputs!$H$6+Inputs!$L$6*(((Inputs!$I$6+(((A103)+1)/2)*(Inputs!$J$6-Inputs!$I$6)))/Inputs!$K$6)^2),NA())</f>
        <v>400.09985599999999</v>
      </c>
      <c r="BA103" s="9">
        <f>IF(OR(Inputs!$F$7=TRUE,Inputs!$F$7="TRUE",Inputs!$F$7=1),(Inputs!$H$7+Inputs!$L$7*(((Inputs!$I$7+(((A103)+1)/2)*(Inputs!$J$7-Inputs!$I$7)))/Inputs!$K$7)^2),NA())</f>
        <v>44.11186</v>
      </c>
      <c r="BB103" s="9">
        <f>IF(OR(Inputs!$F$8=TRUE,Inputs!$F$8="TRUE",Inputs!$F$8=1),(Inputs!$H$8+Inputs!$L$8*(((Inputs!$I$8+(((A103)+1)/2)*(Inputs!$J$8-Inputs!$I$8)))/Inputs!$K$8)^2),NA())</f>
        <v>59.090259999999994</v>
      </c>
      <c r="BC103" s="9">
        <f>IF(OR(Inputs!$F$9=TRUE,Inputs!$F$9="TRUE",Inputs!$F$9=1),(Inputs!$H$9+Inputs!$L$9*(((Inputs!$I$9+(((A103)+1)/2)*(Inputs!$J$9-Inputs!$I$9)))/Inputs!$K$9)^2),NA())</f>
        <v>49.339899999999993</v>
      </c>
      <c r="BD103" s="10"/>
      <c r="BE103" s="9">
        <f t="shared" si="17"/>
        <v>-0.158</v>
      </c>
      <c r="BF103" s="9">
        <f>0</f>
        <v>0</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row>
    <row r="104" spans="1:62">
      <c r="A104" s="9">
        <f>ROUND(-1+102*2/240,3)</f>
        <v>-0.15</v>
      </c>
      <c r="B104" s="9">
        <f>IF(OR(Inputs!$F$6=TRUE,Inputs!$F$6="TRUE",Inputs!$F$6=1),(Inputs!$H$6+Inputs!$L$6*(((Inputs!$I$6+(((A104)+1)/2)*(Inputs!$J$6-Inputs!$I$6)))/Inputs!$K$6)^2),NA())</f>
        <v>400.09</v>
      </c>
      <c r="C104" s="9">
        <f>IF(OR(Inputs!$F$7=TRUE,Inputs!$F$7="TRUE",Inputs!$F$7=1),(Inputs!$H$7+Inputs!$L$7*(((Inputs!$I$7+(((A104)+1)/2)*(Inputs!$J$7-Inputs!$I$7)))/Inputs!$K$7)^2),NA())</f>
        <v>43.212499999999999</v>
      </c>
      <c r="D104" s="9">
        <f>IF(OR(Inputs!$F$8=TRUE,Inputs!$F$8="TRUE",Inputs!$F$8=1),(Inputs!$H$8+Inputs!$L$8*(((Inputs!$I$8+(((A104)+1)/2)*(Inputs!$J$8-Inputs!$I$8)))/Inputs!$K$8)^2),NA())</f>
        <v>56.712499999999999</v>
      </c>
      <c r="E104" s="9">
        <f>IF(OR(Inputs!$F$9=TRUE,Inputs!$F$9="TRUE",Inputs!$F$9=1),(Inputs!$H$9+Inputs!$L$9*(((Inputs!$I$9+(((A104)+1)/2)*(Inputs!$J$9-Inputs!$I$9)))/Inputs!$K$9)^2),NA())</f>
        <v>46.9375</v>
      </c>
      <c r="F104" s="10"/>
      <c r="G104" s="9">
        <f t="shared" si="9"/>
        <v>-0.15</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c r="L104" s="10"/>
      <c r="M104" s="9">
        <f t="shared" si="10"/>
        <v>-0.15</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77.020754895218573</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1499.4482518447146</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1710.4376393668899</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1713.9315995349498</v>
      </c>
      <c r="R104" s="10"/>
      <c r="S104" s="9">
        <f t="shared" si="11"/>
        <v>-0.15</v>
      </c>
      <c r="T104" s="9">
        <f>(Inputs!$I$6+(((A104)+1)/2)*(Inputs!$J$6-Inputs!$I$6))</f>
        <v>-9</v>
      </c>
      <c r="U104" s="9">
        <f>(Inputs!$I$7+(((A104)+1)/2)*(Inputs!$J$7-Inputs!$I$7))</f>
        <v>-60</v>
      </c>
      <c r="V104" s="9">
        <f>(Inputs!$I$8+(((A104)+1)/2)*(Inputs!$J$8-Inputs!$I$8))</f>
        <v>-120</v>
      </c>
      <c r="W104" s="9">
        <f>(Inputs!$I$9+(((A104)+1)/2)*(Inputs!$J$9-Inputs!$I$9))</f>
        <v>-120</v>
      </c>
      <c r="X104" s="10"/>
      <c r="Y104" s="9">
        <f t="shared" si="12"/>
        <v>-0.15</v>
      </c>
      <c r="Z104" s="9">
        <f>(Inputs!$H$6+Inputs!$L$6*(((Inputs!$I$6+(((A104)+1)/2)*(Inputs!$J$6-Inputs!$I$6)))/Inputs!$K$6)^2)</f>
        <v>400.09</v>
      </c>
      <c r="AA104" s="9">
        <f>(Inputs!$H$7+Inputs!$L$7*(((Inputs!$I$7+(((A104)+1)/2)*(Inputs!$J$7-Inputs!$I$7)))/Inputs!$K$7)^2)</f>
        <v>43.212499999999999</v>
      </c>
      <c r="AB104" s="9">
        <f>(Inputs!$H$8+Inputs!$L$8*(((Inputs!$I$8+(((A104)+1)/2)*(Inputs!$J$8-Inputs!$I$8)))/Inputs!$K$8)^2)</f>
        <v>56.712499999999999</v>
      </c>
      <c r="AC104" s="9">
        <f>(Inputs!$H$9+Inputs!$L$9*(((Inputs!$I$9+(((A104)+1)/2)*(Inputs!$J$9-Inputs!$I$9)))/Inputs!$K$9)^2)</f>
        <v>46.9375</v>
      </c>
      <c r="AD104" s="10"/>
      <c r="AE104" s="9">
        <f t="shared" si="13"/>
        <v>-0.15</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621.85930586079473</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19990.220230096023</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45126.34559367568</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48313.845185544313</v>
      </c>
      <c r="AJ104" s="10"/>
      <c r="AK104" s="9">
        <f t="shared" si="14"/>
        <v>-0.15</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77.020754895218573</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1499.4482518447146</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1710.4376393668899</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1713.9315995349498</v>
      </c>
      <c r="AP104" s="10"/>
      <c r="AQ104" s="9">
        <f t="shared" si="15"/>
        <v>-0.15</v>
      </c>
      <c r="AR104" s="9">
        <f>0</f>
        <v>0</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480.61828567521798</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119.42638570504096</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187.74824264735327</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187.74824264735327</v>
      </c>
      <c r="AW104" s="10"/>
      <c r="AX104" s="9">
        <f t="shared" si="16"/>
        <v>-0.15</v>
      </c>
      <c r="AY104" s="9">
        <f>0</f>
        <v>0</v>
      </c>
      <c r="AZ104" s="9">
        <f>IF(OR(Inputs!$F$6=TRUE,Inputs!$F$6="TRUE",Inputs!$F$6=1),(Inputs!$H$6+Inputs!$L$6*(((Inputs!$I$6+(((A104)+1)/2)*(Inputs!$J$6-Inputs!$I$6)))/Inputs!$K$6)^2),NA())</f>
        <v>400.09</v>
      </c>
      <c r="BA104" s="9">
        <f>IF(OR(Inputs!$F$7=TRUE,Inputs!$F$7="TRUE",Inputs!$F$7=1),(Inputs!$H$7+Inputs!$L$7*(((Inputs!$I$7+(((A104)+1)/2)*(Inputs!$J$7-Inputs!$I$7)))/Inputs!$K$7)^2),NA())</f>
        <v>43.212499999999999</v>
      </c>
      <c r="BB104" s="9">
        <f>IF(OR(Inputs!$F$8=TRUE,Inputs!$F$8="TRUE",Inputs!$F$8=1),(Inputs!$H$8+Inputs!$L$8*(((Inputs!$I$8+(((A104)+1)/2)*(Inputs!$J$8-Inputs!$I$8)))/Inputs!$K$8)^2),NA())</f>
        <v>56.712499999999999</v>
      </c>
      <c r="BC104" s="9">
        <f>IF(OR(Inputs!$F$9=TRUE,Inputs!$F$9="TRUE",Inputs!$F$9=1),(Inputs!$H$9+Inputs!$L$9*(((Inputs!$I$9+(((A104)+1)/2)*(Inputs!$J$9-Inputs!$I$9)))/Inputs!$K$9)^2),NA())</f>
        <v>46.9375</v>
      </c>
      <c r="BD104" s="10"/>
      <c r="BE104" s="9">
        <f t="shared" si="17"/>
        <v>-0.15</v>
      </c>
      <c r="BF104" s="9">
        <f>0</f>
        <v>0</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row>
    <row r="105" spans="1:62">
      <c r="A105" s="9">
        <f>ROUND(-1+103*2/240,3)</f>
        <v>-0.14199999999999999</v>
      </c>
      <c r="B105" s="9">
        <f>IF(OR(Inputs!$F$6=TRUE,Inputs!$F$6="TRUE",Inputs!$F$6=1),(Inputs!$H$6+Inputs!$L$6*(((Inputs!$I$6+(((A105)+1)/2)*(Inputs!$J$6-Inputs!$I$6)))/Inputs!$K$6)^2),NA())</f>
        <v>400.08065599999998</v>
      </c>
      <c r="C105" s="9">
        <f>IF(OR(Inputs!$F$7=TRUE,Inputs!$F$7="TRUE",Inputs!$F$7=1),(Inputs!$H$7+Inputs!$L$7*(((Inputs!$I$7+(((A105)+1)/2)*(Inputs!$J$7-Inputs!$I$7)))/Inputs!$K$7)^2),NA())</f>
        <v>42.359860000000005</v>
      </c>
      <c r="D105" s="9">
        <f>IF(OR(Inputs!$F$8=TRUE,Inputs!$F$8="TRUE",Inputs!$F$8=1),(Inputs!$H$8+Inputs!$L$8*(((Inputs!$I$8+(((A105)+1)/2)*(Inputs!$J$8-Inputs!$I$8)))/Inputs!$K$8)^2),NA())</f>
        <v>54.45826000000001</v>
      </c>
      <c r="E105" s="9">
        <f>IF(OR(Inputs!$F$9=TRUE,Inputs!$F$9="TRUE",Inputs!$F$9=1),(Inputs!$H$9+Inputs!$L$9*(((Inputs!$I$9+(((A105)+1)/2)*(Inputs!$J$9-Inputs!$I$9)))/Inputs!$K$9)^2),NA())</f>
        <v>44.659900000000007</v>
      </c>
      <c r="F105" s="10"/>
      <c r="G105" s="9">
        <f t="shared" si="9"/>
        <v>-0.14199999999999999</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c r="L105" s="10"/>
      <c r="M105" s="9">
        <f t="shared" si="10"/>
        <v>-0.14199999999999999</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72.915981069961816</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1469.1174397232394</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1690.4162808103333</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1696.2176513894919</v>
      </c>
      <c r="R105" s="10"/>
      <c r="S105" s="9">
        <f t="shared" si="11"/>
        <v>-0.14199999999999999</v>
      </c>
      <c r="T105" s="9">
        <f>(Inputs!$I$6+(((A105)+1)/2)*(Inputs!$J$6-Inputs!$I$6))</f>
        <v>-8.5200000000000031</v>
      </c>
      <c r="U105" s="9">
        <f>(Inputs!$I$7+(((A105)+1)/2)*(Inputs!$J$7-Inputs!$I$7))</f>
        <v>-56.800000000000011</v>
      </c>
      <c r="V105" s="9">
        <f>(Inputs!$I$8+(((A105)+1)/2)*(Inputs!$J$8-Inputs!$I$8))</f>
        <v>-113.60000000000002</v>
      </c>
      <c r="W105" s="9">
        <f>(Inputs!$I$9+(((A105)+1)/2)*(Inputs!$J$9-Inputs!$I$9))</f>
        <v>-113.60000000000002</v>
      </c>
      <c r="X105" s="10"/>
      <c r="Y105" s="9">
        <f t="shared" si="12"/>
        <v>-0.14199999999999999</v>
      </c>
      <c r="Z105" s="9">
        <f>(Inputs!$H$6+Inputs!$L$6*(((Inputs!$I$6+(((A105)+1)/2)*(Inputs!$J$6-Inputs!$I$6)))/Inputs!$K$6)^2)</f>
        <v>400.08065599999998</v>
      </c>
      <c r="AA105" s="9">
        <f>(Inputs!$H$7+Inputs!$L$7*(((Inputs!$I$7+(((A105)+1)/2)*(Inputs!$J$7-Inputs!$I$7)))/Inputs!$K$7)^2)</f>
        <v>42.359860000000005</v>
      </c>
      <c r="AB105" s="9">
        <f>(Inputs!$H$8+Inputs!$L$8*(((Inputs!$I$8+(((A105)+1)/2)*(Inputs!$J$8-Inputs!$I$8)))/Inputs!$K$8)^2)</f>
        <v>54.45826000000001</v>
      </c>
      <c r="AC105" s="9">
        <f>(Inputs!$H$9+Inputs!$L$9*(((Inputs!$I$9+(((A105)+1)/2)*(Inputs!$J$9-Inputs!$I$9)))/Inputs!$K$9)^2)</f>
        <v>44.659900000000007</v>
      </c>
      <c r="AD105" s="10"/>
      <c r="AE105" s="9">
        <f t="shared" si="13"/>
        <v>-0.14199999999999999</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614.47361875053411</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18801.262933795897</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42571.428061614031</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45761.67627041434</v>
      </c>
      <c r="AJ105" s="10"/>
      <c r="AK105" s="9">
        <f t="shared" si="14"/>
        <v>-0.14199999999999999</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72.915981069961816</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1469.1174397232394</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1690.4162808103333</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1696.2176513894919</v>
      </c>
      <c r="AP105" s="10"/>
      <c r="AQ105" s="9">
        <f t="shared" si="15"/>
        <v>-0.14199999999999999</v>
      </c>
      <c r="AR105" s="9">
        <f>0</f>
        <v>0</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472.33437846050219</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145.95353948972411</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116.34094787231291</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116.34094787231291</v>
      </c>
      <c r="AW105" s="10"/>
      <c r="AX105" s="9">
        <f t="shared" si="16"/>
        <v>-0.14199999999999999</v>
      </c>
      <c r="AY105" s="9">
        <f>0</f>
        <v>0</v>
      </c>
      <c r="AZ105" s="9">
        <f>IF(OR(Inputs!$F$6=TRUE,Inputs!$F$6="TRUE",Inputs!$F$6=1),(Inputs!$H$6+Inputs!$L$6*(((Inputs!$I$6+(((A105)+1)/2)*(Inputs!$J$6-Inputs!$I$6)))/Inputs!$K$6)^2),NA())</f>
        <v>400.08065599999998</v>
      </c>
      <c r="BA105" s="9">
        <f>IF(OR(Inputs!$F$7=TRUE,Inputs!$F$7="TRUE",Inputs!$F$7=1),(Inputs!$H$7+Inputs!$L$7*(((Inputs!$I$7+(((A105)+1)/2)*(Inputs!$J$7-Inputs!$I$7)))/Inputs!$K$7)^2),NA())</f>
        <v>42.359860000000005</v>
      </c>
      <c r="BB105" s="9">
        <f>IF(OR(Inputs!$F$8=TRUE,Inputs!$F$8="TRUE",Inputs!$F$8=1),(Inputs!$H$8+Inputs!$L$8*(((Inputs!$I$8+(((A105)+1)/2)*(Inputs!$J$8-Inputs!$I$8)))/Inputs!$K$8)^2),NA())</f>
        <v>54.45826000000001</v>
      </c>
      <c r="BC105" s="9">
        <f>IF(OR(Inputs!$F$9=TRUE,Inputs!$F$9="TRUE",Inputs!$F$9=1),(Inputs!$H$9+Inputs!$L$9*(((Inputs!$I$9+(((A105)+1)/2)*(Inputs!$J$9-Inputs!$I$9)))/Inputs!$K$9)^2),NA())</f>
        <v>44.659900000000007</v>
      </c>
      <c r="BD105" s="10"/>
      <c r="BE105" s="9">
        <f t="shared" si="17"/>
        <v>-0.14199999999999999</v>
      </c>
      <c r="BF105" s="9">
        <f>0</f>
        <v>0</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row>
    <row r="106" spans="1:62">
      <c r="A106" s="9">
        <f>ROUND(-1+104*2/240,3)</f>
        <v>-0.13300000000000001</v>
      </c>
      <c r="B106" s="9">
        <f>IF(OR(Inputs!$F$6=TRUE,Inputs!$F$6="TRUE",Inputs!$F$6=1),(Inputs!$H$6+Inputs!$L$6*(((Inputs!$I$6+(((A106)+1)/2)*(Inputs!$J$6-Inputs!$I$6)))/Inputs!$K$6)^2),NA())</f>
        <v>400.07075600000002</v>
      </c>
      <c r="C106" s="9">
        <f>IF(OR(Inputs!$F$7=TRUE,Inputs!$F$7="TRUE",Inputs!$F$7=1),(Inputs!$H$7+Inputs!$L$7*(((Inputs!$I$7+(((A106)+1)/2)*(Inputs!$J$7-Inputs!$I$7)))/Inputs!$K$7)^2),NA())</f>
        <v>41.456485000000001</v>
      </c>
      <c r="D106" s="9">
        <f>IF(OR(Inputs!$F$8=TRUE,Inputs!$F$8="TRUE",Inputs!$F$8=1),(Inputs!$H$8+Inputs!$L$8*(((Inputs!$I$8+(((A106)+1)/2)*(Inputs!$J$8-Inputs!$I$8)))/Inputs!$K$8)^2),NA())</f>
        <v>52.069884999999992</v>
      </c>
      <c r="E106" s="9">
        <f>IF(OR(Inputs!$F$9=TRUE,Inputs!$F$9="TRUE",Inputs!$F$9=1),(Inputs!$H$9+Inputs!$L$9*(((Inputs!$I$9+(((A106)+1)/2)*(Inputs!$J$9-Inputs!$I$9)))/Inputs!$K$9)^2),NA())</f>
        <v>42.246774999999992</v>
      </c>
      <c r="F106" s="10"/>
      <c r="G106" s="9">
        <f t="shared" si="9"/>
        <v>-0.13300000000000001</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c r="L106" s="10"/>
      <c r="M106" s="9">
        <f t="shared" si="10"/>
        <v>-0.13300000000000001</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68.297522991612738</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1431.7433363369678</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1666.6842877350293</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1675.5643234080285</v>
      </c>
      <c r="R106" s="10"/>
      <c r="S106" s="9">
        <f t="shared" si="11"/>
        <v>-0.13300000000000001</v>
      </c>
      <c r="T106" s="9">
        <f>(Inputs!$I$6+(((A106)+1)/2)*(Inputs!$J$6-Inputs!$I$6))</f>
        <v>-7.980000000000004</v>
      </c>
      <c r="U106" s="9">
        <f>(Inputs!$I$7+(((A106)+1)/2)*(Inputs!$J$7-Inputs!$I$7))</f>
        <v>-53.199999999999989</v>
      </c>
      <c r="V106" s="9">
        <f>(Inputs!$I$8+(((A106)+1)/2)*(Inputs!$J$8-Inputs!$I$8))</f>
        <v>-106.39999999999998</v>
      </c>
      <c r="W106" s="9">
        <f>(Inputs!$I$9+(((A106)+1)/2)*(Inputs!$J$9-Inputs!$I$9))</f>
        <v>-106.39999999999998</v>
      </c>
      <c r="X106" s="10"/>
      <c r="Y106" s="9">
        <f t="shared" si="12"/>
        <v>-0.13300000000000001</v>
      </c>
      <c r="Z106" s="9">
        <f>(Inputs!$H$6+Inputs!$L$6*(((Inputs!$I$6+(((A106)+1)/2)*(Inputs!$J$6-Inputs!$I$6)))/Inputs!$K$6)^2)</f>
        <v>400.07075600000002</v>
      </c>
      <c r="AA106" s="9">
        <f>(Inputs!$H$7+Inputs!$L$7*(((Inputs!$I$7+(((A106)+1)/2)*(Inputs!$J$7-Inputs!$I$7)))/Inputs!$K$7)^2)</f>
        <v>41.456485000000001</v>
      </c>
      <c r="AB106" s="9">
        <f>(Inputs!$H$8+Inputs!$L$8*(((Inputs!$I$8+(((A106)+1)/2)*(Inputs!$J$8-Inputs!$I$8)))/Inputs!$K$8)^2)</f>
        <v>52.069884999999992</v>
      </c>
      <c r="AC106" s="9">
        <f>(Inputs!$H$9+Inputs!$L$9*(((Inputs!$I$9+(((A106)+1)/2)*(Inputs!$J$9-Inputs!$I$9)))/Inputs!$K$9)^2)</f>
        <v>42.246774999999992</v>
      </c>
      <c r="AD106" s="10"/>
      <c r="AE106" s="9">
        <f t="shared" si="13"/>
        <v>-0.13300000000000001</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606.64789077547528</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17474.976993364235</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39669.373935343108</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42855.085652619629</v>
      </c>
      <c r="AJ106" s="10"/>
      <c r="AK106" s="9">
        <f t="shared" si="14"/>
        <v>-0.13300000000000001</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68.297522991612738</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1431.7433363369678</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1666.6842877350293</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1675.5643234080285</v>
      </c>
      <c r="AP106" s="10"/>
      <c r="AQ106" s="9">
        <f t="shared" si="15"/>
        <v>-0.13300000000000001</v>
      </c>
      <c r="AR106" s="9">
        <f>0</f>
        <v>0</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453.63997647008841</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225.85584980731934</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181.11559070301047</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181.11559070301047</v>
      </c>
      <c r="AW106" s="10"/>
      <c r="AX106" s="9">
        <f t="shared" si="16"/>
        <v>-0.13300000000000001</v>
      </c>
      <c r="AY106" s="9">
        <f>0</f>
        <v>0</v>
      </c>
      <c r="AZ106" s="9">
        <f>IF(OR(Inputs!$F$6=TRUE,Inputs!$F$6="TRUE",Inputs!$F$6=1),(Inputs!$H$6+Inputs!$L$6*(((Inputs!$I$6+(((A106)+1)/2)*(Inputs!$J$6-Inputs!$I$6)))/Inputs!$K$6)^2),NA())</f>
        <v>400.07075600000002</v>
      </c>
      <c r="BA106" s="9">
        <f>IF(OR(Inputs!$F$7=TRUE,Inputs!$F$7="TRUE",Inputs!$F$7=1),(Inputs!$H$7+Inputs!$L$7*(((Inputs!$I$7+(((A106)+1)/2)*(Inputs!$J$7-Inputs!$I$7)))/Inputs!$K$7)^2),NA())</f>
        <v>41.456485000000001</v>
      </c>
      <c r="BB106" s="9">
        <f>IF(OR(Inputs!$F$8=TRUE,Inputs!$F$8="TRUE",Inputs!$F$8=1),(Inputs!$H$8+Inputs!$L$8*(((Inputs!$I$8+(((A106)+1)/2)*(Inputs!$J$8-Inputs!$I$8)))/Inputs!$K$8)^2),NA())</f>
        <v>52.069884999999992</v>
      </c>
      <c r="BC106" s="9">
        <f>IF(OR(Inputs!$F$9=TRUE,Inputs!$F$9="TRUE",Inputs!$F$9=1),(Inputs!$H$9+Inputs!$L$9*(((Inputs!$I$9+(((A106)+1)/2)*(Inputs!$J$9-Inputs!$I$9)))/Inputs!$K$9)^2),NA())</f>
        <v>42.246774999999992</v>
      </c>
      <c r="BD106" s="10"/>
      <c r="BE106" s="9">
        <f t="shared" si="17"/>
        <v>-0.13300000000000001</v>
      </c>
      <c r="BF106" s="9">
        <f>0</f>
        <v>0</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row>
    <row r="107" spans="1:62">
      <c r="A107" s="9">
        <f>ROUND(-1+105*2/240,3)</f>
        <v>-0.125</v>
      </c>
      <c r="B107" s="9">
        <f>IF(OR(Inputs!$F$6=TRUE,Inputs!$F$6="TRUE",Inputs!$F$6=1),(Inputs!$H$6+Inputs!$L$6*(((Inputs!$I$6+(((A107)+1)/2)*(Inputs!$J$6-Inputs!$I$6)))/Inputs!$K$6)^2),NA())</f>
        <v>400.0625</v>
      </c>
      <c r="C107" s="9">
        <f>IF(OR(Inputs!$F$7=TRUE,Inputs!$F$7="TRUE",Inputs!$F$7=1),(Inputs!$H$7+Inputs!$L$7*(((Inputs!$I$7+(((A107)+1)/2)*(Inputs!$J$7-Inputs!$I$7)))/Inputs!$K$7)^2),NA())</f>
        <v>40.703125</v>
      </c>
      <c r="D107" s="9">
        <f>IF(OR(Inputs!$F$8=TRUE,Inputs!$F$8="TRUE",Inputs!$F$8=1),(Inputs!$H$8+Inputs!$L$8*(((Inputs!$I$8+(((A107)+1)/2)*(Inputs!$J$8-Inputs!$I$8)))/Inputs!$K$8)^2),NA())</f>
        <v>50.078125</v>
      </c>
      <c r="E107" s="9">
        <f>IF(OR(Inputs!$F$9=TRUE,Inputs!$F$9="TRUE",Inputs!$F$9=1),(Inputs!$H$9+Inputs!$L$9*(((Inputs!$I$9+(((A107)+1)/2)*(Inputs!$J$9-Inputs!$I$9)))/Inputs!$K$9)^2),NA())</f>
        <v>40.234375</v>
      </c>
      <c r="F107" s="10"/>
      <c r="G107" s="9">
        <f t="shared" si="9"/>
        <v>-0.125</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c r="L107" s="10"/>
      <c r="M107" s="9">
        <f t="shared" si="10"/>
        <v>-0.125</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64.191735262735989</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1395.1596365231271</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1644.1434585854499</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1656.2685555541652</v>
      </c>
      <c r="R107" s="10"/>
      <c r="S107" s="9">
        <f t="shared" si="11"/>
        <v>-0.125</v>
      </c>
      <c r="T107" s="9">
        <f>(Inputs!$I$6+(((A107)+1)/2)*(Inputs!$J$6-Inputs!$I$6))</f>
        <v>-7.5</v>
      </c>
      <c r="U107" s="9">
        <f>(Inputs!$I$7+(((A107)+1)/2)*(Inputs!$J$7-Inputs!$I$7))</f>
        <v>-50</v>
      </c>
      <c r="V107" s="9">
        <f>(Inputs!$I$8+(((A107)+1)/2)*(Inputs!$J$8-Inputs!$I$8))</f>
        <v>-100</v>
      </c>
      <c r="W107" s="9">
        <f>(Inputs!$I$9+(((A107)+1)/2)*(Inputs!$J$9-Inputs!$I$9))</f>
        <v>-100</v>
      </c>
      <c r="X107" s="10"/>
      <c r="Y107" s="9">
        <f t="shared" si="12"/>
        <v>-0.125</v>
      </c>
      <c r="Z107" s="9">
        <f>(Inputs!$H$6+Inputs!$L$6*(((Inputs!$I$6+(((A107)+1)/2)*(Inputs!$J$6-Inputs!$I$6)))/Inputs!$K$6)^2)</f>
        <v>400.0625</v>
      </c>
      <c r="AA107" s="9">
        <f>(Inputs!$H$7+Inputs!$L$7*(((Inputs!$I$7+(((A107)+1)/2)*(Inputs!$J$7-Inputs!$I$7)))/Inputs!$K$7)^2)</f>
        <v>40.703125</v>
      </c>
      <c r="AB107" s="9">
        <f>(Inputs!$H$8+Inputs!$L$8*(((Inputs!$I$8+(((A107)+1)/2)*(Inputs!$J$8-Inputs!$I$8)))/Inputs!$K$8)^2)</f>
        <v>50.078125</v>
      </c>
      <c r="AC107" s="9">
        <f>(Inputs!$H$9+Inputs!$L$9*(((Inputs!$I$9+(((A107)+1)/2)*(Inputs!$J$9-Inputs!$I$9)))/Inputs!$K$9)^2)</f>
        <v>40.234375</v>
      </c>
      <c r="AD107" s="10"/>
      <c r="AE107" s="9">
        <f t="shared" si="13"/>
        <v>-0.125</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600.12126159984734</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16309.74534120257</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37068.014325199241</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40241.818057516481</v>
      </c>
      <c r="AJ107" s="10"/>
      <c r="AK107" s="9">
        <f t="shared" si="14"/>
        <v>-0.125</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64.191735262735989</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1395.1596365231271</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1644.1434585854499</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1656.2685555541652</v>
      </c>
      <c r="AP107" s="10"/>
      <c r="AQ107" s="9">
        <f t="shared" si="15"/>
        <v>-0.125</v>
      </c>
      <c r="AR107" s="9">
        <f>0</f>
        <v>0</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470.26409514391321</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273.71504099052385</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150.02974859207296</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150.02974859207296</v>
      </c>
      <c r="AW107" s="10"/>
      <c r="AX107" s="9">
        <f t="shared" si="16"/>
        <v>-0.125</v>
      </c>
      <c r="AY107" s="9">
        <f>0</f>
        <v>0</v>
      </c>
      <c r="AZ107" s="9">
        <f>IF(OR(Inputs!$F$6=TRUE,Inputs!$F$6="TRUE",Inputs!$F$6=1),(Inputs!$H$6+Inputs!$L$6*(((Inputs!$I$6+(((A107)+1)/2)*(Inputs!$J$6-Inputs!$I$6)))/Inputs!$K$6)^2),NA())</f>
        <v>400.0625</v>
      </c>
      <c r="BA107" s="9">
        <f>IF(OR(Inputs!$F$7=TRUE,Inputs!$F$7="TRUE",Inputs!$F$7=1),(Inputs!$H$7+Inputs!$L$7*(((Inputs!$I$7+(((A107)+1)/2)*(Inputs!$J$7-Inputs!$I$7)))/Inputs!$K$7)^2),NA())</f>
        <v>40.703125</v>
      </c>
      <c r="BB107" s="9">
        <f>IF(OR(Inputs!$F$8=TRUE,Inputs!$F$8="TRUE",Inputs!$F$8=1),(Inputs!$H$8+Inputs!$L$8*(((Inputs!$I$8+(((A107)+1)/2)*(Inputs!$J$8-Inputs!$I$8)))/Inputs!$K$8)^2),NA())</f>
        <v>50.078125</v>
      </c>
      <c r="BC107" s="9">
        <f>IF(OR(Inputs!$F$9=TRUE,Inputs!$F$9="TRUE",Inputs!$F$9=1),(Inputs!$H$9+Inputs!$L$9*(((Inputs!$I$9+(((A107)+1)/2)*(Inputs!$J$9-Inputs!$I$9)))/Inputs!$K$9)^2),NA())</f>
        <v>40.234375</v>
      </c>
      <c r="BD107" s="10"/>
      <c r="BE107" s="9">
        <f t="shared" si="17"/>
        <v>-0.125</v>
      </c>
      <c r="BF107" s="9">
        <f>0</f>
        <v>0</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row>
    <row r="108" spans="1:62">
      <c r="A108" s="9">
        <f>ROUND(-1+106*2/240,3)</f>
        <v>-0.11700000000000001</v>
      </c>
      <c r="B108" s="9">
        <f>IF(OR(Inputs!$F$6=TRUE,Inputs!$F$6="TRUE",Inputs!$F$6=1),(Inputs!$H$6+Inputs!$L$6*(((Inputs!$I$6+(((A108)+1)/2)*(Inputs!$J$6-Inputs!$I$6)))/Inputs!$K$6)^2),NA())</f>
        <v>400.054756</v>
      </c>
      <c r="C108" s="9">
        <f>IF(OR(Inputs!$F$7=TRUE,Inputs!$F$7="TRUE",Inputs!$F$7=1),(Inputs!$H$7+Inputs!$L$7*(((Inputs!$I$7+(((A108)+1)/2)*(Inputs!$J$7-Inputs!$I$7)))/Inputs!$K$7)^2),NA())</f>
        <v>39.996485000000007</v>
      </c>
      <c r="D108" s="9">
        <f>IF(OR(Inputs!$F$8=TRUE,Inputs!$F$8="TRUE",Inputs!$F$8=1),(Inputs!$H$8+Inputs!$L$8*(((Inputs!$I$8+(((A108)+1)/2)*(Inputs!$J$8-Inputs!$I$8)))/Inputs!$K$8)^2),NA())</f>
        <v>48.209885000000007</v>
      </c>
      <c r="E108" s="9">
        <f>IF(OR(Inputs!$F$9=TRUE,Inputs!$F$9="TRUE",Inputs!$F$9=1),(Inputs!$H$9+Inputs!$L$9*(((Inputs!$I$9+(((A108)+1)/2)*(Inputs!$J$9-Inputs!$I$9)))/Inputs!$K$9)^2),NA())</f>
        <v>38.346775000000008</v>
      </c>
      <c r="F108" s="10"/>
      <c r="G108" s="9">
        <f t="shared" si="9"/>
        <v>-0.11700000000000001</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c r="L108" s="10"/>
      <c r="M108" s="9">
        <f t="shared" si="10"/>
        <v>-0.11700000000000001</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60.085513604645712</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1354.9037405376112</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1619.7906101947278</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1635.7288561983473</v>
      </c>
      <c r="R108" s="10"/>
      <c r="S108" s="9">
        <f t="shared" si="11"/>
        <v>-0.11700000000000001</v>
      </c>
      <c r="T108" s="9">
        <f>(Inputs!$I$6+(((A108)+1)/2)*(Inputs!$J$6-Inputs!$I$6))</f>
        <v>-7.019999999999996</v>
      </c>
      <c r="U108" s="9">
        <f>(Inputs!$I$7+(((A108)+1)/2)*(Inputs!$J$7-Inputs!$I$7))</f>
        <v>-46.800000000000011</v>
      </c>
      <c r="V108" s="9">
        <f>(Inputs!$I$8+(((A108)+1)/2)*(Inputs!$J$8-Inputs!$I$8))</f>
        <v>-93.600000000000023</v>
      </c>
      <c r="W108" s="9">
        <f>(Inputs!$I$9+(((A108)+1)/2)*(Inputs!$J$9-Inputs!$I$9))</f>
        <v>-93.600000000000023</v>
      </c>
      <c r="X108" s="10"/>
      <c r="Y108" s="9">
        <f t="shared" si="12"/>
        <v>-0.11700000000000001</v>
      </c>
      <c r="Z108" s="9">
        <f>(Inputs!$H$6+Inputs!$L$6*(((Inputs!$I$6+(((A108)+1)/2)*(Inputs!$J$6-Inputs!$I$6)))/Inputs!$K$6)^2)</f>
        <v>400.054756</v>
      </c>
      <c r="AA108" s="9">
        <f>(Inputs!$H$7+Inputs!$L$7*(((Inputs!$I$7+(((A108)+1)/2)*(Inputs!$J$7-Inputs!$I$7)))/Inputs!$K$7)^2)</f>
        <v>39.996485000000007</v>
      </c>
      <c r="AB108" s="9">
        <f>(Inputs!$H$8+Inputs!$L$8*(((Inputs!$I$8+(((A108)+1)/2)*(Inputs!$J$8-Inputs!$I$8)))/Inputs!$K$8)^2)</f>
        <v>48.209885000000007</v>
      </c>
      <c r="AC108" s="9">
        <f>(Inputs!$H$9+Inputs!$L$9*(((Inputs!$I$9+(((A108)+1)/2)*(Inputs!$J$9-Inputs!$I$9)))/Inputs!$K$9)^2)</f>
        <v>38.346775000000008</v>
      </c>
      <c r="AD108" s="10"/>
      <c r="AE108" s="9">
        <f t="shared" si="13"/>
        <v>-0.11700000000000001</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593.99901562661455</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15161.386077704814</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34449.85865380583</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37603.122322188523</v>
      </c>
      <c r="AJ108" s="10"/>
      <c r="AK108" s="9">
        <f t="shared" si="14"/>
        <v>-0.11700000000000001</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60.085513604645712</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1354.9037405376112</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1619.7906101947278</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1635.7288561983473</v>
      </c>
      <c r="AP108" s="10"/>
      <c r="AQ108" s="9">
        <f t="shared" si="15"/>
        <v>-0.11700000000000001</v>
      </c>
      <c r="AR108" s="9">
        <f>0</f>
        <v>0</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457.71586844855193</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241.31976702307711</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94.375971047259256</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94.375971047259256</v>
      </c>
      <c r="AW108" s="10"/>
      <c r="AX108" s="9">
        <f t="shared" si="16"/>
        <v>-0.11700000000000001</v>
      </c>
      <c r="AY108" s="9">
        <f>0</f>
        <v>0</v>
      </c>
      <c r="AZ108" s="9">
        <f>IF(OR(Inputs!$F$6=TRUE,Inputs!$F$6="TRUE",Inputs!$F$6=1),(Inputs!$H$6+Inputs!$L$6*(((Inputs!$I$6+(((A108)+1)/2)*(Inputs!$J$6-Inputs!$I$6)))/Inputs!$K$6)^2),NA())</f>
        <v>400.054756</v>
      </c>
      <c r="BA108" s="9">
        <f>IF(OR(Inputs!$F$7=TRUE,Inputs!$F$7="TRUE",Inputs!$F$7=1),(Inputs!$H$7+Inputs!$L$7*(((Inputs!$I$7+(((A108)+1)/2)*(Inputs!$J$7-Inputs!$I$7)))/Inputs!$K$7)^2),NA())</f>
        <v>39.996485000000007</v>
      </c>
      <c r="BB108" s="9">
        <f>IF(OR(Inputs!$F$8=TRUE,Inputs!$F$8="TRUE",Inputs!$F$8=1),(Inputs!$H$8+Inputs!$L$8*(((Inputs!$I$8+(((A108)+1)/2)*(Inputs!$J$8-Inputs!$I$8)))/Inputs!$K$8)^2),NA())</f>
        <v>48.209885000000007</v>
      </c>
      <c r="BC108" s="9">
        <f>IF(OR(Inputs!$F$9=TRUE,Inputs!$F$9="TRUE",Inputs!$F$9=1),(Inputs!$H$9+Inputs!$L$9*(((Inputs!$I$9+(((A108)+1)/2)*(Inputs!$J$9-Inputs!$I$9)))/Inputs!$K$9)^2),NA())</f>
        <v>38.346775000000008</v>
      </c>
      <c r="BD108" s="10"/>
      <c r="BE108" s="9">
        <f t="shared" si="17"/>
        <v>-0.11700000000000001</v>
      </c>
      <c r="BF108" s="9">
        <f>0</f>
        <v>0</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row>
    <row r="109" spans="1:62">
      <c r="A109" s="9">
        <f>ROUND(-1+107*2/240,3)</f>
        <v>-0.108</v>
      </c>
      <c r="B109" s="9">
        <f>IF(OR(Inputs!$F$6=TRUE,Inputs!$F$6="TRUE",Inputs!$F$6=1),(Inputs!$H$6+Inputs!$L$6*(((Inputs!$I$6+(((A109)+1)/2)*(Inputs!$J$6-Inputs!$I$6)))/Inputs!$K$6)^2),NA())</f>
        <v>400.04665599999998</v>
      </c>
      <c r="C109" s="9">
        <f>IF(OR(Inputs!$F$7=TRUE,Inputs!$F$7="TRUE",Inputs!$F$7=1),(Inputs!$H$7+Inputs!$L$7*(((Inputs!$I$7+(((A109)+1)/2)*(Inputs!$J$7-Inputs!$I$7)))/Inputs!$K$7)^2),NA())</f>
        <v>39.257359999999998</v>
      </c>
      <c r="D109" s="9">
        <f>IF(OR(Inputs!$F$8=TRUE,Inputs!$F$8="TRUE",Inputs!$F$8=1),(Inputs!$H$8+Inputs!$L$8*(((Inputs!$I$8+(((A109)+1)/2)*(Inputs!$J$8-Inputs!$I$8)))/Inputs!$K$8)^2),NA())</f>
        <v>46.255759999999995</v>
      </c>
      <c r="E109" s="9">
        <f>IF(OR(Inputs!$F$9=TRUE,Inputs!$F$9="TRUE",Inputs!$F$9=1),(Inputs!$H$9+Inputs!$L$9*(((Inputs!$I$9+(((A109)+1)/2)*(Inputs!$J$9-Inputs!$I$9)))/Inputs!$K$9)^2),NA())</f>
        <v>36.372399999999992</v>
      </c>
      <c r="F109" s="10"/>
      <c r="G109" s="9">
        <f t="shared" si="9"/>
        <v>-0.108</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c r="L109" s="10"/>
      <c r="M109" s="9">
        <f t="shared" si="10"/>
        <v>-0.108</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55.46553002030133</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1304.5358380491298</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1589.5208239516596</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1610.5555337184419</v>
      </c>
      <c r="R109" s="10"/>
      <c r="S109" s="9">
        <f t="shared" si="11"/>
        <v>-0.108</v>
      </c>
      <c r="T109" s="9">
        <f>(Inputs!$I$6+(((A109)+1)/2)*(Inputs!$J$6-Inputs!$I$6))</f>
        <v>-6.4799999999999969</v>
      </c>
      <c r="U109" s="9">
        <f>(Inputs!$I$7+(((A109)+1)/2)*(Inputs!$J$7-Inputs!$I$7))</f>
        <v>-43.199999999999989</v>
      </c>
      <c r="V109" s="9">
        <f>(Inputs!$I$8+(((A109)+1)/2)*(Inputs!$J$8-Inputs!$I$8))</f>
        <v>-86.399999999999977</v>
      </c>
      <c r="W109" s="9">
        <f>(Inputs!$I$9+(((A109)+1)/2)*(Inputs!$J$9-Inputs!$I$9))</f>
        <v>-86.399999999999977</v>
      </c>
      <c r="X109" s="10"/>
      <c r="Y109" s="9">
        <f t="shared" si="12"/>
        <v>-0.108</v>
      </c>
      <c r="Z109" s="9">
        <f>(Inputs!$H$6+Inputs!$L$6*(((Inputs!$I$6+(((A109)+1)/2)*(Inputs!$J$6-Inputs!$I$6)))/Inputs!$K$6)^2)</f>
        <v>400.04665599999998</v>
      </c>
      <c r="AA109" s="9">
        <f>(Inputs!$H$7+Inputs!$L$7*(((Inputs!$I$7+(((A109)+1)/2)*(Inputs!$J$7-Inputs!$I$7)))/Inputs!$K$7)^2)</f>
        <v>39.257359999999998</v>
      </c>
      <c r="AB109" s="9">
        <f>(Inputs!$H$8+Inputs!$L$8*(((Inputs!$I$8+(((A109)+1)/2)*(Inputs!$J$8-Inputs!$I$8)))/Inputs!$K$8)^2)</f>
        <v>46.255759999999995</v>
      </c>
      <c r="AC109" s="9">
        <f>(Inputs!$H$9+Inputs!$L$9*(((Inputs!$I$9+(((A109)+1)/2)*(Inputs!$J$9-Inputs!$I$9)))/Inputs!$K$9)^2)</f>
        <v>36.372399999999992</v>
      </c>
      <c r="AD109" s="10"/>
      <c r="AE109" s="9">
        <f t="shared" si="13"/>
        <v>-0.108</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587.59494117877682</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13895.191239175561</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31490.234040914544</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34608.334281496223</v>
      </c>
      <c r="AJ109" s="10"/>
      <c r="AK109" s="9">
        <f t="shared" si="14"/>
        <v>-0.108</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55.46553002030133</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1304.5358380491298</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1589.5208239516596</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1610.5555337184419</v>
      </c>
      <c r="AP109" s="10"/>
      <c r="AQ109" s="9">
        <f t="shared" si="15"/>
        <v>-0.108</v>
      </c>
      <c r="AR109" s="9">
        <f>0</f>
        <v>0</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444.06444652195268</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192.25438093111828</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152.19304949418353</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152.19304949418353</v>
      </c>
      <c r="AW109" s="10"/>
      <c r="AX109" s="9">
        <f t="shared" si="16"/>
        <v>-0.108</v>
      </c>
      <c r="AY109" s="9">
        <f>0</f>
        <v>0</v>
      </c>
      <c r="AZ109" s="9">
        <f>IF(OR(Inputs!$F$6=TRUE,Inputs!$F$6="TRUE",Inputs!$F$6=1),(Inputs!$H$6+Inputs!$L$6*(((Inputs!$I$6+(((A109)+1)/2)*(Inputs!$J$6-Inputs!$I$6)))/Inputs!$K$6)^2),NA())</f>
        <v>400.04665599999998</v>
      </c>
      <c r="BA109" s="9">
        <f>IF(OR(Inputs!$F$7=TRUE,Inputs!$F$7="TRUE",Inputs!$F$7=1),(Inputs!$H$7+Inputs!$L$7*(((Inputs!$I$7+(((A109)+1)/2)*(Inputs!$J$7-Inputs!$I$7)))/Inputs!$K$7)^2),NA())</f>
        <v>39.257359999999998</v>
      </c>
      <c r="BB109" s="9">
        <f>IF(OR(Inputs!$F$8=TRUE,Inputs!$F$8="TRUE",Inputs!$F$8=1),(Inputs!$H$8+Inputs!$L$8*(((Inputs!$I$8+(((A109)+1)/2)*(Inputs!$J$8-Inputs!$I$8)))/Inputs!$K$8)^2),NA())</f>
        <v>46.255759999999995</v>
      </c>
      <c r="BC109" s="9">
        <f>IF(OR(Inputs!$F$9=TRUE,Inputs!$F$9="TRUE",Inputs!$F$9=1),(Inputs!$H$9+Inputs!$L$9*(((Inputs!$I$9+(((A109)+1)/2)*(Inputs!$J$9-Inputs!$I$9)))/Inputs!$K$9)^2),NA())</f>
        <v>36.372399999999992</v>
      </c>
      <c r="BD109" s="10"/>
      <c r="BE109" s="9">
        <f t="shared" si="17"/>
        <v>-0.108</v>
      </c>
      <c r="BF109" s="9">
        <f>0</f>
        <v>0</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row>
    <row r="110" spans="1:62">
      <c r="A110" s="9">
        <f>ROUND(-1+108*2/240,3)</f>
        <v>-0.1</v>
      </c>
      <c r="B110" s="9">
        <f>IF(OR(Inputs!$F$6=TRUE,Inputs!$F$6="TRUE",Inputs!$F$6=1),(Inputs!$H$6+Inputs!$L$6*(((Inputs!$I$6+(((A110)+1)/2)*(Inputs!$J$6-Inputs!$I$6)))/Inputs!$K$6)^2),NA())</f>
        <v>400.04</v>
      </c>
      <c r="C110" s="9">
        <f>IF(OR(Inputs!$F$7=TRUE,Inputs!$F$7="TRUE",Inputs!$F$7=1),(Inputs!$H$7+Inputs!$L$7*(((Inputs!$I$7+(((A110)+1)/2)*(Inputs!$J$7-Inputs!$I$7)))/Inputs!$K$7)^2),NA())</f>
        <v>38.65</v>
      </c>
      <c r="D110" s="9">
        <f>IF(OR(Inputs!$F$8=TRUE,Inputs!$F$8="TRUE",Inputs!$F$8=1),(Inputs!$H$8+Inputs!$L$8*(((Inputs!$I$8+(((A110)+1)/2)*(Inputs!$J$8-Inputs!$I$8)))/Inputs!$K$8)^2),NA())</f>
        <v>44.650000000000006</v>
      </c>
      <c r="E110" s="9">
        <f>IF(OR(Inputs!$F$9=TRUE,Inputs!$F$9="TRUE",Inputs!$F$9=1),(Inputs!$H$9+Inputs!$L$9*(((Inputs!$I$9+(((A110)+1)/2)*(Inputs!$J$9-Inputs!$I$9)))/Inputs!$K$9)^2),NA())</f>
        <v>34.75</v>
      </c>
      <c r="F110" s="10"/>
      <c r="G110" s="9">
        <f t="shared" si="9"/>
        <v>-0.1</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c r="L110" s="10"/>
      <c r="M110" s="9">
        <f t="shared" si="10"/>
        <v>-0.1</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51.358478182607129</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1254.5616506235933</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1559.2372196507524</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1585.6508365801885</v>
      </c>
      <c r="R110" s="10"/>
      <c r="S110" s="9">
        <f t="shared" si="11"/>
        <v>-0.1</v>
      </c>
      <c r="T110" s="9">
        <f>(Inputs!$I$6+(((A110)+1)/2)*(Inputs!$J$6-Inputs!$I$6))</f>
        <v>-6</v>
      </c>
      <c r="U110" s="9">
        <f>(Inputs!$I$7+(((A110)+1)/2)*(Inputs!$J$7-Inputs!$I$7))</f>
        <v>-40</v>
      </c>
      <c r="V110" s="9">
        <f>(Inputs!$I$8+(((A110)+1)/2)*(Inputs!$J$8-Inputs!$I$8))</f>
        <v>-80</v>
      </c>
      <c r="W110" s="9">
        <f>(Inputs!$I$9+(((A110)+1)/2)*(Inputs!$J$9-Inputs!$I$9))</f>
        <v>-80</v>
      </c>
      <c r="X110" s="10"/>
      <c r="Y110" s="9">
        <f t="shared" si="12"/>
        <v>-0.1</v>
      </c>
      <c r="Z110" s="9">
        <f>(Inputs!$H$6+Inputs!$L$6*(((Inputs!$I$6+(((A110)+1)/2)*(Inputs!$J$6-Inputs!$I$6)))/Inputs!$K$6)^2)</f>
        <v>400.04</v>
      </c>
      <c r="AA110" s="9">
        <f>(Inputs!$H$7+Inputs!$L$7*(((Inputs!$I$7+(((A110)+1)/2)*(Inputs!$J$7-Inputs!$I$7)))/Inputs!$K$7)^2)</f>
        <v>38.65</v>
      </c>
      <c r="AB110" s="9">
        <f>(Inputs!$H$8+Inputs!$L$8*(((Inputs!$I$8+(((A110)+1)/2)*(Inputs!$J$8-Inputs!$I$8)))/Inputs!$K$8)^2)</f>
        <v>44.650000000000006</v>
      </c>
      <c r="AC110" s="9">
        <f>(Inputs!$H$9+Inputs!$L$9*(((Inputs!$I$9+(((A110)+1)/2)*(Inputs!$J$9-Inputs!$I$9)))/Inputs!$K$9)^2)</f>
        <v>34.75</v>
      </c>
      <c r="AD110" s="10"/>
      <c r="AE110" s="9">
        <f t="shared" si="13"/>
        <v>-0.1</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582.33223878537478</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12798.217426138661</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28853.731148627216</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31928.029627044729</v>
      </c>
      <c r="AJ110" s="10"/>
      <c r="AK110" s="9">
        <f t="shared" si="14"/>
        <v>-0.1</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51.358478182607129</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1254.5616506235933</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1559.2372196507524</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1585.6508365801885</v>
      </c>
      <c r="AP110" s="10"/>
      <c r="AQ110" s="9">
        <f t="shared" si="15"/>
        <v>-0.1</v>
      </c>
      <c r="AR110" s="9">
        <f>0</f>
        <v>0</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447.75344272198197</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197.66557297517377</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156.53516144470419</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156.53516144470419</v>
      </c>
      <c r="AW110" s="10"/>
      <c r="AX110" s="9">
        <f t="shared" si="16"/>
        <v>-0.1</v>
      </c>
      <c r="AY110" s="9">
        <f>0</f>
        <v>0</v>
      </c>
      <c r="AZ110" s="9">
        <f>IF(OR(Inputs!$F$6=TRUE,Inputs!$F$6="TRUE",Inputs!$F$6=1),(Inputs!$H$6+Inputs!$L$6*(((Inputs!$I$6+(((A110)+1)/2)*(Inputs!$J$6-Inputs!$I$6)))/Inputs!$K$6)^2),NA())</f>
        <v>400.04</v>
      </c>
      <c r="BA110" s="9">
        <f>IF(OR(Inputs!$F$7=TRUE,Inputs!$F$7="TRUE",Inputs!$F$7=1),(Inputs!$H$7+Inputs!$L$7*(((Inputs!$I$7+(((A110)+1)/2)*(Inputs!$J$7-Inputs!$I$7)))/Inputs!$K$7)^2),NA())</f>
        <v>38.65</v>
      </c>
      <c r="BB110" s="9">
        <f>IF(OR(Inputs!$F$8=TRUE,Inputs!$F$8="TRUE",Inputs!$F$8=1),(Inputs!$H$8+Inputs!$L$8*(((Inputs!$I$8+(((A110)+1)/2)*(Inputs!$J$8-Inputs!$I$8)))/Inputs!$K$8)^2),NA())</f>
        <v>44.650000000000006</v>
      </c>
      <c r="BC110" s="9">
        <f>IF(OR(Inputs!$F$9=TRUE,Inputs!$F$9="TRUE",Inputs!$F$9=1),(Inputs!$H$9+Inputs!$L$9*(((Inputs!$I$9+(((A110)+1)/2)*(Inputs!$J$9-Inputs!$I$9)))/Inputs!$K$9)^2),NA())</f>
        <v>34.75</v>
      </c>
      <c r="BD110" s="10"/>
      <c r="BE110" s="9">
        <f t="shared" si="17"/>
        <v>-0.1</v>
      </c>
      <c r="BF110" s="9">
        <f>0</f>
        <v>0</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row>
    <row r="111" spans="1:62">
      <c r="A111" s="9">
        <f>ROUND(-1+109*2/240,3)</f>
        <v>-9.1999999999999998E-2</v>
      </c>
      <c r="B111" s="9">
        <f>IF(OR(Inputs!$F$6=TRUE,Inputs!$F$6="TRUE",Inputs!$F$6=1),(Inputs!$H$6+Inputs!$L$6*(((Inputs!$I$6+(((A111)+1)/2)*(Inputs!$J$6-Inputs!$I$6)))/Inputs!$K$6)^2),NA())</f>
        <v>400.03385600000001</v>
      </c>
      <c r="C111" s="9">
        <f>IF(OR(Inputs!$F$7=TRUE,Inputs!$F$7="TRUE",Inputs!$F$7=1),(Inputs!$H$7+Inputs!$L$7*(((Inputs!$I$7+(((A111)+1)/2)*(Inputs!$J$7-Inputs!$I$7)))/Inputs!$K$7)^2),NA())</f>
        <v>38.089359999999999</v>
      </c>
      <c r="D111" s="9">
        <f>IF(OR(Inputs!$F$8=TRUE,Inputs!$F$8="TRUE",Inputs!$F$8=1),(Inputs!$H$8+Inputs!$L$8*(((Inputs!$I$8+(((A111)+1)/2)*(Inputs!$J$8-Inputs!$I$8)))/Inputs!$K$8)^2),NA())</f>
        <v>43.167760000000001</v>
      </c>
      <c r="E111" s="9">
        <f>IF(OR(Inputs!$F$9=TRUE,Inputs!$F$9="TRUE",Inputs!$F$9=1),(Inputs!$H$9+Inputs!$L$9*(((Inputs!$I$9+(((A111)+1)/2)*(Inputs!$J$9-Inputs!$I$9)))/Inputs!$K$9)^2),NA())</f>
        <v>33.252400000000009</v>
      </c>
      <c r="F111" s="10"/>
      <c r="G111" s="9">
        <f t="shared" si="9"/>
        <v>-9.1999999999999998E-2</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c r="L111" s="10"/>
      <c r="M111" s="9">
        <f t="shared" si="10"/>
        <v>-9.1999999999999998E-2</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47.251078967227173</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1198.979589355481</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1524.7524745215871</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1557.481764365157</v>
      </c>
      <c r="R111" s="10"/>
      <c r="S111" s="9">
        <f t="shared" si="11"/>
        <v>-9.1999999999999998E-2</v>
      </c>
      <c r="T111" s="9">
        <f>(Inputs!$I$6+(((A111)+1)/2)*(Inputs!$J$6-Inputs!$I$6))</f>
        <v>-5.519999999999996</v>
      </c>
      <c r="U111" s="9">
        <f>(Inputs!$I$7+(((A111)+1)/2)*(Inputs!$J$7-Inputs!$I$7))</f>
        <v>-36.800000000000011</v>
      </c>
      <c r="V111" s="9">
        <f>(Inputs!$I$8+(((A111)+1)/2)*(Inputs!$J$8-Inputs!$I$8))</f>
        <v>-73.600000000000023</v>
      </c>
      <c r="W111" s="9">
        <f>(Inputs!$I$9+(((A111)+1)/2)*(Inputs!$J$9-Inputs!$I$9))</f>
        <v>-73.600000000000023</v>
      </c>
      <c r="X111" s="10"/>
      <c r="Y111" s="9">
        <f t="shared" si="12"/>
        <v>-9.1999999999999998E-2</v>
      </c>
      <c r="Z111" s="9">
        <f>(Inputs!$H$6+Inputs!$L$6*(((Inputs!$I$6+(((A111)+1)/2)*(Inputs!$J$6-Inputs!$I$6)))/Inputs!$K$6)^2)</f>
        <v>400.03385600000001</v>
      </c>
      <c r="AA111" s="9">
        <f>(Inputs!$H$7+Inputs!$L$7*(((Inputs!$I$7+(((A111)+1)/2)*(Inputs!$J$7-Inputs!$I$7)))/Inputs!$K$7)^2)</f>
        <v>38.089359999999999</v>
      </c>
      <c r="AB111" s="9">
        <f>(Inputs!$H$8+Inputs!$L$8*(((Inputs!$I$8+(((A111)+1)/2)*(Inputs!$J$8-Inputs!$I$8)))/Inputs!$K$8)^2)</f>
        <v>43.167760000000001</v>
      </c>
      <c r="AC111" s="9">
        <f>(Inputs!$H$9+Inputs!$L$9*(((Inputs!$I$9+(((A111)+1)/2)*(Inputs!$J$9-Inputs!$I$9)))/Inputs!$K$9)^2)</f>
        <v>33.252400000000009</v>
      </c>
      <c r="AD111" s="10"/>
      <c r="AE111" s="9">
        <f t="shared" si="13"/>
        <v>-9.1999999999999998E-2</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577.47412535227954</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11734.231066539389</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26220.396952784718</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29237.060247490321</v>
      </c>
      <c r="AJ111" s="10"/>
      <c r="AK111" s="9">
        <f t="shared" si="14"/>
        <v>-9.1999999999999998E-2</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47.251078967227173</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1198.979589355481</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1524.7524745215871</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1557.481764365157</v>
      </c>
      <c r="AP111" s="10"/>
      <c r="AQ111" s="9">
        <f t="shared" si="15"/>
        <v>-9.1999999999999998E-2</v>
      </c>
      <c r="AR111" s="9">
        <f>0</f>
        <v>0</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423.9268348091652</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240.73038217752708</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92.380147917008657</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92.380147917008657</v>
      </c>
      <c r="AW111" s="10"/>
      <c r="AX111" s="9">
        <f t="shared" si="16"/>
        <v>-9.1999999999999998E-2</v>
      </c>
      <c r="AY111" s="9">
        <f>0</f>
        <v>0</v>
      </c>
      <c r="AZ111" s="9">
        <f>IF(OR(Inputs!$F$6=TRUE,Inputs!$F$6="TRUE",Inputs!$F$6=1),(Inputs!$H$6+Inputs!$L$6*(((Inputs!$I$6+(((A111)+1)/2)*(Inputs!$J$6-Inputs!$I$6)))/Inputs!$K$6)^2),NA())</f>
        <v>400.03385600000001</v>
      </c>
      <c r="BA111" s="9">
        <f>IF(OR(Inputs!$F$7=TRUE,Inputs!$F$7="TRUE",Inputs!$F$7=1),(Inputs!$H$7+Inputs!$L$7*(((Inputs!$I$7+(((A111)+1)/2)*(Inputs!$J$7-Inputs!$I$7)))/Inputs!$K$7)^2),NA())</f>
        <v>38.089359999999999</v>
      </c>
      <c r="BB111" s="9">
        <f>IF(OR(Inputs!$F$8=TRUE,Inputs!$F$8="TRUE",Inputs!$F$8=1),(Inputs!$H$8+Inputs!$L$8*(((Inputs!$I$8+(((A111)+1)/2)*(Inputs!$J$8-Inputs!$I$8)))/Inputs!$K$8)^2),NA())</f>
        <v>43.167760000000001</v>
      </c>
      <c r="BC111" s="9">
        <f>IF(OR(Inputs!$F$9=TRUE,Inputs!$F$9="TRUE",Inputs!$F$9=1),(Inputs!$H$9+Inputs!$L$9*(((Inputs!$I$9+(((A111)+1)/2)*(Inputs!$J$9-Inputs!$I$9)))/Inputs!$K$9)^2),NA())</f>
        <v>33.252400000000009</v>
      </c>
      <c r="BD111" s="10"/>
      <c r="BE111" s="9">
        <f t="shared" si="17"/>
        <v>-9.1999999999999998E-2</v>
      </c>
      <c r="BF111" s="9">
        <f>0</f>
        <v>0</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row>
    <row r="112" spans="1:62">
      <c r="A112" s="9">
        <f>ROUND(-1+110*2/240,3)</f>
        <v>-8.3000000000000004E-2</v>
      </c>
      <c r="B112" s="9">
        <f>IF(OR(Inputs!$F$6=TRUE,Inputs!$F$6="TRUE",Inputs!$F$6=1),(Inputs!$H$6+Inputs!$L$6*(((Inputs!$I$6+(((A112)+1)/2)*(Inputs!$J$6-Inputs!$I$6)))/Inputs!$K$6)^2),NA())</f>
        <v>400.027556</v>
      </c>
      <c r="C112" s="9">
        <f>IF(OR(Inputs!$F$7=TRUE,Inputs!$F$7="TRUE",Inputs!$F$7=1),(Inputs!$H$7+Inputs!$L$7*(((Inputs!$I$7+(((A112)+1)/2)*(Inputs!$J$7-Inputs!$I$7)))/Inputs!$K$7)^2),NA())</f>
        <v>37.514485000000001</v>
      </c>
      <c r="D112" s="9">
        <f>IF(OR(Inputs!$F$8=TRUE,Inputs!$F$8="TRUE",Inputs!$F$8=1),(Inputs!$H$8+Inputs!$L$8*(((Inputs!$I$8+(((A112)+1)/2)*(Inputs!$J$8-Inputs!$I$8)))/Inputs!$K$8)^2),NA())</f>
        <v>41.647884999999995</v>
      </c>
      <c r="E112" s="9">
        <f>IF(OR(Inputs!$F$9=TRUE,Inputs!$F$9="TRUE",Inputs!$F$9=1),(Inputs!$H$9+Inputs!$L$9*(((Inputs!$I$9+(((A112)+1)/2)*(Inputs!$J$9-Inputs!$I$9)))/Inputs!$K$9)^2),NA())</f>
        <v>31.716774999999995</v>
      </c>
      <c r="F112" s="10"/>
      <c r="G112" s="9">
        <f t="shared" si="9"/>
        <v>-8.3000000000000004E-2</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c r="L112" s="10"/>
      <c r="M112" s="9">
        <f t="shared" si="10"/>
        <v>-8.3000000000000004E-2</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42.629874154354347</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1128.8337721741261</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1479.2982654164057</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1520.4206404983338</v>
      </c>
      <c r="R112" s="10"/>
      <c r="S112" s="9">
        <f t="shared" si="11"/>
        <v>-8.3000000000000004E-2</v>
      </c>
      <c r="T112" s="9">
        <f>(Inputs!$I$6+(((A112)+1)/2)*(Inputs!$J$6-Inputs!$I$6))</f>
        <v>-4.9799999999999969</v>
      </c>
      <c r="U112" s="9">
        <f>(Inputs!$I$7+(((A112)+1)/2)*(Inputs!$J$7-Inputs!$I$7))</f>
        <v>-33.199999999999989</v>
      </c>
      <c r="V112" s="9">
        <f>(Inputs!$I$8+(((A112)+1)/2)*(Inputs!$J$8-Inputs!$I$8))</f>
        <v>-66.399999999999977</v>
      </c>
      <c r="W112" s="9">
        <f>(Inputs!$I$9+(((A112)+1)/2)*(Inputs!$J$9-Inputs!$I$9))</f>
        <v>-66.399999999999977</v>
      </c>
      <c r="X112" s="10"/>
      <c r="Y112" s="9">
        <f t="shared" si="12"/>
        <v>-8.3000000000000004E-2</v>
      </c>
      <c r="Z112" s="9">
        <f>(Inputs!$H$6+Inputs!$L$6*(((Inputs!$I$6+(((A112)+1)/2)*(Inputs!$J$6-Inputs!$I$6)))/Inputs!$K$6)^2)</f>
        <v>400.027556</v>
      </c>
      <c r="AA112" s="9">
        <f>(Inputs!$H$7+Inputs!$L$7*(((Inputs!$I$7+(((A112)+1)/2)*(Inputs!$J$7-Inputs!$I$7)))/Inputs!$K$7)^2)</f>
        <v>37.514485000000001</v>
      </c>
      <c r="AB112" s="9">
        <f>(Inputs!$H$8+Inputs!$L$8*(((Inputs!$I$8+(((A112)+1)/2)*(Inputs!$J$8-Inputs!$I$8)))/Inputs!$K$8)^2)</f>
        <v>41.647884999999995</v>
      </c>
      <c r="AC112" s="9">
        <f>(Inputs!$H$9+Inputs!$L$9*(((Inputs!$I$9+(((A112)+1)/2)*(Inputs!$J$9-Inputs!$I$9)))/Inputs!$K$9)^2)</f>
        <v>31.716774999999995</v>
      </c>
      <c r="AD112" s="10"/>
      <c r="AE112" s="9">
        <f t="shared" si="13"/>
        <v>-8.3000000000000004E-2</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572.49242778901294</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10585.062394302196</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23275.301181611485</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26207.765915968655</v>
      </c>
      <c r="AJ112" s="10"/>
      <c r="AK112" s="9">
        <f t="shared" si="14"/>
        <v>-8.3000000000000004E-2</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42.629874154354347</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1128.8337721741261</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1479.2982654164057</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1520.4206404983338</v>
      </c>
      <c r="AP112" s="10"/>
      <c r="AQ112" s="9">
        <f t="shared" si="15"/>
        <v>-8.3000000000000004E-2</v>
      </c>
      <c r="AR112" s="9">
        <f>0</f>
        <v>0</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417.17878537279819</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328.74222430455239</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230.41709698749969</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230.41709698749969</v>
      </c>
      <c r="AW112" s="10"/>
      <c r="AX112" s="9">
        <f t="shared" si="16"/>
        <v>-8.3000000000000004E-2</v>
      </c>
      <c r="AY112" s="9">
        <f>0</f>
        <v>0</v>
      </c>
      <c r="AZ112" s="9">
        <f>IF(OR(Inputs!$F$6=TRUE,Inputs!$F$6="TRUE",Inputs!$F$6=1),(Inputs!$H$6+Inputs!$L$6*(((Inputs!$I$6+(((A112)+1)/2)*(Inputs!$J$6-Inputs!$I$6)))/Inputs!$K$6)^2),NA())</f>
        <v>400.027556</v>
      </c>
      <c r="BA112" s="9">
        <f>IF(OR(Inputs!$F$7=TRUE,Inputs!$F$7="TRUE",Inputs!$F$7=1),(Inputs!$H$7+Inputs!$L$7*(((Inputs!$I$7+(((A112)+1)/2)*(Inputs!$J$7-Inputs!$I$7)))/Inputs!$K$7)^2),NA())</f>
        <v>37.514485000000001</v>
      </c>
      <c r="BB112" s="9">
        <f>IF(OR(Inputs!$F$8=TRUE,Inputs!$F$8="TRUE",Inputs!$F$8=1),(Inputs!$H$8+Inputs!$L$8*(((Inputs!$I$8+(((A112)+1)/2)*(Inputs!$J$8-Inputs!$I$8)))/Inputs!$K$8)^2),NA())</f>
        <v>41.647884999999995</v>
      </c>
      <c r="BC112" s="9">
        <f>IF(OR(Inputs!$F$9=TRUE,Inputs!$F$9="TRUE",Inputs!$F$9=1),(Inputs!$H$9+Inputs!$L$9*(((Inputs!$I$9+(((A112)+1)/2)*(Inputs!$J$9-Inputs!$I$9)))/Inputs!$K$9)^2),NA())</f>
        <v>31.716774999999995</v>
      </c>
      <c r="BD112" s="10"/>
      <c r="BE112" s="9">
        <f t="shared" si="17"/>
        <v>-8.3000000000000004E-2</v>
      </c>
      <c r="BF112" s="9">
        <f>0</f>
        <v>0</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row>
    <row r="113" spans="1:62">
      <c r="A113" s="9">
        <f>ROUND(-1+111*2/240,3)</f>
        <v>-7.4999999999999997E-2</v>
      </c>
      <c r="B113" s="9">
        <f>IF(OR(Inputs!$F$6=TRUE,Inputs!$F$6="TRUE",Inputs!$F$6=1),(Inputs!$H$6+Inputs!$L$6*(((Inputs!$I$6+(((A113)+1)/2)*(Inputs!$J$6-Inputs!$I$6)))/Inputs!$K$6)^2),NA())</f>
        <v>400.02249999999998</v>
      </c>
      <c r="C113" s="9">
        <f>IF(OR(Inputs!$F$7=TRUE,Inputs!$F$7="TRUE",Inputs!$F$7=1),(Inputs!$H$7+Inputs!$L$7*(((Inputs!$I$7+(((A113)+1)/2)*(Inputs!$J$7-Inputs!$I$7)))/Inputs!$K$7)^2),NA())</f>
        <v>37.053125000000001</v>
      </c>
      <c r="D113" s="9">
        <f>IF(OR(Inputs!$F$8=TRUE,Inputs!$F$8="TRUE",Inputs!$F$8=1),(Inputs!$H$8+Inputs!$L$8*(((Inputs!$I$8+(((A113)+1)/2)*(Inputs!$J$8-Inputs!$I$8)))/Inputs!$K$8)^2),NA())</f>
        <v>40.428125000000001</v>
      </c>
      <c r="E113" s="9">
        <f>IF(OR(Inputs!$F$9=TRUE,Inputs!$F$9="TRUE",Inputs!$F$9=1),(Inputs!$H$9+Inputs!$L$9*(((Inputs!$I$9+(((A113)+1)/2)*(Inputs!$J$9-Inputs!$I$9)))/Inputs!$K$9)^2),NA())</f>
        <v>30.484375</v>
      </c>
      <c r="F113" s="10"/>
      <c r="G113" s="9">
        <f t="shared" si="9"/>
        <v>-7.4999999999999997E-2</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c r="L113" s="10"/>
      <c r="M113" s="9">
        <f t="shared" si="10"/>
        <v>-7.4999999999999997E-2</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38.521828856298107</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1058.8749722809732</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1431.0362626313524</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1480.8862192067272</v>
      </c>
      <c r="R113" s="10"/>
      <c r="S113" s="9">
        <f t="shared" si="11"/>
        <v>-7.4999999999999997E-2</v>
      </c>
      <c r="T113" s="9">
        <f>(Inputs!$I$6+(((A113)+1)/2)*(Inputs!$J$6-Inputs!$I$6))</f>
        <v>-4.5</v>
      </c>
      <c r="U113" s="9">
        <f>(Inputs!$I$7+(((A113)+1)/2)*(Inputs!$J$7-Inputs!$I$7))</f>
        <v>-30</v>
      </c>
      <c r="V113" s="9">
        <f>(Inputs!$I$8+(((A113)+1)/2)*(Inputs!$J$8-Inputs!$I$8))</f>
        <v>-60</v>
      </c>
      <c r="W113" s="9">
        <f>(Inputs!$I$9+(((A113)+1)/2)*(Inputs!$J$9-Inputs!$I$9))</f>
        <v>-60</v>
      </c>
      <c r="X113" s="10"/>
      <c r="Y113" s="9">
        <f t="shared" si="12"/>
        <v>-7.4999999999999997E-2</v>
      </c>
      <c r="Z113" s="9">
        <f>(Inputs!$H$6+Inputs!$L$6*(((Inputs!$I$6+(((A113)+1)/2)*(Inputs!$J$6-Inputs!$I$6)))/Inputs!$K$6)^2)</f>
        <v>400.02249999999998</v>
      </c>
      <c r="AA113" s="9">
        <f>(Inputs!$H$7+Inputs!$L$7*(((Inputs!$I$7+(((A113)+1)/2)*(Inputs!$J$7-Inputs!$I$7)))/Inputs!$K$7)^2)</f>
        <v>37.053125000000001</v>
      </c>
      <c r="AB113" s="9">
        <f>(Inputs!$H$8+Inputs!$L$8*(((Inputs!$I$8+(((A113)+1)/2)*(Inputs!$J$8-Inputs!$I$8)))/Inputs!$K$8)^2)</f>
        <v>40.428125000000001</v>
      </c>
      <c r="AC113" s="9">
        <f>(Inputs!$H$9+Inputs!$L$9*(((Inputs!$I$9+(((A113)+1)/2)*(Inputs!$J$9-Inputs!$I$9)))/Inputs!$K$9)^2)</f>
        <v>30.484375</v>
      </c>
      <c r="AD113" s="10"/>
      <c r="AE113" s="9">
        <f t="shared" si="13"/>
        <v>-7.4999999999999997E-2</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568.49424671267104</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9614.4949326346814</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20688.923189965295</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23526.503633044715</v>
      </c>
      <c r="AJ113" s="10"/>
      <c r="AK113" s="9">
        <f t="shared" si="14"/>
        <v>-7.4999999999999997E-2</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38.521828856298107</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1058.8749722809732</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1431.0362626313524</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1480.8862192067272</v>
      </c>
      <c r="AP113" s="10"/>
      <c r="AQ113" s="9">
        <f t="shared" si="15"/>
        <v>-7.4999999999999997E-2</v>
      </c>
      <c r="AR113" s="9">
        <f>0</f>
        <v>0</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423.30568039506915</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336.97644838088075</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119.42638570504096</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119.42638570504096</v>
      </c>
      <c r="AW113" s="10"/>
      <c r="AX113" s="9">
        <f t="shared" si="16"/>
        <v>-7.4999999999999997E-2</v>
      </c>
      <c r="AY113" s="9">
        <f>0</f>
        <v>0</v>
      </c>
      <c r="AZ113" s="9">
        <f>IF(OR(Inputs!$F$6=TRUE,Inputs!$F$6="TRUE",Inputs!$F$6=1),(Inputs!$H$6+Inputs!$L$6*(((Inputs!$I$6+(((A113)+1)/2)*(Inputs!$J$6-Inputs!$I$6)))/Inputs!$K$6)^2),NA())</f>
        <v>400.02249999999998</v>
      </c>
      <c r="BA113" s="9">
        <f>IF(OR(Inputs!$F$7=TRUE,Inputs!$F$7="TRUE",Inputs!$F$7=1),(Inputs!$H$7+Inputs!$L$7*(((Inputs!$I$7+(((A113)+1)/2)*(Inputs!$J$7-Inputs!$I$7)))/Inputs!$K$7)^2),NA())</f>
        <v>37.053125000000001</v>
      </c>
      <c r="BB113" s="9">
        <f>IF(OR(Inputs!$F$8=TRUE,Inputs!$F$8="TRUE",Inputs!$F$8=1),(Inputs!$H$8+Inputs!$L$8*(((Inputs!$I$8+(((A113)+1)/2)*(Inputs!$J$8-Inputs!$I$8)))/Inputs!$K$8)^2),NA())</f>
        <v>40.428125000000001</v>
      </c>
      <c r="BC113" s="9">
        <f>IF(OR(Inputs!$F$9=TRUE,Inputs!$F$9="TRUE",Inputs!$F$9=1),(Inputs!$H$9+Inputs!$L$9*(((Inputs!$I$9+(((A113)+1)/2)*(Inputs!$J$9-Inputs!$I$9)))/Inputs!$K$9)^2),NA())</f>
        <v>30.484375</v>
      </c>
      <c r="BD113" s="10"/>
      <c r="BE113" s="9">
        <f t="shared" si="17"/>
        <v>-7.4999999999999997E-2</v>
      </c>
      <c r="BF113" s="9">
        <f>0</f>
        <v>0</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row>
    <row r="114" spans="1:62">
      <c r="A114" s="9">
        <f>ROUND(-1+112*2/240,3)</f>
        <v>-6.7000000000000004E-2</v>
      </c>
      <c r="B114" s="9">
        <f>IF(OR(Inputs!$F$6=TRUE,Inputs!$F$6="TRUE",Inputs!$F$6=1),(Inputs!$H$6+Inputs!$L$6*(((Inputs!$I$6+(((A114)+1)/2)*(Inputs!$J$6-Inputs!$I$6)))/Inputs!$K$6)^2),NA())</f>
        <v>400.01795600000003</v>
      </c>
      <c r="C114" s="9">
        <f>IF(OR(Inputs!$F$7=TRUE,Inputs!$F$7="TRUE",Inputs!$F$7=1),(Inputs!$H$7+Inputs!$L$7*(((Inputs!$I$7+(((A114)+1)/2)*(Inputs!$J$7-Inputs!$I$7)))/Inputs!$K$7)^2),NA())</f>
        <v>36.638484999999996</v>
      </c>
      <c r="D114" s="9">
        <f>IF(OR(Inputs!$F$8=TRUE,Inputs!$F$8="TRUE",Inputs!$F$8=1),(Inputs!$H$8+Inputs!$L$8*(((Inputs!$I$8+(((A114)+1)/2)*(Inputs!$J$8-Inputs!$I$8)))/Inputs!$K$8)^2),NA())</f>
        <v>39.331884999999986</v>
      </c>
      <c r="E114" s="9">
        <f>IF(OR(Inputs!$F$9=TRUE,Inputs!$F$9="TRUE",Inputs!$F$9=1),(Inputs!$H$9+Inputs!$L$9*(((Inputs!$I$9+(((A114)+1)/2)*(Inputs!$J$9-Inputs!$I$9)))/Inputs!$K$9)^2),NA())</f>
        <v>29.376774999999988</v>
      </c>
      <c r="F114" s="10"/>
      <c r="G114" s="9">
        <f t="shared" si="9"/>
        <v>-6.7000000000000004E-2</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c r="L114" s="10"/>
      <c r="M114" s="9">
        <f t="shared" si="10"/>
        <v>-6.7000000000000004E-2</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34.413522888184524</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980.98807337794676</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1372.9504843158597</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1432.7492733841825</v>
      </c>
      <c r="R114" s="10"/>
      <c r="S114" s="9">
        <f t="shared" si="11"/>
        <v>-6.7000000000000004E-2</v>
      </c>
      <c r="T114" s="9">
        <f>(Inputs!$I$6+(((A114)+1)/2)*(Inputs!$J$6-Inputs!$I$6))</f>
        <v>-4.019999999999996</v>
      </c>
      <c r="U114" s="9">
        <f>(Inputs!$I$7+(((A114)+1)/2)*(Inputs!$J$7-Inputs!$I$7))</f>
        <v>-26.799999999999955</v>
      </c>
      <c r="V114" s="9">
        <f>(Inputs!$I$8+(((A114)+1)/2)*(Inputs!$J$8-Inputs!$I$8))</f>
        <v>-53.599999999999909</v>
      </c>
      <c r="W114" s="9">
        <f>(Inputs!$I$9+(((A114)+1)/2)*(Inputs!$J$9-Inputs!$I$9))</f>
        <v>-53.599999999999909</v>
      </c>
      <c r="X114" s="10"/>
      <c r="Y114" s="9">
        <f t="shared" si="12"/>
        <v>-6.7000000000000004E-2</v>
      </c>
      <c r="Z114" s="9">
        <f>(Inputs!$H$6+Inputs!$L$6*(((Inputs!$I$6+(((A114)+1)/2)*(Inputs!$J$6-Inputs!$I$6)))/Inputs!$K$6)^2)</f>
        <v>400.01795600000003</v>
      </c>
      <c r="AA114" s="9">
        <f>(Inputs!$H$7+Inputs!$L$7*(((Inputs!$I$7+(((A114)+1)/2)*(Inputs!$J$7-Inputs!$I$7)))/Inputs!$K$7)^2)</f>
        <v>36.638484999999996</v>
      </c>
      <c r="AB114" s="9">
        <f>(Inputs!$H$8+Inputs!$L$8*(((Inputs!$I$8+(((A114)+1)/2)*(Inputs!$J$8-Inputs!$I$8)))/Inputs!$K$8)^2)</f>
        <v>39.331884999999986</v>
      </c>
      <c r="AC114" s="9">
        <f>(Inputs!$H$9+Inputs!$L$9*(((Inputs!$I$9+(((A114)+1)/2)*(Inputs!$J$9-Inputs!$I$9)))/Inputs!$K$9)^2)</f>
        <v>29.376774999999988</v>
      </c>
      <c r="AD114" s="10"/>
      <c r="AE114" s="9">
        <f t="shared" si="13"/>
        <v>-6.7000000000000004E-2</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564.90081472946497</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8700.6732003036032</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18152.141716400081</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20873.125437216957</v>
      </c>
      <c r="AJ114" s="10"/>
      <c r="AK114" s="9">
        <f t="shared" si="14"/>
        <v>-6.7000000000000004E-2</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34.413522888184524</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980.98807337794676</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1372.9504843158597</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1432.7492733841825</v>
      </c>
      <c r="AP114" s="10"/>
      <c r="AQ114" s="9">
        <f t="shared" si="15"/>
        <v>-6.7000000000000004E-2</v>
      </c>
      <c r="AR114" s="9">
        <f>0</f>
        <v>0</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409.56343073693728</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293.46080497988197</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221.26774039969615</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221.26774039969615</v>
      </c>
      <c r="AW114" s="10"/>
      <c r="AX114" s="9">
        <f t="shared" si="16"/>
        <v>-6.7000000000000004E-2</v>
      </c>
      <c r="AY114" s="9">
        <f>0</f>
        <v>0</v>
      </c>
      <c r="AZ114" s="9">
        <f>IF(OR(Inputs!$F$6=TRUE,Inputs!$F$6="TRUE",Inputs!$F$6=1),(Inputs!$H$6+Inputs!$L$6*(((Inputs!$I$6+(((A114)+1)/2)*(Inputs!$J$6-Inputs!$I$6)))/Inputs!$K$6)^2),NA())</f>
        <v>400.01795600000003</v>
      </c>
      <c r="BA114" s="9">
        <f>IF(OR(Inputs!$F$7=TRUE,Inputs!$F$7="TRUE",Inputs!$F$7=1),(Inputs!$H$7+Inputs!$L$7*(((Inputs!$I$7+(((A114)+1)/2)*(Inputs!$J$7-Inputs!$I$7)))/Inputs!$K$7)^2),NA())</f>
        <v>36.638484999999996</v>
      </c>
      <c r="BB114" s="9">
        <f>IF(OR(Inputs!$F$8=TRUE,Inputs!$F$8="TRUE",Inputs!$F$8=1),(Inputs!$H$8+Inputs!$L$8*(((Inputs!$I$8+(((A114)+1)/2)*(Inputs!$J$8-Inputs!$I$8)))/Inputs!$K$8)^2),NA())</f>
        <v>39.331884999999986</v>
      </c>
      <c r="BC114" s="9">
        <f>IF(OR(Inputs!$F$9=TRUE,Inputs!$F$9="TRUE",Inputs!$F$9=1),(Inputs!$H$9+Inputs!$L$9*(((Inputs!$I$9+(((A114)+1)/2)*(Inputs!$J$9-Inputs!$I$9)))/Inputs!$K$9)^2),NA())</f>
        <v>29.376774999999988</v>
      </c>
      <c r="BD114" s="10"/>
      <c r="BE114" s="9">
        <f t="shared" si="17"/>
        <v>-6.7000000000000004E-2</v>
      </c>
      <c r="BF114" s="9">
        <f>0</f>
        <v>0</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row>
    <row r="115" spans="1:62">
      <c r="A115" s="9">
        <f>ROUND(-1+113*2/240,3)</f>
        <v>-5.8000000000000003E-2</v>
      </c>
      <c r="B115" s="9">
        <f>IF(OR(Inputs!$F$6=TRUE,Inputs!$F$6="TRUE",Inputs!$F$6=1),(Inputs!$H$6+Inputs!$L$6*(((Inputs!$I$6+(((A115)+1)/2)*(Inputs!$J$6-Inputs!$I$6)))/Inputs!$K$6)^2),NA())</f>
        <v>400.01345600000002</v>
      </c>
      <c r="C115" s="9">
        <f>IF(OR(Inputs!$F$7=TRUE,Inputs!$F$7="TRUE",Inputs!$F$7=1),(Inputs!$H$7+Inputs!$L$7*(((Inputs!$I$7+(((A115)+1)/2)*(Inputs!$J$7-Inputs!$I$7)))/Inputs!$K$7)^2),NA())</f>
        <v>36.227860000000007</v>
      </c>
      <c r="D115" s="9">
        <f>IF(OR(Inputs!$F$8=TRUE,Inputs!$F$8="TRUE",Inputs!$F$8=1),(Inputs!$H$8+Inputs!$L$8*(((Inputs!$I$8+(((A115)+1)/2)*(Inputs!$J$8-Inputs!$I$8)))/Inputs!$K$8)^2),NA())</f>
        <v>38.246260000000014</v>
      </c>
      <c r="E115" s="9">
        <f>IF(OR(Inputs!$F$9=TRUE,Inputs!$F$9="TRUE",Inputs!$F$9=1),(Inputs!$H$9+Inputs!$L$9*(((Inputs!$I$9+(((A115)+1)/2)*(Inputs!$J$9-Inputs!$I$9)))/Inputs!$K$9)^2),NA())</f>
        <v>28.279900000000012</v>
      </c>
      <c r="F115" s="10"/>
      <c r="G115" s="9">
        <f t="shared" si="9"/>
        <v>-5.8000000000000003E-2</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c r="L115" s="10"/>
      <c r="M115" s="9">
        <f t="shared" si="10"/>
        <v>-5.8000000000000003E-2</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29.791401673021944</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883.07662488431106</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1292.0054303118511</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1364.2298136362383</v>
      </c>
      <c r="R115" s="10"/>
      <c r="S115" s="9">
        <f t="shared" si="11"/>
        <v>-5.8000000000000003E-2</v>
      </c>
      <c r="T115" s="9">
        <f>(Inputs!$I$6+(((A115)+1)/2)*(Inputs!$J$6-Inputs!$I$6))</f>
        <v>-3.480000000000004</v>
      </c>
      <c r="U115" s="9">
        <f>(Inputs!$I$7+(((A115)+1)/2)*(Inputs!$J$7-Inputs!$I$7))</f>
        <v>-23.200000000000045</v>
      </c>
      <c r="V115" s="9">
        <f>(Inputs!$I$8+(((A115)+1)/2)*(Inputs!$J$8-Inputs!$I$8))</f>
        <v>-46.400000000000091</v>
      </c>
      <c r="W115" s="9">
        <f>(Inputs!$I$9+(((A115)+1)/2)*(Inputs!$J$9-Inputs!$I$9))</f>
        <v>-46.400000000000091</v>
      </c>
      <c r="X115" s="10"/>
      <c r="Y115" s="9">
        <f t="shared" si="12"/>
        <v>-5.8000000000000003E-2</v>
      </c>
      <c r="Z115" s="9">
        <f>(Inputs!$H$6+Inputs!$L$6*(((Inputs!$I$6+(((A115)+1)/2)*(Inputs!$J$6-Inputs!$I$6)))/Inputs!$K$6)^2)</f>
        <v>400.01345600000002</v>
      </c>
      <c r="AA115" s="9">
        <f>(Inputs!$H$7+Inputs!$L$7*(((Inputs!$I$7+(((A115)+1)/2)*(Inputs!$J$7-Inputs!$I$7)))/Inputs!$K$7)^2)</f>
        <v>36.227860000000007</v>
      </c>
      <c r="AB115" s="9">
        <f>(Inputs!$H$8+Inputs!$L$8*(((Inputs!$I$8+(((A115)+1)/2)*(Inputs!$J$8-Inputs!$I$8)))/Inputs!$K$8)^2)</f>
        <v>38.246260000000014</v>
      </c>
      <c r="AC115" s="9">
        <f>(Inputs!$H$9+Inputs!$L$9*(((Inputs!$I$9+(((A115)+1)/2)*(Inputs!$J$9-Inputs!$I$9)))/Inputs!$K$9)^2)</f>
        <v>28.279900000000012</v>
      </c>
      <c r="AD115" s="10"/>
      <c r="AE115" s="9">
        <f t="shared" si="13"/>
        <v>-5.8000000000000003E-2</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561.34205700250607</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7752.0440359385457</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15389.434466220855</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17950.075140585464</v>
      </c>
      <c r="AJ115" s="10"/>
      <c r="AK115" s="9">
        <f t="shared" si="14"/>
        <v>-5.8000000000000003E-2</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29.791401673021944</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883.07662488431106</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1292.0054303118511</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1364.2298136362383</v>
      </c>
      <c r="AP115" s="10"/>
      <c r="AQ115" s="9">
        <f t="shared" si="15"/>
        <v>-5.8000000000000003E-2</v>
      </c>
      <c r="AR115" s="9">
        <f>0</f>
        <v>0</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422.28944024780884</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299.18305227131873</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233.3343792845032</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233.3343792845032</v>
      </c>
      <c r="AW115" s="10"/>
      <c r="AX115" s="9">
        <f t="shared" si="16"/>
        <v>-5.8000000000000003E-2</v>
      </c>
      <c r="AY115" s="9">
        <f>0</f>
        <v>0</v>
      </c>
      <c r="AZ115" s="9">
        <f>IF(OR(Inputs!$F$6=TRUE,Inputs!$F$6="TRUE",Inputs!$F$6=1),(Inputs!$H$6+Inputs!$L$6*(((Inputs!$I$6+(((A115)+1)/2)*(Inputs!$J$6-Inputs!$I$6)))/Inputs!$K$6)^2),NA())</f>
        <v>400.01345600000002</v>
      </c>
      <c r="BA115" s="9">
        <f>IF(OR(Inputs!$F$7=TRUE,Inputs!$F$7="TRUE",Inputs!$F$7=1),(Inputs!$H$7+Inputs!$L$7*(((Inputs!$I$7+(((A115)+1)/2)*(Inputs!$J$7-Inputs!$I$7)))/Inputs!$K$7)^2),NA())</f>
        <v>36.227860000000007</v>
      </c>
      <c r="BB115" s="9">
        <f>IF(OR(Inputs!$F$8=TRUE,Inputs!$F$8="TRUE",Inputs!$F$8=1),(Inputs!$H$8+Inputs!$L$8*(((Inputs!$I$8+(((A115)+1)/2)*(Inputs!$J$8-Inputs!$I$8)))/Inputs!$K$8)^2),NA())</f>
        <v>38.246260000000014</v>
      </c>
      <c r="BC115" s="9">
        <f>IF(OR(Inputs!$F$9=TRUE,Inputs!$F$9="TRUE",Inputs!$F$9=1),(Inputs!$H$9+Inputs!$L$9*(((Inputs!$I$9+(((A115)+1)/2)*(Inputs!$J$9-Inputs!$I$9)))/Inputs!$K$9)^2),NA())</f>
        <v>28.279900000000012</v>
      </c>
      <c r="BD115" s="10"/>
      <c r="BE115" s="9">
        <f t="shared" si="17"/>
        <v>-5.8000000000000003E-2</v>
      </c>
      <c r="BF115" s="9">
        <f>0</f>
        <v>0</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row>
    <row r="116" spans="1:62">
      <c r="A116" s="9">
        <f>ROUND(-1+114*2/240,3)</f>
        <v>-0.05</v>
      </c>
      <c r="B116" s="9">
        <f>IF(OR(Inputs!$F$6=TRUE,Inputs!$F$6="TRUE",Inputs!$F$6=1),(Inputs!$H$6+Inputs!$L$6*(((Inputs!$I$6+(((A116)+1)/2)*(Inputs!$J$6-Inputs!$I$6)))/Inputs!$K$6)^2),NA())</f>
        <v>400.01</v>
      </c>
      <c r="C116" s="9">
        <f>IF(OR(Inputs!$F$7=TRUE,Inputs!$F$7="TRUE",Inputs!$F$7=1),(Inputs!$H$7+Inputs!$L$7*(((Inputs!$I$7+(((A116)+1)/2)*(Inputs!$J$7-Inputs!$I$7)))/Inputs!$K$7)^2),NA())</f>
        <v>35.912500000000001</v>
      </c>
      <c r="D116" s="9">
        <f>IF(OR(Inputs!$F$8=TRUE,Inputs!$F$8="TRUE",Inputs!$F$8=1),(Inputs!$H$8+Inputs!$L$8*(((Inputs!$I$8+(((A116)+1)/2)*(Inputs!$J$8-Inputs!$I$8)))/Inputs!$K$8)^2),NA())</f>
        <v>37.412500000000001</v>
      </c>
      <c r="E116" s="9">
        <f>IF(OR(Inputs!$F$9=TRUE,Inputs!$F$9="TRUE",Inputs!$F$9=1),(Inputs!$H$9+Inputs!$L$9*(((Inputs!$I$9+(((A116)+1)/2)*(Inputs!$J$9-Inputs!$I$9)))/Inputs!$K$9)^2),NA())</f>
        <v>27.4375</v>
      </c>
      <c r="F116" s="10"/>
      <c r="G116" s="9">
        <f t="shared" si="9"/>
        <v>-0.05</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c r="L116" s="10"/>
      <c r="M116" s="9">
        <f t="shared" si="10"/>
        <v>-0.05</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25.682634009586785</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786.3666116552838</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1201.7790321186421</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1285.4696487708952</v>
      </c>
      <c r="R116" s="10"/>
      <c r="S116" s="9">
        <f t="shared" si="11"/>
        <v>-0.05</v>
      </c>
      <c r="T116" s="9">
        <f>(Inputs!$I$6+(((A116)+1)/2)*(Inputs!$J$6-Inputs!$I$6))</f>
        <v>-3</v>
      </c>
      <c r="U116" s="9">
        <f>(Inputs!$I$7+(((A116)+1)/2)*(Inputs!$J$7-Inputs!$I$7))</f>
        <v>-20</v>
      </c>
      <c r="V116" s="9">
        <f>(Inputs!$I$8+(((A116)+1)/2)*(Inputs!$J$8-Inputs!$I$8))</f>
        <v>-40</v>
      </c>
      <c r="W116" s="9">
        <f>(Inputs!$I$9+(((A116)+1)/2)*(Inputs!$J$9-Inputs!$I$9))</f>
        <v>-40</v>
      </c>
      <c r="X116" s="10"/>
      <c r="Y116" s="9">
        <f t="shared" si="12"/>
        <v>-0.05</v>
      </c>
      <c r="Z116" s="9">
        <f>(Inputs!$H$6+Inputs!$L$6*(((Inputs!$I$6+(((A116)+1)/2)*(Inputs!$J$6-Inputs!$I$6)))/Inputs!$K$6)^2)</f>
        <v>400.01</v>
      </c>
      <c r="AA116" s="9">
        <f>(Inputs!$H$7+Inputs!$L$7*(((Inputs!$I$7+(((A116)+1)/2)*(Inputs!$J$7-Inputs!$I$7)))/Inputs!$K$7)^2)</f>
        <v>35.912500000000001</v>
      </c>
      <c r="AB116" s="9">
        <f>(Inputs!$H$8+Inputs!$L$8*(((Inputs!$I$8+(((A116)+1)/2)*(Inputs!$J$8-Inputs!$I$8)))/Inputs!$K$8)^2)</f>
        <v>37.412500000000001</v>
      </c>
      <c r="AC116" s="9">
        <f>(Inputs!$H$9+Inputs!$L$9*(((Inputs!$I$9+(((A116)+1)/2)*(Inputs!$J$9-Inputs!$I$9)))/Inputs!$K$9)^2)</f>
        <v>27.4375</v>
      </c>
      <c r="AD116" s="10"/>
      <c r="AE116" s="9">
        <f t="shared" si="13"/>
        <v>-0.05</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558.60884911180744</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6990.4539097761144</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13052.14764887377</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15442.426037484855</v>
      </c>
      <c r="AJ116" s="10"/>
      <c r="AK116" s="9">
        <f t="shared" si="14"/>
        <v>-0.05</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25.682634009586785</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786.3666116552838</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1201.7790321186421</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1285.4696487708952</v>
      </c>
      <c r="AP116" s="10"/>
      <c r="AQ116" s="9">
        <f t="shared" si="15"/>
        <v>-0.05</v>
      </c>
      <c r="AR116" s="9">
        <f>0</f>
        <v>0</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420.14741895597808</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338.15830709982725</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197.66557297517377</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197.66557297517377</v>
      </c>
      <c r="AW116" s="10"/>
      <c r="AX116" s="9">
        <f t="shared" si="16"/>
        <v>-0.05</v>
      </c>
      <c r="AY116" s="9">
        <f>0</f>
        <v>0</v>
      </c>
      <c r="AZ116" s="9">
        <f>IF(OR(Inputs!$F$6=TRUE,Inputs!$F$6="TRUE",Inputs!$F$6=1),(Inputs!$H$6+Inputs!$L$6*(((Inputs!$I$6+(((A116)+1)/2)*(Inputs!$J$6-Inputs!$I$6)))/Inputs!$K$6)^2),NA())</f>
        <v>400.01</v>
      </c>
      <c r="BA116" s="9">
        <f>IF(OR(Inputs!$F$7=TRUE,Inputs!$F$7="TRUE",Inputs!$F$7=1),(Inputs!$H$7+Inputs!$L$7*(((Inputs!$I$7+(((A116)+1)/2)*(Inputs!$J$7-Inputs!$I$7)))/Inputs!$K$7)^2),NA())</f>
        <v>35.912500000000001</v>
      </c>
      <c r="BB116" s="9">
        <f>IF(OR(Inputs!$F$8=TRUE,Inputs!$F$8="TRUE",Inputs!$F$8=1),(Inputs!$H$8+Inputs!$L$8*(((Inputs!$I$8+(((A116)+1)/2)*(Inputs!$J$8-Inputs!$I$8)))/Inputs!$K$8)^2),NA())</f>
        <v>37.412500000000001</v>
      </c>
      <c r="BC116" s="9">
        <f>IF(OR(Inputs!$F$9=TRUE,Inputs!$F$9="TRUE",Inputs!$F$9=1),(Inputs!$H$9+Inputs!$L$9*(((Inputs!$I$9+(((A116)+1)/2)*(Inputs!$J$9-Inputs!$I$9)))/Inputs!$K$9)^2),NA())</f>
        <v>27.4375</v>
      </c>
      <c r="BD116" s="10"/>
      <c r="BE116" s="9">
        <f t="shared" si="17"/>
        <v>-0.05</v>
      </c>
      <c r="BF116" s="9">
        <f>0</f>
        <v>0</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row>
    <row r="117" spans="1:62">
      <c r="A117" s="9">
        <f>ROUND(-1+115*2/240,3)</f>
        <v>-4.2000000000000003E-2</v>
      </c>
      <c r="B117" s="9">
        <f>IF(OR(Inputs!$F$6=TRUE,Inputs!$F$6="TRUE",Inputs!$F$6=1),(Inputs!$H$6+Inputs!$L$6*(((Inputs!$I$6+(((A117)+1)/2)*(Inputs!$J$6-Inputs!$I$6)))/Inputs!$K$6)^2),NA())</f>
        <v>400.00705599999998</v>
      </c>
      <c r="C117" s="9">
        <f>IF(OR(Inputs!$F$7=TRUE,Inputs!$F$7="TRUE",Inputs!$F$7=1),(Inputs!$H$7+Inputs!$L$7*(((Inputs!$I$7+(((A117)+1)/2)*(Inputs!$J$7-Inputs!$I$7)))/Inputs!$K$7)^2),NA())</f>
        <v>35.643860000000004</v>
      </c>
      <c r="D117" s="9">
        <f>IF(OR(Inputs!$F$8=TRUE,Inputs!$F$8="TRUE",Inputs!$F$8=1),(Inputs!$H$8+Inputs!$L$8*(((Inputs!$I$8+(((A117)+1)/2)*(Inputs!$J$8-Inputs!$I$8)))/Inputs!$K$8)^2),NA())</f>
        <v>36.702260000000003</v>
      </c>
      <c r="E117" s="9">
        <f>IF(OR(Inputs!$F$9=TRUE,Inputs!$F$9="TRUE",Inputs!$F$9=1),(Inputs!$H$9+Inputs!$L$9*(((Inputs!$I$9+(((A117)+1)/2)*(Inputs!$J$9-Inputs!$I$9)))/Inputs!$K$9)^2),NA())</f>
        <v>26.719900000000003</v>
      </c>
      <c r="F117" s="10"/>
      <c r="G117" s="9">
        <f t="shared" si="9"/>
        <v>-4.2000000000000003E-2</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c r="L117" s="10"/>
      <c r="M117" s="9">
        <f t="shared" si="10"/>
        <v>-4.2000000000000003E-2</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21.573692500935373</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680.33746296082734</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1089.2681013276795</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1183.3635606810362</v>
      </c>
      <c r="R117" s="10"/>
      <c r="S117" s="9">
        <f t="shared" si="11"/>
        <v>-4.2000000000000003E-2</v>
      </c>
      <c r="T117" s="9">
        <f>(Inputs!$I$6+(((A117)+1)/2)*(Inputs!$J$6-Inputs!$I$6))</f>
        <v>-2.5200000000000031</v>
      </c>
      <c r="U117" s="9">
        <f>(Inputs!$I$7+(((A117)+1)/2)*(Inputs!$J$7-Inputs!$I$7))</f>
        <v>-16.800000000000011</v>
      </c>
      <c r="V117" s="9">
        <f>(Inputs!$I$8+(((A117)+1)/2)*(Inputs!$J$8-Inputs!$I$8))</f>
        <v>-33.600000000000023</v>
      </c>
      <c r="W117" s="9">
        <f>(Inputs!$I$9+(((A117)+1)/2)*(Inputs!$J$9-Inputs!$I$9))</f>
        <v>-33.600000000000023</v>
      </c>
      <c r="X117" s="10"/>
      <c r="Y117" s="9">
        <f t="shared" si="12"/>
        <v>-4.2000000000000003E-2</v>
      </c>
      <c r="Z117" s="9">
        <f>(Inputs!$H$6+Inputs!$L$6*(((Inputs!$I$6+(((A117)+1)/2)*(Inputs!$J$6-Inputs!$I$6)))/Inputs!$K$6)^2)</f>
        <v>400.00705599999998</v>
      </c>
      <c r="AA117" s="9">
        <f>(Inputs!$H$7+Inputs!$L$7*(((Inputs!$I$7+(((A117)+1)/2)*(Inputs!$J$7-Inputs!$I$7)))/Inputs!$K$7)^2)</f>
        <v>35.643860000000004</v>
      </c>
      <c r="AB117" s="9">
        <f>(Inputs!$H$8+Inputs!$L$8*(((Inputs!$I$8+(((A117)+1)/2)*(Inputs!$J$8-Inputs!$I$8)))/Inputs!$K$8)^2)</f>
        <v>36.702260000000003</v>
      </c>
      <c r="AC117" s="9">
        <f>(Inputs!$H$9+Inputs!$L$9*(((Inputs!$I$9+(((A117)+1)/2)*(Inputs!$J$9-Inputs!$I$9)))/Inputs!$K$9)^2)</f>
        <v>26.719900000000003</v>
      </c>
      <c r="AD117" s="10"/>
      <c r="AE117" s="9">
        <f t="shared" si="13"/>
        <v>-4.2000000000000003E-2</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556.28050474410247</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6316.5130883639695</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10872.273624595278</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13066.529366278282</v>
      </c>
      <c r="AJ117" s="10"/>
      <c r="AK117" s="9">
        <f t="shared" si="14"/>
        <v>-4.2000000000000003E-2</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21.573692500935373</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680.33746296082734</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1089.2681013276795</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1183.3635606810362</v>
      </c>
      <c r="AP117" s="10"/>
      <c r="AQ117" s="9">
        <f t="shared" si="15"/>
        <v>-4.2000000000000003E-2</v>
      </c>
      <c r="AR117" s="9">
        <f>0</f>
        <v>0</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419.37145032760958</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382.7236063773297</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332.82100989198443</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332.82100989198443</v>
      </c>
      <c r="AW117" s="10"/>
      <c r="AX117" s="9">
        <f t="shared" si="16"/>
        <v>-4.2000000000000003E-2</v>
      </c>
      <c r="AY117" s="9">
        <f>0</f>
        <v>0</v>
      </c>
      <c r="AZ117" s="9">
        <f>IF(OR(Inputs!$F$6=TRUE,Inputs!$F$6="TRUE",Inputs!$F$6=1),(Inputs!$H$6+Inputs!$L$6*(((Inputs!$I$6+(((A117)+1)/2)*(Inputs!$J$6-Inputs!$I$6)))/Inputs!$K$6)^2),NA())</f>
        <v>400.00705599999998</v>
      </c>
      <c r="BA117" s="9">
        <f>IF(OR(Inputs!$F$7=TRUE,Inputs!$F$7="TRUE",Inputs!$F$7=1),(Inputs!$H$7+Inputs!$L$7*(((Inputs!$I$7+(((A117)+1)/2)*(Inputs!$J$7-Inputs!$I$7)))/Inputs!$K$7)^2),NA())</f>
        <v>35.643860000000004</v>
      </c>
      <c r="BB117" s="9">
        <f>IF(OR(Inputs!$F$8=TRUE,Inputs!$F$8="TRUE",Inputs!$F$8=1),(Inputs!$H$8+Inputs!$L$8*(((Inputs!$I$8+(((A117)+1)/2)*(Inputs!$J$8-Inputs!$I$8)))/Inputs!$K$8)^2),NA())</f>
        <v>36.702260000000003</v>
      </c>
      <c r="BC117" s="9">
        <f>IF(OR(Inputs!$F$9=TRUE,Inputs!$F$9="TRUE",Inputs!$F$9=1),(Inputs!$H$9+Inputs!$L$9*(((Inputs!$I$9+(((A117)+1)/2)*(Inputs!$J$9-Inputs!$I$9)))/Inputs!$K$9)^2),NA())</f>
        <v>26.719900000000003</v>
      </c>
      <c r="BD117" s="10"/>
      <c r="BE117" s="9">
        <f t="shared" si="17"/>
        <v>-4.2000000000000003E-2</v>
      </c>
      <c r="BF117" s="9">
        <f>0</f>
        <v>0</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row>
    <row r="118" spans="1:62">
      <c r="A118" s="9">
        <f>ROUND(-1+116*2/240,3)</f>
        <v>-3.3000000000000002E-2</v>
      </c>
      <c r="B118" s="9">
        <f>IF(OR(Inputs!$F$6=TRUE,Inputs!$F$6="TRUE",Inputs!$F$6=1),(Inputs!$H$6+Inputs!$L$6*(((Inputs!$I$6+(((A118)+1)/2)*(Inputs!$J$6-Inputs!$I$6)))/Inputs!$K$6)^2),NA())</f>
        <v>400.00435599999997</v>
      </c>
      <c r="C118" s="9">
        <f>IF(OR(Inputs!$F$7=TRUE,Inputs!$F$7="TRUE",Inputs!$F$7=1),(Inputs!$H$7+Inputs!$L$7*(((Inputs!$I$7+(((A118)+1)/2)*(Inputs!$J$7-Inputs!$I$7)))/Inputs!$K$7)^2),NA())</f>
        <v>35.397484999999996</v>
      </c>
      <c r="D118" s="9">
        <f>IF(OR(Inputs!$F$8=TRUE,Inputs!$F$8="TRUE",Inputs!$F$8=1),(Inputs!$H$8+Inputs!$L$8*(((Inputs!$I$8+(((A118)+1)/2)*(Inputs!$J$8-Inputs!$I$8)))/Inputs!$K$8)^2),NA())</f>
        <v>36.050885000000001</v>
      </c>
      <c r="E118" s="9">
        <f>IF(OR(Inputs!$F$9=TRUE,Inputs!$F$9="TRUE",Inputs!$F$9=1),(Inputs!$H$9+Inputs!$L$9*(((Inputs!$I$9+(((A118)+1)/2)*(Inputs!$J$9-Inputs!$I$9)))/Inputs!$K$9)^2),NA())</f>
        <v>26.061774999999997</v>
      </c>
      <c r="F118" s="10"/>
      <c r="G118" s="9">
        <f t="shared" si="9"/>
        <v>-3.3000000000000002E-2</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c r="L118" s="10"/>
      <c r="M118" s="9">
        <f t="shared" si="10"/>
        <v>-3.3000000000000002E-2</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16.950960121779378</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550.17398325629688</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929.30486292122873</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1030.4626072763508</v>
      </c>
      <c r="R118" s="10"/>
      <c r="S118" s="9">
        <f t="shared" si="11"/>
        <v>-3.3000000000000002E-2</v>
      </c>
      <c r="T118" s="9">
        <f>(Inputs!$I$6+(((A118)+1)/2)*(Inputs!$J$6-Inputs!$I$6))</f>
        <v>-1.980000000000004</v>
      </c>
      <c r="U118" s="9">
        <f>(Inputs!$I$7+(((A118)+1)/2)*(Inputs!$J$7-Inputs!$I$7))</f>
        <v>-13.199999999999989</v>
      </c>
      <c r="V118" s="9">
        <f>(Inputs!$I$8+(((A118)+1)/2)*(Inputs!$J$8-Inputs!$I$8))</f>
        <v>-26.399999999999977</v>
      </c>
      <c r="W118" s="9">
        <f>(Inputs!$I$9+(((A118)+1)/2)*(Inputs!$J$9-Inputs!$I$9))</f>
        <v>-26.399999999999977</v>
      </c>
      <c r="X118" s="10"/>
      <c r="Y118" s="9">
        <f t="shared" si="12"/>
        <v>-3.3000000000000002E-2</v>
      </c>
      <c r="Z118" s="9">
        <f>(Inputs!$H$6+Inputs!$L$6*(((Inputs!$I$6+(((A118)+1)/2)*(Inputs!$J$6-Inputs!$I$6)))/Inputs!$K$6)^2)</f>
        <v>400.00435599999997</v>
      </c>
      <c r="AA118" s="9">
        <f>(Inputs!$H$7+Inputs!$L$7*(((Inputs!$I$7+(((A118)+1)/2)*(Inputs!$J$7-Inputs!$I$7)))/Inputs!$K$7)^2)</f>
        <v>35.397484999999996</v>
      </c>
      <c r="AB118" s="9">
        <f>(Inputs!$H$8+Inputs!$L$8*(((Inputs!$I$8+(((A118)+1)/2)*(Inputs!$J$8-Inputs!$I$8)))/Inputs!$K$8)^2)</f>
        <v>36.050885000000001</v>
      </c>
      <c r="AC118" s="9">
        <f>(Inputs!$H$9+Inputs!$L$9*(((Inputs!$I$9+(((A118)+1)/2)*(Inputs!$J$9-Inputs!$I$9)))/Inputs!$K$9)^2)</f>
        <v>26.061774999999997</v>
      </c>
      <c r="AD118" s="10"/>
      <c r="AE118" s="9">
        <f t="shared" si="13"/>
        <v>-3.3000000000000002E-2</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554.14508914183125</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5676.0370294418835</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8678.4565446366869</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10628.14531141867</v>
      </c>
      <c r="AJ118" s="10"/>
      <c r="AK118" s="9">
        <f t="shared" si="14"/>
        <v>-3.3000000000000002E-2</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16.950960121779378</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550.17398325629688</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929.30486292122873</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1030.4626072763508</v>
      </c>
      <c r="AP118" s="10"/>
      <c r="AQ118" s="9">
        <f t="shared" si="15"/>
        <v>-3.3000000000000002E-2</v>
      </c>
      <c r="AR118" s="9">
        <f>0</f>
        <v>0</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426.61170769599693</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426.49969295043763</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283.81617250767744</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283.81617250767744</v>
      </c>
      <c r="AW118" s="10"/>
      <c r="AX118" s="9">
        <f t="shared" si="16"/>
        <v>-3.3000000000000002E-2</v>
      </c>
      <c r="AY118" s="9">
        <f>0</f>
        <v>0</v>
      </c>
      <c r="AZ118" s="9">
        <f>IF(OR(Inputs!$F$6=TRUE,Inputs!$F$6="TRUE",Inputs!$F$6=1),(Inputs!$H$6+Inputs!$L$6*(((Inputs!$I$6+(((A118)+1)/2)*(Inputs!$J$6-Inputs!$I$6)))/Inputs!$K$6)^2),NA())</f>
        <v>400.00435599999997</v>
      </c>
      <c r="BA118" s="9">
        <f>IF(OR(Inputs!$F$7=TRUE,Inputs!$F$7="TRUE",Inputs!$F$7=1),(Inputs!$H$7+Inputs!$L$7*(((Inputs!$I$7+(((A118)+1)/2)*(Inputs!$J$7-Inputs!$I$7)))/Inputs!$K$7)^2),NA())</f>
        <v>35.397484999999996</v>
      </c>
      <c r="BB118" s="9">
        <f>IF(OR(Inputs!$F$8=TRUE,Inputs!$F$8="TRUE",Inputs!$F$8=1),(Inputs!$H$8+Inputs!$L$8*(((Inputs!$I$8+(((A118)+1)/2)*(Inputs!$J$8-Inputs!$I$8)))/Inputs!$K$8)^2),NA())</f>
        <v>36.050885000000001</v>
      </c>
      <c r="BC118" s="9">
        <f>IF(OR(Inputs!$F$9=TRUE,Inputs!$F$9="TRUE",Inputs!$F$9=1),(Inputs!$H$9+Inputs!$L$9*(((Inputs!$I$9+(((A118)+1)/2)*(Inputs!$J$9-Inputs!$I$9)))/Inputs!$K$9)^2),NA())</f>
        <v>26.061774999999997</v>
      </c>
      <c r="BD118" s="10"/>
      <c r="BE118" s="9">
        <f t="shared" si="17"/>
        <v>-3.3000000000000002E-2</v>
      </c>
      <c r="BF118" s="9">
        <f>0</f>
        <v>0</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row>
    <row r="119" spans="1:62">
      <c r="A119" s="9">
        <f>ROUND(-1+117*2/240,3)</f>
        <v>-2.5000000000000001E-2</v>
      </c>
      <c r="B119" s="9">
        <f>IF(OR(Inputs!$F$6=TRUE,Inputs!$F$6="TRUE",Inputs!$F$6=1),(Inputs!$H$6+Inputs!$L$6*(((Inputs!$I$6+(((A119)+1)/2)*(Inputs!$J$6-Inputs!$I$6)))/Inputs!$K$6)^2),NA())</f>
        <v>400.0025</v>
      </c>
      <c r="C119" s="9">
        <f>IF(OR(Inputs!$F$7=TRUE,Inputs!$F$7="TRUE",Inputs!$F$7=1),(Inputs!$H$7+Inputs!$L$7*(((Inputs!$I$7+(((A119)+1)/2)*(Inputs!$J$7-Inputs!$I$7)))/Inputs!$K$7)^2),NA())</f>
        <v>35.228124999999999</v>
      </c>
      <c r="D119" s="9">
        <f>IF(OR(Inputs!$F$8=TRUE,Inputs!$F$8="TRUE",Inputs!$F$8=1),(Inputs!$H$8+Inputs!$L$8*(((Inputs!$I$8+(((A119)+1)/2)*(Inputs!$J$8-Inputs!$I$8)))/Inputs!$K$8)^2),NA())</f>
        <v>35.603124999999999</v>
      </c>
      <c r="E119" s="9">
        <f>IF(OR(Inputs!$F$9=TRUE,Inputs!$F$9="TRUE",Inputs!$F$9=1),(Inputs!$H$9+Inputs!$L$9*(((Inputs!$I$9+(((A119)+1)/2)*(Inputs!$J$9-Inputs!$I$9)))/Inputs!$K$9)^2),NA())</f>
        <v>25.609375</v>
      </c>
      <c r="F119" s="10"/>
      <c r="G119" s="9">
        <f t="shared" si="9"/>
        <v>-2.5000000000000001E-2</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c r="L119" s="10"/>
      <c r="M119" s="9">
        <f t="shared" si="10"/>
        <v>-2.5000000000000001E-2</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12.841741512815293</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425.59120024288495</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752.11910102221077</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850.72386670307696</v>
      </c>
      <c r="R119" s="10"/>
      <c r="S119" s="9">
        <f t="shared" si="11"/>
        <v>-2.5000000000000001E-2</v>
      </c>
      <c r="T119" s="9">
        <f>(Inputs!$I$6+(((A119)+1)/2)*(Inputs!$J$6-Inputs!$I$6))</f>
        <v>-1.5</v>
      </c>
      <c r="U119" s="9">
        <f>(Inputs!$I$7+(((A119)+1)/2)*(Inputs!$J$7-Inputs!$I$7))</f>
        <v>-10</v>
      </c>
      <c r="V119" s="9">
        <f>(Inputs!$I$8+(((A119)+1)/2)*(Inputs!$J$8-Inputs!$I$8))</f>
        <v>-20</v>
      </c>
      <c r="W119" s="9">
        <f>(Inputs!$I$9+(((A119)+1)/2)*(Inputs!$J$9-Inputs!$I$9))</f>
        <v>-20</v>
      </c>
      <c r="X119" s="10"/>
      <c r="Y119" s="9">
        <f t="shared" si="12"/>
        <v>-2.5000000000000001E-2</v>
      </c>
      <c r="Z119" s="9">
        <f>(Inputs!$H$6+Inputs!$L$6*(((Inputs!$I$6+(((A119)+1)/2)*(Inputs!$J$6-Inputs!$I$6)))/Inputs!$K$6)^2)</f>
        <v>400.0025</v>
      </c>
      <c r="AA119" s="9">
        <f>(Inputs!$H$7+Inputs!$L$7*(((Inputs!$I$7+(((A119)+1)/2)*(Inputs!$J$7-Inputs!$I$7)))/Inputs!$K$7)^2)</f>
        <v>35.228124999999999</v>
      </c>
      <c r="AB119" s="9">
        <f>(Inputs!$H$8+Inputs!$L$8*(((Inputs!$I$8+(((A119)+1)/2)*(Inputs!$J$8-Inputs!$I$8)))/Inputs!$K$8)^2)</f>
        <v>35.603124999999999</v>
      </c>
      <c r="AC119" s="9">
        <f>(Inputs!$H$9+Inputs!$L$9*(((Inputs!$I$9+(((A119)+1)/2)*(Inputs!$J$9-Inputs!$I$9)))/Inputs!$K$9)^2)</f>
        <v>25.609375</v>
      </c>
      <c r="AD119" s="10"/>
      <c r="AE119" s="9">
        <f t="shared" si="13"/>
        <v>-2.5000000000000001E-2</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552.67716343047937</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5222.2722421068956</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7034.2430030608202</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8760.0162430191012</v>
      </c>
      <c r="AJ119" s="10"/>
      <c r="AK119" s="9">
        <f t="shared" si="14"/>
        <v>-2.5000000000000001E-2</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12.841741512815293</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425.59120024288495</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752.11910102221077</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850.72386670307696</v>
      </c>
      <c r="AP119" s="10"/>
      <c r="AQ119" s="9">
        <f t="shared" si="15"/>
        <v>-2.5000000000000001E-2</v>
      </c>
      <c r="AR119" s="9">
        <f>0</f>
        <v>0</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431.10580672292525</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471.51448488312155</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338.15830709982725</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338.15830709982725</v>
      </c>
      <c r="AW119" s="10"/>
      <c r="AX119" s="9">
        <f t="shared" si="16"/>
        <v>-2.5000000000000001E-2</v>
      </c>
      <c r="AY119" s="9">
        <f>0</f>
        <v>0</v>
      </c>
      <c r="AZ119" s="9">
        <f>IF(OR(Inputs!$F$6=TRUE,Inputs!$F$6="TRUE",Inputs!$F$6=1),(Inputs!$H$6+Inputs!$L$6*(((Inputs!$I$6+(((A119)+1)/2)*(Inputs!$J$6-Inputs!$I$6)))/Inputs!$K$6)^2),NA())</f>
        <v>400.0025</v>
      </c>
      <c r="BA119" s="9">
        <f>IF(OR(Inputs!$F$7=TRUE,Inputs!$F$7="TRUE",Inputs!$F$7=1),(Inputs!$H$7+Inputs!$L$7*(((Inputs!$I$7+(((A119)+1)/2)*(Inputs!$J$7-Inputs!$I$7)))/Inputs!$K$7)^2),NA())</f>
        <v>35.228124999999999</v>
      </c>
      <c r="BB119" s="9">
        <f>IF(OR(Inputs!$F$8=TRUE,Inputs!$F$8="TRUE",Inputs!$F$8=1),(Inputs!$H$8+Inputs!$L$8*(((Inputs!$I$8+(((A119)+1)/2)*(Inputs!$J$8-Inputs!$I$8)))/Inputs!$K$8)^2),NA())</f>
        <v>35.603124999999999</v>
      </c>
      <c r="BC119" s="9">
        <f>IF(OR(Inputs!$F$9=TRUE,Inputs!$F$9="TRUE",Inputs!$F$9=1),(Inputs!$H$9+Inputs!$L$9*(((Inputs!$I$9+(((A119)+1)/2)*(Inputs!$J$9-Inputs!$I$9)))/Inputs!$K$9)^2),NA())</f>
        <v>25.609375</v>
      </c>
      <c r="BD119" s="10"/>
      <c r="BE119" s="9">
        <f t="shared" si="17"/>
        <v>-2.5000000000000001E-2</v>
      </c>
      <c r="BF119" s="9">
        <f>0</f>
        <v>0</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row>
    <row r="120" spans="1:62">
      <c r="A120" s="9">
        <f>ROUND(-1+118*2/240,3)</f>
        <v>-1.7000000000000001E-2</v>
      </c>
      <c r="B120" s="9">
        <f>IF(OR(Inputs!$F$6=TRUE,Inputs!$F$6="TRUE",Inputs!$F$6=1),(Inputs!$H$6+Inputs!$L$6*(((Inputs!$I$6+(((A120)+1)/2)*(Inputs!$J$6-Inputs!$I$6)))/Inputs!$K$6)^2),NA())</f>
        <v>400.00115599999998</v>
      </c>
      <c r="C120" s="9">
        <f>IF(OR(Inputs!$F$7=TRUE,Inputs!$F$7="TRUE",Inputs!$F$7=1),(Inputs!$H$7+Inputs!$L$7*(((Inputs!$I$7+(((A120)+1)/2)*(Inputs!$J$7-Inputs!$I$7)))/Inputs!$K$7)^2),NA())</f>
        <v>35.105485000000002</v>
      </c>
      <c r="D120" s="9">
        <f>IF(OR(Inputs!$F$8=TRUE,Inputs!$F$8="TRUE",Inputs!$F$8=1),(Inputs!$H$8+Inputs!$L$8*(((Inputs!$I$8+(((A120)+1)/2)*(Inputs!$J$8-Inputs!$I$8)))/Inputs!$K$8)^2),NA())</f>
        <v>35.278885000000002</v>
      </c>
      <c r="E120" s="9">
        <f>IF(OR(Inputs!$F$9=TRUE,Inputs!$F$9="TRUE",Inputs!$F$9=1),(Inputs!$H$9+Inputs!$L$9*(((Inputs!$I$9+(((A120)+1)/2)*(Inputs!$J$9-Inputs!$I$9)))/Inputs!$K$9)^2),NA())</f>
        <v>25.281775</v>
      </c>
      <c r="F120" s="10"/>
      <c r="G120" s="9">
        <f t="shared" si="9"/>
        <v>-1.7000000000000001E-2</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c r="L120" s="10"/>
      <c r="M120" s="9">
        <f t="shared" si="10"/>
        <v>-1.7000000000000001E-2</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8.7324359616819187</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293.98591357300199</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539.93950979666522</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622.52136305045838</v>
      </c>
      <c r="R120" s="10"/>
      <c r="S120" s="9">
        <f t="shared" si="11"/>
        <v>-1.7000000000000001E-2</v>
      </c>
      <c r="T120" s="9">
        <f>(Inputs!$I$6+(((A120)+1)/2)*(Inputs!$J$6-Inputs!$I$6))</f>
        <v>-1.0200000000000031</v>
      </c>
      <c r="U120" s="9">
        <f>(Inputs!$I$7+(((A120)+1)/2)*(Inputs!$J$7-Inputs!$I$7))</f>
        <v>-6.8000000000000114</v>
      </c>
      <c r="V120" s="9">
        <f>(Inputs!$I$8+(((A120)+1)/2)*(Inputs!$J$8-Inputs!$I$8))</f>
        <v>-13.600000000000023</v>
      </c>
      <c r="W120" s="9">
        <f>(Inputs!$I$9+(((A120)+1)/2)*(Inputs!$J$9-Inputs!$I$9))</f>
        <v>-13.600000000000023</v>
      </c>
      <c r="X120" s="10"/>
      <c r="Y120" s="9">
        <f t="shared" si="12"/>
        <v>-1.7000000000000001E-2</v>
      </c>
      <c r="Z120" s="9">
        <f>(Inputs!$H$6+Inputs!$L$6*(((Inputs!$I$6+(((A120)+1)/2)*(Inputs!$J$6-Inputs!$I$6)))/Inputs!$K$6)^2)</f>
        <v>400.00115599999998</v>
      </c>
      <c r="AA120" s="9">
        <f>(Inputs!$H$7+Inputs!$L$7*(((Inputs!$I$7+(((A120)+1)/2)*(Inputs!$J$7-Inputs!$I$7)))/Inputs!$K$7)^2)</f>
        <v>35.105485000000002</v>
      </c>
      <c r="AB120" s="9">
        <f>(Inputs!$H$8+Inputs!$L$8*(((Inputs!$I$8+(((A120)+1)/2)*(Inputs!$J$8-Inputs!$I$8)))/Inputs!$K$8)^2)</f>
        <v>35.278885000000002</v>
      </c>
      <c r="AC120" s="9">
        <f>(Inputs!$H$9+Inputs!$L$9*(((Inputs!$I$9+(((A120)+1)/2)*(Inputs!$J$9-Inputs!$I$9)))/Inputs!$K$9)^2)</f>
        <v>25.281775</v>
      </c>
      <c r="AD120" s="10"/>
      <c r="AE120" s="9">
        <f t="shared" si="13"/>
        <v>-1.7000000000000001E-2</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551.61416991950955</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4886.3343313496371</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5758.2110173763367</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7279.3686878680764</v>
      </c>
      <c r="AJ120" s="10"/>
      <c r="AK120" s="9">
        <f t="shared" si="14"/>
        <v>-1.7000000000000001E-2</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8.7324359616819187</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293.98591357300199</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539.93950979666522</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622.52136305045838</v>
      </c>
      <c r="AP120" s="10"/>
      <c r="AQ120" s="9">
        <f t="shared" si="15"/>
        <v>-1.7000000000000001E-2</v>
      </c>
      <c r="AR120" s="9">
        <f>0</f>
        <v>0</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457.7287054927811</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451.82359951399121</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416.86307616182381</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416.86307616182381</v>
      </c>
      <c r="AW120" s="10"/>
      <c r="AX120" s="9">
        <f t="shared" si="16"/>
        <v>-1.7000000000000001E-2</v>
      </c>
      <c r="AY120" s="9">
        <f>0</f>
        <v>0</v>
      </c>
      <c r="AZ120" s="9">
        <f>IF(OR(Inputs!$F$6=TRUE,Inputs!$F$6="TRUE",Inputs!$F$6=1),(Inputs!$H$6+Inputs!$L$6*(((Inputs!$I$6+(((A120)+1)/2)*(Inputs!$J$6-Inputs!$I$6)))/Inputs!$K$6)^2),NA())</f>
        <v>400.00115599999998</v>
      </c>
      <c r="BA120" s="9">
        <f>IF(OR(Inputs!$F$7=TRUE,Inputs!$F$7="TRUE",Inputs!$F$7=1),(Inputs!$H$7+Inputs!$L$7*(((Inputs!$I$7+(((A120)+1)/2)*(Inputs!$J$7-Inputs!$I$7)))/Inputs!$K$7)^2),NA())</f>
        <v>35.105485000000002</v>
      </c>
      <c r="BB120" s="9">
        <f>IF(OR(Inputs!$F$8=TRUE,Inputs!$F$8="TRUE",Inputs!$F$8=1),(Inputs!$H$8+Inputs!$L$8*(((Inputs!$I$8+(((A120)+1)/2)*(Inputs!$J$8-Inputs!$I$8)))/Inputs!$K$8)^2),NA())</f>
        <v>35.278885000000002</v>
      </c>
      <c r="BC120" s="9">
        <f>IF(OR(Inputs!$F$9=TRUE,Inputs!$F$9="TRUE",Inputs!$F$9=1),(Inputs!$H$9+Inputs!$L$9*(((Inputs!$I$9+(((A120)+1)/2)*(Inputs!$J$9-Inputs!$I$9)))/Inputs!$K$9)^2),NA())</f>
        <v>25.281775</v>
      </c>
      <c r="BD120" s="10"/>
      <c r="BE120" s="9">
        <f t="shared" si="17"/>
        <v>-1.7000000000000001E-2</v>
      </c>
      <c r="BF120" s="9">
        <f>0</f>
        <v>0</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row>
    <row r="121" spans="1:62">
      <c r="A121" s="9">
        <f>ROUND(-1+119*2/240,3)</f>
        <v>-8.0000000000000002E-3</v>
      </c>
      <c r="B121" s="9">
        <f>IF(OR(Inputs!$F$6=TRUE,Inputs!$F$6="TRUE",Inputs!$F$6=1),(Inputs!$H$6+Inputs!$L$6*(((Inputs!$I$6+(((A121)+1)/2)*(Inputs!$J$6-Inputs!$I$6)))/Inputs!$K$6)^2),NA())</f>
        <v>400.00025599999998</v>
      </c>
      <c r="C121" s="9">
        <f>IF(OR(Inputs!$F$7=TRUE,Inputs!$F$7="TRUE",Inputs!$F$7=1),(Inputs!$H$7+Inputs!$L$7*(((Inputs!$I$7+(((A121)+1)/2)*(Inputs!$J$7-Inputs!$I$7)))/Inputs!$K$7)^2),NA())</f>
        <v>35.023359999999997</v>
      </c>
      <c r="D121" s="9">
        <f>IF(OR(Inputs!$F$8=TRUE,Inputs!$F$8="TRUE",Inputs!$F$8=1),(Inputs!$H$8+Inputs!$L$8*(((Inputs!$I$8+(((A121)+1)/2)*(Inputs!$J$8-Inputs!$I$8)))/Inputs!$K$8)^2),NA())</f>
        <v>35.06176</v>
      </c>
      <c r="E121" s="9">
        <f>IF(OR(Inputs!$F$9=TRUE,Inputs!$F$9="TRUE",Inputs!$F$9=1),(Inputs!$H$9+Inputs!$L$9*(((Inputs!$I$9+(((A121)+1)/2)*(Inputs!$J$9-Inputs!$I$9)))/Inputs!$K$9)^2),NA())</f>
        <v>25.0624</v>
      </c>
      <c r="F121" s="10"/>
      <c r="G121" s="9">
        <f t="shared" si="9"/>
        <v>-8.0000000000000002E-3</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c r="L121" s="10"/>
      <c r="M121" s="9">
        <f t="shared" si="10"/>
        <v>-8.0000000000000002E-3</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4.1093979317617961</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139.85177267540038</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264.46705175638124</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309.85866281402053</v>
      </c>
      <c r="R121" s="10"/>
      <c r="S121" s="9">
        <f t="shared" si="11"/>
        <v>-8.0000000000000002E-3</v>
      </c>
      <c r="T121" s="9">
        <f>(Inputs!$I$6+(((A121)+1)/2)*(Inputs!$J$6-Inputs!$I$6))</f>
        <v>-0.48000000000000398</v>
      </c>
      <c r="U121" s="9">
        <f>(Inputs!$I$7+(((A121)+1)/2)*(Inputs!$J$7-Inputs!$I$7))</f>
        <v>-3.1999999999999886</v>
      </c>
      <c r="V121" s="9">
        <f>(Inputs!$I$8+(((A121)+1)/2)*(Inputs!$J$8-Inputs!$I$8))</f>
        <v>-6.3999999999999773</v>
      </c>
      <c r="W121" s="9">
        <f>(Inputs!$I$9+(((A121)+1)/2)*(Inputs!$J$9-Inputs!$I$9))</f>
        <v>-6.3999999999999773</v>
      </c>
      <c r="X121" s="10"/>
      <c r="Y121" s="9">
        <f t="shared" si="12"/>
        <v>-8.0000000000000002E-3</v>
      </c>
      <c r="Z121" s="9">
        <f>(Inputs!$H$6+Inputs!$L$6*(((Inputs!$I$6+(((A121)+1)/2)*(Inputs!$J$6-Inputs!$I$6)))/Inputs!$K$6)^2)</f>
        <v>400.00025599999998</v>
      </c>
      <c r="AA121" s="9">
        <f>(Inputs!$H$7+Inputs!$L$7*(((Inputs!$I$7+(((A121)+1)/2)*(Inputs!$J$7-Inputs!$I$7)))/Inputs!$K$7)^2)</f>
        <v>35.023359999999997</v>
      </c>
      <c r="AB121" s="9">
        <f>(Inputs!$H$8+Inputs!$L$8*(((Inputs!$I$8+(((A121)+1)/2)*(Inputs!$J$8-Inputs!$I$8)))/Inputs!$K$8)^2)</f>
        <v>35.06176</v>
      </c>
      <c r="AC121" s="9">
        <f>(Inputs!$H$9+Inputs!$L$9*(((Inputs!$I$9+(((A121)+1)/2)*(Inputs!$J$9-Inputs!$I$9)))/Inputs!$K$9)^2)</f>
        <v>25.0624</v>
      </c>
      <c r="AD121" s="10"/>
      <c r="AE121" s="9">
        <f t="shared" si="13"/>
        <v>-8.0000000000000002E-3</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550.90233788786043</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4657.7499398106011</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4856.4249582949487</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6212.9721407230454</v>
      </c>
      <c r="AJ121" s="10"/>
      <c r="AK121" s="9">
        <f t="shared" si="14"/>
        <v>-8.0000000000000002E-3</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4.1093979317617961</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139.85177267540038</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264.46705175638124</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309.85866281402053</v>
      </c>
      <c r="AP121" s="10"/>
      <c r="AQ121" s="9">
        <f t="shared" si="15"/>
        <v>-8.0000000000000002E-3</v>
      </c>
      <c r="AR121" s="9">
        <f>0</f>
        <v>0</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463.99578380918706</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426.89597003281926</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440.06864585569878</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440.06864585569878</v>
      </c>
      <c r="AW121" s="10"/>
      <c r="AX121" s="9">
        <f t="shared" si="16"/>
        <v>-8.0000000000000002E-3</v>
      </c>
      <c r="AY121" s="9">
        <f>0</f>
        <v>0</v>
      </c>
      <c r="AZ121" s="9">
        <f>IF(OR(Inputs!$F$6=TRUE,Inputs!$F$6="TRUE",Inputs!$F$6=1),(Inputs!$H$6+Inputs!$L$6*(((Inputs!$I$6+(((A121)+1)/2)*(Inputs!$J$6-Inputs!$I$6)))/Inputs!$K$6)^2),NA())</f>
        <v>400.00025599999998</v>
      </c>
      <c r="BA121" s="9">
        <f>IF(OR(Inputs!$F$7=TRUE,Inputs!$F$7="TRUE",Inputs!$F$7=1),(Inputs!$H$7+Inputs!$L$7*(((Inputs!$I$7+(((A121)+1)/2)*(Inputs!$J$7-Inputs!$I$7)))/Inputs!$K$7)^2),NA())</f>
        <v>35.023359999999997</v>
      </c>
      <c r="BB121" s="9">
        <f>IF(OR(Inputs!$F$8=TRUE,Inputs!$F$8="TRUE",Inputs!$F$8=1),(Inputs!$H$8+Inputs!$L$8*(((Inputs!$I$8+(((A121)+1)/2)*(Inputs!$J$8-Inputs!$I$8)))/Inputs!$K$8)^2),NA())</f>
        <v>35.06176</v>
      </c>
      <c r="BC121" s="9">
        <f>IF(OR(Inputs!$F$9=TRUE,Inputs!$F$9="TRUE",Inputs!$F$9=1),(Inputs!$H$9+Inputs!$L$9*(((Inputs!$I$9+(((A121)+1)/2)*(Inputs!$J$9-Inputs!$I$9)))/Inputs!$K$9)^2),NA())</f>
        <v>25.0624</v>
      </c>
      <c r="BD121" s="10"/>
      <c r="BE121" s="9">
        <f t="shared" si="17"/>
        <v>-8.0000000000000002E-3</v>
      </c>
      <c r="BF121" s="9">
        <f>0</f>
        <v>0</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row>
    <row r="122" spans="1:62">
      <c r="A122" s="9">
        <f>ROUND(-1+120*2/240,3)</f>
        <v>0</v>
      </c>
      <c r="B122" s="9">
        <f>IF(OR(Inputs!$F$6=TRUE,Inputs!$F$6="TRUE",Inputs!$F$6=1),(Inputs!$H$6+Inputs!$L$6*(((Inputs!$I$6+(((A122)+1)/2)*(Inputs!$J$6-Inputs!$I$6)))/Inputs!$K$6)^2),NA())</f>
        <v>400</v>
      </c>
      <c r="C122" s="9">
        <f>IF(OR(Inputs!$F$7=TRUE,Inputs!$F$7="TRUE",Inputs!$F$7=1),(Inputs!$H$7+Inputs!$L$7*(((Inputs!$I$7+(((A122)+1)/2)*(Inputs!$J$7-Inputs!$I$7)))/Inputs!$K$7)^2),NA())</f>
        <v>35</v>
      </c>
      <c r="D122" s="9">
        <f>IF(OR(Inputs!$F$8=TRUE,Inputs!$F$8="TRUE",Inputs!$F$8=1),(Inputs!$H$8+Inputs!$L$8*(((Inputs!$I$8+(((A122)+1)/2)*(Inputs!$J$8-Inputs!$I$8)))/Inputs!$K$8)^2),NA())</f>
        <v>35</v>
      </c>
      <c r="E122" s="9">
        <f>IF(OR(Inputs!$F$9=TRUE,Inputs!$F$9="TRUE",Inputs!$F$9=1),(Inputs!$H$9+Inputs!$L$9*(((Inputs!$I$9+(((A122)+1)/2)*(Inputs!$J$9-Inputs!$I$9)))/Inputs!$K$9)^2),NA())</f>
        <v>25</v>
      </c>
      <c r="F122" s="10"/>
      <c r="G122" s="9">
        <f t="shared" si="9"/>
        <v>0</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c r="L122" s="10"/>
      <c r="M122" s="9">
        <f t="shared" si="10"/>
        <v>0</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0</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0</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0</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0</v>
      </c>
      <c r="R122" s="10"/>
      <c r="S122" s="9">
        <f t="shared" si="11"/>
        <v>0</v>
      </c>
      <c r="T122" s="9">
        <f>(Inputs!$I$6+(((A122)+1)/2)*(Inputs!$J$6-Inputs!$I$6))</f>
        <v>0</v>
      </c>
      <c r="U122" s="9">
        <f>(Inputs!$I$7+(((A122)+1)/2)*(Inputs!$J$7-Inputs!$I$7))</f>
        <v>0</v>
      </c>
      <c r="V122" s="9">
        <f>(Inputs!$I$8+(((A122)+1)/2)*(Inputs!$J$8-Inputs!$I$8))</f>
        <v>0</v>
      </c>
      <c r="W122" s="9">
        <f>(Inputs!$I$9+(((A122)+1)/2)*(Inputs!$J$9-Inputs!$I$9))</f>
        <v>0</v>
      </c>
      <c r="X122" s="10"/>
      <c r="Y122" s="9">
        <f t="shared" si="12"/>
        <v>0</v>
      </c>
      <c r="Z122" s="9">
        <f>(Inputs!$H$6+Inputs!$L$6*(((Inputs!$I$6+(((A122)+1)/2)*(Inputs!$J$6-Inputs!$I$6)))/Inputs!$K$6)^2)</f>
        <v>400</v>
      </c>
      <c r="AA122" s="9">
        <f>(Inputs!$H$7+Inputs!$L$7*(((Inputs!$I$7+(((A122)+1)/2)*(Inputs!$J$7-Inputs!$I$7)))/Inputs!$K$7)^2)</f>
        <v>35</v>
      </c>
      <c r="AB122" s="9">
        <f>(Inputs!$H$8+Inputs!$L$8*(((Inputs!$I$8+(((A122)+1)/2)*(Inputs!$J$8-Inputs!$I$8)))/Inputs!$K$8)^2)</f>
        <v>35</v>
      </c>
      <c r="AC122" s="9">
        <f>(Inputs!$H$9+Inputs!$L$9*(((Inputs!$I$9+(((A122)+1)/2)*(Inputs!$J$9-Inputs!$I$9)))/Inputs!$K$9)^2)</f>
        <v>25</v>
      </c>
      <c r="AD122" s="10"/>
      <c r="AE122" s="9">
        <f t="shared" si="13"/>
        <v>0</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550.69986033905366</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4592.1823961290147</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4592.1823961290147</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5896.8769019983019</v>
      </c>
      <c r="AJ122" s="10"/>
      <c r="AK122" s="9">
        <f t="shared" si="14"/>
        <v>0</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0</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0</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0</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0</v>
      </c>
      <c r="AP122" s="10"/>
      <c r="AQ122" s="9">
        <f t="shared" si="15"/>
        <v>0</v>
      </c>
      <c r="AR122" s="9">
        <f>0</f>
        <v>0</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480.44802858922253</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480.44802858922253</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480.44802858922253</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480.44802858922253</v>
      </c>
      <c r="AW122" s="10"/>
      <c r="AX122" s="9">
        <f t="shared" si="16"/>
        <v>0</v>
      </c>
      <c r="AY122" s="9">
        <f>0</f>
        <v>0</v>
      </c>
      <c r="AZ122" s="9">
        <f>IF(OR(Inputs!$F$6=TRUE,Inputs!$F$6="TRUE",Inputs!$F$6=1),(Inputs!$H$6+Inputs!$L$6*(((Inputs!$I$6+(((A122)+1)/2)*(Inputs!$J$6-Inputs!$I$6)))/Inputs!$K$6)^2),NA())</f>
        <v>400</v>
      </c>
      <c r="BA122" s="9">
        <f>IF(OR(Inputs!$F$7=TRUE,Inputs!$F$7="TRUE",Inputs!$F$7=1),(Inputs!$H$7+Inputs!$L$7*(((Inputs!$I$7+(((A122)+1)/2)*(Inputs!$J$7-Inputs!$I$7)))/Inputs!$K$7)^2),NA())</f>
        <v>35</v>
      </c>
      <c r="BB122" s="9">
        <f>IF(OR(Inputs!$F$8=TRUE,Inputs!$F$8="TRUE",Inputs!$F$8=1),(Inputs!$H$8+Inputs!$L$8*(((Inputs!$I$8+(((A122)+1)/2)*(Inputs!$J$8-Inputs!$I$8)))/Inputs!$K$8)^2),NA())</f>
        <v>35</v>
      </c>
      <c r="BC122" s="9">
        <f>IF(OR(Inputs!$F$9=TRUE,Inputs!$F$9="TRUE",Inputs!$F$9=1),(Inputs!$H$9+Inputs!$L$9*(((Inputs!$I$9+(((A122)+1)/2)*(Inputs!$J$9-Inputs!$I$9)))/Inputs!$K$9)^2),NA())</f>
        <v>25</v>
      </c>
      <c r="BD122" s="10"/>
      <c r="BE122" s="9">
        <f t="shared" si="17"/>
        <v>0</v>
      </c>
      <c r="BF122" s="9">
        <f>0</f>
        <v>0</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row>
    <row r="123" spans="1:62">
      <c r="A123" s="9">
        <f>ROUND(-1+121*2/240,3)</f>
        <v>8.0000000000000002E-3</v>
      </c>
      <c r="B123" s="9">
        <f>IF(OR(Inputs!$F$6=TRUE,Inputs!$F$6="TRUE",Inputs!$F$6=1),(Inputs!$H$6+Inputs!$L$6*(((Inputs!$I$6+(((A123)+1)/2)*(Inputs!$J$6-Inputs!$I$6)))/Inputs!$K$6)^2),NA())</f>
        <v>400.00025599999998</v>
      </c>
      <c r="C123" s="9">
        <f>IF(OR(Inputs!$F$7=TRUE,Inputs!$F$7="TRUE",Inputs!$F$7=1),(Inputs!$H$7+Inputs!$L$7*(((Inputs!$I$7+(((A123)+1)/2)*(Inputs!$J$7-Inputs!$I$7)))/Inputs!$K$7)^2),NA())</f>
        <v>35.023359999999997</v>
      </c>
      <c r="D123" s="9">
        <f>IF(OR(Inputs!$F$8=TRUE,Inputs!$F$8="TRUE",Inputs!$F$8=1),(Inputs!$H$8+Inputs!$L$8*(((Inputs!$I$8+(((A123)+1)/2)*(Inputs!$J$8-Inputs!$I$8)))/Inputs!$K$8)^2),NA())</f>
        <v>35.06176</v>
      </c>
      <c r="E123" s="9">
        <f>IF(OR(Inputs!$F$9=TRUE,Inputs!$F$9="TRUE",Inputs!$F$9=1),(Inputs!$H$9+Inputs!$L$9*(((Inputs!$I$9+(((A123)+1)/2)*(Inputs!$J$9-Inputs!$I$9)))/Inputs!$K$9)^2),NA())</f>
        <v>25.0624</v>
      </c>
      <c r="F123" s="10"/>
      <c r="G123" s="9">
        <f t="shared" si="9"/>
        <v>8.0000000000000002E-3</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c r="L123" s="10"/>
      <c r="M123" s="9">
        <f t="shared" si="10"/>
        <v>8.0000000000000002E-3</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-4.1093979317617961</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-139.85177267540038</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-264.46705175638124</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-309.85866281402053</v>
      </c>
      <c r="R123" s="10"/>
      <c r="S123" s="9">
        <f t="shared" si="11"/>
        <v>8.0000000000000002E-3</v>
      </c>
      <c r="T123" s="9">
        <f>(Inputs!$I$6+(((A123)+1)/2)*(Inputs!$J$6-Inputs!$I$6))</f>
        <v>0.48000000000000398</v>
      </c>
      <c r="U123" s="9">
        <f>(Inputs!$I$7+(((A123)+1)/2)*(Inputs!$J$7-Inputs!$I$7))</f>
        <v>3.1999999999999886</v>
      </c>
      <c r="V123" s="9">
        <f>(Inputs!$I$8+(((A123)+1)/2)*(Inputs!$J$8-Inputs!$I$8))</f>
        <v>6.3999999999999773</v>
      </c>
      <c r="W123" s="9">
        <f>(Inputs!$I$9+(((A123)+1)/2)*(Inputs!$J$9-Inputs!$I$9))</f>
        <v>6.3999999999999773</v>
      </c>
      <c r="X123" s="10"/>
      <c r="Y123" s="9">
        <f t="shared" si="12"/>
        <v>8.0000000000000002E-3</v>
      </c>
      <c r="Z123" s="9">
        <f>(Inputs!$H$6+Inputs!$L$6*(((Inputs!$I$6+(((A123)+1)/2)*(Inputs!$J$6-Inputs!$I$6)))/Inputs!$K$6)^2)</f>
        <v>400.00025599999998</v>
      </c>
      <c r="AA123" s="9">
        <f>(Inputs!$H$7+Inputs!$L$7*(((Inputs!$I$7+(((A123)+1)/2)*(Inputs!$J$7-Inputs!$I$7)))/Inputs!$K$7)^2)</f>
        <v>35.023359999999997</v>
      </c>
      <c r="AB123" s="9">
        <f>(Inputs!$H$8+Inputs!$L$8*(((Inputs!$I$8+(((A123)+1)/2)*(Inputs!$J$8-Inputs!$I$8)))/Inputs!$K$8)^2)</f>
        <v>35.06176</v>
      </c>
      <c r="AC123" s="9">
        <f>(Inputs!$H$9+Inputs!$L$9*(((Inputs!$I$9+(((A123)+1)/2)*(Inputs!$J$9-Inputs!$I$9)))/Inputs!$K$9)^2)</f>
        <v>25.0624</v>
      </c>
      <c r="AD123" s="10"/>
      <c r="AE123" s="9">
        <f t="shared" si="13"/>
        <v>8.0000000000000002E-3</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550.90233788786043</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4657.7499398106011</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4856.4249582949487</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6212.9721407230454</v>
      </c>
      <c r="AJ123" s="10"/>
      <c r="AK123" s="9">
        <f t="shared" si="14"/>
        <v>8.0000000000000002E-3</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-4.1093979317617961</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-139.85177267540038</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-264.46705175638124</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-309.85866281402053</v>
      </c>
      <c r="AP123" s="10"/>
      <c r="AQ123" s="9">
        <f t="shared" si="15"/>
        <v>8.0000000000000002E-3</v>
      </c>
      <c r="AR123" s="9">
        <f>0</f>
        <v>0</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499.43305943798936</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564.29685961112614</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524.30127952728674</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524.30127952728674</v>
      </c>
      <c r="AW123" s="10"/>
      <c r="AX123" s="9">
        <f t="shared" si="16"/>
        <v>8.0000000000000002E-3</v>
      </c>
      <c r="AY123" s="9">
        <f>0</f>
        <v>0</v>
      </c>
      <c r="AZ123" s="9">
        <f>IF(OR(Inputs!$F$6=TRUE,Inputs!$F$6="TRUE",Inputs!$F$6=1),(Inputs!$H$6+Inputs!$L$6*(((Inputs!$I$6+(((A123)+1)/2)*(Inputs!$J$6-Inputs!$I$6)))/Inputs!$K$6)^2),NA())</f>
        <v>400.00025599999998</v>
      </c>
      <c r="BA123" s="9">
        <f>IF(OR(Inputs!$F$7=TRUE,Inputs!$F$7="TRUE",Inputs!$F$7=1),(Inputs!$H$7+Inputs!$L$7*(((Inputs!$I$7+(((A123)+1)/2)*(Inputs!$J$7-Inputs!$I$7)))/Inputs!$K$7)^2),NA())</f>
        <v>35.023359999999997</v>
      </c>
      <c r="BB123" s="9">
        <f>IF(OR(Inputs!$F$8=TRUE,Inputs!$F$8="TRUE",Inputs!$F$8=1),(Inputs!$H$8+Inputs!$L$8*(((Inputs!$I$8+(((A123)+1)/2)*(Inputs!$J$8-Inputs!$I$8)))/Inputs!$K$8)^2),NA())</f>
        <v>35.06176</v>
      </c>
      <c r="BC123" s="9">
        <f>IF(OR(Inputs!$F$9=TRUE,Inputs!$F$9="TRUE",Inputs!$F$9=1),(Inputs!$H$9+Inputs!$L$9*(((Inputs!$I$9+(((A123)+1)/2)*(Inputs!$J$9-Inputs!$I$9)))/Inputs!$K$9)^2),NA())</f>
        <v>25.0624</v>
      </c>
      <c r="BD123" s="10"/>
      <c r="BE123" s="9">
        <f t="shared" si="17"/>
        <v>8.0000000000000002E-3</v>
      </c>
      <c r="BF123" s="9">
        <f>0</f>
        <v>0</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row>
    <row r="124" spans="1:62">
      <c r="A124" s="9">
        <f>ROUND(-1+122*2/240,3)</f>
        <v>1.7000000000000001E-2</v>
      </c>
      <c r="B124" s="9">
        <f>IF(OR(Inputs!$F$6=TRUE,Inputs!$F$6="TRUE",Inputs!$F$6=1),(Inputs!$H$6+Inputs!$L$6*(((Inputs!$I$6+(((A124)+1)/2)*(Inputs!$J$6-Inputs!$I$6)))/Inputs!$K$6)^2),NA())</f>
        <v>400.00115599999998</v>
      </c>
      <c r="C124" s="9">
        <f>IF(OR(Inputs!$F$7=TRUE,Inputs!$F$7="TRUE",Inputs!$F$7=1),(Inputs!$H$7+Inputs!$L$7*(((Inputs!$I$7+(((A124)+1)/2)*(Inputs!$J$7-Inputs!$I$7)))/Inputs!$K$7)^2),NA())</f>
        <v>35.105485000000002</v>
      </c>
      <c r="D124" s="9">
        <f>IF(OR(Inputs!$F$8=TRUE,Inputs!$F$8="TRUE",Inputs!$F$8=1),(Inputs!$H$8+Inputs!$L$8*(((Inputs!$I$8+(((A124)+1)/2)*(Inputs!$J$8-Inputs!$I$8)))/Inputs!$K$8)^2),NA())</f>
        <v>35.278884999999995</v>
      </c>
      <c r="E124" s="9">
        <f>IF(OR(Inputs!$F$9=TRUE,Inputs!$F$9="TRUE",Inputs!$F$9=1),(Inputs!$H$9+Inputs!$L$9*(((Inputs!$I$9+(((A124)+1)/2)*(Inputs!$J$9-Inputs!$I$9)))/Inputs!$K$9)^2),NA())</f>
        <v>25.281774999999996</v>
      </c>
      <c r="F124" s="10"/>
      <c r="G124" s="9">
        <f t="shared" si="9"/>
        <v>1.7000000000000001E-2</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c r="L124" s="10"/>
      <c r="M124" s="9">
        <f t="shared" si="10"/>
        <v>1.7000000000000001E-2</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-8.7324359616818583</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-293.98591357299961</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-539.9395097966609</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-622.52136305045337</v>
      </c>
      <c r="R124" s="10"/>
      <c r="S124" s="9">
        <f t="shared" si="11"/>
        <v>1.7000000000000001E-2</v>
      </c>
      <c r="T124" s="9">
        <f>(Inputs!$I$6+(((A124)+1)/2)*(Inputs!$J$6-Inputs!$I$6))</f>
        <v>1.019999999999996</v>
      </c>
      <c r="U124" s="9">
        <f>(Inputs!$I$7+(((A124)+1)/2)*(Inputs!$J$7-Inputs!$I$7))</f>
        <v>6.7999999999999545</v>
      </c>
      <c r="V124" s="9">
        <f>(Inputs!$I$8+(((A124)+1)/2)*(Inputs!$J$8-Inputs!$I$8))</f>
        <v>13.599999999999909</v>
      </c>
      <c r="W124" s="9">
        <f>(Inputs!$I$9+(((A124)+1)/2)*(Inputs!$J$9-Inputs!$I$9))</f>
        <v>13.599999999999909</v>
      </c>
      <c r="X124" s="10"/>
      <c r="Y124" s="9">
        <f t="shared" si="12"/>
        <v>1.7000000000000001E-2</v>
      </c>
      <c r="Z124" s="9">
        <f>(Inputs!$H$6+Inputs!$L$6*(((Inputs!$I$6+(((A124)+1)/2)*(Inputs!$J$6-Inputs!$I$6)))/Inputs!$K$6)^2)</f>
        <v>400.00115599999998</v>
      </c>
      <c r="AA124" s="9">
        <f>(Inputs!$H$7+Inputs!$L$7*(((Inputs!$I$7+(((A124)+1)/2)*(Inputs!$J$7-Inputs!$I$7)))/Inputs!$K$7)^2)</f>
        <v>35.105485000000002</v>
      </c>
      <c r="AB124" s="9">
        <f>(Inputs!$H$8+Inputs!$L$8*(((Inputs!$I$8+(((A124)+1)/2)*(Inputs!$J$8-Inputs!$I$8)))/Inputs!$K$8)^2)</f>
        <v>35.278884999999995</v>
      </c>
      <c r="AC124" s="9">
        <f>(Inputs!$H$9+Inputs!$L$9*(((Inputs!$I$9+(((A124)+1)/2)*(Inputs!$J$9-Inputs!$I$9)))/Inputs!$K$9)^2)</f>
        <v>25.281774999999996</v>
      </c>
      <c r="AD124" s="10"/>
      <c r="AE124" s="9">
        <f t="shared" si="13"/>
        <v>1.7000000000000001E-2</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551.61416991950955</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4886.3343313496371</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5758.2110173763404</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7279.3686878680783</v>
      </c>
      <c r="AJ124" s="10"/>
      <c r="AK124" s="9">
        <f t="shared" si="14"/>
        <v>1.7000000000000001E-2</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-8.7324359616818583</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-293.98591357299961</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-539.9395097966609</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-622.52136305045337</v>
      </c>
      <c r="AP124" s="10"/>
      <c r="AQ124" s="9">
        <f t="shared" si="15"/>
        <v>1.7000000000000001E-2</v>
      </c>
      <c r="AR124" s="9">
        <f>0</f>
        <v>0</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518.14421662746452</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513.06807004555321</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410.39649748985465</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410.39649748985465</v>
      </c>
      <c r="AW124" s="10"/>
      <c r="AX124" s="9">
        <f t="shared" si="16"/>
        <v>1.7000000000000001E-2</v>
      </c>
      <c r="AY124" s="9">
        <f>0</f>
        <v>0</v>
      </c>
      <c r="AZ124" s="9">
        <f>IF(OR(Inputs!$F$6=TRUE,Inputs!$F$6="TRUE",Inputs!$F$6=1),(Inputs!$H$6+Inputs!$L$6*(((Inputs!$I$6+(((A124)+1)/2)*(Inputs!$J$6-Inputs!$I$6)))/Inputs!$K$6)^2),NA())</f>
        <v>400.00115599999998</v>
      </c>
      <c r="BA124" s="9">
        <f>IF(OR(Inputs!$F$7=TRUE,Inputs!$F$7="TRUE",Inputs!$F$7=1),(Inputs!$H$7+Inputs!$L$7*(((Inputs!$I$7+(((A124)+1)/2)*(Inputs!$J$7-Inputs!$I$7)))/Inputs!$K$7)^2),NA())</f>
        <v>35.105485000000002</v>
      </c>
      <c r="BB124" s="9">
        <f>IF(OR(Inputs!$F$8=TRUE,Inputs!$F$8="TRUE",Inputs!$F$8=1),(Inputs!$H$8+Inputs!$L$8*(((Inputs!$I$8+(((A124)+1)/2)*(Inputs!$J$8-Inputs!$I$8)))/Inputs!$K$8)^2),NA())</f>
        <v>35.278884999999995</v>
      </c>
      <c r="BC124" s="9">
        <f>IF(OR(Inputs!$F$9=TRUE,Inputs!$F$9="TRUE",Inputs!$F$9=1),(Inputs!$H$9+Inputs!$L$9*(((Inputs!$I$9+(((A124)+1)/2)*(Inputs!$J$9-Inputs!$I$9)))/Inputs!$K$9)^2),NA())</f>
        <v>25.281774999999996</v>
      </c>
      <c r="BD124" s="10"/>
      <c r="BE124" s="9">
        <f t="shared" si="17"/>
        <v>1.7000000000000001E-2</v>
      </c>
      <c r="BF124" s="9">
        <f>0</f>
        <v>0</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row>
    <row r="125" spans="1:62">
      <c r="A125" s="9">
        <f>ROUND(-1+123*2/240,3)</f>
        <v>2.5000000000000001E-2</v>
      </c>
      <c r="B125" s="9">
        <f>IF(OR(Inputs!$F$6=TRUE,Inputs!$F$6="TRUE",Inputs!$F$6=1),(Inputs!$H$6+Inputs!$L$6*(((Inputs!$I$6+(((A125)+1)/2)*(Inputs!$J$6-Inputs!$I$6)))/Inputs!$K$6)^2),NA())</f>
        <v>400.0025</v>
      </c>
      <c r="C125" s="9">
        <f>IF(OR(Inputs!$F$7=TRUE,Inputs!$F$7="TRUE",Inputs!$F$7=1),(Inputs!$H$7+Inputs!$L$7*(((Inputs!$I$7+(((A125)+1)/2)*(Inputs!$J$7-Inputs!$I$7)))/Inputs!$K$7)^2),NA())</f>
        <v>35.228124999999999</v>
      </c>
      <c r="D125" s="9">
        <f>IF(OR(Inputs!$F$8=TRUE,Inputs!$F$8="TRUE",Inputs!$F$8=1),(Inputs!$H$8+Inputs!$L$8*(((Inputs!$I$8+(((A125)+1)/2)*(Inputs!$J$8-Inputs!$I$8)))/Inputs!$K$8)^2),NA())</f>
        <v>35.603124999999991</v>
      </c>
      <c r="E125" s="9">
        <f>IF(OR(Inputs!$F$9=TRUE,Inputs!$F$9="TRUE",Inputs!$F$9=1),(Inputs!$H$9+Inputs!$L$9*(((Inputs!$I$9+(((A125)+1)/2)*(Inputs!$J$9-Inputs!$I$9)))/Inputs!$K$9)^2),NA())</f>
        <v>25.609374999999993</v>
      </c>
      <c r="F125" s="10"/>
      <c r="G125" s="9">
        <f t="shared" si="9"/>
        <v>2.5000000000000001E-2</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c r="L125" s="10"/>
      <c r="M125" s="9">
        <f t="shared" si="10"/>
        <v>2.5000000000000001E-2</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-12.841741512815233</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-425.59120024288256</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-752.11910102220656</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-850.72386670307208</v>
      </c>
      <c r="R125" s="10"/>
      <c r="S125" s="9">
        <f t="shared" si="11"/>
        <v>2.5000000000000001E-2</v>
      </c>
      <c r="T125" s="9">
        <f>(Inputs!$I$6+(((A125)+1)/2)*(Inputs!$J$6-Inputs!$I$6))</f>
        <v>1.4999999999999929</v>
      </c>
      <c r="U125" s="9">
        <f>(Inputs!$I$7+(((A125)+1)/2)*(Inputs!$J$7-Inputs!$I$7))</f>
        <v>9.9999999999999432</v>
      </c>
      <c r="V125" s="9">
        <f>(Inputs!$I$8+(((A125)+1)/2)*(Inputs!$J$8-Inputs!$I$8))</f>
        <v>19.999999999999886</v>
      </c>
      <c r="W125" s="9">
        <f>(Inputs!$I$9+(((A125)+1)/2)*(Inputs!$J$9-Inputs!$I$9))</f>
        <v>19.999999999999886</v>
      </c>
      <c r="X125" s="10"/>
      <c r="Y125" s="9">
        <f t="shared" si="12"/>
        <v>2.5000000000000001E-2</v>
      </c>
      <c r="Z125" s="9">
        <f>(Inputs!$H$6+Inputs!$L$6*(((Inputs!$I$6+(((A125)+1)/2)*(Inputs!$J$6-Inputs!$I$6)))/Inputs!$K$6)^2)</f>
        <v>400.0025</v>
      </c>
      <c r="AA125" s="9">
        <f>(Inputs!$H$7+Inputs!$L$7*(((Inputs!$I$7+(((A125)+1)/2)*(Inputs!$J$7-Inputs!$I$7)))/Inputs!$K$7)^2)</f>
        <v>35.228124999999999</v>
      </c>
      <c r="AB125" s="9">
        <f>(Inputs!$H$8+Inputs!$L$8*(((Inputs!$I$8+(((A125)+1)/2)*(Inputs!$J$8-Inputs!$I$8)))/Inputs!$K$8)^2)</f>
        <v>35.603124999999991</v>
      </c>
      <c r="AC125" s="9">
        <f>(Inputs!$H$9+Inputs!$L$9*(((Inputs!$I$9+(((A125)+1)/2)*(Inputs!$J$9-Inputs!$I$9)))/Inputs!$K$9)^2)</f>
        <v>25.609374999999993</v>
      </c>
      <c r="AD125" s="10"/>
      <c r="AE125" s="9">
        <f t="shared" si="13"/>
        <v>2.5000000000000001E-2</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552.67716343047937</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5222.2722421068956</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7034.2430030608248</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8760.0162430191049</v>
      </c>
      <c r="AJ125" s="10"/>
      <c r="AK125" s="9">
        <f t="shared" si="14"/>
        <v>2.5000000000000001E-2</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-12.841741512815233</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-425.59120024288256</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-752.11910102220656</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-850.72386670307208</v>
      </c>
      <c r="AP125" s="10"/>
      <c r="AQ125" s="9">
        <f t="shared" si="15"/>
        <v>2.5000000000000001E-2</v>
      </c>
      <c r="AR125" s="9">
        <f>0</f>
        <v>0</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516.86411530331077</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454.20220023823919</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439.01130304244293</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439.01130304244293</v>
      </c>
      <c r="AW125" s="10"/>
      <c r="AX125" s="9">
        <f t="shared" si="16"/>
        <v>2.5000000000000001E-2</v>
      </c>
      <c r="AY125" s="9">
        <f>0</f>
        <v>0</v>
      </c>
      <c r="AZ125" s="9">
        <f>IF(OR(Inputs!$F$6=TRUE,Inputs!$F$6="TRUE",Inputs!$F$6=1),(Inputs!$H$6+Inputs!$L$6*(((Inputs!$I$6+(((A125)+1)/2)*(Inputs!$J$6-Inputs!$I$6)))/Inputs!$K$6)^2),NA())</f>
        <v>400.0025</v>
      </c>
      <c r="BA125" s="9">
        <f>IF(OR(Inputs!$F$7=TRUE,Inputs!$F$7="TRUE",Inputs!$F$7=1),(Inputs!$H$7+Inputs!$L$7*(((Inputs!$I$7+(((A125)+1)/2)*(Inputs!$J$7-Inputs!$I$7)))/Inputs!$K$7)^2),NA())</f>
        <v>35.228124999999999</v>
      </c>
      <c r="BB125" s="9">
        <f>IF(OR(Inputs!$F$8=TRUE,Inputs!$F$8="TRUE",Inputs!$F$8=1),(Inputs!$H$8+Inputs!$L$8*(((Inputs!$I$8+(((A125)+1)/2)*(Inputs!$J$8-Inputs!$I$8)))/Inputs!$K$8)^2),NA())</f>
        <v>35.603124999999991</v>
      </c>
      <c r="BC125" s="9">
        <f>IF(OR(Inputs!$F$9=TRUE,Inputs!$F$9="TRUE",Inputs!$F$9=1),(Inputs!$H$9+Inputs!$L$9*(((Inputs!$I$9+(((A125)+1)/2)*(Inputs!$J$9-Inputs!$I$9)))/Inputs!$K$9)^2),NA())</f>
        <v>25.609374999999993</v>
      </c>
      <c r="BD125" s="10"/>
      <c r="BE125" s="9">
        <f t="shared" si="17"/>
        <v>2.5000000000000001E-2</v>
      </c>
      <c r="BF125" s="9">
        <f>0</f>
        <v>0</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row>
    <row r="126" spans="1:62">
      <c r="A126" s="9">
        <f>ROUND(-1+124*2/240,3)</f>
        <v>3.3000000000000002E-2</v>
      </c>
      <c r="B126" s="9">
        <f>IF(OR(Inputs!$F$6=TRUE,Inputs!$F$6="TRUE",Inputs!$F$6=1),(Inputs!$H$6+Inputs!$L$6*(((Inputs!$I$6+(((A126)+1)/2)*(Inputs!$J$6-Inputs!$I$6)))/Inputs!$K$6)^2),NA())</f>
        <v>400.00435599999997</v>
      </c>
      <c r="C126" s="9">
        <f>IF(OR(Inputs!$F$7=TRUE,Inputs!$F$7="TRUE",Inputs!$F$7=1),(Inputs!$H$7+Inputs!$L$7*(((Inputs!$I$7+(((A126)+1)/2)*(Inputs!$J$7-Inputs!$I$7)))/Inputs!$K$7)^2),NA())</f>
        <v>35.397484999999996</v>
      </c>
      <c r="D126" s="9">
        <f>IF(OR(Inputs!$F$8=TRUE,Inputs!$F$8="TRUE",Inputs!$F$8=1),(Inputs!$H$8+Inputs!$L$8*(((Inputs!$I$8+(((A126)+1)/2)*(Inputs!$J$8-Inputs!$I$8)))/Inputs!$K$8)^2),NA())</f>
        <v>36.050885000000001</v>
      </c>
      <c r="E126" s="9">
        <f>IF(OR(Inputs!$F$9=TRUE,Inputs!$F$9="TRUE",Inputs!$F$9=1),(Inputs!$H$9+Inputs!$L$9*(((Inputs!$I$9+(((A126)+1)/2)*(Inputs!$J$9-Inputs!$I$9)))/Inputs!$K$9)^2),NA())</f>
        <v>26.061774999999997</v>
      </c>
      <c r="F126" s="10"/>
      <c r="G126" s="9">
        <f t="shared" si="9"/>
        <v>3.3000000000000002E-2</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c r="L126" s="10"/>
      <c r="M126" s="9">
        <f t="shared" si="10"/>
        <v>3.3000000000000002E-2</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-16.950960121779314</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-550.17398325629688</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-929.30486292122873</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-1030.4626072763508</v>
      </c>
      <c r="R126" s="10"/>
      <c r="S126" s="9">
        <f t="shared" si="11"/>
        <v>3.3000000000000002E-2</v>
      </c>
      <c r="T126" s="9">
        <f>(Inputs!$I$6+(((A126)+1)/2)*(Inputs!$J$6-Inputs!$I$6))</f>
        <v>1.9799999999999969</v>
      </c>
      <c r="U126" s="9">
        <f>(Inputs!$I$7+(((A126)+1)/2)*(Inputs!$J$7-Inputs!$I$7))</f>
        <v>13.199999999999989</v>
      </c>
      <c r="V126" s="9">
        <f>(Inputs!$I$8+(((A126)+1)/2)*(Inputs!$J$8-Inputs!$I$8))</f>
        <v>26.399999999999977</v>
      </c>
      <c r="W126" s="9">
        <f>(Inputs!$I$9+(((A126)+1)/2)*(Inputs!$J$9-Inputs!$I$9))</f>
        <v>26.399999999999977</v>
      </c>
      <c r="X126" s="10"/>
      <c r="Y126" s="9">
        <f t="shared" si="12"/>
        <v>3.3000000000000002E-2</v>
      </c>
      <c r="Z126" s="9">
        <f>(Inputs!$H$6+Inputs!$L$6*(((Inputs!$I$6+(((A126)+1)/2)*(Inputs!$J$6-Inputs!$I$6)))/Inputs!$K$6)^2)</f>
        <v>400.00435599999997</v>
      </c>
      <c r="AA126" s="9">
        <f>(Inputs!$H$7+Inputs!$L$7*(((Inputs!$I$7+(((A126)+1)/2)*(Inputs!$J$7-Inputs!$I$7)))/Inputs!$K$7)^2)</f>
        <v>35.397484999999996</v>
      </c>
      <c r="AB126" s="9">
        <f>(Inputs!$H$8+Inputs!$L$8*(((Inputs!$I$8+(((A126)+1)/2)*(Inputs!$J$8-Inputs!$I$8)))/Inputs!$K$8)^2)</f>
        <v>36.050885000000001</v>
      </c>
      <c r="AC126" s="9">
        <f>(Inputs!$H$9+Inputs!$L$9*(((Inputs!$I$9+(((A126)+1)/2)*(Inputs!$J$9-Inputs!$I$9)))/Inputs!$K$9)^2)</f>
        <v>26.061774999999997</v>
      </c>
      <c r="AD126" s="10"/>
      <c r="AE126" s="9">
        <f t="shared" si="13"/>
        <v>3.3000000000000002E-2</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554.14508914183125</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5676.0370294418835</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8678.4565446366869</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10628.14531141867</v>
      </c>
      <c r="AJ126" s="10"/>
      <c r="AK126" s="9">
        <f t="shared" si="14"/>
        <v>3.3000000000000002E-2</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-16.950960121779314</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-550.17398325629688</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-929.30486292122873</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-1030.4626072763508</v>
      </c>
      <c r="AP126" s="10"/>
      <c r="AQ126" s="9">
        <f t="shared" si="15"/>
        <v>3.3000000000000002E-2</v>
      </c>
      <c r="AR126" s="9">
        <f>0</f>
        <v>0</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536.45236288221417</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421.87779268380052</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365.99725554072211</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365.99725554072211</v>
      </c>
      <c r="AW126" s="10"/>
      <c r="AX126" s="9">
        <f t="shared" si="16"/>
        <v>3.3000000000000002E-2</v>
      </c>
      <c r="AY126" s="9">
        <f>0</f>
        <v>0</v>
      </c>
      <c r="AZ126" s="9">
        <f>IF(OR(Inputs!$F$6=TRUE,Inputs!$F$6="TRUE",Inputs!$F$6=1),(Inputs!$H$6+Inputs!$L$6*(((Inputs!$I$6+(((A126)+1)/2)*(Inputs!$J$6-Inputs!$I$6)))/Inputs!$K$6)^2),NA())</f>
        <v>400.00435599999997</v>
      </c>
      <c r="BA126" s="9">
        <f>IF(OR(Inputs!$F$7=TRUE,Inputs!$F$7="TRUE",Inputs!$F$7=1),(Inputs!$H$7+Inputs!$L$7*(((Inputs!$I$7+(((A126)+1)/2)*(Inputs!$J$7-Inputs!$I$7)))/Inputs!$K$7)^2),NA())</f>
        <v>35.397484999999996</v>
      </c>
      <c r="BB126" s="9">
        <f>IF(OR(Inputs!$F$8=TRUE,Inputs!$F$8="TRUE",Inputs!$F$8=1),(Inputs!$H$8+Inputs!$L$8*(((Inputs!$I$8+(((A126)+1)/2)*(Inputs!$J$8-Inputs!$I$8)))/Inputs!$K$8)^2),NA())</f>
        <v>36.050885000000001</v>
      </c>
      <c r="BC126" s="9">
        <f>IF(OR(Inputs!$F$9=TRUE,Inputs!$F$9="TRUE",Inputs!$F$9=1),(Inputs!$H$9+Inputs!$L$9*(((Inputs!$I$9+(((A126)+1)/2)*(Inputs!$J$9-Inputs!$I$9)))/Inputs!$K$9)^2),NA())</f>
        <v>26.061774999999997</v>
      </c>
      <c r="BD126" s="10"/>
      <c r="BE126" s="9">
        <f t="shared" si="17"/>
        <v>3.3000000000000002E-2</v>
      </c>
      <c r="BF126" s="9">
        <f>0</f>
        <v>0</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row>
    <row r="127" spans="1:62">
      <c r="A127" s="9">
        <f>ROUND(-1+125*2/240,3)</f>
        <v>4.2000000000000003E-2</v>
      </c>
      <c r="B127" s="9">
        <f>IF(OR(Inputs!$F$6=TRUE,Inputs!$F$6="TRUE",Inputs!$F$6=1),(Inputs!$H$6+Inputs!$L$6*(((Inputs!$I$6+(((A127)+1)/2)*(Inputs!$J$6-Inputs!$I$6)))/Inputs!$K$6)^2),NA())</f>
        <v>400.00705599999998</v>
      </c>
      <c r="C127" s="9">
        <f>IF(OR(Inputs!$F$7=TRUE,Inputs!$F$7="TRUE",Inputs!$F$7=1),(Inputs!$H$7+Inputs!$L$7*(((Inputs!$I$7+(((A127)+1)/2)*(Inputs!$J$7-Inputs!$I$7)))/Inputs!$K$7)^2),NA())</f>
        <v>35.643860000000004</v>
      </c>
      <c r="D127" s="9">
        <f>IF(OR(Inputs!$F$8=TRUE,Inputs!$F$8="TRUE",Inputs!$F$8=1),(Inputs!$H$8+Inputs!$L$8*(((Inputs!$I$8+(((A127)+1)/2)*(Inputs!$J$8-Inputs!$I$8)))/Inputs!$K$8)^2),NA())</f>
        <v>36.702260000000003</v>
      </c>
      <c r="E127" s="9">
        <f>IF(OR(Inputs!$F$9=TRUE,Inputs!$F$9="TRUE",Inputs!$F$9=1),(Inputs!$H$9+Inputs!$L$9*(((Inputs!$I$9+(((A127)+1)/2)*(Inputs!$J$9-Inputs!$I$9)))/Inputs!$K$9)^2),NA())</f>
        <v>26.719900000000003</v>
      </c>
      <c r="F127" s="10"/>
      <c r="G127" s="9">
        <f t="shared" si="9"/>
        <v>4.2000000000000003E-2</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c r="L127" s="10"/>
      <c r="M127" s="9">
        <f t="shared" si="10"/>
        <v>4.2000000000000003E-2</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-21.573692500935373</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-680.33746296082734</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-1089.2681013276795</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-1183.3635606810362</v>
      </c>
      <c r="R127" s="10"/>
      <c r="S127" s="9">
        <f t="shared" si="11"/>
        <v>4.2000000000000003E-2</v>
      </c>
      <c r="T127" s="9">
        <f>(Inputs!$I$6+(((A127)+1)/2)*(Inputs!$J$6-Inputs!$I$6))</f>
        <v>2.5200000000000031</v>
      </c>
      <c r="U127" s="9">
        <f>(Inputs!$I$7+(((A127)+1)/2)*(Inputs!$J$7-Inputs!$I$7))</f>
        <v>16.800000000000011</v>
      </c>
      <c r="V127" s="9">
        <f>(Inputs!$I$8+(((A127)+1)/2)*(Inputs!$J$8-Inputs!$I$8))</f>
        <v>33.600000000000023</v>
      </c>
      <c r="W127" s="9">
        <f>(Inputs!$I$9+(((A127)+1)/2)*(Inputs!$J$9-Inputs!$I$9))</f>
        <v>33.600000000000023</v>
      </c>
      <c r="X127" s="10"/>
      <c r="Y127" s="9">
        <f t="shared" si="12"/>
        <v>4.2000000000000003E-2</v>
      </c>
      <c r="Z127" s="9">
        <f>(Inputs!$H$6+Inputs!$L$6*(((Inputs!$I$6+(((A127)+1)/2)*(Inputs!$J$6-Inputs!$I$6)))/Inputs!$K$6)^2)</f>
        <v>400.00705599999998</v>
      </c>
      <c r="AA127" s="9">
        <f>(Inputs!$H$7+Inputs!$L$7*(((Inputs!$I$7+(((A127)+1)/2)*(Inputs!$J$7-Inputs!$I$7)))/Inputs!$K$7)^2)</f>
        <v>35.643860000000004</v>
      </c>
      <c r="AB127" s="9">
        <f>(Inputs!$H$8+Inputs!$L$8*(((Inputs!$I$8+(((A127)+1)/2)*(Inputs!$J$8-Inputs!$I$8)))/Inputs!$K$8)^2)</f>
        <v>36.702260000000003</v>
      </c>
      <c r="AC127" s="9">
        <f>(Inputs!$H$9+Inputs!$L$9*(((Inputs!$I$9+(((A127)+1)/2)*(Inputs!$J$9-Inputs!$I$9)))/Inputs!$K$9)^2)</f>
        <v>26.719900000000003</v>
      </c>
      <c r="AD127" s="10"/>
      <c r="AE127" s="9">
        <f t="shared" si="13"/>
        <v>4.2000000000000003E-2</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556.28050474410247</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6316.5130883639695</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10872.273624595278</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13066.529366278282</v>
      </c>
      <c r="AJ127" s="10"/>
      <c r="AK127" s="9">
        <f t="shared" si="14"/>
        <v>4.2000000000000003E-2</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-21.573692500935373</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-680.33746296082734</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-1089.2681013276795</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-1183.3635606810362</v>
      </c>
      <c r="AP127" s="10"/>
      <c r="AQ127" s="9">
        <f t="shared" si="15"/>
        <v>4.2000000000000003E-2</v>
      </c>
      <c r="AR127" s="9">
        <f>0</f>
        <v>0</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542.86255777435713</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410.09984776073264</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223.29130278797018</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223.29130278797018</v>
      </c>
      <c r="AW127" s="10"/>
      <c r="AX127" s="9">
        <f t="shared" si="16"/>
        <v>4.2000000000000003E-2</v>
      </c>
      <c r="AY127" s="9">
        <f>0</f>
        <v>0</v>
      </c>
      <c r="AZ127" s="9">
        <f>IF(OR(Inputs!$F$6=TRUE,Inputs!$F$6="TRUE",Inputs!$F$6=1),(Inputs!$H$6+Inputs!$L$6*(((Inputs!$I$6+(((A127)+1)/2)*(Inputs!$J$6-Inputs!$I$6)))/Inputs!$K$6)^2),NA())</f>
        <v>400.00705599999998</v>
      </c>
      <c r="BA127" s="9">
        <f>IF(OR(Inputs!$F$7=TRUE,Inputs!$F$7="TRUE",Inputs!$F$7=1),(Inputs!$H$7+Inputs!$L$7*(((Inputs!$I$7+(((A127)+1)/2)*(Inputs!$J$7-Inputs!$I$7)))/Inputs!$K$7)^2),NA())</f>
        <v>35.643860000000004</v>
      </c>
      <c r="BB127" s="9">
        <f>IF(OR(Inputs!$F$8=TRUE,Inputs!$F$8="TRUE",Inputs!$F$8=1),(Inputs!$H$8+Inputs!$L$8*(((Inputs!$I$8+(((A127)+1)/2)*(Inputs!$J$8-Inputs!$I$8)))/Inputs!$K$8)^2),NA())</f>
        <v>36.702260000000003</v>
      </c>
      <c r="BC127" s="9">
        <f>IF(OR(Inputs!$F$9=TRUE,Inputs!$F$9="TRUE",Inputs!$F$9=1),(Inputs!$H$9+Inputs!$L$9*(((Inputs!$I$9+(((A127)+1)/2)*(Inputs!$J$9-Inputs!$I$9)))/Inputs!$K$9)^2),NA())</f>
        <v>26.719900000000003</v>
      </c>
      <c r="BD127" s="10"/>
      <c r="BE127" s="9">
        <f t="shared" si="17"/>
        <v>4.2000000000000003E-2</v>
      </c>
      <c r="BF127" s="9">
        <f>0</f>
        <v>0</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row>
    <row r="128" spans="1:62">
      <c r="A128" s="9">
        <f>ROUND(-1+126*2/240,3)</f>
        <v>0.05</v>
      </c>
      <c r="B128" s="9">
        <f>IF(OR(Inputs!$F$6=TRUE,Inputs!$F$6="TRUE",Inputs!$F$6=1),(Inputs!$H$6+Inputs!$L$6*(((Inputs!$I$6+(((A128)+1)/2)*(Inputs!$J$6-Inputs!$I$6)))/Inputs!$K$6)^2),NA())</f>
        <v>400.01</v>
      </c>
      <c r="C128" s="9">
        <f>IF(OR(Inputs!$F$7=TRUE,Inputs!$F$7="TRUE",Inputs!$F$7=1),(Inputs!$H$7+Inputs!$L$7*(((Inputs!$I$7+(((A128)+1)/2)*(Inputs!$J$7-Inputs!$I$7)))/Inputs!$K$7)^2),NA())</f>
        <v>35.912500000000001</v>
      </c>
      <c r="D128" s="9">
        <f>IF(OR(Inputs!$F$8=TRUE,Inputs!$F$8="TRUE",Inputs!$F$8=1),(Inputs!$H$8+Inputs!$L$8*(((Inputs!$I$8+(((A128)+1)/2)*(Inputs!$J$8-Inputs!$I$8)))/Inputs!$K$8)^2),NA())</f>
        <v>37.412500000000001</v>
      </c>
      <c r="E128" s="9">
        <f>IF(OR(Inputs!$F$9=TRUE,Inputs!$F$9="TRUE",Inputs!$F$9=1),(Inputs!$H$9+Inputs!$L$9*(((Inputs!$I$9+(((A128)+1)/2)*(Inputs!$J$9-Inputs!$I$9)))/Inputs!$K$9)^2),NA())</f>
        <v>27.4375</v>
      </c>
      <c r="F128" s="10"/>
      <c r="G128" s="9">
        <f t="shared" si="9"/>
        <v>0.05</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c r="L128" s="10"/>
      <c r="M128" s="9">
        <f t="shared" si="10"/>
        <v>0.05</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-25.682634009586785</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-786.3666116552838</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-1201.7790321186421</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-1285.4696487708952</v>
      </c>
      <c r="R128" s="10"/>
      <c r="S128" s="9">
        <f t="shared" si="11"/>
        <v>0.05</v>
      </c>
      <c r="T128" s="9">
        <f>(Inputs!$I$6+(((A128)+1)/2)*(Inputs!$J$6-Inputs!$I$6))</f>
        <v>3</v>
      </c>
      <c r="U128" s="9">
        <f>(Inputs!$I$7+(((A128)+1)/2)*(Inputs!$J$7-Inputs!$I$7))</f>
        <v>20</v>
      </c>
      <c r="V128" s="9">
        <f>(Inputs!$I$8+(((A128)+1)/2)*(Inputs!$J$8-Inputs!$I$8))</f>
        <v>40</v>
      </c>
      <c r="W128" s="9">
        <f>(Inputs!$I$9+(((A128)+1)/2)*(Inputs!$J$9-Inputs!$I$9))</f>
        <v>40</v>
      </c>
      <c r="X128" s="10"/>
      <c r="Y128" s="9">
        <f t="shared" si="12"/>
        <v>0.05</v>
      </c>
      <c r="Z128" s="9">
        <f>(Inputs!$H$6+Inputs!$L$6*(((Inputs!$I$6+(((A128)+1)/2)*(Inputs!$J$6-Inputs!$I$6)))/Inputs!$K$6)^2)</f>
        <v>400.01</v>
      </c>
      <c r="AA128" s="9">
        <f>(Inputs!$H$7+Inputs!$L$7*(((Inputs!$I$7+(((A128)+1)/2)*(Inputs!$J$7-Inputs!$I$7)))/Inputs!$K$7)^2)</f>
        <v>35.912500000000001</v>
      </c>
      <c r="AB128" s="9">
        <f>(Inputs!$H$8+Inputs!$L$8*(((Inputs!$I$8+(((A128)+1)/2)*(Inputs!$J$8-Inputs!$I$8)))/Inputs!$K$8)^2)</f>
        <v>37.412500000000001</v>
      </c>
      <c r="AC128" s="9">
        <f>(Inputs!$H$9+Inputs!$L$9*(((Inputs!$I$9+(((A128)+1)/2)*(Inputs!$J$9-Inputs!$I$9)))/Inputs!$K$9)^2)</f>
        <v>27.4375</v>
      </c>
      <c r="AD128" s="10"/>
      <c r="AE128" s="9">
        <f t="shared" si="13"/>
        <v>0.05</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558.60884911180744</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6990.4539097761144</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13052.14764887377</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15442.426037484855</v>
      </c>
      <c r="AJ128" s="10"/>
      <c r="AK128" s="9">
        <f t="shared" si="14"/>
        <v>0.05</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-25.682634009586785</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-786.3666116552838</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-1201.7790321186421</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-1285.4696487708952</v>
      </c>
      <c r="AP128" s="10"/>
      <c r="AQ128" s="9">
        <f t="shared" si="15"/>
        <v>0.05</v>
      </c>
      <c r="AR128" s="9">
        <f>0</f>
        <v>0</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536.84310410266767</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439.01130208847866</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304.82117281226778</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304.82117281226778</v>
      </c>
      <c r="AW128" s="10"/>
      <c r="AX128" s="9">
        <f t="shared" si="16"/>
        <v>0.05</v>
      </c>
      <c r="AY128" s="9">
        <f>0</f>
        <v>0</v>
      </c>
      <c r="AZ128" s="9">
        <f>IF(OR(Inputs!$F$6=TRUE,Inputs!$F$6="TRUE",Inputs!$F$6=1),(Inputs!$H$6+Inputs!$L$6*(((Inputs!$I$6+(((A128)+1)/2)*(Inputs!$J$6-Inputs!$I$6)))/Inputs!$K$6)^2),NA())</f>
        <v>400.01</v>
      </c>
      <c r="BA128" s="9">
        <f>IF(OR(Inputs!$F$7=TRUE,Inputs!$F$7="TRUE",Inputs!$F$7=1),(Inputs!$H$7+Inputs!$L$7*(((Inputs!$I$7+(((A128)+1)/2)*(Inputs!$J$7-Inputs!$I$7)))/Inputs!$K$7)^2),NA())</f>
        <v>35.912500000000001</v>
      </c>
      <c r="BB128" s="9">
        <f>IF(OR(Inputs!$F$8=TRUE,Inputs!$F$8="TRUE",Inputs!$F$8=1),(Inputs!$H$8+Inputs!$L$8*(((Inputs!$I$8+(((A128)+1)/2)*(Inputs!$J$8-Inputs!$I$8)))/Inputs!$K$8)^2),NA())</f>
        <v>37.412500000000001</v>
      </c>
      <c r="BC128" s="9">
        <f>IF(OR(Inputs!$F$9=TRUE,Inputs!$F$9="TRUE",Inputs!$F$9=1),(Inputs!$H$9+Inputs!$L$9*(((Inputs!$I$9+(((A128)+1)/2)*(Inputs!$J$9-Inputs!$I$9)))/Inputs!$K$9)^2),NA())</f>
        <v>27.4375</v>
      </c>
      <c r="BD128" s="10"/>
      <c r="BE128" s="9">
        <f t="shared" si="17"/>
        <v>0.05</v>
      </c>
      <c r="BF128" s="9">
        <f>0</f>
        <v>0</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row>
    <row r="129" spans="1:62">
      <c r="A129" s="9">
        <f>ROUND(-1+127*2/240,3)</f>
        <v>5.8000000000000003E-2</v>
      </c>
      <c r="B129" s="9">
        <f>IF(OR(Inputs!$F$6=TRUE,Inputs!$F$6="TRUE",Inputs!$F$6=1),(Inputs!$H$6+Inputs!$L$6*(((Inputs!$I$6+(((A129)+1)/2)*(Inputs!$J$6-Inputs!$I$6)))/Inputs!$K$6)^2),NA())</f>
        <v>400.01345600000002</v>
      </c>
      <c r="C129" s="9">
        <f>IF(OR(Inputs!$F$7=TRUE,Inputs!$F$7="TRUE",Inputs!$F$7=1),(Inputs!$H$7+Inputs!$L$7*(((Inputs!$I$7+(((A129)+1)/2)*(Inputs!$J$7-Inputs!$I$7)))/Inputs!$K$7)^2),NA())</f>
        <v>36.227860000000007</v>
      </c>
      <c r="D129" s="9">
        <f>IF(OR(Inputs!$F$8=TRUE,Inputs!$F$8="TRUE",Inputs!$F$8=1),(Inputs!$H$8+Inputs!$L$8*(((Inputs!$I$8+(((A129)+1)/2)*(Inputs!$J$8-Inputs!$I$8)))/Inputs!$K$8)^2),NA())</f>
        <v>38.246260000000014</v>
      </c>
      <c r="E129" s="9">
        <f>IF(OR(Inputs!$F$9=TRUE,Inputs!$F$9="TRUE",Inputs!$F$9=1),(Inputs!$H$9+Inputs!$L$9*(((Inputs!$I$9+(((A129)+1)/2)*(Inputs!$J$9-Inputs!$I$9)))/Inputs!$K$9)^2),NA())</f>
        <v>28.279900000000012</v>
      </c>
      <c r="F129" s="10"/>
      <c r="G129" s="9">
        <f t="shared" si="9"/>
        <v>5.8000000000000003E-2</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c r="L129" s="10"/>
      <c r="M129" s="9">
        <f t="shared" si="10"/>
        <v>5.8000000000000003E-2</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-29.791401673021944</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-883.07662488431106</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-1292.0054303118511</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-1364.2298136362383</v>
      </c>
      <c r="R129" s="10"/>
      <c r="S129" s="9">
        <f t="shared" si="11"/>
        <v>5.8000000000000003E-2</v>
      </c>
      <c r="T129" s="9">
        <f>(Inputs!$I$6+(((A129)+1)/2)*(Inputs!$J$6-Inputs!$I$6))</f>
        <v>3.480000000000004</v>
      </c>
      <c r="U129" s="9">
        <f>(Inputs!$I$7+(((A129)+1)/2)*(Inputs!$J$7-Inputs!$I$7))</f>
        <v>23.200000000000045</v>
      </c>
      <c r="V129" s="9">
        <f>(Inputs!$I$8+(((A129)+1)/2)*(Inputs!$J$8-Inputs!$I$8))</f>
        <v>46.400000000000091</v>
      </c>
      <c r="W129" s="9">
        <f>(Inputs!$I$9+(((A129)+1)/2)*(Inputs!$J$9-Inputs!$I$9))</f>
        <v>46.400000000000091</v>
      </c>
      <c r="X129" s="10"/>
      <c r="Y129" s="9">
        <f t="shared" si="12"/>
        <v>5.8000000000000003E-2</v>
      </c>
      <c r="Z129" s="9">
        <f>(Inputs!$H$6+Inputs!$L$6*(((Inputs!$I$6+(((A129)+1)/2)*(Inputs!$J$6-Inputs!$I$6)))/Inputs!$K$6)^2)</f>
        <v>400.01345600000002</v>
      </c>
      <c r="AA129" s="9">
        <f>(Inputs!$H$7+Inputs!$L$7*(((Inputs!$I$7+(((A129)+1)/2)*(Inputs!$J$7-Inputs!$I$7)))/Inputs!$K$7)^2)</f>
        <v>36.227860000000007</v>
      </c>
      <c r="AB129" s="9">
        <f>(Inputs!$H$8+Inputs!$L$8*(((Inputs!$I$8+(((A129)+1)/2)*(Inputs!$J$8-Inputs!$I$8)))/Inputs!$K$8)^2)</f>
        <v>38.246260000000014</v>
      </c>
      <c r="AC129" s="9">
        <f>(Inputs!$H$9+Inputs!$L$9*(((Inputs!$I$9+(((A129)+1)/2)*(Inputs!$J$9-Inputs!$I$9)))/Inputs!$K$9)^2)</f>
        <v>28.279900000000012</v>
      </c>
      <c r="AD129" s="10"/>
      <c r="AE129" s="9">
        <f t="shared" si="13"/>
        <v>5.8000000000000003E-2</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561.34205700250607</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7752.0440359385457</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15389.434466220855</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17950.075140585464</v>
      </c>
      <c r="AJ129" s="10"/>
      <c r="AK129" s="9">
        <f t="shared" si="14"/>
        <v>5.8000000000000003E-2</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-29.791401673021944</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-883.07662488431106</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-1292.0054303118511</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-1364.2298136362383</v>
      </c>
      <c r="AP129" s="10"/>
      <c r="AQ129" s="9">
        <f t="shared" si="15"/>
        <v>5.8000000000000003E-2</v>
      </c>
      <c r="AR129" s="9">
        <f>0</f>
        <v>0</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562.32205929197835</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439.57677845336235</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146.98719153342549</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146.98719153342549</v>
      </c>
      <c r="AW129" s="10"/>
      <c r="AX129" s="9">
        <f t="shared" si="16"/>
        <v>5.8000000000000003E-2</v>
      </c>
      <c r="AY129" s="9">
        <f>0</f>
        <v>0</v>
      </c>
      <c r="AZ129" s="9">
        <f>IF(OR(Inputs!$F$6=TRUE,Inputs!$F$6="TRUE",Inputs!$F$6=1),(Inputs!$H$6+Inputs!$L$6*(((Inputs!$I$6+(((A129)+1)/2)*(Inputs!$J$6-Inputs!$I$6)))/Inputs!$K$6)^2),NA())</f>
        <v>400.01345600000002</v>
      </c>
      <c r="BA129" s="9">
        <f>IF(OR(Inputs!$F$7=TRUE,Inputs!$F$7="TRUE",Inputs!$F$7=1),(Inputs!$H$7+Inputs!$L$7*(((Inputs!$I$7+(((A129)+1)/2)*(Inputs!$J$7-Inputs!$I$7)))/Inputs!$K$7)^2),NA())</f>
        <v>36.227860000000007</v>
      </c>
      <c r="BB129" s="9">
        <f>IF(OR(Inputs!$F$8=TRUE,Inputs!$F$8="TRUE",Inputs!$F$8=1),(Inputs!$H$8+Inputs!$L$8*(((Inputs!$I$8+(((A129)+1)/2)*(Inputs!$J$8-Inputs!$I$8)))/Inputs!$K$8)^2),NA())</f>
        <v>38.246260000000014</v>
      </c>
      <c r="BC129" s="9">
        <f>IF(OR(Inputs!$F$9=TRUE,Inputs!$F$9="TRUE",Inputs!$F$9=1),(Inputs!$H$9+Inputs!$L$9*(((Inputs!$I$9+(((A129)+1)/2)*(Inputs!$J$9-Inputs!$I$9)))/Inputs!$K$9)^2),NA())</f>
        <v>28.279900000000012</v>
      </c>
      <c r="BD129" s="10"/>
      <c r="BE129" s="9">
        <f t="shared" si="17"/>
        <v>5.8000000000000003E-2</v>
      </c>
      <c r="BF129" s="9">
        <f>0</f>
        <v>0</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row>
    <row r="130" spans="1:62">
      <c r="A130" s="9">
        <f>ROUND(-1+128*2/240,3)</f>
        <v>6.7000000000000004E-2</v>
      </c>
      <c r="B130" s="9">
        <f>IF(OR(Inputs!$F$6=TRUE,Inputs!$F$6="TRUE",Inputs!$F$6=1),(Inputs!$H$6+Inputs!$L$6*(((Inputs!$I$6+(((A130)+1)/2)*(Inputs!$J$6-Inputs!$I$6)))/Inputs!$K$6)^2),NA())</f>
        <v>400.01795600000003</v>
      </c>
      <c r="C130" s="9">
        <f>IF(OR(Inputs!$F$7=TRUE,Inputs!$F$7="TRUE",Inputs!$F$7=1),(Inputs!$H$7+Inputs!$L$7*(((Inputs!$I$7+(((A130)+1)/2)*(Inputs!$J$7-Inputs!$I$7)))/Inputs!$K$7)^2),NA())</f>
        <v>36.638484999999996</v>
      </c>
      <c r="D130" s="9">
        <f>IF(OR(Inputs!$F$8=TRUE,Inputs!$F$8="TRUE",Inputs!$F$8=1),(Inputs!$H$8+Inputs!$L$8*(((Inputs!$I$8+(((A130)+1)/2)*(Inputs!$J$8-Inputs!$I$8)))/Inputs!$K$8)^2),NA())</f>
        <v>39.331884999999986</v>
      </c>
      <c r="E130" s="9">
        <f>IF(OR(Inputs!$F$9=TRUE,Inputs!$F$9="TRUE",Inputs!$F$9=1),(Inputs!$H$9+Inputs!$L$9*(((Inputs!$I$9+(((A130)+1)/2)*(Inputs!$J$9-Inputs!$I$9)))/Inputs!$K$9)^2),NA())</f>
        <v>29.376774999999988</v>
      </c>
      <c r="F130" s="10"/>
      <c r="G130" s="9">
        <f t="shared" ref="G130:G193" si="18">A130</f>
        <v>6.7000000000000004E-2</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c r="L130" s="10"/>
      <c r="M130" s="9">
        <f t="shared" ref="M130:M193" si="19">A130</f>
        <v>6.7000000000000004E-2</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-34.413522888184524</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-980.98807337794676</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-1372.9504843158597</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-1432.7492733841825</v>
      </c>
      <c r="R130" s="10"/>
      <c r="S130" s="9">
        <f t="shared" ref="S130:S193" si="20">A130</f>
        <v>6.7000000000000004E-2</v>
      </c>
      <c r="T130" s="9">
        <f>(Inputs!$I$6+(((A130)+1)/2)*(Inputs!$J$6-Inputs!$I$6))</f>
        <v>4.019999999999996</v>
      </c>
      <c r="U130" s="9">
        <f>(Inputs!$I$7+(((A130)+1)/2)*(Inputs!$J$7-Inputs!$I$7))</f>
        <v>26.799999999999955</v>
      </c>
      <c r="V130" s="9">
        <f>(Inputs!$I$8+(((A130)+1)/2)*(Inputs!$J$8-Inputs!$I$8))</f>
        <v>53.599999999999909</v>
      </c>
      <c r="W130" s="9">
        <f>(Inputs!$I$9+(((A130)+1)/2)*(Inputs!$J$9-Inputs!$I$9))</f>
        <v>53.599999999999909</v>
      </c>
      <c r="X130" s="10"/>
      <c r="Y130" s="9">
        <f t="shared" ref="Y130:Y193" si="21">A130</f>
        <v>6.7000000000000004E-2</v>
      </c>
      <c r="Z130" s="9">
        <f>(Inputs!$H$6+Inputs!$L$6*(((Inputs!$I$6+(((A130)+1)/2)*(Inputs!$J$6-Inputs!$I$6)))/Inputs!$K$6)^2)</f>
        <v>400.01795600000003</v>
      </c>
      <c r="AA130" s="9">
        <f>(Inputs!$H$7+Inputs!$L$7*(((Inputs!$I$7+(((A130)+1)/2)*(Inputs!$J$7-Inputs!$I$7)))/Inputs!$K$7)^2)</f>
        <v>36.638484999999996</v>
      </c>
      <c r="AB130" s="9">
        <f>(Inputs!$H$8+Inputs!$L$8*(((Inputs!$I$8+(((A130)+1)/2)*(Inputs!$J$8-Inputs!$I$8)))/Inputs!$K$8)^2)</f>
        <v>39.331884999999986</v>
      </c>
      <c r="AC130" s="9">
        <f>(Inputs!$H$9+Inputs!$L$9*(((Inputs!$I$9+(((A130)+1)/2)*(Inputs!$J$9-Inputs!$I$9)))/Inputs!$K$9)^2)</f>
        <v>29.376774999999988</v>
      </c>
      <c r="AD130" s="10"/>
      <c r="AE130" s="9">
        <f t="shared" ref="AE130:AE193" si="22">A130</f>
        <v>6.7000000000000004E-2</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564.90081472946497</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8700.6732003036032</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18152.141716400081</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20873.125437216957</v>
      </c>
      <c r="AJ130" s="10"/>
      <c r="AK130" s="9">
        <f t="shared" ref="AK130:AK193" si="23">A130</f>
        <v>6.7000000000000004E-2</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-34.413522888184524</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-980.98807337794676</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-1372.9504843158597</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-1432.7492733841825</v>
      </c>
      <c r="AP130" s="10"/>
      <c r="AQ130" s="9">
        <f t="shared" ref="AQ130:AQ193" si="24">A130</f>
        <v>6.7000000000000004E-2</v>
      </c>
      <c r="AR130" s="9">
        <f>0</f>
        <v>0</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544.97405481543808</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350.39069580116006</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179.63523580513873</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179.63523580513873</v>
      </c>
      <c r="AW130" s="10"/>
      <c r="AX130" s="9">
        <f t="shared" ref="AX130:AX193" si="25">A130</f>
        <v>6.7000000000000004E-2</v>
      </c>
      <c r="AY130" s="9">
        <f>0</f>
        <v>0</v>
      </c>
      <c r="AZ130" s="9">
        <f>IF(OR(Inputs!$F$6=TRUE,Inputs!$F$6="TRUE",Inputs!$F$6=1),(Inputs!$H$6+Inputs!$L$6*(((Inputs!$I$6+(((A130)+1)/2)*(Inputs!$J$6-Inputs!$I$6)))/Inputs!$K$6)^2),NA())</f>
        <v>400.01795600000003</v>
      </c>
      <c r="BA130" s="9">
        <f>IF(OR(Inputs!$F$7=TRUE,Inputs!$F$7="TRUE",Inputs!$F$7=1),(Inputs!$H$7+Inputs!$L$7*(((Inputs!$I$7+(((A130)+1)/2)*(Inputs!$J$7-Inputs!$I$7)))/Inputs!$K$7)^2),NA())</f>
        <v>36.638484999999996</v>
      </c>
      <c r="BB130" s="9">
        <f>IF(OR(Inputs!$F$8=TRUE,Inputs!$F$8="TRUE",Inputs!$F$8=1),(Inputs!$H$8+Inputs!$L$8*(((Inputs!$I$8+(((A130)+1)/2)*(Inputs!$J$8-Inputs!$I$8)))/Inputs!$K$8)^2),NA())</f>
        <v>39.331884999999986</v>
      </c>
      <c r="BC130" s="9">
        <f>IF(OR(Inputs!$F$9=TRUE,Inputs!$F$9="TRUE",Inputs!$F$9=1),(Inputs!$H$9+Inputs!$L$9*(((Inputs!$I$9+(((A130)+1)/2)*(Inputs!$J$9-Inputs!$I$9)))/Inputs!$K$9)^2),NA())</f>
        <v>29.376774999999988</v>
      </c>
      <c r="BD130" s="10"/>
      <c r="BE130" s="9">
        <f t="shared" ref="BE130:BE193" si="26">A130</f>
        <v>6.7000000000000004E-2</v>
      </c>
      <c r="BF130" s="9">
        <f>0</f>
        <v>0</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row>
    <row r="131" spans="1:62">
      <c r="A131" s="9">
        <f>ROUND(-1+129*2/240,3)</f>
        <v>7.4999999999999997E-2</v>
      </c>
      <c r="B131" s="9">
        <f>IF(OR(Inputs!$F$6=TRUE,Inputs!$F$6="TRUE",Inputs!$F$6=1),(Inputs!$H$6+Inputs!$L$6*(((Inputs!$I$6+(((A131)+1)/2)*(Inputs!$J$6-Inputs!$I$6)))/Inputs!$K$6)^2),NA())</f>
        <v>400.02249999999998</v>
      </c>
      <c r="C131" s="9">
        <f>IF(OR(Inputs!$F$7=TRUE,Inputs!$F$7="TRUE",Inputs!$F$7=1),(Inputs!$H$7+Inputs!$L$7*(((Inputs!$I$7+(((A131)+1)/2)*(Inputs!$J$7-Inputs!$I$7)))/Inputs!$K$7)^2),NA())</f>
        <v>37.053125000000001</v>
      </c>
      <c r="D131" s="9">
        <f>IF(OR(Inputs!$F$8=TRUE,Inputs!$F$8="TRUE",Inputs!$F$8=1),(Inputs!$H$8+Inputs!$L$8*(((Inputs!$I$8+(((A131)+1)/2)*(Inputs!$J$8-Inputs!$I$8)))/Inputs!$K$8)^2),NA())</f>
        <v>40.428125000000001</v>
      </c>
      <c r="E131" s="9">
        <f>IF(OR(Inputs!$F$9=TRUE,Inputs!$F$9="TRUE",Inputs!$F$9=1),(Inputs!$H$9+Inputs!$L$9*(((Inputs!$I$9+(((A131)+1)/2)*(Inputs!$J$9-Inputs!$I$9)))/Inputs!$K$9)^2),NA())</f>
        <v>30.484375</v>
      </c>
      <c r="F131" s="10"/>
      <c r="G131" s="9">
        <f t="shared" si="18"/>
        <v>7.4999999999999997E-2</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c r="L131" s="10"/>
      <c r="M131" s="9">
        <f t="shared" si="19"/>
        <v>7.4999999999999997E-2</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-38.521828856298107</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-1058.8749722809732</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-1431.0362626313524</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-1480.8862192067272</v>
      </c>
      <c r="R131" s="10"/>
      <c r="S131" s="9">
        <f t="shared" si="20"/>
        <v>7.4999999999999997E-2</v>
      </c>
      <c r="T131" s="9">
        <f>(Inputs!$I$6+(((A131)+1)/2)*(Inputs!$J$6-Inputs!$I$6))</f>
        <v>4.5</v>
      </c>
      <c r="U131" s="9">
        <f>(Inputs!$I$7+(((A131)+1)/2)*(Inputs!$J$7-Inputs!$I$7))</f>
        <v>30</v>
      </c>
      <c r="V131" s="9">
        <f>(Inputs!$I$8+(((A131)+1)/2)*(Inputs!$J$8-Inputs!$I$8))</f>
        <v>60</v>
      </c>
      <c r="W131" s="9">
        <f>(Inputs!$I$9+(((A131)+1)/2)*(Inputs!$J$9-Inputs!$I$9))</f>
        <v>60</v>
      </c>
      <c r="X131" s="10"/>
      <c r="Y131" s="9">
        <f t="shared" si="21"/>
        <v>7.4999999999999997E-2</v>
      </c>
      <c r="Z131" s="9">
        <f>(Inputs!$H$6+Inputs!$L$6*(((Inputs!$I$6+(((A131)+1)/2)*(Inputs!$J$6-Inputs!$I$6)))/Inputs!$K$6)^2)</f>
        <v>400.02249999999998</v>
      </c>
      <c r="AA131" s="9">
        <f>(Inputs!$H$7+Inputs!$L$7*(((Inputs!$I$7+(((A131)+1)/2)*(Inputs!$J$7-Inputs!$I$7)))/Inputs!$K$7)^2)</f>
        <v>37.053125000000001</v>
      </c>
      <c r="AB131" s="9">
        <f>(Inputs!$H$8+Inputs!$L$8*(((Inputs!$I$8+(((A131)+1)/2)*(Inputs!$J$8-Inputs!$I$8)))/Inputs!$K$8)^2)</f>
        <v>40.428125000000001</v>
      </c>
      <c r="AC131" s="9">
        <f>(Inputs!$H$9+Inputs!$L$9*(((Inputs!$I$9+(((A131)+1)/2)*(Inputs!$J$9-Inputs!$I$9)))/Inputs!$K$9)^2)</f>
        <v>30.484375</v>
      </c>
      <c r="AD131" s="10"/>
      <c r="AE131" s="9">
        <f t="shared" si="22"/>
        <v>7.4999999999999997E-2</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568.49424671267104</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9614.4949326346814</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20688.923189965295</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23526.503633044715</v>
      </c>
      <c r="AJ131" s="10"/>
      <c r="AK131" s="9">
        <f t="shared" si="23"/>
        <v>7.4999999999999997E-2</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-38.521828856298107</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-1058.8749722809732</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-1431.0362626313524</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-1480.8862192067272</v>
      </c>
      <c r="AP131" s="10"/>
      <c r="AQ131" s="9">
        <f t="shared" si="24"/>
        <v>7.4999999999999997E-2</v>
      </c>
      <c r="AR131" s="9">
        <f>0</f>
        <v>0</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568.64363822483097</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258.38103540276461</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179.34901119414707</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179.34901119414707</v>
      </c>
      <c r="AW131" s="10"/>
      <c r="AX131" s="9">
        <f t="shared" si="25"/>
        <v>7.4999999999999997E-2</v>
      </c>
      <c r="AY131" s="9">
        <f>0</f>
        <v>0</v>
      </c>
      <c r="AZ131" s="9">
        <f>IF(OR(Inputs!$F$6=TRUE,Inputs!$F$6="TRUE",Inputs!$F$6=1),(Inputs!$H$6+Inputs!$L$6*(((Inputs!$I$6+(((A131)+1)/2)*(Inputs!$J$6-Inputs!$I$6)))/Inputs!$K$6)^2),NA())</f>
        <v>400.02249999999998</v>
      </c>
      <c r="BA131" s="9">
        <f>IF(OR(Inputs!$F$7=TRUE,Inputs!$F$7="TRUE",Inputs!$F$7=1),(Inputs!$H$7+Inputs!$L$7*(((Inputs!$I$7+(((A131)+1)/2)*(Inputs!$J$7-Inputs!$I$7)))/Inputs!$K$7)^2),NA())</f>
        <v>37.053125000000001</v>
      </c>
      <c r="BB131" s="9">
        <f>IF(OR(Inputs!$F$8=TRUE,Inputs!$F$8="TRUE",Inputs!$F$8=1),(Inputs!$H$8+Inputs!$L$8*(((Inputs!$I$8+(((A131)+1)/2)*(Inputs!$J$8-Inputs!$I$8)))/Inputs!$K$8)^2),NA())</f>
        <v>40.428125000000001</v>
      </c>
      <c r="BC131" s="9">
        <f>IF(OR(Inputs!$F$9=TRUE,Inputs!$F$9="TRUE",Inputs!$F$9=1),(Inputs!$H$9+Inputs!$L$9*(((Inputs!$I$9+(((A131)+1)/2)*(Inputs!$J$9-Inputs!$I$9)))/Inputs!$K$9)^2),NA())</f>
        <v>30.484375</v>
      </c>
      <c r="BD131" s="10"/>
      <c r="BE131" s="9">
        <f t="shared" si="26"/>
        <v>7.4999999999999997E-2</v>
      </c>
      <c r="BF131" s="9">
        <f>0</f>
        <v>0</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row>
    <row r="132" spans="1:62">
      <c r="A132" s="9">
        <f>ROUND(-1+130*2/240,3)</f>
        <v>8.3000000000000004E-2</v>
      </c>
      <c r="B132" s="9">
        <f>IF(OR(Inputs!$F$6=TRUE,Inputs!$F$6="TRUE",Inputs!$F$6=1),(Inputs!$H$6+Inputs!$L$6*(((Inputs!$I$6+(((A132)+1)/2)*(Inputs!$J$6-Inputs!$I$6)))/Inputs!$K$6)^2),NA())</f>
        <v>400.027556</v>
      </c>
      <c r="C132" s="9">
        <f>IF(OR(Inputs!$F$7=TRUE,Inputs!$F$7="TRUE",Inputs!$F$7=1),(Inputs!$H$7+Inputs!$L$7*(((Inputs!$I$7+(((A132)+1)/2)*(Inputs!$J$7-Inputs!$I$7)))/Inputs!$K$7)^2),NA())</f>
        <v>37.514485000000001</v>
      </c>
      <c r="D132" s="9">
        <f>IF(OR(Inputs!$F$8=TRUE,Inputs!$F$8="TRUE",Inputs!$F$8=1),(Inputs!$H$8+Inputs!$L$8*(((Inputs!$I$8+(((A132)+1)/2)*(Inputs!$J$8-Inputs!$I$8)))/Inputs!$K$8)^2),NA())</f>
        <v>41.647884999999995</v>
      </c>
      <c r="E132" s="9">
        <f>IF(OR(Inputs!$F$9=TRUE,Inputs!$F$9="TRUE",Inputs!$F$9=1),(Inputs!$H$9+Inputs!$L$9*(((Inputs!$I$9+(((A132)+1)/2)*(Inputs!$J$9-Inputs!$I$9)))/Inputs!$K$9)^2),NA())</f>
        <v>31.716774999999995</v>
      </c>
      <c r="F132" s="10"/>
      <c r="G132" s="9">
        <f t="shared" si="18"/>
        <v>8.3000000000000004E-2</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c r="L132" s="10"/>
      <c r="M132" s="9">
        <f t="shared" si="19"/>
        <v>8.3000000000000004E-2</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-42.629874154354397</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-1128.8337721741261</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-1479.2982654164057</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-1520.4206404983338</v>
      </c>
      <c r="R132" s="10"/>
      <c r="S132" s="9">
        <f t="shared" si="20"/>
        <v>8.3000000000000004E-2</v>
      </c>
      <c r="T132" s="9">
        <f>(Inputs!$I$6+(((A132)+1)/2)*(Inputs!$J$6-Inputs!$I$6))</f>
        <v>4.980000000000004</v>
      </c>
      <c r="U132" s="9">
        <f>(Inputs!$I$7+(((A132)+1)/2)*(Inputs!$J$7-Inputs!$I$7))</f>
        <v>33.199999999999989</v>
      </c>
      <c r="V132" s="9">
        <f>(Inputs!$I$8+(((A132)+1)/2)*(Inputs!$J$8-Inputs!$I$8))</f>
        <v>66.399999999999977</v>
      </c>
      <c r="W132" s="9">
        <f>(Inputs!$I$9+(((A132)+1)/2)*(Inputs!$J$9-Inputs!$I$9))</f>
        <v>66.399999999999977</v>
      </c>
      <c r="X132" s="10"/>
      <c r="Y132" s="9">
        <f t="shared" si="21"/>
        <v>8.3000000000000004E-2</v>
      </c>
      <c r="Z132" s="9">
        <f>(Inputs!$H$6+Inputs!$L$6*(((Inputs!$I$6+(((A132)+1)/2)*(Inputs!$J$6-Inputs!$I$6)))/Inputs!$K$6)^2)</f>
        <v>400.027556</v>
      </c>
      <c r="AA132" s="9">
        <f>(Inputs!$H$7+Inputs!$L$7*(((Inputs!$I$7+(((A132)+1)/2)*(Inputs!$J$7-Inputs!$I$7)))/Inputs!$K$7)^2)</f>
        <v>37.514485000000001</v>
      </c>
      <c r="AB132" s="9">
        <f>(Inputs!$H$8+Inputs!$L$8*(((Inputs!$I$8+(((A132)+1)/2)*(Inputs!$J$8-Inputs!$I$8)))/Inputs!$K$8)^2)</f>
        <v>41.647884999999995</v>
      </c>
      <c r="AC132" s="9">
        <f>(Inputs!$H$9+Inputs!$L$9*(((Inputs!$I$9+(((A132)+1)/2)*(Inputs!$J$9-Inputs!$I$9)))/Inputs!$K$9)^2)</f>
        <v>31.716774999999995</v>
      </c>
      <c r="AD132" s="10"/>
      <c r="AE132" s="9">
        <f t="shared" si="22"/>
        <v>8.3000000000000004E-2</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572.49242778901294</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10585.062394302196</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23275.301181611485</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26207.765915968655</v>
      </c>
      <c r="AJ132" s="10"/>
      <c r="AK132" s="9">
        <f t="shared" si="23"/>
        <v>8.3000000000000004E-2</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-42.629874154354397</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-1128.8337721741261</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-1479.2982654164057</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-1520.4206404983338</v>
      </c>
      <c r="AP132" s="10"/>
      <c r="AQ132" s="9">
        <f t="shared" si="24"/>
        <v>8.3000000000000004E-2</v>
      </c>
      <c r="AR132" s="9">
        <f>0</f>
        <v>0</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557.73455585404395</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226.03283319634261</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104.61410316736996</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104.61410316736996</v>
      </c>
      <c r="AW132" s="10"/>
      <c r="AX132" s="9">
        <f t="shared" si="25"/>
        <v>8.3000000000000004E-2</v>
      </c>
      <c r="AY132" s="9">
        <f>0</f>
        <v>0</v>
      </c>
      <c r="AZ132" s="9">
        <f>IF(OR(Inputs!$F$6=TRUE,Inputs!$F$6="TRUE",Inputs!$F$6=1),(Inputs!$H$6+Inputs!$L$6*(((Inputs!$I$6+(((A132)+1)/2)*(Inputs!$J$6-Inputs!$I$6)))/Inputs!$K$6)^2),NA())</f>
        <v>400.027556</v>
      </c>
      <c r="BA132" s="9">
        <f>IF(OR(Inputs!$F$7=TRUE,Inputs!$F$7="TRUE",Inputs!$F$7=1),(Inputs!$H$7+Inputs!$L$7*(((Inputs!$I$7+(((A132)+1)/2)*(Inputs!$J$7-Inputs!$I$7)))/Inputs!$K$7)^2),NA())</f>
        <v>37.514485000000001</v>
      </c>
      <c r="BB132" s="9">
        <f>IF(OR(Inputs!$F$8=TRUE,Inputs!$F$8="TRUE",Inputs!$F$8=1),(Inputs!$H$8+Inputs!$L$8*(((Inputs!$I$8+(((A132)+1)/2)*(Inputs!$J$8-Inputs!$I$8)))/Inputs!$K$8)^2),NA())</f>
        <v>41.647884999999995</v>
      </c>
      <c r="BC132" s="9">
        <f>IF(OR(Inputs!$F$9=TRUE,Inputs!$F$9="TRUE",Inputs!$F$9=1),(Inputs!$H$9+Inputs!$L$9*(((Inputs!$I$9+(((A132)+1)/2)*(Inputs!$J$9-Inputs!$I$9)))/Inputs!$K$9)^2),NA())</f>
        <v>31.716774999999995</v>
      </c>
      <c r="BD132" s="10"/>
      <c r="BE132" s="9">
        <f t="shared" si="26"/>
        <v>8.3000000000000004E-2</v>
      </c>
      <c r="BF132" s="9">
        <f>0</f>
        <v>0</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row>
    <row r="133" spans="1:62">
      <c r="A133" s="9">
        <f>ROUND(-1+131*2/240,3)</f>
        <v>9.1999999999999998E-2</v>
      </c>
      <c r="B133" s="9">
        <f>IF(OR(Inputs!$F$6=TRUE,Inputs!$F$6="TRUE",Inputs!$F$6=1),(Inputs!$H$6+Inputs!$L$6*(((Inputs!$I$6+(((A133)+1)/2)*(Inputs!$J$6-Inputs!$I$6)))/Inputs!$K$6)^2),NA())</f>
        <v>400.03385600000001</v>
      </c>
      <c r="C133" s="9">
        <f>IF(OR(Inputs!$F$7=TRUE,Inputs!$F$7="TRUE",Inputs!$F$7=1),(Inputs!$H$7+Inputs!$L$7*(((Inputs!$I$7+(((A133)+1)/2)*(Inputs!$J$7-Inputs!$I$7)))/Inputs!$K$7)^2),NA())</f>
        <v>38.089359999999999</v>
      </c>
      <c r="D133" s="9">
        <f>IF(OR(Inputs!$F$8=TRUE,Inputs!$F$8="TRUE",Inputs!$F$8=1),(Inputs!$H$8+Inputs!$L$8*(((Inputs!$I$8+(((A133)+1)/2)*(Inputs!$J$8-Inputs!$I$8)))/Inputs!$K$8)^2),NA())</f>
        <v>43.167760000000001</v>
      </c>
      <c r="E133" s="9">
        <f>IF(OR(Inputs!$F$9=TRUE,Inputs!$F$9="TRUE",Inputs!$F$9=1),(Inputs!$H$9+Inputs!$L$9*(((Inputs!$I$9+(((A133)+1)/2)*(Inputs!$J$9-Inputs!$I$9)))/Inputs!$K$9)^2),NA())</f>
        <v>33.252400000000009</v>
      </c>
      <c r="F133" s="10"/>
      <c r="G133" s="9">
        <f t="shared" si="18"/>
        <v>9.1999999999999998E-2</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c r="L133" s="10"/>
      <c r="M133" s="9">
        <f t="shared" si="19"/>
        <v>9.1999999999999998E-2</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-47.251078967227301</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-1198.979589355481</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-1524.7524745215871</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-1557.481764365157</v>
      </c>
      <c r="R133" s="10"/>
      <c r="S133" s="9">
        <f t="shared" si="20"/>
        <v>9.1999999999999998E-2</v>
      </c>
      <c r="T133" s="9">
        <f>(Inputs!$I$6+(((A133)+1)/2)*(Inputs!$J$6-Inputs!$I$6))</f>
        <v>5.5200000000000102</v>
      </c>
      <c r="U133" s="9">
        <f>(Inputs!$I$7+(((A133)+1)/2)*(Inputs!$J$7-Inputs!$I$7))</f>
        <v>36.800000000000011</v>
      </c>
      <c r="V133" s="9">
        <f>(Inputs!$I$8+(((A133)+1)/2)*(Inputs!$J$8-Inputs!$I$8))</f>
        <v>73.600000000000023</v>
      </c>
      <c r="W133" s="9">
        <f>(Inputs!$I$9+(((A133)+1)/2)*(Inputs!$J$9-Inputs!$I$9))</f>
        <v>73.600000000000023</v>
      </c>
      <c r="X133" s="10"/>
      <c r="Y133" s="9">
        <f t="shared" si="21"/>
        <v>9.1999999999999998E-2</v>
      </c>
      <c r="Z133" s="9">
        <f>(Inputs!$H$6+Inputs!$L$6*(((Inputs!$I$6+(((A133)+1)/2)*(Inputs!$J$6-Inputs!$I$6)))/Inputs!$K$6)^2)</f>
        <v>400.03385600000001</v>
      </c>
      <c r="AA133" s="9">
        <f>(Inputs!$H$7+Inputs!$L$7*(((Inputs!$I$7+(((A133)+1)/2)*(Inputs!$J$7-Inputs!$I$7)))/Inputs!$K$7)^2)</f>
        <v>38.089359999999999</v>
      </c>
      <c r="AB133" s="9">
        <f>(Inputs!$H$8+Inputs!$L$8*(((Inputs!$I$8+(((A133)+1)/2)*(Inputs!$J$8-Inputs!$I$8)))/Inputs!$K$8)^2)</f>
        <v>43.167760000000001</v>
      </c>
      <c r="AC133" s="9">
        <f>(Inputs!$H$9+Inputs!$L$9*(((Inputs!$I$9+(((A133)+1)/2)*(Inputs!$J$9-Inputs!$I$9)))/Inputs!$K$9)^2)</f>
        <v>33.252400000000009</v>
      </c>
      <c r="AD133" s="10"/>
      <c r="AE133" s="9">
        <f t="shared" si="22"/>
        <v>9.1999999999999998E-2</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577.47412535227954</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11734.231066539389</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26220.396952784718</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29237.060247490321</v>
      </c>
      <c r="AJ133" s="10"/>
      <c r="AK133" s="9">
        <f t="shared" si="23"/>
        <v>9.1999999999999998E-2</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-47.251078967227301</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-1198.979589355481</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-1524.7524745215871</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-1557.481764365157</v>
      </c>
      <c r="AP133" s="10"/>
      <c r="AQ133" s="9">
        <f t="shared" si="24"/>
        <v>9.1999999999999998E-2</v>
      </c>
      <c r="AR133" s="9">
        <f>0</f>
        <v>0</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540.39085009663972</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276.8222629104589</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187.27989937790412</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187.27989937790412</v>
      </c>
      <c r="AW133" s="10"/>
      <c r="AX133" s="9">
        <f t="shared" si="25"/>
        <v>9.1999999999999998E-2</v>
      </c>
      <c r="AY133" s="9">
        <f>0</f>
        <v>0</v>
      </c>
      <c r="AZ133" s="9">
        <f>IF(OR(Inputs!$F$6=TRUE,Inputs!$F$6="TRUE",Inputs!$F$6=1),(Inputs!$H$6+Inputs!$L$6*(((Inputs!$I$6+(((A133)+1)/2)*(Inputs!$J$6-Inputs!$I$6)))/Inputs!$K$6)^2),NA())</f>
        <v>400.03385600000001</v>
      </c>
      <c r="BA133" s="9">
        <f>IF(OR(Inputs!$F$7=TRUE,Inputs!$F$7="TRUE",Inputs!$F$7=1),(Inputs!$H$7+Inputs!$L$7*(((Inputs!$I$7+(((A133)+1)/2)*(Inputs!$J$7-Inputs!$I$7)))/Inputs!$K$7)^2),NA())</f>
        <v>38.089359999999999</v>
      </c>
      <c r="BB133" s="9">
        <f>IF(OR(Inputs!$F$8=TRUE,Inputs!$F$8="TRUE",Inputs!$F$8=1),(Inputs!$H$8+Inputs!$L$8*(((Inputs!$I$8+(((A133)+1)/2)*(Inputs!$J$8-Inputs!$I$8)))/Inputs!$K$8)^2),NA())</f>
        <v>43.167760000000001</v>
      </c>
      <c r="BC133" s="9">
        <f>IF(OR(Inputs!$F$9=TRUE,Inputs!$F$9="TRUE",Inputs!$F$9=1),(Inputs!$H$9+Inputs!$L$9*(((Inputs!$I$9+(((A133)+1)/2)*(Inputs!$J$9-Inputs!$I$9)))/Inputs!$K$9)^2),NA())</f>
        <v>33.252400000000009</v>
      </c>
      <c r="BD133" s="10"/>
      <c r="BE133" s="9">
        <f t="shared" si="26"/>
        <v>9.1999999999999998E-2</v>
      </c>
      <c r="BF133" s="9">
        <f>0</f>
        <v>0</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row>
    <row r="134" spans="1:62">
      <c r="A134" s="9">
        <f>ROUND(-1+132*2/240,3)</f>
        <v>0.1</v>
      </c>
      <c r="B134" s="9">
        <f>IF(OR(Inputs!$F$6=TRUE,Inputs!$F$6="TRUE",Inputs!$F$6=1),(Inputs!$H$6+Inputs!$L$6*(((Inputs!$I$6+(((A134)+1)/2)*(Inputs!$J$6-Inputs!$I$6)))/Inputs!$K$6)^2),NA())</f>
        <v>400.04</v>
      </c>
      <c r="C134" s="9">
        <f>IF(OR(Inputs!$F$7=TRUE,Inputs!$F$7="TRUE",Inputs!$F$7=1),(Inputs!$H$7+Inputs!$L$7*(((Inputs!$I$7+(((A134)+1)/2)*(Inputs!$J$7-Inputs!$I$7)))/Inputs!$K$7)^2),NA())</f>
        <v>38.650000000000013</v>
      </c>
      <c r="D134" s="9">
        <f>IF(OR(Inputs!$F$8=TRUE,Inputs!$F$8="TRUE",Inputs!$F$8=1),(Inputs!$H$8+Inputs!$L$8*(((Inputs!$I$8+(((A134)+1)/2)*(Inputs!$J$8-Inputs!$I$8)))/Inputs!$K$8)^2),NA())</f>
        <v>44.650000000000027</v>
      </c>
      <c r="E134" s="9">
        <f>IF(OR(Inputs!$F$9=TRUE,Inputs!$F$9="TRUE",Inputs!$F$9=1),(Inputs!$H$9+Inputs!$L$9*(((Inputs!$I$9+(((A134)+1)/2)*(Inputs!$J$9-Inputs!$I$9)))/Inputs!$K$9)^2),NA())</f>
        <v>34.750000000000028</v>
      </c>
      <c r="F134" s="10"/>
      <c r="G134" s="9">
        <f t="shared" si="18"/>
        <v>0.1</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c r="L134" s="10"/>
      <c r="M134" s="9">
        <f t="shared" si="19"/>
        <v>0.1</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-51.358478182607129</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-1254.5616506235951</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-1559.2372196507552</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-1585.650836580191</v>
      </c>
      <c r="R134" s="10"/>
      <c r="S134" s="9">
        <f t="shared" si="20"/>
        <v>0.1</v>
      </c>
      <c r="T134" s="9">
        <f>(Inputs!$I$6+(((A134)+1)/2)*(Inputs!$J$6-Inputs!$I$6))</f>
        <v>6</v>
      </c>
      <c r="U134" s="9">
        <f>(Inputs!$I$7+(((A134)+1)/2)*(Inputs!$J$7-Inputs!$I$7))</f>
        <v>40.000000000000057</v>
      </c>
      <c r="V134" s="9">
        <f>(Inputs!$I$8+(((A134)+1)/2)*(Inputs!$J$8-Inputs!$I$8))</f>
        <v>80.000000000000114</v>
      </c>
      <c r="W134" s="9">
        <f>(Inputs!$I$9+(((A134)+1)/2)*(Inputs!$J$9-Inputs!$I$9))</f>
        <v>80.000000000000114</v>
      </c>
      <c r="X134" s="10"/>
      <c r="Y134" s="9">
        <f t="shared" si="21"/>
        <v>0.1</v>
      </c>
      <c r="Z134" s="9">
        <f>(Inputs!$H$6+Inputs!$L$6*(((Inputs!$I$6+(((A134)+1)/2)*(Inputs!$J$6-Inputs!$I$6)))/Inputs!$K$6)^2)</f>
        <v>400.04</v>
      </c>
      <c r="AA134" s="9">
        <f>(Inputs!$H$7+Inputs!$L$7*(((Inputs!$I$7+(((A134)+1)/2)*(Inputs!$J$7-Inputs!$I$7)))/Inputs!$K$7)^2)</f>
        <v>38.650000000000013</v>
      </c>
      <c r="AB134" s="9">
        <f>(Inputs!$H$8+Inputs!$L$8*(((Inputs!$I$8+(((A134)+1)/2)*(Inputs!$J$8-Inputs!$I$8)))/Inputs!$K$8)^2)</f>
        <v>44.650000000000027</v>
      </c>
      <c r="AC134" s="9">
        <f>(Inputs!$H$9+Inputs!$L$9*(((Inputs!$I$9+(((A134)+1)/2)*(Inputs!$J$9-Inputs!$I$9)))/Inputs!$K$9)^2)</f>
        <v>34.750000000000028</v>
      </c>
      <c r="AD134" s="10"/>
      <c r="AE134" s="9">
        <f t="shared" si="22"/>
        <v>0.1</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582.33223878537478</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12798.217426138652</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28853.731148627205</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31928.029627044714</v>
      </c>
      <c r="AJ134" s="10"/>
      <c r="AK134" s="9">
        <f t="shared" si="23"/>
        <v>0.1</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-51.358478182607129</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-1254.5616506235951</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-1559.2372196507552</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-1585.650836580191</v>
      </c>
      <c r="AP134" s="10"/>
      <c r="AQ134" s="9">
        <f t="shared" si="24"/>
        <v>0.1</v>
      </c>
      <c r="AR134" s="9">
        <f>0</f>
        <v>0</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533.69206209739866</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304.82117388662635</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159.82837269141299</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159.82837269141299</v>
      </c>
      <c r="AW134" s="10"/>
      <c r="AX134" s="9">
        <f t="shared" si="25"/>
        <v>0.1</v>
      </c>
      <c r="AY134" s="9">
        <f>0</f>
        <v>0</v>
      </c>
      <c r="AZ134" s="9">
        <f>IF(OR(Inputs!$F$6=TRUE,Inputs!$F$6="TRUE",Inputs!$F$6=1),(Inputs!$H$6+Inputs!$L$6*(((Inputs!$I$6+(((A134)+1)/2)*(Inputs!$J$6-Inputs!$I$6)))/Inputs!$K$6)^2),NA())</f>
        <v>400.04</v>
      </c>
      <c r="BA134" s="9">
        <f>IF(OR(Inputs!$F$7=TRUE,Inputs!$F$7="TRUE",Inputs!$F$7=1),(Inputs!$H$7+Inputs!$L$7*(((Inputs!$I$7+(((A134)+1)/2)*(Inputs!$J$7-Inputs!$I$7)))/Inputs!$K$7)^2),NA())</f>
        <v>38.650000000000013</v>
      </c>
      <c r="BB134" s="9">
        <f>IF(OR(Inputs!$F$8=TRUE,Inputs!$F$8="TRUE",Inputs!$F$8=1),(Inputs!$H$8+Inputs!$L$8*(((Inputs!$I$8+(((A134)+1)/2)*(Inputs!$J$8-Inputs!$I$8)))/Inputs!$K$8)^2),NA())</f>
        <v>44.650000000000027</v>
      </c>
      <c r="BC134" s="9">
        <f>IF(OR(Inputs!$F$9=TRUE,Inputs!$F$9="TRUE",Inputs!$F$9=1),(Inputs!$H$9+Inputs!$L$9*(((Inputs!$I$9+(((A134)+1)/2)*(Inputs!$J$9-Inputs!$I$9)))/Inputs!$K$9)^2),NA())</f>
        <v>34.750000000000028</v>
      </c>
      <c r="BD134" s="10"/>
      <c r="BE134" s="9">
        <f t="shared" si="26"/>
        <v>0.1</v>
      </c>
      <c r="BF134" s="9">
        <f>0</f>
        <v>0</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row>
    <row r="135" spans="1:62">
      <c r="A135" s="9">
        <f>ROUND(-1+133*2/240,3)</f>
        <v>0.108</v>
      </c>
      <c r="B135" s="9">
        <f>IF(OR(Inputs!$F$6=TRUE,Inputs!$F$6="TRUE",Inputs!$F$6=1),(Inputs!$H$6+Inputs!$L$6*(((Inputs!$I$6+(((A135)+1)/2)*(Inputs!$J$6-Inputs!$I$6)))/Inputs!$K$6)^2),NA())</f>
        <v>400.04665599999998</v>
      </c>
      <c r="C135" s="9">
        <f>IF(OR(Inputs!$F$7=TRUE,Inputs!$F$7="TRUE",Inputs!$F$7=1),(Inputs!$H$7+Inputs!$L$7*(((Inputs!$I$7+(((A135)+1)/2)*(Inputs!$J$7-Inputs!$I$7)))/Inputs!$K$7)^2),NA())</f>
        <v>39.257360000000006</v>
      </c>
      <c r="D135" s="9">
        <f>IF(OR(Inputs!$F$8=TRUE,Inputs!$F$8="TRUE",Inputs!$F$8=1),(Inputs!$H$8+Inputs!$L$8*(((Inputs!$I$8+(((A135)+1)/2)*(Inputs!$J$8-Inputs!$I$8)))/Inputs!$K$8)^2),NA())</f>
        <v>46.255760000000024</v>
      </c>
      <c r="E135" s="9">
        <f>IF(OR(Inputs!$F$9=TRUE,Inputs!$F$9="TRUE",Inputs!$F$9=1),(Inputs!$H$9+Inputs!$L$9*(((Inputs!$I$9+(((A135)+1)/2)*(Inputs!$J$9-Inputs!$I$9)))/Inputs!$K$9)^2),NA())</f>
        <v>36.37240000000002</v>
      </c>
      <c r="F135" s="10"/>
      <c r="G135" s="9">
        <f t="shared" si="18"/>
        <v>0.108</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c r="L135" s="10"/>
      <c r="M135" s="9">
        <f t="shared" si="19"/>
        <v>0.108</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-55.465530020301387</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-1304.5358380491314</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-1589.5208239516617</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-1610.5555337184442</v>
      </c>
      <c r="R135" s="10"/>
      <c r="S135" s="9">
        <f t="shared" si="20"/>
        <v>0.108</v>
      </c>
      <c r="T135" s="9">
        <f>(Inputs!$I$6+(((A135)+1)/2)*(Inputs!$J$6-Inputs!$I$6))</f>
        <v>6.480000000000004</v>
      </c>
      <c r="U135" s="9">
        <f>(Inputs!$I$7+(((A135)+1)/2)*(Inputs!$J$7-Inputs!$I$7))</f>
        <v>43.200000000000045</v>
      </c>
      <c r="V135" s="9">
        <f>(Inputs!$I$8+(((A135)+1)/2)*(Inputs!$J$8-Inputs!$I$8))</f>
        <v>86.400000000000091</v>
      </c>
      <c r="W135" s="9">
        <f>(Inputs!$I$9+(((A135)+1)/2)*(Inputs!$J$9-Inputs!$I$9))</f>
        <v>86.400000000000091</v>
      </c>
      <c r="X135" s="10"/>
      <c r="Y135" s="9">
        <f t="shared" si="21"/>
        <v>0.108</v>
      </c>
      <c r="Z135" s="9">
        <f>(Inputs!$H$6+Inputs!$L$6*(((Inputs!$I$6+(((A135)+1)/2)*(Inputs!$J$6-Inputs!$I$6)))/Inputs!$K$6)^2)</f>
        <v>400.04665599999998</v>
      </c>
      <c r="AA135" s="9">
        <f>(Inputs!$H$7+Inputs!$L$7*(((Inputs!$I$7+(((A135)+1)/2)*(Inputs!$J$7-Inputs!$I$7)))/Inputs!$K$7)^2)</f>
        <v>39.257360000000006</v>
      </c>
      <c r="AB135" s="9">
        <f>(Inputs!$H$8+Inputs!$L$8*(((Inputs!$I$8+(((A135)+1)/2)*(Inputs!$J$8-Inputs!$I$8)))/Inputs!$K$8)^2)</f>
        <v>46.255760000000024</v>
      </c>
      <c r="AC135" s="9">
        <f>(Inputs!$H$9+Inputs!$L$9*(((Inputs!$I$9+(((A135)+1)/2)*(Inputs!$J$9-Inputs!$I$9)))/Inputs!$K$9)^2)</f>
        <v>36.37240000000002</v>
      </c>
      <c r="AD135" s="10"/>
      <c r="AE135" s="9">
        <f t="shared" si="22"/>
        <v>0.108</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587.59494117877682</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13895.191239175558</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31490.234040914525</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34608.334281496209</v>
      </c>
      <c r="AJ135" s="10"/>
      <c r="AK135" s="9">
        <f t="shared" si="23"/>
        <v>0.108</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-55.465530020301387</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-1304.5358380491314</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-1589.5208239516617</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-1610.5555337184442</v>
      </c>
      <c r="AP135" s="10"/>
      <c r="AQ135" s="9">
        <f t="shared" si="24"/>
        <v>0.108</v>
      </c>
      <c r="AR135" s="9">
        <f>0</f>
        <v>0</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532.31170423357742</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240.27263540699468</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127.96939858284249</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127.96939858284249</v>
      </c>
      <c r="AW135" s="10"/>
      <c r="AX135" s="9">
        <f t="shared" si="25"/>
        <v>0.108</v>
      </c>
      <c r="AY135" s="9">
        <f>0</f>
        <v>0</v>
      </c>
      <c r="AZ135" s="9">
        <f>IF(OR(Inputs!$F$6=TRUE,Inputs!$F$6="TRUE",Inputs!$F$6=1),(Inputs!$H$6+Inputs!$L$6*(((Inputs!$I$6+(((A135)+1)/2)*(Inputs!$J$6-Inputs!$I$6)))/Inputs!$K$6)^2),NA())</f>
        <v>400.04665599999998</v>
      </c>
      <c r="BA135" s="9">
        <f>IF(OR(Inputs!$F$7=TRUE,Inputs!$F$7="TRUE",Inputs!$F$7=1),(Inputs!$H$7+Inputs!$L$7*(((Inputs!$I$7+(((A135)+1)/2)*(Inputs!$J$7-Inputs!$I$7)))/Inputs!$K$7)^2),NA())</f>
        <v>39.257360000000006</v>
      </c>
      <c r="BB135" s="9">
        <f>IF(OR(Inputs!$F$8=TRUE,Inputs!$F$8="TRUE",Inputs!$F$8=1),(Inputs!$H$8+Inputs!$L$8*(((Inputs!$I$8+(((A135)+1)/2)*(Inputs!$J$8-Inputs!$I$8)))/Inputs!$K$8)^2),NA())</f>
        <v>46.255760000000024</v>
      </c>
      <c r="BC135" s="9">
        <f>IF(OR(Inputs!$F$9=TRUE,Inputs!$F$9="TRUE",Inputs!$F$9=1),(Inputs!$H$9+Inputs!$L$9*(((Inputs!$I$9+(((A135)+1)/2)*(Inputs!$J$9-Inputs!$I$9)))/Inputs!$K$9)^2),NA())</f>
        <v>36.37240000000002</v>
      </c>
      <c r="BD135" s="10"/>
      <c r="BE135" s="9">
        <f t="shared" si="26"/>
        <v>0.108</v>
      </c>
      <c r="BF135" s="9">
        <f>0</f>
        <v>0</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row>
    <row r="136" spans="1:62">
      <c r="A136" s="9">
        <f>ROUND(-1+134*2/240,3)</f>
        <v>0.11700000000000001</v>
      </c>
      <c r="B136" s="9">
        <f>IF(OR(Inputs!$F$6=TRUE,Inputs!$F$6="TRUE",Inputs!$F$6=1),(Inputs!$H$6+Inputs!$L$6*(((Inputs!$I$6+(((A136)+1)/2)*(Inputs!$J$6-Inputs!$I$6)))/Inputs!$K$6)^2),NA())</f>
        <v>400.054756</v>
      </c>
      <c r="C136" s="9">
        <f>IF(OR(Inputs!$F$7=TRUE,Inputs!$F$7="TRUE",Inputs!$F$7=1),(Inputs!$H$7+Inputs!$L$7*(((Inputs!$I$7+(((A136)+1)/2)*(Inputs!$J$7-Inputs!$I$7)))/Inputs!$K$7)^2),NA())</f>
        <v>39.996485000000007</v>
      </c>
      <c r="D136" s="9">
        <f>IF(OR(Inputs!$F$8=TRUE,Inputs!$F$8="TRUE",Inputs!$F$8=1),(Inputs!$H$8+Inputs!$L$8*(((Inputs!$I$8+(((A136)+1)/2)*(Inputs!$J$8-Inputs!$I$8)))/Inputs!$K$8)^2),NA())</f>
        <v>48.209885000000007</v>
      </c>
      <c r="E136" s="9">
        <f>IF(OR(Inputs!$F$9=TRUE,Inputs!$F$9="TRUE",Inputs!$F$9=1),(Inputs!$H$9+Inputs!$L$9*(((Inputs!$I$9+(((A136)+1)/2)*(Inputs!$J$9-Inputs!$I$9)))/Inputs!$K$9)^2),NA())</f>
        <v>38.346775000000008</v>
      </c>
      <c r="F136" s="10"/>
      <c r="G136" s="9">
        <f t="shared" si="18"/>
        <v>0.11700000000000001</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c r="L136" s="10"/>
      <c r="M136" s="9">
        <f t="shared" si="19"/>
        <v>0.11700000000000001</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-60.085513604645712</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-1354.9037405376112</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-1619.7906101947278</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-1635.7288561983473</v>
      </c>
      <c r="R136" s="10"/>
      <c r="S136" s="9">
        <f t="shared" si="20"/>
        <v>0.11700000000000001</v>
      </c>
      <c r="T136" s="9">
        <f>(Inputs!$I$6+(((A136)+1)/2)*(Inputs!$J$6-Inputs!$I$6))</f>
        <v>7.019999999999996</v>
      </c>
      <c r="U136" s="9">
        <f>(Inputs!$I$7+(((A136)+1)/2)*(Inputs!$J$7-Inputs!$I$7))</f>
        <v>46.800000000000011</v>
      </c>
      <c r="V136" s="9">
        <f>(Inputs!$I$8+(((A136)+1)/2)*(Inputs!$J$8-Inputs!$I$8))</f>
        <v>93.600000000000023</v>
      </c>
      <c r="W136" s="9">
        <f>(Inputs!$I$9+(((A136)+1)/2)*(Inputs!$J$9-Inputs!$I$9))</f>
        <v>93.600000000000023</v>
      </c>
      <c r="X136" s="10"/>
      <c r="Y136" s="9">
        <f t="shared" si="21"/>
        <v>0.11700000000000001</v>
      </c>
      <c r="Z136" s="9">
        <f>(Inputs!$H$6+Inputs!$L$6*(((Inputs!$I$6+(((A136)+1)/2)*(Inputs!$J$6-Inputs!$I$6)))/Inputs!$K$6)^2)</f>
        <v>400.054756</v>
      </c>
      <c r="AA136" s="9">
        <f>(Inputs!$H$7+Inputs!$L$7*(((Inputs!$I$7+(((A136)+1)/2)*(Inputs!$J$7-Inputs!$I$7)))/Inputs!$K$7)^2)</f>
        <v>39.996485000000007</v>
      </c>
      <c r="AB136" s="9">
        <f>(Inputs!$H$8+Inputs!$L$8*(((Inputs!$I$8+(((A136)+1)/2)*(Inputs!$J$8-Inputs!$I$8)))/Inputs!$K$8)^2)</f>
        <v>48.209885000000007</v>
      </c>
      <c r="AC136" s="9">
        <f>(Inputs!$H$9+Inputs!$L$9*(((Inputs!$I$9+(((A136)+1)/2)*(Inputs!$J$9-Inputs!$I$9)))/Inputs!$K$9)^2)</f>
        <v>38.346775000000008</v>
      </c>
      <c r="AD136" s="10"/>
      <c r="AE136" s="9">
        <f t="shared" si="22"/>
        <v>0.11700000000000001</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593.99901562661455</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15161.386077704814</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34449.85865380583</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37603.122322188523</v>
      </c>
      <c r="AJ136" s="10"/>
      <c r="AK136" s="9">
        <f t="shared" si="23"/>
        <v>0.11700000000000001</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-60.085513604645712</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-1354.9037405376112</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-1619.7906101947278</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-1635.7288561983473</v>
      </c>
      <c r="AP136" s="10"/>
      <c r="AQ136" s="9">
        <f t="shared" si="24"/>
        <v>0.11700000000000001</v>
      </c>
      <c r="AR136" s="9">
        <f>0</f>
        <v>0</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519.31645212671901</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135.16456938623037</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197.54926426745948</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197.54926426745948</v>
      </c>
      <c r="AW136" s="10"/>
      <c r="AX136" s="9">
        <f t="shared" si="25"/>
        <v>0.11700000000000001</v>
      </c>
      <c r="AY136" s="9">
        <f>0</f>
        <v>0</v>
      </c>
      <c r="AZ136" s="9">
        <f>IF(OR(Inputs!$F$6=TRUE,Inputs!$F$6="TRUE",Inputs!$F$6=1),(Inputs!$H$6+Inputs!$L$6*(((Inputs!$I$6+(((A136)+1)/2)*(Inputs!$J$6-Inputs!$I$6)))/Inputs!$K$6)^2),NA())</f>
        <v>400.054756</v>
      </c>
      <c r="BA136" s="9">
        <f>IF(OR(Inputs!$F$7=TRUE,Inputs!$F$7="TRUE",Inputs!$F$7=1),(Inputs!$H$7+Inputs!$L$7*(((Inputs!$I$7+(((A136)+1)/2)*(Inputs!$J$7-Inputs!$I$7)))/Inputs!$K$7)^2),NA())</f>
        <v>39.996485000000007</v>
      </c>
      <c r="BB136" s="9">
        <f>IF(OR(Inputs!$F$8=TRUE,Inputs!$F$8="TRUE",Inputs!$F$8=1),(Inputs!$H$8+Inputs!$L$8*(((Inputs!$I$8+(((A136)+1)/2)*(Inputs!$J$8-Inputs!$I$8)))/Inputs!$K$8)^2),NA())</f>
        <v>48.209885000000007</v>
      </c>
      <c r="BC136" s="9">
        <f>IF(OR(Inputs!$F$9=TRUE,Inputs!$F$9="TRUE",Inputs!$F$9=1),(Inputs!$H$9+Inputs!$L$9*(((Inputs!$I$9+(((A136)+1)/2)*(Inputs!$J$9-Inputs!$I$9)))/Inputs!$K$9)^2),NA())</f>
        <v>38.346775000000008</v>
      </c>
      <c r="BD136" s="10"/>
      <c r="BE136" s="9">
        <f t="shared" si="26"/>
        <v>0.11700000000000001</v>
      </c>
      <c r="BF136" s="9">
        <f>0</f>
        <v>0</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row>
    <row r="137" spans="1:62">
      <c r="A137" s="9">
        <f>ROUND(-1+135*2/240,3)</f>
        <v>0.125</v>
      </c>
      <c r="B137" s="9">
        <f>IF(OR(Inputs!$F$6=TRUE,Inputs!$F$6="TRUE",Inputs!$F$6=1),(Inputs!$H$6+Inputs!$L$6*(((Inputs!$I$6+(((A137)+1)/2)*(Inputs!$J$6-Inputs!$I$6)))/Inputs!$K$6)^2),NA())</f>
        <v>400.0625</v>
      </c>
      <c r="C137" s="9">
        <f>IF(OR(Inputs!$F$7=TRUE,Inputs!$F$7="TRUE",Inputs!$F$7=1),(Inputs!$H$7+Inputs!$L$7*(((Inputs!$I$7+(((A137)+1)/2)*(Inputs!$J$7-Inputs!$I$7)))/Inputs!$K$7)^2),NA())</f>
        <v>40.703125</v>
      </c>
      <c r="D137" s="9">
        <f>IF(OR(Inputs!$F$8=TRUE,Inputs!$F$8="TRUE",Inputs!$F$8=1),(Inputs!$H$8+Inputs!$L$8*(((Inputs!$I$8+(((A137)+1)/2)*(Inputs!$J$8-Inputs!$I$8)))/Inputs!$K$8)^2),NA())</f>
        <v>50.078125</v>
      </c>
      <c r="E137" s="9">
        <f>IF(OR(Inputs!$F$9=TRUE,Inputs!$F$9="TRUE",Inputs!$F$9=1),(Inputs!$H$9+Inputs!$L$9*(((Inputs!$I$9+(((A137)+1)/2)*(Inputs!$J$9-Inputs!$I$9)))/Inputs!$K$9)^2),NA())</f>
        <v>40.234375</v>
      </c>
      <c r="F137" s="10"/>
      <c r="G137" s="9">
        <f t="shared" si="18"/>
        <v>0.125</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c r="L137" s="10"/>
      <c r="M137" s="9">
        <f t="shared" si="19"/>
        <v>0.125</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-64.191735262735989</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-1395.1596365231271</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-1644.1434585854499</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-1656.2685555541652</v>
      </c>
      <c r="R137" s="10"/>
      <c r="S137" s="9">
        <f t="shared" si="20"/>
        <v>0.125</v>
      </c>
      <c r="T137" s="9">
        <f>(Inputs!$I$6+(((A137)+1)/2)*(Inputs!$J$6-Inputs!$I$6))</f>
        <v>7.5</v>
      </c>
      <c r="U137" s="9">
        <f>(Inputs!$I$7+(((A137)+1)/2)*(Inputs!$J$7-Inputs!$I$7))</f>
        <v>50</v>
      </c>
      <c r="V137" s="9">
        <f>(Inputs!$I$8+(((A137)+1)/2)*(Inputs!$J$8-Inputs!$I$8))</f>
        <v>100</v>
      </c>
      <c r="W137" s="9">
        <f>(Inputs!$I$9+(((A137)+1)/2)*(Inputs!$J$9-Inputs!$I$9))</f>
        <v>100</v>
      </c>
      <c r="X137" s="10"/>
      <c r="Y137" s="9">
        <f t="shared" si="21"/>
        <v>0.125</v>
      </c>
      <c r="Z137" s="9">
        <f>(Inputs!$H$6+Inputs!$L$6*(((Inputs!$I$6+(((A137)+1)/2)*(Inputs!$J$6-Inputs!$I$6)))/Inputs!$K$6)^2)</f>
        <v>400.0625</v>
      </c>
      <c r="AA137" s="9">
        <f>(Inputs!$H$7+Inputs!$L$7*(((Inputs!$I$7+(((A137)+1)/2)*(Inputs!$J$7-Inputs!$I$7)))/Inputs!$K$7)^2)</f>
        <v>40.703125</v>
      </c>
      <c r="AB137" s="9">
        <f>(Inputs!$H$8+Inputs!$L$8*(((Inputs!$I$8+(((A137)+1)/2)*(Inputs!$J$8-Inputs!$I$8)))/Inputs!$K$8)^2)</f>
        <v>50.078125</v>
      </c>
      <c r="AC137" s="9">
        <f>(Inputs!$H$9+Inputs!$L$9*(((Inputs!$I$9+(((A137)+1)/2)*(Inputs!$J$9-Inputs!$I$9)))/Inputs!$K$9)^2)</f>
        <v>40.234375</v>
      </c>
      <c r="AD137" s="10"/>
      <c r="AE137" s="9">
        <f t="shared" si="22"/>
        <v>0.125</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600.12126159984734</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16309.74534120257</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37068.014325199241</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40241.818057516481</v>
      </c>
      <c r="AJ137" s="10"/>
      <c r="AK137" s="9">
        <f t="shared" si="23"/>
        <v>0.125</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-64.191735262735989</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-1395.1596365231271</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-1644.1434585854499</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-1656.2685555541652</v>
      </c>
      <c r="AP137" s="10"/>
      <c r="AQ137" s="9">
        <f t="shared" si="24"/>
        <v>0.125</v>
      </c>
      <c r="AR137" s="9">
        <f>0</f>
        <v>0</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503.48380224840304</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115.23525161719914</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145.81280158469474</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145.81280158469474</v>
      </c>
      <c r="AW137" s="10"/>
      <c r="AX137" s="9">
        <f t="shared" si="25"/>
        <v>0.125</v>
      </c>
      <c r="AY137" s="9">
        <f>0</f>
        <v>0</v>
      </c>
      <c r="AZ137" s="9">
        <f>IF(OR(Inputs!$F$6=TRUE,Inputs!$F$6="TRUE",Inputs!$F$6=1),(Inputs!$H$6+Inputs!$L$6*(((Inputs!$I$6+(((A137)+1)/2)*(Inputs!$J$6-Inputs!$I$6)))/Inputs!$K$6)^2),NA())</f>
        <v>400.0625</v>
      </c>
      <c r="BA137" s="9">
        <f>IF(OR(Inputs!$F$7=TRUE,Inputs!$F$7="TRUE",Inputs!$F$7=1),(Inputs!$H$7+Inputs!$L$7*(((Inputs!$I$7+(((A137)+1)/2)*(Inputs!$J$7-Inputs!$I$7)))/Inputs!$K$7)^2),NA())</f>
        <v>40.703125</v>
      </c>
      <c r="BB137" s="9">
        <f>IF(OR(Inputs!$F$8=TRUE,Inputs!$F$8="TRUE",Inputs!$F$8=1),(Inputs!$H$8+Inputs!$L$8*(((Inputs!$I$8+(((A137)+1)/2)*(Inputs!$J$8-Inputs!$I$8)))/Inputs!$K$8)^2),NA())</f>
        <v>50.078125</v>
      </c>
      <c r="BC137" s="9">
        <f>IF(OR(Inputs!$F$9=TRUE,Inputs!$F$9="TRUE",Inputs!$F$9=1),(Inputs!$H$9+Inputs!$L$9*(((Inputs!$I$9+(((A137)+1)/2)*(Inputs!$J$9-Inputs!$I$9)))/Inputs!$K$9)^2),NA())</f>
        <v>40.234375</v>
      </c>
      <c r="BD137" s="10"/>
      <c r="BE137" s="9">
        <f t="shared" si="26"/>
        <v>0.125</v>
      </c>
      <c r="BF137" s="9">
        <f>0</f>
        <v>0</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row>
    <row r="138" spans="1:62">
      <c r="A138" s="9">
        <f>ROUND(-1+136*2/240,3)</f>
        <v>0.13300000000000001</v>
      </c>
      <c r="B138" s="9">
        <f>IF(OR(Inputs!$F$6=TRUE,Inputs!$F$6="TRUE",Inputs!$F$6=1),(Inputs!$H$6+Inputs!$L$6*(((Inputs!$I$6+(((A138)+1)/2)*(Inputs!$J$6-Inputs!$I$6)))/Inputs!$K$6)^2),NA())</f>
        <v>400.07075600000002</v>
      </c>
      <c r="C138" s="9">
        <f>IF(OR(Inputs!$F$7=TRUE,Inputs!$F$7="TRUE",Inputs!$F$7=1),(Inputs!$H$7+Inputs!$L$7*(((Inputs!$I$7+(((A138)+1)/2)*(Inputs!$J$7-Inputs!$I$7)))/Inputs!$K$7)^2),NA())</f>
        <v>41.456485000000001</v>
      </c>
      <c r="D138" s="9">
        <f>IF(OR(Inputs!$F$8=TRUE,Inputs!$F$8="TRUE",Inputs!$F$8=1),(Inputs!$H$8+Inputs!$L$8*(((Inputs!$I$8+(((A138)+1)/2)*(Inputs!$J$8-Inputs!$I$8)))/Inputs!$K$8)^2),NA())</f>
        <v>52.069884999999992</v>
      </c>
      <c r="E138" s="9">
        <f>IF(OR(Inputs!$F$9=TRUE,Inputs!$F$9="TRUE",Inputs!$F$9=1),(Inputs!$H$9+Inputs!$L$9*(((Inputs!$I$9+(((A138)+1)/2)*(Inputs!$J$9-Inputs!$I$9)))/Inputs!$K$9)^2),NA())</f>
        <v>42.246774999999992</v>
      </c>
      <c r="F138" s="10"/>
      <c r="G138" s="9">
        <f t="shared" si="18"/>
        <v>0.13300000000000001</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c r="L138" s="10"/>
      <c r="M138" s="9">
        <f t="shared" si="19"/>
        <v>0.13300000000000001</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-68.297522991612738</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-1431.7433363369678</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-1666.6842877350293</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-1675.5643234080285</v>
      </c>
      <c r="R138" s="10"/>
      <c r="S138" s="9">
        <f t="shared" si="20"/>
        <v>0.13300000000000001</v>
      </c>
      <c r="T138" s="9">
        <f>(Inputs!$I$6+(((A138)+1)/2)*(Inputs!$J$6-Inputs!$I$6))</f>
        <v>7.980000000000004</v>
      </c>
      <c r="U138" s="9">
        <f>(Inputs!$I$7+(((A138)+1)/2)*(Inputs!$J$7-Inputs!$I$7))</f>
        <v>53.199999999999989</v>
      </c>
      <c r="V138" s="9">
        <f>(Inputs!$I$8+(((A138)+1)/2)*(Inputs!$J$8-Inputs!$I$8))</f>
        <v>106.39999999999998</v>
      </c>
      <c r="W138" s="9">
        <f>(Inputs!$I$9+(((A138)+1)/2)*(Inputs!$J$9-Inputs!$I$9))</f>
        <v>106.39999999999998</v>
      </c>
      <c r="X138" s="10"/>
      <c r="Y138" s="9">
        <f t="shared" si="21"/>
        <v>0.13300000000000001</v>
      </c>
      <c r="Z138" s="9">
        <f>(Inputs!$H$6+Inputs!$L$6*(((Inputs!$I$6+(((A138)+1)/2)*(Inputs!$J$6-Inputs!$I$6)))/Inputs!$K$6)^2)</f>
        <v>400.07075600000002</v>
      </c>
      <c r="AA138" s="9">
        <f>(Inputs!$H$7+Inputs!$L$7*(((Inputs!$I$7+(((A138)+1)/2)*(Inputs!$J$7-Inputs!$I$7)))/Inputs!$K$7)^2)</f>
        <v>41.456485000000001</v>
      </c>
      <c r="AB138" s="9">
        <f>(Inputs!$H$8+Inputs!$L$8*(((Inputs!$I$8+(((A138)+1)/2)*(Inputs!$J$8-Inputs!$I$8)))/Inputs!$K$8)^2)</f>
        <v>52.069884999999992</v>
      </c>
      <c r="AC138" s="9">
        <f>(Inputs!$H$9+Inputs!$L$9*(((Inputs!$I$9+(((A138)+1)/2)*(Inputs!$J$9-Inputs!$I$9)))/Inputs!$K$9)^2)</f>
        <v>42.246774999999992</v>
      </c>
      <c r="AD138" s="10"/>
      <c r="AE138" s="9">
        <f t="shared" si="22"/>
        <v>0.13300000000000001</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606.64789077547528</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17474.976993364235</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39669.373935343108</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42855.085652619629</v>
      </c>
      <c r="AJ138" s="10"/>
      <c r="AK138" s="9">
        <f t="shared" si="23"/>
        <v>0.13300000000000001</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-68.297522991612738</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-1431.7433363369678</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-1666.6842877350293</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-1675.5643234080285</v>
      </c>
      <c r="AP138" s="10"/>
      <c r="AQ138" s="9">
        <f t="shared" si="24"/>
        <v>0.13300000000000001</v>
      </c>
      <c r="AR138" s="9">
        <f>0</f>
        <v>0</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508.00067128146412</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174.27619249434065</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80.339306351703797</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80.339306351703797</v>
      </c>
      <c r="AW138" s="10"/>
      <c r="AX138" s="9">
        <f t="shared" si="25"/>
        <v>0.13300000000000001</v>
      </c>
      <c r="AY138" s="9">
        <f>0</f>
        <v>0</v>
      </c>
      <c r="AZ138" s="9">
        <f>IF(OR(Inputs!$F$6=TRUE,Inputs!$F$6="TRUE",Inputs!$F$6=1),(Inputs!$H$6+Inputs!$L$6*(((Inputs!$I$6+(((A138)+1)/2)*(Inputs!$J$6-Inputs!$I$6)))/Inputs!$K$6)^2),NA())</f>
        <v>400.07075600000002</v>
      </c>
      <c r="BA138" s="9">
        <f>IF(OR(Inputs!$F$7=TRUE,Inputs!$F$7="TRUE",Inputs!$F$7=1),(Inputs!$H$7+Inputs!$L$7*(((Inputs!$I$7+(((A138)+1)/2)*(Inputs!$J$7-Inputs!$I$7)))/Inputs!$K$7)^2),NA())</f>
        <v>41.456485000000001</v>
      </c>
      <c r="BB138" s="9">
        <f>IF(OR(Inputs!$F$8=TRUE,Inputs!$F$8="TRUE",Inputs!$F$8=1),(Inputs!$H$8+Inputs!$L$8*(((Inputs!$I$8+(((A138)+1)/2)*(Inputs!$J$8-Inputs!$I$8)))/Inputs!$K$8)^2),NA())</f>
        <v>52.069884999999992</v>
      </c>
      <c r="BC138" s="9">
        <f>IF(OR(Inputs!$F$9=TRUE,Inputs!$F$9="TRUE",Inputs!$F$9=1),(Inputs!$H$9+Inputs!$L$9*(((Inputs!$I$9+(((A138)+1)/2)*(Inputs!$J$9-Inputs!$I$9)))/Inputs!$K$9)^2),NA())</f>
        <v>42.246774999999992</v>
      </c>
      <c r="BD138" s="10"/>
      <c r="BE138" s="9">
        <f t="shared" si="26"/>
        <v>0.13300000000000001</v>
      </c>
      <c r="BF138" s="9">
        <f>0</f>
        <v>0</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row>
    <row r="139" spans="1:62">
      <c r="A139" s="9">
        <f>ROUND(-1+137*2/240,3)</f>
        <v>0.14199999999999999</v>
      </c>
      <c r="B139" s="9">
        <f>IF(OR(Inputs!$F$6=TRUE,Inputs!$F$6="TRUE",Inputs!$F$6=1),(Inputs!$H$6+Inputs!$L$6*(((Inputs!$I$6+(((A139)+1)/2)*(Inputs!$J$6-Inputs!$I$6)))/Inputs!$K$6)^2),NA())</f>
        <v>400.08065599999998</v>
      </c>
      <c r="C139" s="9">
        <f>IF(OR(Inputs!$F$7=TRUE,Inputs!$F$7="TRUE",Inputs!$F$7=1),(Inputs!$H$7+Inputs!$L$7*(((Inputs!$I$7+(((A139)+1)/2)*(Inputs!$J$7-Inputs!$I$7)))/Inputs!$K$7)^2),NA())</f>
        <v>42.359859999999983</v>
      </c>
      <c r="D139" s="9">
        <f>IF(OR(Inputs!$F$8=TRUE,Inputs!$F$8="TRUE",Inputs!$F$8=1),(Inputs!$H$8+Inputs!$L$8*(((Inputs!$I$8+(((A139)+1)/2)*(Inputs!$J$8-Inputs!$I$8)))/Inputs!$K$8)^2),NA())</f>
        <v>54.458259999999967</v>
      </c>
      <c r="E139" s="9">
        <f>IF(OR(Inputs!$F$9=TRUE,Inputs!$F$9="TRUE",Inputs!$F$9=1),(Inputs!$H$9+Inputs!$L$9*(((Inputs!$I$9+(((A139)+1)/2)*(Inputs!$J$9-Inputs!$I$9)))/Inputs!$K$9)^2),NA())</f>
        <v>44.659899999999965</v>
      </c>
      <c r="F139" s="10"/>
      <c r="G139" s="9">
        <f t="shared" si="18"/>
        <v>0.14199999999999999</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c r="L139" s="10"/>
      <c r="M139" s="9">
        <f t="shared" si="19"/>
        <v>0.14199999999999999</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-72.915981069961745</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-1469.1174397232376</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-1690.416280810377</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-1696.2176513894397</v>
      </c>
      <c r="R139" s="10"/>
      <c r="S139" s="9">
        <f t="shared" si="20"/>
        <v>0.14199999999999999</v>
      </c>
      <c r="T139" s="9">
        <f>(Inputs!$I$6+(((A139)+1)/2)*(Inputs!$J$6-Inputs!$I$6))</f>
        <v>8.519999999999996</v>
      </c>
      <c r="U139" s="9">
        <f>(Inputs!$I$7+(((A139)+1)/2)*(Inputs!$J$7-Inputs!$I$7))</f>
        <v>56.799999999999955</v>
      </c>
      <c r="V139" s="9">
        <f>(Inputs!$I$8+(((A139)+1)/2)*(Inputs!$J$8-Inputs!$I$8))</f>
        <v>113.59999999999991</v>
      </c>
      <c r="W139" s="9">
        <f>(Inputs!$I$9+(((A139)+1)/2)*(Inputs!$J$9-Inputs!$I$9))</f>
        <v>113.59999999999991</v>
      </c>
      <c r="X139" s="10"/>
      <c r="Y139" s="9">
        <f t="shared" si="21"/>
        <v>0.14199999999999999</v>
      </c>
      <c r="Z139" s="9">
        <f>(Inputs!$H$6+Inputs!$L$6*(((Inputs!$I$6+(((A139)+1)/2)*(Inputs!$J$6-Inputs!$I$6)))/Inputs!$K$6)^2)</f>
        <v>400.08065599999998</v>
      </c>
      <c r="AA139" s="9">
        <f>(Inputs!$H$7+Inputs!$L$7*(((Inputs!$I$7+(((A139)+1)/2)*(Inputs!$J$7-Inputs!$I$7)))/Inputs!$K$7)^2)</f>
        <v>42.359859999999983</v>
      </c>
      <c r="AB139" s="9">
        <f>(Inputs!$H$8+Inputs!$L$8*(((Inputs!$I$8+(((A139)+1)/2)*(Inputs!$J$8-Inputs!$I$8)))/Inputs!$K$8)^2)</f>
        <v>54.458259999999967</v>
      </c>
      <c r="AC139" s="9">
        <f>(Inputs!$H$9+Inputs!$L$9*(((Inputs!$I$9+(((A139)+1)/2)*(Inputs!$J$9-Inputs!$I$9)))/Inputs!$K$9)^2)</f>
        <v>44.659899999999965</v>
      </c>
      <c r="AD139" s="10"/>
      <c r="AE139" s="9">
        <f t="shared" si="22"/>
        <v>0.14199999999999999</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614.47361875053411</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18801.262933795908</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42571.428061612045</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45761.676270416443</v>
      </c>
      <c r="AJ139" s="10"/>
      <c r="AK139" s="9">
        <f t="shared" si="23"/>
        <v>0.14199999999999999</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-72.915981069961745</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-1469.1174397232376</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-1690.416280810377</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-1696.2176513894397</v>
      </c>
      <c r="AP139" s="10"/>
      <c r="AQ139" s="9">
        <f t="shared" si="24"/>
        <v>0.14199999999999999</v>
      </c>
      <c r="AR139" s="9">
        <f>0</f>
        <v>0</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500.72239183562482</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189.63904468643238</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198.24419205870612</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198.24419205870612</v>
      </c>
      <c r="AW139" s="10"/>
      <c r="AX139" s="9">
        <f t="shared" si="25"/>
        <v>0.14199999999999999</v>
      </c>
      <c r="AY139" s="9">
        <f>0</f>
        <v>0</v>
      </c>
      <c r="AZ139" s="9">
        <f>IF(OR(Inputs!$F$6=TRUE,Inputs!$F$6="TRUE",Inputs!$F$6=1),(Inputs!$H$6+Inputs!$L$6*(((Inputs!$I$6+(((A139)+1)/2)*(Inputs!$J$6-Inputs!$I$6)))/Inputs!$K$6)^2),NA())</f>
        <v>400.08065599999998</v>
      </c>
      <c r="BA139" s="9">
        <f>IF(OR(Inputs!$F$7=TRUE,Inputs!$F$7="TRUE",Inputs!$F$7=1),(Inputs!$H$7+Inputs!$L$7*(((Inputs!$I$7+(((A139)+1)/2)*(Inputs!$J$7-Inputs!$I$7)))/Inputs!$K$7)^2),NA())</f>
        <v>42.359859999999983</v>
      </c>
      <c r="BB139" s="9">
        <f>IF(OR(Inputs!$F$8=TRUE,Inputs!$F$8="TRUE",Inputs!$F$8=1),(Inputs!$H$8+Inputs!$L$8*(((Inputs!$I$8+(((A139)+1)/2)*(Inputs!$J$8-Inputs!$I$8)))/Inputs!$K$8)^2),NA())</f>
        <v>54.458259999999967</v>
      </c>
      <c r="BC139" s="9">
        <f>IF(OR(Inputs!$F$9=TRUE,Inputs!$F$9="TRUE",Inputs!$F$9=1),(Inputs!$H$9+Inputs!$L$9*(((Inputs!$I$9+(((A139)+1)/2)*(Inputs!$J$9-Inputs!$I$9)))/Inputs!$K$9)^2),NA())</f>
        <v>44.659899999999965</v>
      </c>
      <c r="BD139" s="10"/>
      <c r="BE139" s="9">
        <f t="shared" si="26"/>
        <v>0.14199999999999999</v>
      </c>
      <c r="BF139" s="9">
        <f>0</f>
        <v>0</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row>
    <row r="140" spans="1:62">
      <c r="A140" s="9">
        <f>ROUND(-1+138*2/240,3)</f>
        <v>0.15</v>
      </c>
      <c r="B140" s="9">
        <f>IF(OR(Inputs!$F$6=TRUE,Inputs!$F$6="TRUE",Inputs!$F$6=1),(Inputs!$H$6+Inputs!$L$6*(((Inputs!$I$6+(((A140)+1)/2)*(Inputs!$J$6-Inputs!$I$6)))/Inputs!$K$6)^2),NA())</f>
        <v>400.09</v>
      </c>
      <c r="C140" s="9">
        <f>IF(OR(Inputs!$F$7=TRUE,Inputs!$F$7="TRUE",Inputs!$F$7=1),(Inputs!$H$7+Inputs!$L$7*(((Inputs!$I$7+(((A140)+1)/2)*(Inputs!$J$7-Inputs!$I$7)))/Inputs!$K$7)^2),NA())</f>
        <v>43.212499999999984</v>
      </c>
      <c r="D140" s="9">
        <f>IF(OR(Inputs!$F$8=TRUE,Inputs!$F$8="TRUE",Inputs!$F$8=1),(Inputs!$H$8+Inputs!$L$8*(((Inputs!$I$8+(((A140)+1)/2)*(Inputs!$J$8-Inputs!$I$8)))/Inputs!$K$8)^2),NA())</f>
        <v>56.712499999999963</v>
      </c>
      <c r="E140" s="9">
        <f>IF(OR(Inputs!$F$9=TRUE,Inputs!$F$9="TRUE",Inputs!$F$9=1),(Inputs!$H$9+Inputs!$L$9*(((Inputs!$I$9+(((A140)+1)/2)*(Inputs!$J$9-Inputs!$I$9)))/Inputs!$K$9)^2),NA())</f>
        <v>46.937499999999957</v>
      </c>
      <c r="F140" s="10"/>
      <c r="G140" s="9">
        <f t="shared" si="18"/>
        <v>0.15</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c r="L140" s="10"/>
      <c r="M140" s="9">
        <f t="shared" si="19"/>
        <v>0.15</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-77.020754895218573</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-1499.4482518447132</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-1710.4376393669722</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-1713.9315995349475</v>
      </c>
      <c r="R140" s="10"/>
      <c r="S140" s="9">
        <f t="shared" si="20"/>
        <v>0.15</v>
      </c>
      <c r="T140" s="9">
        <f>(Inputs!$I$6+(((A140)+1)/2)*(Inputs!$J$6-Inputs!$I$6))</f>
        <v>9</v>
      </c>
      <c r="U140" s="9">
        <f>(Inputs!$I$7+(((A140)+1)/2)*(Inputs!$J$7-Inputs!$I$7))</f>
        <v>59.999999999999943</v>
      </c>
      <c r="V140" s="9">
        <f>(Inputs!$I$8+(((A140)+1)/2)*(Inputs!$J$8-Inputs!$I$8))</f>
        <v>119.99999999999989</v>
      </c>
      <c r="W140" s="9">
        <f>(Inputs!$I$9+(((A140)+1)/2)*(Inputs!$J$9-Inputs!$I$9))</f>
        <v>119.99999999999989</v>
      </c>
      <c r="X140" s="10"/>
      <c r="Y140" s="9">
        <f t="shared" si="21"/>
        <v>0.15</v>
      </c>
      <c r="Z140" s="9">
        <f>(Inputs!$H$6+Inputs!$L$6*(((Inputs!$I$6+(((A140)+1)/2)*(Inputs!$J$6-Inputs!$I$6)))/Inputs!$K$6)^2)</f>
        <v>400.09</v>
      </c>
      <c r="AA140" s="9">
        <f>(Inputs!$H$7+Inputs!$L$7*(((Inputs!$I$7+(((A140)+1)/2)*(Inputs!$J$7-Inputs!$I$7)))/Inputs!$K$7)^2)</f>
        <v>43.212499999999984</v>
      </c>
      <c r="AB140" s="9">
        <f>(Inputs!$H$8+Inputs!$L$8*(((Inputs!$I$8+(((A140)+1)/2)*(Inputs!$J$8-Inputs!$I$8)))/Inputs!$K$8)^2)</f>
        <v>56.712499999999963</v>
      </c>
      <c r="AC140" s="9">
        <f>(Inputs!$H$9+Inputs!$L$9*(((Inputs!$I$9+(((A140)+1)/2)*(Inputs!$J$9-Inputs!$I$9)))/Inputs!$K$9)^2)</f>
        <v>46.937499999999957</v>
      </c>
      <c r="AD140" s="10"/>
      <c r="AE140" s="9">
        <f t="shared" si="22"/>
        <v>0.15</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621.85930586079473</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19990.220230096031</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45126.345593671875</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48313.845185544335</v>
      </c>
      <c r="AJ140" s="10"/>
      <c r="AK140" s="9">
        <f t="shared" si="23"/>
        <v>0.15</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-77.020754895218573</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-1499.4482518447132</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-1710.4376393669722</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-1713.9315995349475</v>
      </c>
      <c r="AP140" s="10"/>
      <c r="AQ140" s="9">
        <f t="shared" si="24"/>
        <v>0.15</v>
      </c>
      <c r="AR140" s="9">
        <f>0</f>
        <v>0</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481.22587957439987</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179.34901179725153</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68.458772446323692</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68.458772446323692</v>
      </c>
      <c r="AW140" s="10"/>
      <c r="AX140" s="9">
        <f t="shared" si="25"/>
        <v>0.15</v>
      </c>
      <c r="AY140" s="9">
        <f>0</f>
        <v>0</v>
      </c>
      <c r="AZ140" s="9">
        <f>IF(OR(Inputs!$F$6=TRUE,Inputs!$F$6="TRUE",Inputs!$F$6=1),(Inputs!$H$6+Inputs!$L$6*(((Inputs!$I$6+(((A140)+1)/2)*(Inputs!$J$6-Inputs!$I$6)))/Inputs!$K$6)^2),NA())</f>
        <v>400.09</v>
      </c>
      <c r="BA140" s="9">
        <f>IF(OR(Inputs!$F$7=TRUE,Inputs!$F$7="TRUE",Inputs!$F$7=1),(Inputs!$H$7+Inputs!$L$7*(((Inputs!$I$7+(((A140)+1)/2)*(Inputs!$J$7-Inputs!$I$7)))/Inputs!$K$7)^2),NA())</f>
        <v>43.212499999999984</v>
      </c>
      <c r="BB140" s="9">
        <f>IF(OR(Inputs!$F$8=TRUE,Inputs!$F$8="TRUE",Inputs!$F$8=1),(Inputs!$H$8+Inputs!$L$8*(((Inputs!$I$8+(((A140)+1)/2)*(Inputs!$J$8-Inputs!$I$8)))/Inputs!$K$8)^2),NA())</f>
        <v>56.712499999999963</v>
      </c>
      <c r="BC140" s="9">
        <f>IF(OR(Inputs!$F$9=TRUE,Inputs!$F$9="TRUE",Inputs!$F$9=1),(Inputs!$H$9+Inputs!$L$9*(((Inputs!$I$9+(((A140)+1)/2)*(Inputs!$J$9-Inputs!$I$9)))/Inputs!$K$9)^2),NA())</f>
        <v>46.937499999999957</v>
      </c>
      <c r="BD140" s="10"/>
      <c r="BE140" s="9">
        <f t="shared" si="26"/>
        <v>0.15</v>
      </c>
      <c r="BF140" s="9">
        <f>0</f>
        <v>0</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row>
    <row r="141" spans="1:62">
      <c r="A141" s="9">
        <f>ROUND(-1+139*2/240,3)</f>
        <v>0.158</v>
      </c>
      <c r="B141" s="9">
        <f>IF(OR(Inputs!$F$6=TRUE,Inputs!$F$6="TRUE",Inputs!$F$6=1),(Inputs!$H$6+Inputs!$L$6*(((Inputs!$I$6+(((A141)+1)/2)*(Inputs!$J$6-Inputs!$I$6)))/Inputs!$K$6)^2),NA())</f>
        <v>400.09985599999999</v>
      </c>
      <c r="C141" s="9">
        <f>IF(OR(Inputs!$F$7=TRUE,Inputs!$F$7="TRUE",Inputs!$F$7=1),(Inputs!$H$7+Inputs!$L$7*(((Inputs!$I$7+(((A141)+1)/2)*(Inputs!$J$7-Inputs!$I$7)))/Inputs!$K$7)^2),NA())</f>
        <v>44.11186</v>
      </c>
      <c r="D141" s="9">
        <f>IF(OR(Inputs!$F$8=TRUE,Inputs!$F$8="TRUE",Inputs!$F$8=1),(Inputs!$H$8+Inputs!$L$8*(((Inputs!$I$8+(((A141)+1)/2)*(Inputs!$J$8-Inputs!$I$8)))/Inputs!$K$8)^2),NA())</f>
        <v>59.090259999999994</v>
      </c>
      <c r="E141" s="9">
        <f>IF(OR(Inputs!$F$9=TRUE,Inputs!$F$9="TRUE",Inputs!$F$9=1),(Inputs!$H$9+Inputs!$L$9*(((Inputs!$I$9+(((A141)+1)/2)*(Inputs!$J$9-Inputs!$I$9)))/Inputs!$K$9)^2),NA())</f>
        <v>49.339899999999993</v>
      </c>
      <c r="F141" s="10"/>
      <c r="G141" s="9">
        <f t="shared" si="18"/>
        <v>0.158</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c r="L141" s="10"/>
      <c r="M141" s="9">
        <f t="shared" si="19"/>
        <v>0.158</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-81.125008434569935</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-1527.4443088866037</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-1729.7219498568793</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-1731.250542210164</v>
      </c>
      <c r="R141" s="10"/>
      <c r="S141" s="9">
        <f t="shared" si="20"/>
        <v>0.158</v>
      </c>
      <c r="T141" s="9">
        <f>(Inputs!$I$6+(((A141)+1)/2)*(Inputs!$J$6-Inputs!$I$6))</f>
        <v>9.4799999999999898</v>
      </c>
      <c r="U141" s="9">
        <f>(Inputs!$I$7+(((A141)+1)/2)*(Inputs!$J$7-Inputs!$I$7))</f>
        <v>63.199999999999989</v>
      </c>
      <c r="V141" s="9">
        <f>(Inputs!$I$8+(((A141)+1)/2)*(Inputs!$J$8-Inputs!$I$8))</f>
        <v>126.39999999999998</v>
      </c>
      <c r="W141" s="9">
        <f>(Inputs!$I$9+(((A141)+1)/2)*(Inputs!$J$9-Inputs!$I$9))</f>
        <v>126.39999999999998</v>
      </c>
      <c r="X141" s="10"/>
      <c r="Y141" s="9">
        <f t="shared" si="21"/>
        <v>0.158</v>
      </c>
      <c r="Z141" s="9">
        <f>(Inputs!$H$6+Inputs!$L$6*(((Inputs!$I$6+(((A141)+1)/2)*(Inputs!$J$6-Inputs!$I$6)))/Inputs!$K$6)^2)</f>
        <v>400.09985599999999</v>
      </c>
      <c r="AA141" s="9">
        <f>(Inputs!$H$7+Inputs!$L$7*(((Inputs!$I$7+(((A141)+1)/2)*(Inputs!$J$7-Inputs!$I$7)))/Inputs!$K$7)^2)</f>
        <v>44.11186</v>
      </c>
      <c r="AB141" s="9">
        <f>(Inputs!$H$8+Inputs!$L$8*(((Inputs!$I$8+(((A141)+1)/2)*(Inputs!$J$8-Inputs!$I$8)))/Inputs!$K$8)^2)</f>
        <v>59.090259999999994</v>
      </c>
      <c r="AC141" s="9">
        <f>(Inputs!$H$9+Inputs!$L$9*(((Inputs!$I$9+(((A141)+1)/2)*(Inputs!$J$9-Inputs!$I$9)))/Inputs!$K$9)^2)</f>
        <v>49.339899999999993</v>
      </c>
      <c r="AD141" s="10"/>
      <c r="AE141" s="9">
        <f t="shared" si="22"/>
        <v>0.158</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629.649124878404</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21185.666064690809</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47655.990286266868</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50835.231361076301</v>
      </c>
      <c r="AJ141" s="10"/>
      <c r="AK141" s="9">
        <f t="shared" si="23"/>
        <v>0.158</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-81.125008434569935</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-1527.4443088866037</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-1729.7219498568793</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-1731.250542210164</v>
      </c>
      <c r="AP141" s="10"/>
      <c r="AQ141" s="9">
        <f t="shared" si="24"/>
        <v>0.158</v>
      </c>
      <c r="AR141" s="9">
        <f>0</f>
        <v>0</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470.86072890691673</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163.04883836306158</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140.66154472503953</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140.66154472503953</v>
      </c>
      <c r="AW141" s="10"/>
      <c r="AX141" s="9">
        <f t="shared" si="25"/>
        <v>0.158</v>
      </c>
      <c r="AY141" s="9">
        <f>0</f>
        <v>0</v>
      </c>
      <c r="AZ141" s="9">
        <f>IF(OR(Inputs!$F$6=TRUE,Inputs!$F$6="TRUE",Inputs!$F$6=1),(Inputs!$H$6+Inputs!$L$6*(((Inputs!$I$6+(((A141)+1)/2)*(Inputs!$J$6-Inputs!$I$6)))/Inputs!$K$6)^2),NA())</f>
        <v>400.09985599999999</v>
      </c>
      <c r="BA141" s="9">
        <f>IF(OR(Inputs!$F$7=TRUE,Inputs!$F$7="TRUE",Inputs!$F$7=1),(Inputs!$H$7+Inputs!$L$7*(((Inputs!$I$7+(((A141)+1)/2)*(Inputs!$J$7-Inputs!$I$7)))/Inputs!$K$7)^2),NA())</f>
        <v>44.11186</v>
      </c>
      <c r="BB141" s="9">
        <f>IF(OR(Inputs!$F$8=TRUE,Inputs!$F$8="TRUE",Inputs!$F$8=1),(Inputs!$H$8+Inputs!$L$8*(((Inputs!$I$8+(((A141)+1)/2)*(Inputs!$J$8-Inputs!$I$8)))/Inputs!$K$8)^2),NA())</f>
        <v>59.090259999999994</v>
      </c>
      <c r="BC141" s="9">
        <f>IF(OR(Inputs!$F$9=TRUE,Inputs!$F$9="TRUE",Inputs!$F$9=1),(Inputs!$H$9+Inputs!$L$9*(((Inputs!$I$9+(((A141)+1)/2)*(Inputs!$J$9-Inputs!$I$9)))/Inputs!$K$9)^2),NA())</f>
        <v>49.339899999999993</v>
      </c>
      <c r="BD141" s="10"/>
      <c r="BE141" s="9">
        <f t="shared" si="26"/>
        <v>0.158</v>
      </c>
      <c r="BF141" s="9">
        <f>0</f>
        <v>0</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row>
    <row r="142" spans="1:62">
      <c r="A142" s="9">
        <f>ROUND(-1+140*2/240,3)</f>
        <v>0.16700000000000001</v>
      </c>
      <c r="B142" s="9">
        <f>IF(OR(Inputs!$F$6=TRUE,Inputs!$F$6="TRUE",Inputs!$F$6=1),(Inputs!$H$6+Inputs!$L$6*(((Inputs!$I$6+(((A142)+1)/2)*(Inputs!$J$6-Inputs!$I$6)))/Inputs!$K$6)^2),NA())</f>
        <v>400.11155600000001</v>
      </c>
      <c r="C142" s="9">
        <f>IF(OR(Inputs!$F$7=TRUE,Inputs!$F$7="TRUE",Inputs!$F$7=1),(Inputs!$H$7+Inputs!$L$7*(((Inputs!$I$7+(((A142)+1)/2)*(Inputs!$J$7-Inputs!$I$7)))/Inputs!$K$7)^2),NA())</f>
        <v>45.179485</v>
      </c>
      <c r="D142" s="9">
        <f>IF(OR(Inputs!$F$8=TRUE,Inputs!$F$8="TRUE",Inputs!$F$8=1),(Inputs!$H$8+Inputs!$L$8*(((Inputs!$I$8+(((A142)+1)/2)*(Inputs!$J$8-Inputs!$I$8)))/Inputs!$K$8)^2),NA())</f>
        <v>61.91288500000001</v>
      </c>
      <c r="E142" s="9">
        <f>IF(OR(Inputs!$F$9=TRUE,Inputs!$F$9="TRUE",Inputs!$F$9=1),(Inputs!$H$9+Inputs!$L$9*(((Inputs!$I$9+(((A142)+1)/2)*(Inputs!$J$9-Inputs!$I$9)))/Inputs!$K$9)^2),NA())</f>
        <v>52.191775000000007</v>
      </c>
      <c r="F142" s="10"/>
      <c r="G142" s="9">
        <f t="shared" si="18"/>
        <v>0.16700000000000001</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c r="L142" s="10"/>
      <c r="M142" s="9">
        <f t="shared" si="19"/>
        <v>0.16700000000000001</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-85.741637414401069</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-1556.546637394312</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-1750.7913108572579</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-1750.4567699771662</v>
      </c>
      <c r="R142" s="10"/>
      <c r="S142" s="9">
        <f t="shared" si="20"/>
        <v>0.16700000000000001</v>
      </c>
      <c r="T142" s="9">
        <f>(Inputs!$I$6+(((A142)+1)/2)*(Inputs!$J$6-Inputs!$I$6))</f>
        <v>10.019999999999996</v>
      </c>
      <c r="U142" s="9">
        <f>(Inputs!$I$7+(((A142)+1)/2)*(Inputs!$J$7-Inputs!$I$7))</f>
        <v>66.800000000000011</v>
      </c>
      <c r="V142" s="9">
        <f>(Inputs!$I$8+(((A142)+1)/2)*(Inputs!$J$8-Inputs!$I$8))</f>
        <v>133.60000000000002</v>
      </c>
      <c r="W142" s="9">
        <f>(Inputs!$I$9+(((A142)+1)/2)*(Inputs!$J$9-Inputs!$I$9))</f>
        <v>133.60000000000002</v>
      </c>
      <c r="X142" s="10"/>
      <c r="Y142" s="9">
        <f t="shared" si="21"/>
        <v>0.16700000000000001</v>
      </c>
      <c r="Z142" s="9">
        <f>(Inputs!$H$6+Inputs!$L$6*(((Inputs!$I$6+(((A142)+1)/2)*(Inputs!$J$6-Inputs!$I$6)))/Inputs!$K$6)^2)</f>
        <v>400.11155600000001</v>
      </c>
      <c r="AA142" s="9">
        <f>(Inputs!$H$7+Inputs!$L$7*(((Inputs!$I$7+(((A142)+1)/2)*(Inputs!$J$7-Inputs!$I$7)))/Inputs!$K$7)^2)</f>
        <v>45.179485</v>
      </c>
      <c r="AB142" s="9">
        <f>(Inputs!$H$8+Inputs!$L$8*(((Inputs!$I$8+(((A142)+1)/2)*(Inputs!$J$8-Inputs!$I$8)))/Inputs!$K$8)^2)</f>
        <v>61.91288500000001</v>
      </c>
      <c r="AC142" s="9">
        <f>(Inputs!$H$9+Inputs!$L$9*(((Inputs!$I$9+(((A142)+1)/2)*(Inputs!$J$9-Inputs!$I$9)))/Inputs!$K$9)^2)</f>
        <v>52.191775000000007</v>
      </c>
      <c r="AD142" s="10"/>
      <c r="AE142" s="9">
        <f t="shared" si="22"/>
        <v>0.16700000000000001</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638.89562293556457</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22535.275057314186</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50469.886122760792</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53634.13236649723</v>
      </c>
      <c r="AJ142" s="10"/>
      <c r="AK142" s="9">
        <f t="shared" si="23"/>
        <v>0.16700000000000001</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-85.741637414401069</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-1556.546637394312</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-1750.7913108572579</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-1750.4567699771662</v>
      </c>
      <c r="AP142" s="10"/>
      <c r="AQ142" s="9">
        <f t="shared" si="24"/>
        <v>0.16700000000000001</v>
      </c>
      <c r="AR142" s="9">
        <f>0</f>
        <v>0</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445.53234851765734</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115.55526767567461</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163.6967441686956</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163.6967441686956</v>
      </c>
      <c r="AW142" s="10"/>
      <c r="AX142" s="9">
        <f t="shared" si="25"/>
        <v>0.16700000000000001</v>
      </c>
      <c r="AY142" s="9">
        <f>0</f>
        <v>0</v>
      </c>
      <c r="AZ142" s="9">
        <f>IF(OR(Inputs!$F$6=TRUE,Inputs!$F$6="TRUE",Inputs!$F$6=1),(Inputs!$H$6+Inputs!$L$6*(((Inputs!$I$6+(((A142)+1)/2)*(Inputs!$J$6-Inputs!$I$6)))/Inputs!$K$6)^2),NA())</f>
        <v>400.11155600000001</v>
      </c>
      <c r="BA142" s="9">
        <f>IF(OR(Inputs!$F$7=TRUE,Inputs!$F$7="TRUE",Inputs!$F$7=1),(Inputs!$H$7+Inputs!$L$7*(((Inputs!$I$7+(((A142)+1)/2)*(Inputs!$J$7-Inputs!$I$7)))/Inputs!$K$7)^2),NA())</f>
        <v>45.179485</v>
      </c>
      <c r="BB142" s="9">
        <f>IF(OR(Inputs!$F$8=TRUE,Inputs!$F$8="TRUE",Inputs!$F$8=1),(Inputs!$H$8+Inputs!$L$8*(((Inputs!$I$8+(((A142)+1)/2)*(Inputs!$J$8-Inputs!$I$8)))/Inputs!$K$8)^2),NA())</f>
        <v>61.91288500000001</v>
      </c>
      <c r="BC142" s="9">
        <f>IF(OR(Inputs!$F$9=TRUE,Inputs!$F$9="TRUE",Inputs!$F$9=1),(Inputs!$H$9+Inputs!$L$9*(((Inputs!$I$9+(((A142)+1)/2)*(Inputs!$J$9-Inputs!$I$9)))/Inputs!$K$9)^2),NA())</f>
        <v>52.191775000000007</v>
      </c>
      <c r="BD142" s="10"/>
      <c r="BE142" s="9">
        <f t="shared" si="26"/>
        <v>0.16700000000000001</v>
      </c>
      <c r="BF142" s="9">
        <f>0</f>
        <v>0</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row>
    <row r="143" spans="1:62">
      <c r="A143" s="9">
        <f>ROUND(-1+141*2/240,3)</f>
        <v>0.17499999999999999</v>
      </c>
      <c r="B143" s="9">
        <f>IF(OR(Inputs!$F$6=TRUE,Inputs!$F$6="TRUE",Inputs!$F$6=1),(Inputs!$H$6+Inputs!$L$6*(((Inputs!$I$6+(((A143)+1)/2)*(Inputs!$J$6-Inputs!$I$6)))/Inputs!$K$6)^2),NA())</f>
        <v>400.1225</v>
      </c>
      <c r="C143" s="9">
        <f>IF(OR(Inputs!$F$7=TRUE,Inputs!$F$7="TRUE",Inputs!$F$7=1),(Inputs!$H$7+Inputs!$L$7*(((Inputs!$I$7+(((A143)+1)/2)*(Inputs!$J$7-Inputs!$I$7)))/Inputs!$K$7)^2),NA())</f>
        <v>46.178124999999994</v>
      </c>
      <c r="D143" s="9">
        <f>IF(OR(Inputs!$F$8=TRUE,Inputs!$F$8="TRUE",Inputs!$F$8=1),(Inputs!$H$8+Inputs!$L$8*(((Inputs!$I$8+(((A143)+1)/2)*(Inputs!$J$8-Inputs!$I$8)))/Inputs!$K$8)^2),NA())</f>
        <v>64.553124999999994</v>
      </c>
      <c r="E143" s="9">
        <f>IF(OR(Inputs!$F$9=TRUE,Inputs!$F$9="TRUE",Inputs!$F$9=1),(Inputs!$H$9+Inputs!$L$9*(((Inputs!$I$9+(((A143)+1)/2)*(Inputs!$J$9-Inputs!$I$9)))/Inputs!$K$9)^2),NA())</f>
        <v>54.859375</v>
      </c>
      <c r="F143" s="10"/>
      <c r="G143" s="9">
        <f t="shared" si="18"/>
        <v>0.17499999999999999</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c r="L143" s="10"/>
      <c r="M143" s="9">
        <f t="shared" si="19"/>
        <v>0.17499999999999999</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-89.844693781141672</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-1580.593266241955</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-1769.1436703985887</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-1767.4173230174663</v>
      </c>
      <c r="R143" s="10"/>
      <c r="S143" s="9">
        <f t="shared" si="20"/>
        <v>0.17499999999999999</v>
      </c>
      <c r="T143" s="9">
        <f>(Inputs!$I$6+(((A143)+1)/2)*(Inputs!$J$6-Inputs!$I$6))</f>
        <v>10.5</v>
      </c>
      <c r="U143" s="9">
        <f>(Inputs!$I$7+(((A143)+1)/2)*(Inputs!$J$7-Inputs!$I$7))</f>
        <v>70</v>
      </c>
      <c r="V143" s="9">
        <f>(Inputs!$I$8+(((A143)+1)/2)*(Inputs!$J$8-Inputs!$I$8))</f>
        <v>140</v>
      </c>
      <c r="W143" s="9">
        <f>(Inputs!$I$9+(((A143)+1)/2)*(Inputs!$J$9-Inputs!$I$9))</f>
        <v>140</v>
      </c>
      <c r="X143" s="10"/>
      <c r="Y143" s="9">
        <f t="shared" si="21"/>
        <v>0.17499999999999999</v>
      </c>
      <c r="Z143" s="9">
        <f>(Inputs!$H$6+Inputs!$L$6*(((Inputs!$I$6+(((A143)+1)/2)*(Inputs!$J$6-Inputs!$I$6)))/Inputs!$K$6)^2)</f>
        <v>400.1225</v>
      </c>
      <c r="AA143" s="9">
        <f>(Inputs!$H$7+Inputs!$L$7*(((Inputs!$I$7+(((A143)+1)/2)*(Inputs!$J$7-Inputs!$I$7)))/Inputs!$K$7)^2)</f>
        <v>46.178124999999994</v>
      </c>
      <c r="AB143" s="9">
        <f>(Inputs!$H$8+Inputs!$L$8*(((Inputs!$I$8+(((A143)+1)/2)*(Inputs!$J$8-Inputs!$I$8)))/Inputs!$K$8)^2)</f>
        <v>64.553124999999994</v>
      </c>
      <c r="AC143" s="9">
        <f>(Inputs!$H$9+Inputs!$L$9*(((Inputs!$I$9+(((A143)+1)/2)*(Inputs!$J$9-Inputs!$I$9)))/Inputs!$K$9)^2)</f>
        <v>54.859375</v>
      </c>
      <c r="AD143" s="10"/>
      <c r="AE143" s="9">
        <f t="shared" si="22"/>
        <v>0.17499999999999999</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647.54391759570331</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23736.827370989729</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52941.64041645862</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56088.157330836737</v>
      </c>
      <c r="AJ143" s="10"/>
      <c r="AK143" s="9">
        <f t="shared" si="23"/>
        <v>0.17499999999999999</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-89.844693781141672</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-1580.593266241955</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-1769.1436703985887</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-1767.4173230174663</v>
      </c>
      <c r="AP143" s="10"/>
      <c r="AQ143" s="9">
        <f t="shared" si="24"/>
        <v>0.17499999999999999</v>
      </c>
      <c r="AR143" s="9">
        <f>0</f>
        <v>0</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437.9381023255097</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102.9599191436472</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82.387156791304207</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82.387156791304207</v>
      </c>
      <c r="AW143" s="10"/>
      <c r="AX143" s="9">
        <f t="shared" si="25"/>
        <v>0.17499999999999999</v>
      </c>
      <c r="AY143" s="9">
        <f>0</f>
        <v>0</v>
      </c>
      <c r="AZ143" s="9">
        <f>IF(OR(Inputs!$F$6=TRUE,Inputs!$F$6="TRUE",Inputs!$F$6=1),(Inputs!$H$6+Inputs!$L$6*(((Inputs!$I$6+(((A143)+1)/2)*(Inputs!$J$6-Inputs!$I$6)))/Inputs!$K$6)^2),NA())</f>
        <v>400.1225</v>
      </c>
      <c r="BA143" s="9">
        <f>IF(OR(Inputs!$F$7=TRUE,Inputs!$F$7="TRUE",Inputs!$F$7=1),(Inputs!$H$7+Inputs!$L$7*(((Inputs!$I$7+(((A143)+1)/2)*(Inputs!$J$7-Inputs!$I$7)))/Inputs!$K$7)^2),NA())</f>
        <v>46.178124999999994</v>
      </c>
      <c r="BB143" s="9">
        <f>IF(OR(Inputs!$F$8=TRUE,Inputs!$F$8="TRUE",Inputs!$F$8=1),(Inputs!$H$8+Inputs!$L$8*(((Inputs!$I$8+(((A143)+1)/2)*(Inputs!$J$8-Inputs!$I$8)))/Inputs!$K$8)^2),NA())</f>
        <v>64.553124999999994</v>
      </c>
      <c r="BC143" s="9">
        <f>IF(OR(Inputs!$F$9=TRUE,Inputs!$F$9="TRUE",Inputs!$F$9=1),(Inputs!$H$9+Inputs!$L$9*(((Inputs!$I$9+(((A143)+1)/2)*(Inputs!$J$9-Inputs!$I$9)))/Inputs!$K$9)^2),NA())</f>
        <v>54.859375</v>
      </c>
      <c r="BD143" s="10"/>
      <c r="BE143" s="9">
        <f t="shared" si="26"/>
        <v>0.17499999999999999</v>
      </c>
      <c r="BF143" s="9">
        <f>0</f>
        <v>0</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row>
    <row r="144" spans="1:62">
      <c r="A144" s="9">
        <f>ROUND(-1+142*2/240,3)</f>
        <v>0.183</v>
      </c>
      <c r="B144" s="9">
        <f>IF(OR(Inputs!$F$6=TRUE,Inputs!$F$6="TRUE",Inputs!$F$6=1),(Inputs!$H$6+Inputs!$L$6*(((Inputs!$I$6+(((A144)+1)/2)*(Inputs!$J$6-Inputs!$I$6)))/Inputs!$K$6)^2),NA())</f>
        <v>400.13395600000001</v>
      </c>
      <c r="C144" s="9">
        <f>IF(OR(Inputs!$F$7=TRUE,Inputs!$F$7="TRUE",Inputs!$F$7=1),(Inputs!$H$7+Inputs!$L$7*(((Inputs!$I$7+(((A144)+1)/2)*(Inputs!$J$7-Inputs!$I$7)))/Inputs!$K$7)^2),NA())</f>
        <v>47.223485000000011</v>
      </c>
      <c r="D144" s="9">
        <f>IF(OR(Inputs!$F$8=TRUE,Inputs!$F$8="TRUE",Inputs!$F$8=1),(Inputs!$H$8+Inputs!$L$8*(((Inputs!$I$8+(((A144)+1)/2)*(Inputs!$J$8-Inputs!$I$8)))/Inputs!$K$8)^2),NA())</f>
        <v>67.316885000000042</v>
      </c>
      <c r="E144" s="9">
        <f>IF(OR(Inputs!$F$9=TRUE,Inputs!$F$9="TRUE",Inputs!$F$9=1),(Inputs!$H$9+Inputs!$L$9*(((Inputs!$I$9+(((A144)+1)/2)*(Inputs!$J$9-Inputs!$I$9)))/Inputs!$K$9)^2),NA())</f>
        <v>57.651775000000036</v>
      </c>
      <c r="F144" s="10"/>
      <c r="G144" s="9">
        <f t="shared" si="18"/>
        <v>0.183</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c r="L144" s="10"/>
      <c r="M144" s="9">
        <f t="shared" si="19"/>
        <v>0.183</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-93.947143738662049</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-1603.172765395027</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-1787.2772333793589</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-1784.3726742066151</v>
      </c>
      <c r="R144" s="10"/>
      <c r="S144" s="9">
        <f t="shared" si="20"/>
        <v>0.183</v>
      </c>
      <c r="T144" s="9">
        <f>(Inputs!$I$6+(((A144)+1)/2)*(Inputs!$J$6-Inputs!$I$6))</f>
        <v>10.980000000000004</v>
      </c>
      <c r="U144" s="9">
        <f>(Inputs!$I$7+(((A144)+1)/2)*(Inputs!$J$7-Inputs!$I$7))</f>
        <v>73.200000000000045</v>
      </c>
      <c r="V144" s="9">
        <f>(Inputs!$I$8+(((A144)+1)/2)*(Inputs!$J$8-Inputs!$I$8))</f>
        <v>146.40000000000009</v>
      </c>
      <c r="W144" s="9">
        <f>(Inputs!$I$9+(((A144)+1)/2)*(Inputs!$J$9-Inputs!$I$9))</f>
        <v>146.40000000000009</v>
      </c>
      <c r="X144" s="10"/>
      <c r="Y144" s="9">
        <f t="shared" si="21"/>
        <v>0.183</v>
      </c>
      <c r="Z144" s="9">
        <f>(Inputs!$H$6+Inputs!$L$6*(((Inputs!$I$6+(((A144)+1)/2)*(Inputs!$J$6-Inputs!$I$6)))/Inputs!$K$6)^2)</f>
        <v>400.13395600000001</v>
      </c>
      <c r="AA144" s="9">
        <f>(Inputs!$H$7+Inputs!$L$7*(((Inputs!$I$7+(((A144)+1)/2)*(Inputs!$J$7-Inputs!$I$7)))/Inputs!$K$7)^2)</f>
        <v>47.223485000000011</v>
      </c>
      <c r="AB144" s="9">
        <f>(Inputs!$H$8+Inputs!$L$8*(((Inputs!$I$8+(((A144)+1)/2)*(Inputs!$J$8-Inputs!$I$8)))/Inputs!$K$8)^2)</f>
        <v>67.316885000000042</v>
      </c>
      <c r="AC144" s="9">
        <f>(Inputs!$H$9+Inputs!$L$9*(((Inputs!$I$9+(((A144)+1)/2)*(Inputs!$J$9-Inputs!$I$9)))/Inputs!$K$9)^2)</f>
        <v>57.651775000000036</v>
      </c>
      <c r="AD144" s="10"/>
      <c r="AE144" s="9">
        <f t="shared" si="22"/>
        <v>0.183</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656.59604744514274</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24938.306338684157</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55384.975297901554</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58510.161864771762</v>
      </c>
      <c r="AJ144" s="10"/>
      <c r="AK144" s="9">
        <f t="shared" si="23"/>
        <v>0.183</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-93.947143738662049</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-1603.172765395027</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-1787.2772333793589</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-1784.3726742066151</v>
      </c>
      <c r="AP144" s="10"/>
      <c r="AQ144" s="9">
        <f t="shared" si="24"/>
        <v>0.183</v>
      </c>
      <c r="AR144" s="9">
        <f>0</f>
        <v>0</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439.18635626499758</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169.38711999625514</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227.66381835808443</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227.66381835808443</v>
      </c>
      <c r="AW144" s="10"/>
      <c r="AX144" s="9">
        <f t="shared" si="25"/>
        <v>0.183</v>
      </c>
      <c r="AY144" s="9">
        <f>0</f>
        <v>0</v>
      </c>
      <c r="AZ144" s="9">
        <f>IF(OR(Inputs!$F$6=TRUE,Inputs!$F$6="TRUE",Inputs!$F$6=1),(Inputs!$H$6+Inputs!$L$6*(((Inputs!$I$6+(((A144)+1)/2)*(Inputs!$J$6-Inputs!$I$6)))/Inputs!$K$6)^2),NA())</f>
        <v>400.13395600000001</v>
      </c>
      <c r="BA144" s="9">
        <f>IF(OR(Inputs!$F$7=TRUE,Inputs!$F$7="TRUE",Inputs!$F$7=1),(Inputs!$H$7+Inputs!$L$7*(((Inputs!$I$7+(((A144)+1)/2)*(Inputs!$J$7-Inputs!$I$7)))/Inputs!$K$7)^2),NA())</f>
        <v>47.223485000000011</v>
      </c>
      <c r="BB144" s="9">
        <f>IF(OR(Inputs!$F$8=TRUE,Inputs!$F$8="TRUE",Inputs!$F$8=1),(Inputs!$H$8+Inputs!$L$8*(((Inputs!$I$8+(((A144)+1)/2)*(Inputs!$J$8-Inputs!$I$8)))/Inputs!$K$8)^2),NA())</f>
        <v>67.316885000000042</v>
      </c>
      <c r="BC144" s="9">
        <f>IF(OR(Inputs!$F$9=TRUE,Inputs!$F$9="TRUE",Inputs!$F$9=1),(Inputs!$H$9+Inputs!$L$9*(((Inputs!$I$9+(((A144)+1)/2)*(Inputs!$J$9-Inputs!$I$9)))/Inputs!$K$9)^2),NA())</f>
        <v>57.651775000000036</v>
      </c>
      <c r="BD144" s="10"/>
      <c r="BE144" s="9">
        <f t="shared" si="26"/>
        <v>0.183</v>
      </c>
      <c r="BF144" s="9">
        <f>0</f>
        <v>0</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row>
    <row r="145" spans="1:62">
      <c r="A145" s="9">
        <f>ROUND(-1+143*2/240,3)</f>
        <v>0.192</v>
      </c>
      <c r="B145" s="9">
        <f>IF(OR(Inputs!$F$6=TRUE,Inputs!$F$6="TRUE",Inputs!$F$6=1),(Inputs!$H$6+Inputs!$L$6*(((Inputs!$I$6+(((A145)+1)/2)*(Inputs!$J$6-Inputs!$I$6)))/Inputs!$K$6)^2),NA())</f>
        <v>400.14745599999998</v>
      </c>
      <c r="C145" s="9">
        <f>IF(OR(Inputs!$F$7=TRUE,Inputs!$F$7="TRUE",Inputs!$F$7=1),(Inputs!$H$7+Inputs!$L$7*(((Inputs!$I$7+(((A145)+1)/2)*(Inputs!$J$7-Inputs!$I$7)))/Inputs!$K$7)^2),NA())</f>
        <v>48.455359999999985</v>
      </c>
      <c r="D145" s="9">
        <f>IF(OR(Inputs!$F$8=TRUE,Inputs!$F$8="TRUE",Inputs!$F$8=1),(Inputs!$H$8+Inputs!$L$8*(((Inputs!$I$8+(((A145)+1)/2)*(Inputs!$J$8-Inputs!$I$8)))/Inputs!$K$8)^2),NA())</f>
        <v>70.573759999999965</v>
      </c>
      <c r="E145" s="9">
        <f>IF(OR(Inputs!$F$9=TRUE,Inputs!$F$9="TRUE",Inputs!$F$9=1),(Inputs!$H$9+Inputs!$L$9*(((Inputs!$I$9+(((A145)+1)/2)*(Inputs!$J$9-Inputs!$I$9)))/Inputs!$K$9)^2),NA())</f>
        <v>60.942399999999964</v>
      </c>
      <c r="F145" s="10"/>
      <c r="G145" s="9">
        <f t="shared" si="18"/>
        <v>0.192</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c r="L145" s="10"/>
      <c r="M145" s="9">
        <f t="shared" si="19"/>
        <v>0.192</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-98.56164084788621</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-1627.0753088758588</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-1807.5444441367449</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-1803.534814031977</v>
      </c>
      <c r="R145" s="10"/>
      <c r="S145" s="9">
        <f t="shared" si="20"/>
        <v>0.192</v>
      </c>
      <c r="T145" s="9">
        <f>(Inputs!$I$6+(((A145)+1)/2)*(Inputs!$J$6-Inputs!$I$6))</f>
        <v>11.519999999999996</v>
      </c>
      <c r="U145" s="9">
        <f>(Inputs!$I$7+(((A145)+1)/2)*(Inputs!$J$7-Inputs!$I$7))</f>
        <v>76.799999999999955</v>
      </c>
      <c r="V145" s="9">
        <f>(Inputs!$I$8+(((A145)+1)/2)*(Inputs!$J$8-Inputs!$I$8))</f>
        <v>153.59999999999991</v>
      </c>
      <c r="W145" s="9">
        <f>(Inputs!$I$9+(((A145)+1)/2)*(Inputs!$J$9-Inputs!$I$9))</f>
        <v>153.59999999999991</v>
      </c>
      <c r="X145" s="10"/>
      <c r="Y145" s="9">
        <f t="shared" si="21"/>
        <v>0.192</v>
      </c>
      <c r="Z145" s="9">
        <f>(Inputs!$H$6+Inputs!$L$6*(((Inputs!$I$6+(((A145)+1)/2)*(Inputs!$J$6-Inputs!$I$6)))/Inputs!$K$6)^2)</f>
        <v>400.14745599999998</v>
      </c>
      <c r="AA145" s="9">
        <f>(Inputs!$H$7+Inputs!$L$7*(((Inputs!$I$7+(((A145)+1)/2)*(Inputs!$J$7-Inputs!$I$7)))/Inputs!$K$7)^2)</f>
        <v>48.455359999999985</v>
      </c>
      <c r="AB145" s="9">
        <f>(Inputs!$H$8+Inputs!$L$8*(((Inputs!$I$8+(((A145)+1)/2)*(Inputs!$J$8-Inputs!$I$8)))/Inputs!$K$8)^2)</f>
        <v>70.573759999999965</v>
      </c>
      <c r="AC145" s="9">
        <f>(Inputs!$H$9+Inputs!$L$9*(((Inputs!$I$9+(((A145)+1)/2)*(Inputs!$J$9-Inputs!$I$9)))/Inputs!$K$9)^2)</f>
        <v>60.942399999999964</v>
      </c>
      <c r="AD145" s="10"/>
      <c r="AE145" s="9">
        <f t="shared" si="22"/>
        <v>0.192</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667.26227245312475</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26287.985438442189</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58099.303636993303</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61196.743987923845</v>
      </c>
      <c r="AJ145" s="10"/>
      <c r="AK145" s="9">
        <f t="shared" si="23"/>
        <v>0.192</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-98.56164084788621</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-1627.0753088758588</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-1807.5444441367449</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-1803.534814031977</v>
      </c>
      <c r="AP145" s="10"/>
      <c r="AQ145" s="9">
        <f t="shared" si="24"/>
        <v>0.192</v>
      </c>
      <c r="AR145" s="9">
        <f>0</f>
        <v>0</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421.33382769243025</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219.90090433514007</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129.65291537993321</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129.65291537993321</v>
      </c>
      <c r="AW145" s="10"/>
      <c r="AX145" s="9">
        <f t="shared" si="25"/>
        <v>0.192</v>
      </c>
      <c r="AY145" s="9">
        <f>0</f>
        <v>0</v>
      </c>
      <c r="AZ145" s="9">
        <f>IF(OR(Inputs!$F$6=TRUE,Inputs!$F$6="TRUE",Inputs!$F$6=1),(Inputs!$H$6+Inputs!$L$6*(((Inputs!$I$6+(((A145)+1)/2)*(Inputs!$J$6-Inputs!$I$6)))/Inputs!$K$6)^2),NA())</f>
        <v>400.14745599999998</v>
      </c>
      <c r="BA145" s="9">
        <f>IF(OR(Inputs!$F$7=TRUE,Inputs!$F$7="TRUE",Inputs!$F$7=1),(Inputs!$H$7+Inputs!$L$7*(((Inputs!$I$7+(((A145)+1)/2)*(Inputs!$J$7-Inputs!$I$7)))/Inputs!$K$7)^2),NA())</f>
        <v>48.455359999999985</v>
      </c>
      <c r="BB145" s="9">
        <f>IF(OR(Inputs!$F$8=TRUE,Inputs!$F$8="TRUE",Inputs!$F$8=1),(Inputs!$H$8+Inputs!$L$8*(((Inputs!$I$8+(((A145)+1)/2)*(Inputs!$J$8-Inputs!$I$8)))/Inputs!$K$8)^2),NA())</f>
        <v>70.573759999999965</v>
      </c>
      <c r="BC145" s="9">
        <f>IF(OR(Inputs!$F$9=TRUE,Inputs!$F$9="TRUE",Inputs!$F$9=1),(Inputs!$H$9+Inputs!$L$9*(((Inputs!$I$9+(((A145)+1)/2)*(Inputs!$J$9-Inputs!$I$9)))/Inputs!$K$9)^2),NA())</f>
        <v>60.942399999999964</v>
      </c>
      <c r="BD145" s="10"/>
      <c r="BE145" s="9">
        <f t="shared" si="26"/>
        <v>0.192</v>
      </c>
      <c r="BF145" s="9">
        <f>0</f>
        <v>0</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row>
    <row r="146" spans="1:62">
      <c r="A146" s="9">
        <f>ROUND(-1+144*2/240,3)</f>
        <v>0.2</v>
      </c>
      <c r="B146" s="9">
        <f>IF(OR(Inputs!$F$6=TRUE,Inputs!$F$6="TRUE",Inputs!$F$6=1),(Inputs!$H$6+Inputs!$L$6*(((Inputs!$I$6+(((A146)+1)/2)*(Inputs!$J$6-Inputs!$I$6)))/Inputs!$K$6)^2),NA())</f>
        <v>400.16</v>
      </c>
      <c r="C146" s="9">
        <f>IF(OR(Inputs!$F$7=TRUE,Inputs!$F$7="TRUE",Inputs!$F$7=1),(Inputs!$H$7+Inputs!$L$7*(((Inputs!$I$7+(((A146)+1)/2)*(Inputs!$J$7-Inputs!$I$7)))/Inputs!$K$7)^2),NA())</f>
        <v>49.6</v>
      </c>
      <c r="D146" s="9">
        <f>IF(OR(Inputs!$F$8=TRUE,Inputs!$F$8="TRUE",Inputs!$F$8=1),(Inputs!$H$8+Inputs!$L$8*(((Inputs!$I$8+(((A146)+1)/2)*(Inputs!$J$8-Inputs!$I$8)))/Inputs!$K$8)^2),NA())</f>
        <v>73.600000000000009</v>
      </c>
      <c r="E146" s="9">
        <f>IF(OR(Inputs!$F$9=TRUE,Inputs!$F$9="TRUE",Inputs!$F$9=1),(Inputs!$H$9+Inputs!$L$9*(((Inputs!$I$9+(((A146)+1)/2)*(Inputs!$J$9-Inputs!$I$9)))/Inputs!$K$9)^2),NA())</f>
        <v>64</v>
      </c>
      <c r="F146" s="10"/>
      <c r="G146" s="9">
        <f t="shared" si="18"/>
        <v>0.2</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c r="L146" s="10"/>
      <c r="M146" s="9">
        <f t="shared" si="19"/>
        <v>0.2</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-102.66271090049356</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-1647.1842199885127</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-1825.5334020523155</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-1820.7114117933004</v>
      </c>
      <c r="R146" s="10"/>
      <c r="S146" s="9">
        <f t="shared" si="20"/>
        <v>0.2</v>
      </c>
      <c r="T146" s="9">
        <f>(Inputs!$I$6+(((A146)+1)/2)*(Inputs!$J$6-Inputs!$I$6))</f>
        <v>12</v>
      </c>
      <c r="U146" s="9">
        <f>(Inputs!$I$7+(((A146)+1)/2)*(Inputs!$J$7-Inputs!$I$7))</f>
        <v>80</v>
      </c>
      <c r="V146" s="9">
        <f>(Inputs!$I$8+(((A146)+1)/2)*(Inputs!$J$8-Inputs!$I$8))</f>
        <v>160</v>
      </c>
      <c r="W146" s="9">
        <f>(Inputs!$I$9+(((A146)+1)/2)*(Inputs!$J$9-Inputs!$I$9))</f>
        <v>160</v>
      </c>
      <c r="X146" s="10"/>
      <c r="Y146" s="9">
        <f t="shared" si="21"/>
        <v>0.2</v>
      </c>
      <c r="Z146" s="9">
        <f>(Inputs!$H$6+Inputs!$L$6*(((Inputs!$I$6+(((A146)+1)/2)*(Inputs!$J$6-Inputs!$I$6)))/Inputs!$K$6)^2)</f>
        <v>400.16</v>
      </c>
      <c r="AA146" s="9">
        <f>(Inputs!$H$7+Inputs!$L$7*(((Inputs!$I$7+(((A146)+1)/2)*(Inputs!$J$7-Inputs!$I$7)))/Inputs!$K$7)^2)</f>
        <v>49.6</v>
      </c>
      <c r="AB146" s="9">
        <f>(Inputs!$H$8+Inputs!$L$8*(((Inputs!$I$8+(((A146)+1)/2)*(Inputs!$J$8-Inputs!$I$8)))/Inputs!$K$8)^2)</f>
        <v>73.600000000000009</v>
      </c>
      <c r="AC146" s="9">
        <f>(Inputs!$H$9+Inputs!$L$9*(((Inputs!$I$9+(((A146)+1)/2)*(Inputs!$J$9-Inputs!$I$9)))/Inputs!$K$9)^2)</f>
        <v>64</v>
      </c>
      <c r="AD146" s="10"/>
      <c r="AE146" s="9">
        <f t="shared" si="22"/>
        <v>0.2</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677.17219926548933</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27484.493056654868</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60481.276073008041</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63551.147455272643</v>
      </c>
      <c r="AJ146" s="10"/>
      <c r="AK146" s="9">
        <f t="shared" si="23"/>
        <v>0.2</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-102.66271090049356</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-1647.1842199885127</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-1825.5334020523155</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-1820.7114117933004</v>
      </c>
      <c r="AP146" s="10"/>
      <c r="AQ146" s="9">
        <f t="shared" si="24"/>
        <v>0.2</v>
      </c>
      <c r="AR146" s="9">
        <f>0</f>
        <v>0</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422.8387186345762</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159.82837344932233</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163.17360558683558</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163.17360558683558</v>
      </c>
      <c r="AW146" s="10"/>
      <c r="AX146" s="9">
        <f t="shared" si="25"/>
        <v>0.2</v>
      </c>
      <c r="AY146" s="9">
        <f>0</f>
        <v>0</v>
      </c>
      <c r="AZ146" s="9">
        <f>IF(OR(Inputs!$F$6=TRUE,Inputs!$F$6="TRUE",Inputs!$F$6=1),(Inputs!$H$6+Inputs!$L$6*(((Inputs!$I$6+(((A146)+1)/2)*(Inputs!$J$6-Inputs!$I$6)))/Inputs!$K$6)^2),NA())</f>
        <v>400.16</v>
      </c>
      <c r="BA146" s="9">
        <f>IF(OR(Inputs!$F$7=TRUE,Inputs!$F$7="TRUE",Inputs!$F$7=1),(Inputs!$H$7+Inputs!$L$7*(((Inputs!$I$7+(((A146)+1)/2)*(Inputs!$J$7-Inputs!$I$7)))/Inputs!$K$7)^2),NA())</f>
        <v>49.6</v>
      </c>
      <c r="BB146" s="9">
        <f>IF(OR(Inputs!$F$8=TRUE,Inputs!$F$8="TRUE",Inputs!$F$8=1),(Inputs!$H$8+Inputs!$L$8*(((Inputs!$I$8+(((A146)+1)/2)*(Inputs!$J$8-Inputs!$I$8)))/Inputs!$K$8)^2),NA())</f>
        <v>73.600000000000009</v>
      </c>
      <c r="BC146" s="9">
        <f>IF(OR(Inputs!$F$9=TRUE,Inputs!$F$9="TRUE",Inputs!$F$9=1),(Inputs!$H$9+Inputs!$L$9*(((Inputs!$I$9+(((A146)+1)/2)*(Inputs!$J$9-Inputs!$I$9)))/Inputs!$K$9)^2),NA())</f>
        <v>64</v>
      </c>
      <c r="BD146" s="10"/>
      <c r="BE146" s="9">
        <f t="shared" si="26"/>
        <v>0.2</v>
      </c>
      <c r="BF146" s="9">
        <f>0</f>
        <v>0</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row>
    <row r="147" spans="1:62">
      <c r="A147" s="9">
        <f>ROUND(-1+145*2/240,3)</f>
        <v>0.20799999999999999</v>
      </c>
      <c r="B147" s="9">
        <f>IF(OR(Inputs!$F$6=TRUE,Inputs!$F$6="TRUE",Inputs!$F$6=1),(Inputs!$H$6+Inputs!$L$6*(((Inputs!$I$6+(((A147)+1)/2)*(Inputs!$J$6-Inputs!$I$6)))/Inputs!$K$6)^2),NA())</f>
        <v>400.17305599999997</v>
      </c>
      <c r="C147" s="9">
        <f>IF(OR(Inputs!$F$7=TRUE,Inputs!$F$7="TRUE",Inputs!$F$7=1),(Inputs!$H$7+Inputs!$L$7*(((Inputs!$I$7+(((A147)+1)/2)*(Inputs!$J$7-Inputs!$I$7)))/Inputs!$K$7)^2),NA())</f>
        <v>50.791359999999997</v>
      </c>
      <c r="D147" s="9">
        <f>IF(OR(Inputs!$F$8=TRUE,Inputs!$F$8="TRUE",Inputs!$F$8=1),(Inputs!$H$8+Inputs!$L$8*(((Inputs!$I$8+(((A147)+1)/2)*(Inputs!$J$8-Inputs!$I$8)))/Inputs!$K$8)^2),NA())</f>
        <v>76.749759999999981</v>
      </c>
      <c r="E147" s="9">
        <f>IF(OR(Inputs!$F$9=TRUE,Inputs!$F$9="TRUE",Inputs!$F$9=1),(Inputs!$H$9+Inputs!$L$9*(((Inputs!$I$9+(((A147)+1)/2)*(Inputs!$J$9-Inputs!$I$9)))/Inputs!$K$9)^2),NA())</f>
        <v>67.182399999999973</v>
      </c>
      <c r="F147" s="10"/>
      <c r="G147" s="9">
        <f t="shared" si="18"/>
        <v>0.20799999999999999</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c r="L147" s="10"/>
      <c r="M147" s="9">
        <f t="shared" si="19"/>
        <v>0.20799999999999999</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-106.76308869225288</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-1666.3807003058387</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-1843.5674135532493</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-1838.0723898684603</v>
      </c>
      <c r="R147" s="10"/>
      <c r="S147" s="9">
        <f t="shared" si="20"/>
        <v>0.20799999999999999</v>
      </c>
      <c r="T147" s="9">
        <f>(Inputs!$I$6+(((A147)+1)/2)*(Inputs!$J$6-Inputs!$I$6))</f>
        <v>12.480000000000004</v>
      </c>
      <c r="U147" s="9">
        <f>(Inputs!$I$7+(((A147)+1)/2)*(Inputs!$J$7-Inputs!$I$7))</f>
        <v>83.199999999999989</v>
      </c>
      <c r="V147" s="9">
        <f>(Inputs!$I$8+(((A147)+1)/2)*(Inputs!$J$8-Inputs!$I$8))</f>
        <v>166.39999999999998</v>
      </c>
      <c r="W147" s="9">
        <f>(Inputs!$I$9+(((A147)+1)/2)*(Inputs!$J$9-Inputs!$I$9))</f>
        <v>166.39999999999998</v>
      </c>
      <c r="X147" s="10"/>
      <c r="Y147" s="9">
        <f t="shared" si="21"/>
        <v>0.20799999999999999</v>
      </c>
      <c r="Z147" s="9">
        <f>(Inputs!$H$6+Inputs!$L$6*(((Inputs!$I$6+(((A147)+1)/2)*(Inputs!$J$6-Inputs!$I$6)))/Inputs!$K$6)^2)</f>
        <v>400.17305599999997</v>
      </c>
      <c r="AA147" s="9">
        <f>(Inputs!$H$7+Inputs!$L$7*(((Inputs!$I$7+(((A147)+1)/2)*(Inputs!$J$7-Inputs!$I$7)))/Inputs!$K$7)^2)</f>
        <v>50.791359999999997</v>
      </c>
      <c r="AB147" s="9">
        <f>(Inputs!$H$8+Inputs!$L$8*(((Inputs!$I$8+(((A147)+1)/2)*(Inputs!$J$8-Inputs!$I$8)))/Inputs!$K$8)^2)</f>
        <v>76.749759999999981</v>
      </c>
      <c r="AC147" s="9">
        <f>(Inputs!$H$9+Inputs!$L$9*(((Inputs!$I$9+(((A147)+1)/2)*(Inputs!$J$9-Inputs!$I$9)))/Inputs!$K$9)^2)</f>
        <v>67.182399999999973</v>
      </c>
      <c r="AD147" s="10"/>
      <c r="AE147" s="9">
        <f t="shared" si="22"/>
        <v>0.20799999999999999</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687.48561925866557</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28676.821975093742</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62834.319273826455</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65874.236993674276</v>
      </c>
      <c r="AJ147" s="10"/>
      <c r="AK147" s="9">
        <f t="shared" si="23"/>
        <v>0.20799999999999999</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-106.76308869225288</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-1666.3807003058387</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-1843.5674135532493</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-1838.0723898684603</v>
      </c>
      <c r="AP147" s="10"/>
      <c r="AQ147" s="9">
        <f t="shared" si="24"/>
        <v>0.20799999999999999</v>
      </c>
      <c r="AR147" s="9">
        <f>0</f>
        <v>0</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411.58967673701164</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140.16892305145183</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199.09571850646452</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199.09571850646452</v>
      </c>
      <c r="AW147" s="10"/>
      <c r="AX147" s="9">
        <f t="shared" si="25"/>
        <v>0.20799999999999999</v>
      </c>
      <c r="AY147" s="9">
        <f>0</f>
        <v>0</v>
      </c>
      <c r="AZ147" s="9">
        <f>IF(OR(Inputs!$F$6=TRUE,Inputs!$F$6="TRUE",Inputs!$F$6=1),(Inputs!$H$6+Inputs!$L$6*(((Inputs!$I$6+(((A147)+1)/2)*(Inputs!$J$6-Inputs!$I$6)))/Inputs!$K$6)^2),NA())</f>
        <v>400.17305599999997</v>
      </c>
      <c r="BA147" s="9">
        <f>IF(OR(Inputs!$F$7=TRUE,Inputs!$F$7="TRUE",Inputs!$F$7=1),(Inputs!$H$7+Inputs!$L$7*(((Inputs!$I$7+(((A147)+1)/2)*(Inputs!$J$7-Inputs!$I$7)))/Inputs!$K$7)^2),NA())</f>
        <v>50.791359999999997</v>
      </c>
      <c r="BB147" s="9">
        <f>IF(OR(Inputs!$F$8=TRUE,Inputs!$F$8="TRUE",Inputs!$F$8=1),(Inputs!$H$8+Inputs!$L$8*(((Inputs!$I$8+(((A147)+1)/2)*(Inputs!$J$8-Inputs!$I$8)))/Inputs!$K$8)^2),NA())</f>
        <v>76.749759999999981</v>
      </c>
      <c r="BC147" s="9">
        <f>IF(OR(Inputs!$F$9=TRUE,Inputs!$F$9="TRUE",Inputs!$F$9=1),(Inputs!$H$9+Inputs!$L$9*(((Inputs!$I$9+(((A147)+1)/2)*(Inputs!$J$9-Inputs!$I$9)))/Inputs!$K$9)^2),NA())</f>
        <v>67.182399999999973</v>
      </c>
      <c r="BD147" s="10"/>
      <c r="BE147" s="9">
        <f t="shared" si="26"/>
        <v>0.20799999999999999</v>
      </c>
      <c r="BF147" s="9">
        <f>0</f>
        <v>0</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row>
    <row r="148" spans="1:62">
      <c r="A148" s="9">
        <f>ROUND(-1+146*2/240,3)</f>
        <v>0.217</v>
      </c>
      <c r="B148" s="9">
        <f>IF(OR(Inputs!$F$6=TRUE,Inputs!$F$6="TRUE",Inputs!$F$6=1),(Inputs!$H$6+Inputs!$L$6*(((Inputs!$I$6+(((A148)+1)/2)*(Inputs!$J$6-Inputs!$I$6)))/Inputs!$K$6)^2),NA())</f>
        <v>400.188356</v>
      </c>
      <c r="C148" s="9">
        <f>IF(OR(Inputs!$F$7=TRUE,Inputs!$F$7="TRUE",Inputs!$F$7=1),(Inputs!$H$7+Inputs!$L$7*(((Inputs!$I$7+(((A148)+1)/2)*(Inputs!$J$7-Inputs!$I$7)))/Inputs!$K$7)^2),NA())</f>
        <v>52.187485000000009</v>
      </c>
      <c r="D148" s="9">
        <f>IF(OR(Inputs!$F$8=TRUE,Inputs!$F$8="TRUE",Inputs!$F$8=1),(Inputs!$H$8+Inputs!$L$8*(((Inputs!$I$8+(((A148)+1)/2)*(Inputs!$J$8-Inputs!$I$8)))/Inputs!$K$8)^2),NA())</f>
        <v>80.440885000000009</v>
      </c>
      <c r="E148" s="9">
        <f>IF(OR(Inputs!$F$9=TRUE,Inputs!$F$9="TRUE",Inputs!$F$9=1),(Inputs!$H$9+Inputs!$L$9*(((Inputs!$I$9+(((A148)+1)/2)*(Inputs!$J$9-Inputs!$I$9)))/Inputs!$K$9)^2),NA())</f>
        <v>70.911775000000006</v>
      </c>
      <c r="F148" s="10"/>
      <c r="G148" s="9">
        <f t="shared" si="18"/>
        <v>0.217</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c r="L148" s="10"/>
      <c r="M148" s="9">
        <f t="shared" si="19"/>
        <v>0.217</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-111.37515211389446</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-1687.0490582285954</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-1863.9766572864032</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-1857.8702803822314</v>
      </c>
      <c r="R148" s="10"/>
      <c r="S148" s="9">
        <f t="shared" si="20"/>
        <v>0.217</v>
      </c>
      <c r="T148" s="9">
        <f>(Inputs!$I$6+(((A148)+1)/2)*(Inputs!$J$6-Inputs!$I$6))</f>
        <v>13.02000000000001</v>
      </c>
      <c r="U148" s="9">
        <f>(Inputs!$I$7+(((A148)+1)/2)*(Inputs!$J$7-Inputs!$I$7))</f>
        <v>86.800000000000011</v>
      </c>
      <c r="V148" s="9">
        <f>(Inputs!$I$8+(((A148)+1)/2)*(Inputs!$J$8-Inputs!$I$8))</f>
        <v>173.60000000000002</v>
      </c>
      <c r="W148" s="9">
        <f>(Inputs!$I$9+(((A148)+1)/2)*(Inputs!$J$9-Inputs!$I$9))</f>
        <v>173.60000000000002</v>
      </c>
      <c r="X148" s="10"/>
      <c r="Y148" s="9">
        <f t="shared" si="21"/>
        <v>0.217</v>
      </c>
      <c r="Z148" s="9">
        <f>(Inputs!$H$6+Inputs!$L$6*(((Inputs!$I$6+(((A148)+1)/2)*(Inputs!$J$6-Inputs!$I$6)))/Inputs!$K$6)^2)</f>
        <v>400.188356</v>
      </c>
      <c r="AA148" s="9">
        <f>(Inputs!$H$7+Inputs!$L$7*(((Inputs!$I$7+(((A148)+1)/2)*(Inputs!$J$7-Inputs!$I$7)))/Inputs!$K$7)^2)</f>
        <v>52.187485000000009</v>
      </c>
      <c r="AB148" s="9">
        <f>(Inputs!$H$8+Inputs!$L$8*(((Inputs!$I$8+(((A148)+1)/2)*(Inputs!$J$8-Inputs!$I$8)))/Inputs!$K$8)^2)</f>
        <v>80.440885000000009</v>
      </c>
      <c r="AC148" s="9">
        <f>(Inputs!$H$9+Inputs!$L$9*(((Inputs!$I$9+(((A148)+1)/2)*(Inputs!$J$9-Inputs!$I$9)))/Inputs!$K$9)^2)</f>
        <v>70.911775000000006</v>
      </c>
      <c r="AD148" s="10"/>
      <c r="AE148" s="9">
        <f t="shared" si="22"/>
        <v>0.217</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699.57036886630374</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30012.020237868906</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65447.122357005865</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68450.856177489288</v>
      </c>
      <c r="AJ148" s="10"/>
      <c r="AK148" s="9">
        <f t="shared" si="23"/>
        <v>0.217</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-111.37515211389446</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-1687.0490582285954</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-1863.9766572864032</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-1857.8702803822314</v>
      </c>
      <c r="AP148" s="10"/>
      <c r="AQ148" s="9">
        <f t="shared" si="24"/>
        <v>0.217</v>
      </c>
      <c r="AR148" s="9">
        <f>0</f>
        <v>0</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418.55290721650675</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128.60865148543502</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118.95488331328893</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118.95488331328893</v>
      </c>
      <c r="AW148" s="10"/>
      <c r="AX148" s="9">
        <f t="shared" si="25"/>
        <v>0.217</v>
      </c>
      <c r="AY148" s="9">
        <f>0</f>
        <v>0</v>
      </c>
      <c r="AZ148" s="9">
        <f>IF(OR(Inputs!$F$6=TRUE,Inputs!$F$6="TRUE",Inputs!$F$6=1),(Inputs!$H$6+Inputs!$L$6*(((Inputs!$I$6+(((A148)+1)/2)*(Inputs!$J$6-Inputs!$I$6)))/Inputs!$K$6)^2),NA())</f>
        <v>400.188356</v>
      </c>
      <c r="BA148" s="9">
        <f>IF(OR(Inputs!$F$7=TRUE,Inputs!$F$7="TRUE",Inputs!$F$7=1),(Inputs!$H$7+Inputs!$L$7*(((Inputs!$I$7+(((A148)+1)/2)*(Inputs!$J$7-Inputs!$I$7)))/Inputs!$K$7)^2),NA())</f>
        <v>52.187485000000009</v>
      </c>
      <c r="BB148" s="9">
        <f>IF(OR(Inputs!$F$8=TRUE,Inputs!$F$8="TRUE",Inputs!$F$8=1),(Inputs!$H$8+Inputs!$L$8*(((Inputs!$I$8+(((A148)+1)/2)*(Inputs!$J$8-Inputs!$I$8)))/Inputs!$K$8)^2),NA())</f>
        <v>80.440885000000009</v>
      </c>
      <c r="BC148" s="9">
        <f>IF(OR(Inputs!$F$9=TRUE,Inputs!$F$9="TRUE",Inputs!$F$9=1),(Inputs!$H$9+Inputs!$L$9*(((Inputs!$I$9+(((A148)+1)/2)*(Inputs!$J$9-Inputs!$I$9)))/Inputs!$K$9)^2),NA())</f>
        <v>70.911775000000006</v>
      </c>
      <c r="BD148" s="10"/>
      <c r="BE148" s="9">
        <f t="shared" si="26"/>
        <v>0.217</v>
      </c>
      <c r="BF148" s="9">
        <f>0</f>
        <v>0</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row>
    <row r="149" spans="1:62">
      <c r="A149" s="9">
        <f>ROUND(-1+147*2/240,3)</f>
        <v>0.22500000000000001</v>
      </c>
      <c r="B149" s="9">
        <f>IF(OR(Inputs!$F$6=TRUE,Inputs!$F$6="TRUE",Inputs!$F$6=1),(Inputs!$H$6+Inputs!$L$6*(((Inputs!$I$6+(((A149)+1)/2)*(Inputs!$J$6-Inputs!$I$6)))/Inputs!$K$6)^2),NA())</f>
        <v>400.20249999999999</v>
      </c>
      <c r="C149" s="9">
        <f>IF(OR(Inputs!$F$7=TRUE,Inputs!$F$7="TRUE",Inputs!$F$7=1),(Inputs!$H$7+Inputs!$L$7*(((Inputs!$I$7+(((A149)+1)/2)*(Inputs!$J$7-Inputs!$I$7)))/Inputs!$K$7)^2),NA())</f>
        <v>53.47812500000002</v>
      </c>
      <c r="D149" s="9">
        <f>IF(OR(Inputs!$F$8=TRUE,Inputs!$F$8="TRUE",Inputs!$F$8=1),(Inputs!$H$8+Inputs!$L$8*(((Inputs!$I$8+(((A149)+1)/2)*(Inputs!$J$8-Inputs!$I$8)))/Inputs!$K$8)^2),NA())</f>
        <v>83.853125000000063</v>
      </c>
      <c r="E149" s="9">
        <f>IF(OR(Inputs!$F$9=TRUE,Inputs!$F$9="TRUE",Inputs!$F$9=1),(Inputs!$H$9+Inputs!$L$9*(((Inputs!$I$9+(((A149)+1)/2)*(Inputs!$J$9-Inputs!$I$9)))/Inputs!$K$9)^2),NA())</f>
        <v>74.359375000000057</v>
      </c>
      <c r="F149" s="10"/>
      <c r="G149" s="9">
        <f t="shared" si="18"/>
        <v>0.22500000000000001</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c r="L149" s="10"/>
      <c r="M149" s="9">
        <f t="shared" si="19"/>
        <v>0.22500000000000001</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-115.47396788625974</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-1704.7217018039846</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-1882.2740929695956</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-1875.7382315443106</v>
      </c>
      <c r="R149" s="10"/>
      <c r="S149" s="9">
        <f t="shared" si="20"/>
        <v>0.22500000000000001</v>
      </c>
      <c r="T149" s="9">
        <f>(Inputs!$I$6+(((A149)+1)/2)*(Inputs!$J$6-Inputs!$I$6))</f>
        <v>13.5</v>
      </c>
      <c r="U149" s="9">
        <f>(Inputs!$I$7+(((A149)+1)/2)*(Inputs!$J$7-Inputs!$I$7))</f>
        <v>90.000000000000057</v>
      </c>
      <c r="V149" s="9">
        <f>(Inputs!$I$8+(((A149)+1)/2)*(Inputs!$J$8-Inputs!$I$8))</f>
        <v>180.00000000000011</v>
      </c>
      <c r="W149" s="9">
        <f>(Inputs!$I$9+(((A149)+1)/2)*(Inputs!$J$9-Inputs!$I$9))</f>
        <v>180.00000000000011</v>
      </c>
      <c r="X149" s="10"/>
      <c r="Y149" s="9">
        <f t="shared" si="21"/>
        <v>0.22500000000000001</v>
      </c>
      <c r="Z149" s="9">
        <f>(Inputs!$H$6+Inputs!$L$6*(((Inputs!$I$6+(((A149)+1)/2)*(Inputs!$J$6-Inputs!$I$6)))/Inputs!$K$6)^2)</f>
        <v>400.20249999999999</v>
      </c>
      <c r="AA149" s="9">
        <f>(Inputs!$H$7+Inputs!$L$7*(((Inputs!$I$7+(((A149)+1)/2)*(Inputs!$J$7-Inputs!$I$7)))/Inputs!$K$7)^2)</f>
        <v>53.47812500000002</v>
      </c>
      <c r="AB149" s="9">
        <f>(Inputs!$H$8+Inputs!$L$8*(((Inputs!$I$8+(((A149)+1)/2)*(Inputs!$J$8-Inputs!$I$8)))/Inputs!$K$8)^2)</f>
        <v>83.853125000000063</v>
      </c>
      <c r="AC149" s="9">
        <f>(Inputs!$H$9+Inputs!$L$9*(((Inputs!$I$9+(((A149)+1)/2)*(Inputs!$J$9-Inputs!$I$9)))/Inputs!$K$9)^2)</f>
        <v>74.359375000000057</v>
      </c>
      <c r="AD149" s="10"/>
      <c r="AE149" s="9">
        <f t="shared" si="22"/>
        <v>0.22500000000000001</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710.74081105899654</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31192.487165497874</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67739.372766159446</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70709.017868137744</v>
      </c>
      <c r="AJ149" s="10"/>
      <c r="AK149" s="9">
        <f t="shared" si="23"/>
        <v>0.22500000000000001</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-115.47396788625974</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-1704.7217018039846</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-1882.2740929695956</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-1875.7382315443106</v>
      </c>
      <c r="AP149" s="10"/>
      <c r="AQ149" s="9">
        <f t="shared" si="24"/>
        <v>0.22500000000000001</v>
      </c>
      <c r="AR149" s="9">
        <f>0</f>
        <v>0</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408.84619240872695</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159.57367988880861</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131.84589428283851</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131.84589428283851</v>
      </c>
      <c r="AW149" s="10"/>
      <c r="AX149" s="9">
        <f t="shared" si="25"/>
        <v>0.22500000000000001</v>
      </c>
      <c r="AY149" s="9">
        <f>0</f>
        <v>0</v>
      </c>
      <c r="AZ149" s="9">
        <f>IF(OR(Inputs!$F$6=TRUE,Inputs!$F$6="TRUE",Inputs!$F$6=1),(Inputs!$H$6+Inputs!$L$6*(((Inputs!$I$6+(((A149)+1)/2)*(Inputs!$J$6-Inputs!$I$6)))/Inputs!$K$6)^2),NA())</f>
        <v>400.20249999999999</v>
      </c>
      <c r="BA149" s="9">
        <f>IF(OR(Inputs!$F$7=TRUE,Inputs!$F$7="TRUE",Inputs!$F$7=1),(Inputs!$H$7+Inputs!$L$7*(((Inputs!$I$7+(((A149)+1)/2)*(Inputs!$J$7-Inputs!$I$7)))/Inputs!$K$7)^2),NA())</f>
        <v>53.47812500000002</v>
      </c>
      <c r="BB149" s="9">
        <f>IF(OR(Inputs!$F$8=TRUE,Inputs!$F$8="TRUE",Inputs!$F$8=1),(Inputs!$H$8+Inputs!$L$8*(((Inputs!$I$8+(((A149)+1)/2)*(Inputs!$J$8-Inputs!$I$8)))/Inputs!$K$8)^2),NA())</f>
        <v>83.853125000000063</v>
      </c>
      <c r="BC149" s="9">
        <f>IF(OR(Inputs!$F$9=TRUE,Inputs!$F$9="TRUE",Inputs!$F$9=1),(Inputs!$H$9+Inputs!$L$9*(((Inputs!$I$9+(((A149)+1)/2)*(Inputs!$J$9-Inputs!$I$9)))/Inputs!$K$9)^2),NA())</f>
        <v>74.359375000000057</v>
      </c>
      <c r="BD149" s="10"/>
      <c r="BE149" s="9">
        <f t="shared" si="26"/>
        <v>0.22500000000000001</v>
      </c>
      <c r="BF149" s="9">
        <f>0</f>
        <v>0</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row>
    <row r="150" spans="1:62">
      <c r="A150" s="9">
        <f>ROUND(-1+148*2/240,3)</f>
        <v>0.23300000000000001</v>
      </c>
      <c r="B150" s="9">
        <f>IF(OR(Inputs!$F$6=TRUE,Inputs!$F$6="TRUE",Inputs!$F$6=1),(Inputs!$H$6+Inputs!$L$6*(((Inputs!$I$6+(((A150)+1)/2)*(Inputs!$J$6-Inputs!$I$6)))/Inputs!$K$6)^2),NA())</f>
        <v>400.21715599999999</v>
      </c>
      <c r="C150" s="9">
        <f>IF(OR(Inputs!$F$7=TRUE,Inputs!$F$7="TRUE",Inputs!$F$7=1),(Inputs!$H$7+Inputs!$L$7*(((Inputs!$I$7+(((A150)+1)/2)*(Inputs!$J$7-Inputs!$I$7)))/Inputs!$K$7)^2),NA())</f>
        <v>54.815485000000024</v>
      </c>
      <c r="D150" s="9">
        <f>IF(OR(Inputs!$F$8=TRUE,Inputs!$F$8="TRUE",Inputs!$F$8=1),(Inputs!$H$8+Inputs!$L$8*(((Inputs!$I$8+(((A150)+1)/2)*(Inputs!$J$8-Inputs!$I$8)))/Inputs!$K$8)^2),NA())</f>
        <v>87.388885000000059</v>
      </c>
      <c r="E150" s="9">
        <f>IF(OR(Inputs!$F$9=TRUE,Inputs!$F$9="TRUE",Inputs!$F$9=1),(Inputs!$H$9+Inputs!$L$9*(((Inputs!$I$9+(((A150)+1)/2)*(Inputs!$J$9-Inputs!$I$9)))/Inputs!$K$9)^2),NA())</f>
        <v>77.931775000000059</v>
      </c>
      <c r="F150" s="10"/>
      <c r="G150" s="9">
        <f t="shared" si="18"/>
        <v>0.23300000000000001</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c r="L150" s="10"/>
      <c r="M150" s="9">
        <f t="shared" si="19"/>
        <v>0.23300000000000001</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-119.57200585587711</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-1721.8385237392081</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-1900.7550949797283</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-1893.8843896454059</v>
      </c>
      <c r="R150" s="10"/>
      <c r="S150" s="9">
        <f t="shared" si="20"/>
        <v>0.23300000000000001</v>
      </c>
      <c r="T150" s="9">
        <f>(Inputs!$I$6+(((A150)+1)/2)*(Inputs!$J$6-Inputs!$I$6))</f>
        <v>13.980000000000004</v>
      </c>
      <c r="U150" s="9">
        <f>(Inputs!$I$7+(((A150)+1)/2)*(Inputs!$J$7-Inputs!$I$7))</f>
        <v>93.200000000000045</v>
      </c>
      <c r="V150" s="9">
        <f>(Inputs!$I$8+(((A150)+1)/2)*(Inputs!$J$8-Inputs!$I$8))</f>
        <v>186.40000000000009</v>
      </c>
      <c r="W150" s="9">
        <f>(Inputs!$I$9+(((A150)+1)/2)*(Inputs!$J$9-Inputs!$I$9))</f>
        <v>186.40000000000009</v>
      </c>
      <c r="X150" s="10"/>
      <c r="Y150" s="9">
        <f t="shared" si="21"/>
        <v>0.23300000000000001</v>
      </c>
      <c r="Z150" s="9">
        <f>(Inputs!$H$6+Inputs!$L$6*(((Inputs!$I$6+(((A150)+1)/2)*(Inputs!$J$6-Inputs!$I$6)))/Inputs!$K$6)^2)</f>
        <v>400.21715599999999</v>
      </c>
      <c r="AA150" s="9">
        <f>(Inputs!$H$7+Inputs!$L$7*(((Inputs!$I$7+(((A150)+1)/2)*(Inputs!$J$7-Inputs!$I$7)))/Inputs!$K$7)^2)</f>
        <v>54.815485000000024</v>
      </c>
      <c r="AB150" s="9">
        <f>(Inputs!$H$8+Inputs!$L$8*(((Inputs!$I$8+(((A150)+1)/2)*(Inputs!$J$8-Inputs!$I$8)))/Inputs!$K$8)^2)</f>
        <v>87.388885000000059</v>
      </c>
      <c r="AC150" s="9">
        <f>(Inputs!$H$9+Inputs!$L$9*(((Inputs!$I$9+(((A150)+1)/2)*(Inputs!$J$9-Inputs!$I$9)))/Inputs!$K$9)^2)</f>
        <v>77.931775000000059</v>
      </c>
      <c r="AD150" s="10"/>
      <c r="AE150" s="9">
        <f t="shared" si="22"/>
        <v>0.23300000000000001</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722.3143592884536</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32366.243011376544</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70003.548080772438</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72937.52865569343</v>
      </c>
      <c r="AJ150" s="10"/>
      <c r="AK150" s="9">
        <f t="shared" si="23"/>
        <v>0.23300000000000001</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-119.57200585587711</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-1721.8385237392081</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-1900.7550949797283</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-1893.8843896454059</v>
      </c>
      <c r="AP150" s="10"/>
      <c r="AQ150" s="9">
        <f t="shared" si="24"/>
        <v>0.23300000000000001</v>
      </c>
      <c r="AR150" s="9">
        <f>0</f>
        <v>0</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422.97648334691144</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173.98807159604223</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169.37052952909403</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169.37052952909403</v>
      </c>
      <c r="AW150" s="10"/>
      <c r="AX150" s="9">
        <f t="shared" si="25"/>
        <v>0.23300000000000001</v>
      </c>
      <c r="AY150" s="9">
        <f>0</f>
        <v>0</v>
      </c>
      <c r="AZ150" s="9">
        <f>IF(OR(Inputs!$F$6=TRUE,Inputs!$F$6="TRUE",Inputs!$F$6=1),(Inputs!$H$6+Inputs!$L$6*(((Inputs!$I$6+(((A150)+1)/2)*(Inputs!$J$6-Inputs!$I$6)))/Inputs!$K$6)^2),NA())</f>
        <v>400.21715599999999</v>
      </c>
      <c r="BA150" s="9">
        <f>IF(OR(Inputs!$F$7=TRUE,Inputs!$F$7="TRUE",Inputs!$F$7=1),(Inputs!$H$7+Inputs!$L$7*(((Inputs!$I$7+(((A150)+1)/2)*(Inputs!$J$7-Inputs!$I$7)))/Inputs!$K$7)^2),NA())</f>
        <v>54.815485000000024</v>
      </c>
      <c r="BB150" s="9">
        <f>IF(OR(Inputs!$F$8=TRUE,Inputs!$F$8="TRUE",Inputs!$F$8=1),(Inputs!$H$8+Inputs!$L$8*(((Inputs!$I$8+(((A150)+1)/2)*(Inputs!$J$8-Inputs!$I$8)))/Inputs!$K$8)^2),NA())</f>
        <v>87.388885000000059</v>
      </c>
      <c r="BC150" s="9">
        <f>IF(OR(Inputs!$F$9=TRUE,Inputs!$F$9="TRUE",Inputs!$F$9=1),(Inputs!$H$9+Inputs!$L$9*(((Inputs!$I$9+(((A150)+1)/2)*(Inputs!$J$9-Inputs!$I$9)))/Inputs!$K$9)^2),NA())</f>
        <v>77.931775000000059</v>
      </c>
      <c r="BD150" s="10"/>
      <c r="BE150" s="9">
        <f t="shared" si="26"/>
        <v>0.23300000000000001</v>
      </c>
      <c r="BF150" s="9">
        <f>0</f>
        <v>0</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row>
    <row r="151" spans="1:62">
      <c r="A151" s="9">
        <f>ROUND(-1+149*2/240,3)</f>
        <v>0.24199999999999999</v>
      </c>
      <c r="B151" s="9">
        <f>IF(OR(Inputs!$F$6=TRUE,Inputs!$F$6="TRUE",Inputs!$F$6=1),(Inputs!$H$6+Inputs!$L$6*(((Inputs!$I$6+(((A151)+1)/2)*(Inputs!$J$6-Inputs!$I$6)))/Inputs!$K$6)^2),NA())</f>
        <v>400.23425600000002</v>
      </c>
      <c r="C151" s="9">
        <f>IF(OR(Inputs!$F$7=TRUE,Inputs!$F$7="TRUE",Inputs!$F$7=1),(Inputs!$H$7+Inputs!$L$7*(((Inputs!$I$7+(((A151)+1)/2)*(Inputs!$J$7-Inputs!$I$7)))/Inputs!$K$7)^2),NA())</f>
        <v>56.375860000000003</v>
      </c>
      <c r="D151" s="9">
        <f>IF(OR(Inputs!$F$8=TRUE,Inputs!$F$8="TRUE",Inputs!$F$8=1),(Inputs!$H$8+Inputs!$L$8*(((Inputs!$I$8+(((A151)+1)/2)*(Inputs!$J$8-Inputs!$I$8)))/Inputs!$K$8)^2),NA())</f>
        <v>91.514260000000007</v>
      </c>
      <c r="E151" s="9">
        <f>IF(OR(Inputs!$F$9=TRUE,Inputs!$F$9="TRUE",Inputs!$F$9=1),(Inputs!$H$9+Inputs!$L$9*(((Inputs!$I$9+(((A151)+1)/2)*(Inputs!$J$9-Inputs!$I$9)))/Inputs!$K$9)^2),NA())</f>
        <v>82.099900000000019</v>
      </c>
      <c r="F151" s="10"/>
      <c r="G151" s="9">
        <f t="shared" si="18"/>
        <v>0.24199999999999999</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c r="L151" s="10"/>
      <c r="M151" s="9">
        <f t="shared" si="19"/>
        <v>0.24199999999999999</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-124.18133486180761</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-1740.5362553322309</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-1921.8010226962556</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-1914.6538740696251</v>
      </c>
      <c r="R151" s="10"/>
      <c r="S151" s="9">
        <f t="shared" si="20"/>
        <v>0.24199999999999999</v>
      </c>
      <c r="T151" s="9">
        <f>(Inputs!$I$6+(((A151)+1)/2)*(Inputs!$J$6-Inputs!$I$6))</f>
        <v>14.519999999999996</v>
      </c>
      <c r="U151" s="9">
        <f>(Inputs!$I$7+(((A151)+1)/2)*(Inputs!$J$7-Inputs!$I$7))</f>
        <v>96.800000000000011</v>
      </c>
      <c r="V151" s="9">
        <f>(Inputs!$I$8+(((A151)+1)/2)*(Inputs!$J$8-Inputs!$I$8))</f>
        <v>193.60000000000002</v>
      </c>
      <c r="W151" s="9">
        <f>(Inputs!$I$9+(((A151)+1)/2)*(Inputs!$J$9-Inputs!$I$9))</f>
        <v>193.60000000000002</v>
      </c>
      <c r="X151" s="10"/>
      <c r="Y151" s="9">
        <f t="shared" si="21"/>
        <v>0.24199999999999999</v>
      </c>
      <c r="Z151" s="9">
        <f>(Inputs!$H$6+Inputs!$L$6*(((Inputs!$I$6+(((A151)+1)/2)*(Inputs!$J$6-Inputs!$I$6)))/Inputs!$K$6)^2)</f>
        <v>400.23425600000002</v>
      </c>
      <c r="AA151" s="9">
        <f>(Inputs!$H$7+Inputs!$L$7*(((Inputs!$I$7+(((A151)+1)/2)*(Inputs!$J$7-Inputs!$I$7)))/Inputs!$K$7)^2)</f>
        <v>56.375860000000003</v>
      </c>
      <c r="AB151" s="9">
        <f>(Inputs!$H$8+Inputs!$L$8*(((Inputs!$I$8+(((A151)+1)/2)*(Inputs!$J$8-Inputs!$I$8)))/Inputs!$K$8)^2)</f>
        <v>91.514260000000007</v>
      </c>
      <c r="AC151" s="9">
        <f>(Inputs!$H$9+Inputs!$L$9*(((Inputs!$I$9+(((A151)+1)/2)*(Inputs!$J$9-Inputs!$I$9)))/Inputs!$K$9)^2)</f>
        <v>82.099900000000019</v>
      </c>
      <c r="AD151" s="10"/>
      <c r="AE151" s="9">
        <f t="shared" si="22"/>
        <v>0.24199999999999999</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735.81627246304902</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33677.983434025526</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72517.744136561756</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75409.967601069555</v>
      </c>
      <c r="AJ151" s="10"/>
      <c r="AK151" s="9">
        <f t="shared" si="23"/>
        <v>0.24199999999999999</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-124.18133486180761</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-1740.5362553322309</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-1921.8010226962556</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-1914.6538740696251</v>
      </c>
      <c r="AP151" s="10"/>
      <c r="AQ151" s="9">
        <f t="shared" si="24"/>
        <v>0.24199999999999999</v>
      </c>
      <c r="AR151" s="9">
        <f>0</f>
        <v>0</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417.44975846448233</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203.88439653691117</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85.077457986505806</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85.077457986505806</v>
      </c>
      <c r="AW151" s="10"/>
      <c r="AX151" s="9">
        <f t="shared" si="25"/>
        <v>0.24199999999999999</v>
      </c>
      <c r="AY151" s="9">
        <f>0</f>
        <v>0</v>
      </c>
      <c r="AZ151" s="9">
        <f>IF(OR(Inputs!$F$6=TRUE,Inputs!$F$6="TRUE",Inputs!$F$6=1),(Inputs!$H$6+Inputs!$L$6*(((Inputs!$I$6+(((A151)+1)/2)*(Inputs!$J$6-Inputs!$I$6)))/Inputs!$K$6)^2),NA())</f>
        <v>400.23425600000002</v>
      </c>
      <c r="BA151" s="9">
        <f>IF(OR(Inputs!$F$7=TRUE,Inputs!$F$7="TRUE",Inputs!$F$7=1),(Inputs!$H$7+Inputs!$L$7*(((Inputs!$I$7+(((A151)+1)/2)*(Inputs!$J$7-Inputs!$I$7)))/Inputs!$K$7)^2),NA())</f>
        <v>56.375860000000003</v>
      </c>
      <c r="BB151" s="9">
        <f>IF(OR(Inputs!$F$8=TRUE,Inputs!$F$8="TRUE",Inputs!$F$8=1),(Inputs!$H$8+Inputs!$L$8*(((Inputs!$I$8+(((A151)+1)/2)*(Inputs!$J$8-Inputs!$I$8)))/Inputs!$K$8)^2),NA())</f>
        <v>91.514260000000007</v>
      </c>
      <c r="BC151" s="9">
        <f>IF(OR(Inputs!$F$9=TRUE,Inputs!$F$9="TRUE",Inputs!$F$9=1),(Inputs!$H$9+Inputs!$L$9*(((Inputs!$I$9+(((A151)+1)/2)*(Inputs!$J$9-Inputs!$I$9)))/Inputs!$K$9)^2),NA())</f>
        <v>82.099900000000019</v>
      </c>
      <c r="BD151" s="10"/>
      <c r="BE151" s="9">
        <f t="shared" si="26"/>
        <v>0.24199999999999999</v>
      </c>
      <c r="BF151" s="9">
        <f>0</f>
        <v>0</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row>
    <row r="152" spans="1:62">
      <c r="A152" s="9">
        <f>ROUND(-1+150*2/240,3)</f>
        <v>0.25</v>
      </c>
      <c r="B152" s="9">
        <f>IF(OR(Inputs!$F$6=TRUE,Inputs!$F$6="TRUE",Inputs!$F$6=1),(Inputs!$H$6+Inputs!$L$6*(((Inputs!$I$6+(((A152)+1)/2)*(Inputs!$J$6-Inputs!$I$6)))/Inputs!$K$6)^2),NA())</f>
        <v>400.25</v>
      </c>
      <c r="C152" s="9">
        <f>IF(OR(Inputs!$F$7=TRUE,Inputs!$F$7="TRUE",Inputs!$F$7=1),(Inputs!$H$7+Inputs!$L$7*(((Inputs!$I$7+(((A152)+1)/2)*(Inputs!$J$7-Inputs!$I$7)))/Inputs!$K$7)^2),NA())</f>
        <v>57.8125</v>
      </c>
      <c r="D152" s="9">
        <f>IF(OR(Inputs!$F$8=TRUE,Inputs!$F$8="TRUE",Inputs!$F$8=1),(Inputs!$H$8+Inputs!$L$8*(((Inputs!$I$8+(((A152)+1)/2)*(Inputs!$J$8-Inputs!$I$8)))/Inputs!$K$8)^2),NA())</f>
        <v>95.3125</v>
      </c>
      <c r="E152" s="9">
        <f>IF(OR(Inputs!$F$9=TRUE,Inputs!$F$9="TRUE",Inputs!$F$9=1),(Inputs!$H$9+Inputs!$L$9*(((Inputs!$I$9+(((A152)+1)/2)*(Inputs!$J$9-Inputs!$I$9)))/Inputs!$K$9)^2),NA())</f>
        <v>85.9375</v>
      </c>
      <c r="F152" s="10"/>
      <c r="G152" s="9">
        <f t="shared" si="18"/>
        <v>0.25</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c r="L152" s="10"/>
      <c r="M152" s="9">
        <f t="shared" si="19"/>
        <v>0.25</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-128.27762939589343</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-1756.7415501153985</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-1940.7603378833421</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-1933.4467080059392</v>
      </c>
      <c r="R152" s="10"/>
      <c r="S152" s="9">
        <f t="shared" si="20"/>
        <v>0.25</v>
      </c>
      <c r="T152" s="9">
        <f>(Inputs!$I$6+(((A152)+1)/2)*(Inputs!$J$6-Inputs!$I$6))</f>
        <v>15</v>
      </c>
      <c r="U152" s="9">
        <f>(Inputs!$I$7+(((A152)+1)/2)*(Inputs!$J$7-Inputs!$I$7))</f>
        <v>100</v>
      </c>
      <c r="V152" s="9">
        <f>(Inputs!$I$8+(((A152)+1)/2)*(Inputs!$J$8-Inputs!$I$8))</f>
        <v>200</v>
      </c>
      <c r="W152" s="9">
        <f>(Inputs!$I$9+(((A152)+1)/2)*(Inputs!$J$9-Inputs!$I$9))</f>
        <v>200</v>
      </c>
      <c r="X152" s="10"/>
      <c r="Y152" s="9">
        <f t="shared" si="21"/>
        <v>0.25</v>
      </c>
      <c r="Z152" s="9">
        <f>(Inputs!$H$6+Inputs!$L$6*(((Inputs!$I$6+(((A152)+1)/2)*(Inputs!$J$6-Inputs!$I$6)))/Inputs!$K$6)^2)</f>
        <v>400.25</v>
      </c>
      <c r="AA152" s="9">
        <f>(Inputs!$H$7+Inputs!$L$7*(((Inputs!$I$7+(((A152)+1)/2)*(Inputs!$J$7-Inputs!$I$7)))/Inputs!$K$7)^2)</f>
        <v>57.8125</v>
      </c>
      <c r="AB152" s="9">
        <f>(Inputs!$H$8+Inputs!$L$8*(((Inputs!$I$8+(((A152)+1)/2)*(Inputs!$J$8-Inputs!$I$8)))/Inputs!$K$8)^2)</f>
        <v>95.3125</v>
      </c>
      <c r="AC152" s="9">
        <f>(Inputs!$H$9+Inputs!$L$9*(((Inputs!$I$9+(((A152)+1)/2)*(Inputs!$J$9-Inputs!$I$9)))/Inputs!$K$9)^2)</f>
        <v>85.9375</v>
      </c>
      <c r="AD152" s="10"/>
      <c r="AE152" s="9">
        <f t="shared" si="22"/>
        <v>0.25</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748.24597239168259</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34835.678266223142</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74723.811632680532</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77577.661528052326</v>
      </c>
      <c r="AJ152" s="10"/>
      <c r="AK152" s="9">
        <f t="shared" si="23"/>
        <v>0.25</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-128.27762939589343</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-1756.7415501153985</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-1940.7603378833421</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-1933.4467080059392</v>
      </c>
      <c r="AP152" s="10"/>
      <c r="AQ152" s="9">
        <f t="shared" si="24"/>
        <v>0.25</v>
      </c>
      <c r="AR152" s="9">
        <f>0</f>
        <v>0</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399.34593170493116</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145.81280158469474</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158.86775074007286</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158.86775074007286</v>
      </c>
      <c r="AW152" s="10"/>
      <c r="AX152" s="9">
        <f t="shared" si="25"/>
        <v>0.25</v>
      </c>
      <c r="AY152" s="9">
        <f>0</f>
        <v>0</v>
      </c>
      <c r="AZ152" s="9">
        <f>IF(OR(Inputs!$F$6=TRUE,Inputs!$F$6="TRUE",Inputs!$F$6=1),(Inputs!$H$6+Inputs!$L$6*(((Inputs!$I$6+(((A152)+1)/2)*(Inputs!$J$6-Inputs!$I$6)))/Inputs!$K$6)^2),NA())</f>
        <v>400.25</v>
      </c>
      <c r="BA152" s="9">
        <f>IF(OR(Inputs!$F$7=TRUE,Inputs!$F$7="TRUE",Inputs!$F$7=1),(Inputs!$H$7+Inputs!$L$7*(((Inputs!$I$7+(((A152)+1)/2)*(Inputs!$J$7-Inputs!$I$7)))/Inputs!$K$7)^2),NA())</f>
        <v>57.8125</v>
      </c>
      <c r="BB152" s="9">
        <f>IF(OR(Inputs!$F$8=TRUE,Inputs!$F$8="TRUE",Inputs!$F$8=1),(Inputs!$H$8+Inputs!$L$8*(((Inputs!$I$8+(((A152)+1)/2)*(Inputs!$J$8-Inputs!$I$8)))/Inputs!$K$8)^2),NA())</f>
        <v>95.3125</v>
      </c>
      <c r="BC152" s="9">
        <f>IF(OR(Inputs!$F$9=TRUE,Inputs!$F$9="TRUE",Inputs!$F$9=1),(Inputs!$H$9+Inputs!$L$9*(((Inputs!$I$9+(((A152)+1)/2)*(Inputs!$J$9-Inputs!$I$9)))/Inputs!$K$9)^2),NA())</f>
        <v>85.9375</v>
      </c>
      <c r="BD152" s="10"/>
      <c r="BE152" s="9">
        <f t="shared" si="26"/>
        <v>0.25</v>
      </c>
      <c r="BF152" s="9">
        <f>0</f>
        <v>0</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row>
    <row r="153" spans="1:62">
      <c r="A153" s="9">
        <f>ROUND(-1+151*2/240,3)</f>
        <v>0.25800000000000001</v>
      </c>
      <c r="B153" s="9">
        <f>IF(OR(Inputs!$F$6=TRUE,Inputs!$F$6="TRUE",Inputs!$F$6=1),(Inputs!$H$6+Inputs!$L$6*(((Inputs!$I$6+(((A153)+1)/2)*(Inputs!$J$6-Inputs!$I$6)))/Inputs!$K$6)^2),NA())</f>
        <v>400.266256</v>
      </c>
      <c r="C153" s="9">
        <f>IF(OR(Inputs!$F$7=TRUE,Inputs!$F$7="TRUE",Inputs!$F$7=1),(Inputs!$H$7+Inputs!$L$7*(((Inputs!$I$7+(((A153)+1)/2)*(Inputs!$J$7-Inputs!$I$7)))/Inputs!$K$7)^2),NA())</f>
        <v>59.29585999999999</v>
      </c>
      <c r="D153" s="9">
        <f>IF(OR(Inputs!$F$8=TRUE,Inputs!$F$8="TRUE",Inputs!$F$8=1),(Inputs!$H$8+Inputs!$L$8*(((Inputs!$I$8+(((A153)+1)/2)*(Inputs!$J$8-Inputs!$I$8)))/Inputs!$K$8)^2),NA())</f>
        <v>99.234259999999978</v>
      </c>
      <c r="E153" s="9">
        <f>IF(OR(Inputs!$F$9=TRUE,Inputs!$F$9="TRUE",Inputs!$F$9=1),(Inputs!$H$9+Inputs!$L$9*(((Inputs!$I$9+(((A153)+1)/2)*(Inputs!$J$9-Inputs!$I$9)))/Inputs!$K$9)^2),NA())</f>
        <v>89.899899999999974</v>
      </c>
      <c r="F153" s="10"/>
      <c r="G153" s="9">
        <f t="shared" si="18"/>
        <v>0.25800000000000001</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c r="L153" s="10"/>
      <c r="M153" s="9">
        <f t="shared" si="19"/>
        <v>0.25800000000000001</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-132.37306093279591</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-1772.6233215244902</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-1959.9757509009801</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-1952.5621718334994</v>
      </c>
      <c r="R153" s="10"/>
      <c r="S153" s="9">
        <f t="shared" si="20"/>
        <v>0.25800000000000001</v>
      </c>
      <c r="T153" s="9">
        <f>(Inputs!$I$6+(((A153)+1)/2)*(Inputs!$J$6-Inputs!$I$6))</f>
        <v>15.480000000000004</v>
      </c>
      <c r="U153" s="9">
        <f>(Inputs!$I$7+(((A153)+1)/2)*(Inputs!$J$7-Inputs!$I$7))</f>
        <v>103.19999999999999</v>
      </c>
      <c r="V153" s="9">
        <f>(Inputs!$I$8+(((A153)+1)/2)*(Inputs!$J$8-Inputs!$I$8))</f>
        <v>206.39999999999998</v>
      </c>
      <c r="W153" s="9">
        <f>(Inputs!$I$9+(((A153)+1)/2)*(Inputs!$J$9-Inputs!$I$9))</f>
        <v>206.39999999999998</v>
      </c>
      <c r="X153" s="10"/>
      <c r="Y153" s="9">
        <f t="shared" si="21"/>
        <v>0.25800000000000001</v>
      </c>
      <c r="Z153" s="9">
        <f>(Inputs!$H$6+Inputs!$L$6*(((Inputs!$I$6+(((A153)+1)/2)*(Inputs!$J$6-Inputs!$I$6)))/Inputs!$K$6)^2)</f>
        <v>400.266256</v>
      </c>
      <c r="AA153" s="9">
        <f>(Inputs!$H$7+Inputs!$L$7*(((Inputs!$I$7+(((A153)+1)/2)*(Inputs!$J$7-Inputs!$I$7)))/Inputs!$K$7)^2)</f>
        <v>59.29585999999999</v>
      </c>
      <c r="AB153" s="9">
        <f>(Inputs!$H$8+Inputs!$L$8*(((Inputs!$I$8+(((A153)+1)/2)*(Inputs!$J$8-Inputs!$I$8)))/Inputs!$K$8)^2)</f>
        <v>99.234259999999978</v>
      </c>
      <c r="AC153" s="9">
        <f>(Inputs!$H$9+Inputs!$L$9*(((Inputs!$I$9+(((A153)+1)/2)*(Inputs!$J$9-Inputs!$I$9)))/Inputs!$K$9)^2)</f>
        <v>89.899899999999974</v>
      </c>
      <c r="AD153" s="10"/>
      <c r="AE153" s="9">
        <f t="shared" si="22"/>
        <v>0.25800000000000001</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761.07834624841939</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35985.146745264501</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76903.375781969487</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79717.834992360746</v>
      </c>
      <c r="AJ153" s="10"/>
      <c r="AK153" s="9">
        <f t="shared" si="23"/>
        <v>0.25800000000000001</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-132.37306093279591</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-1772.6233215244902</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-1959.9757509009801</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-1952.5621718334994</v>
      </c>
      <c r="AP153" s="10"/>
      <c r="AQ153" s="9">
        <f t="shared" si="24"/>
        <v>0.25800000000000001</v>
      </c>
      <c r="AR153" s="9">
        <f>0</f>
        <v>0</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395.30009248200491</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69.058808674025144</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151.27363630672249</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151.27363630672249</v>
      </c>
      <c r="AW153" s="10"/>
      <c r="AX153" s="9">
        <f t="shared" si="25"/>
        <v>0.25800000000000001</v>
      </c>
      <c r="AY153" s="9">
        <f>0</f>
        <v>0</v>
      </c>
      <c r="AZ153" s="9">
        <f>IF(OR(Inputs!$F$6=TRUE,Inputs!$F$6="TRUE",Inputs!$F$6=1),(Inputs!$H$6+Inputs!$L$6*(((Inputs!$I$6+(((A153)+1)/2)*(Inputs!$J$6-Inputs!$I$6)))/Inputs!$K$6)^2),NA())</f>
        <v>400.266256</v>
      </c>
      <c r="BA153" s="9">
        <f>IF(OR(Inputs!$F$7=TRUE,Inputs!$F$7="TRUE",Inputs!$F$7=1),(Inputs!$H$7+Inputs!$L$7*(((Inputs!$I$7+(((A153)+1)/2)*(Inputs!$J$7-Inputs!$I$7)))/Inputs!$K$7)^2),NA())</f>
        <v>59.29585999999999</v>
      </c>
      <c r="BB153" s="9">
        <f>IF(OR(Inputs!$F$8=TRUE,Inputs!$F$8="TRUE",Inputs!$F$8=1),(Inputs!$H$8+Inputs!$L$8*(((Inputs!$I$8+(((A153)+1)/2)*(Inputs!$J$8-Inputs!$I$8)))/Inputs!$K$8)^2),NA())</f>
        <v>99.234259999999978</v>
      </c>
      <c r="BC153" s="9">
        <f>IF(OR(Inputs!$F$9=TRUE,Inputs!$F$9="TRUE",Inputs!$F$9=1),(Inputs!$H$9+Inputs!$L$9*(((Inputs!$I$9+(((A153)+1)/2)*(Inputs!$J$9-Inputs!$I$9)))/Inputs!$K$9)^2),NA())</f>
        <v>89.899899999999974</v>
      </c>
      <c r="BD153" s="10"/>
      <c r="BE153" s="9">
        <f t="shared" si="26"/>
        <v>0.25800000000000001</v>
      </c>
      <c r="BF153" s="9">
        <f>0</f>
        <v>0</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row>
    <row r="154" spans="1:62">
      <c r="A154" s="9">
        <f>ROUND(-1+152*2/240,3)</f>
        <v>0.26700000000000002</v>
      </c>
      <c r="B154" s="9">
        <f>IF(OR(Inputs!$F$6=TRUE,Inputs!$F$6="TRUE",Inputs!$F$6=1),(Inputs!$H$6+Inputs!$L$6*(((Inputs!$I$6+(((A154)+1)/2)*(Inputs!$J$6-Inputs!$I$6)))/Inputs!$K$6)^2),NA())</f>
        <v>400.28515599999997</v>
      </c>
      <c r="C154" s="9">
        <f>IF(OR(Inputs!$F$7=TRUE,Inputs!$F$7="TRUE",Inputs!$F$7=1),(Inputs!$H$7+Inputs!$L$7*(((Inputs!$I$7+(((A154)+1)/2)*(Inputs!$J$7-Inputs!$I$7)))/Inputs!$K$7)^2),NA())</f>
        <v>61.020484999999979</v>
      </c>
      <c r="D154" s="9">
        <f>IF(OR(Inputs!$F$8=TRUE,Inputs!$F$8="TRUE",Inputs!$F$8=1),(Inputs!$H$8+Inputs!$L$8*(((Inputs!$I$8+(((A154)+1)/2)*(Inputs!$J$8-Inputs!$I$8)))/Inputs!$K$8)^2),NA())</f>
        <v>103.79388499999995</v>
      </c>
      <c r="E154" s="9">
        <f>IF(OR(Inputs!$F$9=TRUE,Inputs!$F$9="TRUE",Inputs!$F$9=1),(Inputs!$H$9+Inputs!$L$9*(((Inputs!$I$9+(((A154)+1)/2)*(Inputs!$J$9-Inputs!$I$9)))/Inputs!$K$9)^2),NA())</f>
        <v>94.506774999999948</v>
      </c>
      <c r="F154" s="10"/>
      <c r="G154" s="9">
        <f t="shared" si="18"/>
        <v>0.26700000000000002</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c r="L154" s="10"/>
      <c r="M154" s="9">
        <f t="shared" si="19"/>
        <v>0.26700000000000002</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-136.97935601639546</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-1790.1731691891559</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-1981.9171770542719</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-1974.4623337460114</v>
      </c>
      <c r="R154" s="10"/>
      <c r="S154" s="9">
        <f t="shared" si="20"/>
        <v>0.26700000000000002</v>
      </c>
      <c r="T154" s="9">
        <f>(Inputs!$I$6+(((A154)+1)/2)*(Inputs!$J$6-Inputs!$I$6))</f>
        <v>16.019999999999996</v>
      </c>
      <c r="U154" s="9">
        <f>(Inputs!$I$7+(((A154)+1)/2)*(Inputs!$J$7-Inputs!$I$7))</f>
        <v>106.79999999999995</v>
      </c>
      <c r="V154" s="9">
        <f>(Inputs!$I$8+(((A154)+1)/2)*(Inputs!$J$8-Inputs!$I$8))</f>
        <v>213.59999999999991</v>
      </c>
      <c r="W154" s="9">
        <f>(Inputs!$I$9+(((A154)+1)/2)*(Inputs!$J$9-Inputs!$I$9))</f>
        <v>213.59999999999991</v>
      </c>
      <c r="X154" s="10"/>
      <c r="Y154" s="9">
        <f t="shared" si="21"/>
        <v>0.26700000000000002</v>
      </c>
      <c r="Z154" s="9">
        <f>(Inputs!$H$6+Inputs!$L$6*(((Inputs!$I$6+(((A154)+1)/2)*(Inputs!$J$6-Inputs!$I$6)))/Inputs!$K$6)^2)</f>
        <v>400.28515599999997</v>
      </c>
      <c r="AA154" s="9">
        <f>(Inputs!$H$7+Inputs!$L$7*(((Inputs!$I$7+(((A154)+1)/2)*(Inputs!$J$7-Inputs!$I$7)))/Inputs!$K$7)^2)</f>
        <v>61.020484999999979</v>
      </c>
      <c r="AB154" s="9">
        <f>(Inputs!$H$8+Inputs!$L$8*(((Inputs!$I$8+(((A154)+1)/2)*(Inputs!$J$8-Inputs!$I$8)))/Inputs!$K$8)^2)</f>
        <v>103.79388499999995</v>
      </c>
      <c r="AC154" s="9">
        <f>(Inputs!$H$9+Inputs!$L$9*(((Inputs!$I$9+(((A154)+1)/2)*(Inputs!$J$9-Inputs!$I$9)))/Inputs!$K$9)^2)</f>
        <v>94.506774999999948</v>
      </c>
      <c r="AD154" s="10"/>
      <c r="AE154" s="9">
        <f t="shared" si="22"/>
        <v>0.26700000000000002</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775.99590388374099</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37268.055555162107</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79324.444519917393</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82093.549408921914</v>
      </c>
      <c r="AJ154" s="10"/>
      <c r="AK154" s="9">
        <f t="shared" si="23"/>
        <v>0.26700000000000002</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-136.97935601639546</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-1790.1731691891559</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-1981.9171770542719</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-1974.4623337460114</v>
      </c>
      <c r="AP154" s="10"/>
      <c r="AQ154" s="9">
        <f t="shared" si="24"/>
        <v>0.26700000000000002</v>
      </c>
      <c r="AR154" s="9">
        <f>0</f>
        <v>0</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402.66314608043319</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113.58459570538508</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82.058979883709441</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82.058979883709441</v>
      </c>
      <c r="AW154" s="10"/>
      <c r="AX154" s="9">
        <f t="shared" si="25"/>
        <v>0.26700000000000002</v>
      </c>
      <c r="AY154" s="9">
        <f>0</f>
        <v>0</v>
      </c>
      <c r="AZ154" s="9">
        <f>IF(OR(Inputs!$F$6=TRUE,Inputs!$F$6="TRUE",Inputs!$F$6=1),(Inputs!$H$6+Inputs!$L$6*(((Inputs!$I$6+(((A154)+1)/2)*(Inputs!$J$6-Inputs!$I$6)))/Inputs!$K$6)^2),NA())</f>
        <v>400.28515599999997</v>
      </c>
      <c r="BA154" s="9">
        <f>IF(OR(Inputs!$F$7=TRUE,Inputs!$F$7="TRUE",Inputs!$F$7=1),(Inputs!$H$7+Inputs!$L$7*(((Inputs!$I$7+(((A154)+1)/2)*(Inputs!$J$7-Inputs!$I$7)))/Inputs!$K$7)^2),NA())</f>
        <v>61.020484999999979</v>
      </c>
      <c r="BB154" s="9">
        <f>IF(OR(Inputs!$F$8=TRUE,Inputs!$F$8="TRUE",Inputs!$F$8=1),(Inputs!$H$8+Inputs!$L$8*(((Inputs!$I$8+(((A154)+1)/2)*(Inputs!$J$8-Inputs!$I$8)))/Inputs!$K$8)^2),NA())</f>
        <v>103.79388499999995</v>
      </c>
      <c r="BC154" s="9">
        <f>IF(OR(Inputs!$F$9=TRUE,Inputs!$F$9="TRUE",Inputs!$F$9=1),(Inputs!$H$9+Inputs!$L$9*(((Inputs!$I$9+(((A154)+1)/2)*(Inputs!$J$9-Inputs!$I$9)))/Inputs!$K$9)^2),NA())</f>
        <v>94.506774999999948</v>
      </c>
      <c r="BD154" s="10"/>
      <c r="BE154" s="9">
        <f t="shared" si="26"/>
        <v>0.26700000000000002</v>
      </c>
      <c r="BF154" s="9">
        <f>0</f>
        <v>0</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row>
    <row r="155" spans="1:62">
      <c r="A155" s="9">
        <f>ROUND(-1+153*2/240,3)</f>
        <v>0.27500000000000002</v>
      </c>
      <c r="B155" s="9">
        <f>IF(OR(Inputs!$F$6=TRUE,Inputs!$F$6="TRUE",Inputs!$F$6=1),(Inputs!$H$6+Inputs!$L$6*(((Inputs!$I$6+(((A155)+1)/2)*(Inputs!$J$6-Inputs!$I$6)))/Inputs!$K$6)^2),NA())</f>
        <v>400.30250000000001</v>
      </c>
      <c r="C155" s="9">
        <f>IF(OR(Inputs!$F$7=TRUE,Inputs!$F$7="TRUE",Inputs!$F$7=1),(Inputs!$H$7+Inputs!$L$7*(((Inputs!$I$7+(((A155)+1)/2)*(Inputs!$J$7-Inputs!$I$7)))/Inputs!$K$7)^2),NA())</f>
        <v>62.60312499999997</v>
      </c>
      <c r="D155" s="9">
        <f>IF(OR(Inputs!$F$8=TRUE,Inputs!$F$8="TRUE",Inputs!$F$8=1),(Inputs!$H$8+Inputs!$L$8*(((Inputs!$I$8+(((A155)+1)/2)*(Inputs!$J$8-Inputs!$I$8)))/Inputs!$K$8)^2),NA())</f>
        <v>107.97812499999992</v>
      </c>
      <c r="E155" s="9">
        <f>IF(OR(Inputs!$F$9=TRUE,Inputs!$F$9="TRUE",Inputs!$F$9=1),(Inputs!$H$9+Inputs!$L$9*(((Inputs!$I$9+(((A155)+1)/2)*(Inputs!$J$9-Inputs!$I$9)))/Inputs!$K$9)^2),NA())</f>
        <v>98.734374999999915</v>
      </c>
      <c r="F155" s="10"/>
      <c r="G155" s="9">
        <f t="shared" si="18"/>
        <v>0.27500000000000002</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c r="L155" s="10"/>
      <c r="M155" s="9">
        <f t="shared" si="19"/>
        <v>0.27500000000000002</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-141.07286347980531</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-1805.5451664152629</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-2001.7212437803259</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-1994.2864981877924</v>
      </c>
      <c r="R155" s="10"/>
      <c r="S155" s="9">
        <f t="shared" si="20"/>
        <v>0.27500000000000002</v>
      </c>
      <c r="T155" s="9">
        <f>(Inputs!$I$6+(((A155)+1)/2)*(Inputs!$J$6-Inputs!$I$6))</f>
        <v>16.5</v>
      </c>
      <c r="U155" s="9">
        <f>(Inputs!$I$7+(((A155)+1)/2)*(Inputs!$J$7-Inputs!$I$7))</f>
        <v>109.99999999999994</v>
      </c>
      <c r="V155" s="9">
        <f>(Inputs!$I$8+(((A155)+1)/2)*(Inputs!$J$8-Inputs!$I$8))</f>
        <v>219.99999999999989</v>
      </c>
      <c r="W155" s="9">
        <f>(Inputs!$I$9+(((A155)+1)/2)*(Inputs!$J$9-Inputs!$I$9))</f>
        <v>219.99999999999989</v>
      </c>
      <c r="X155" s="10"/>
      <c r="Y155" s="9">
        <f t="shared" si="21"/>
        <v>0.27500000000000002</v>
      </c>
      <c r="Z155" s="9">
        <f>(Inputs!$H$6+Inputs!$L$6*(((Inputs!$I$6+(((A155)+1)/2)*(Inputs!$J$6-Inputs!$I$6)))/Inputs!$K$6)^2)</f>
        <v>400.30250000000001</v>
      </c>
      <c r="AA155" s="9">
        <f>(Inputs!$H$7+Inputs!$L$7*(((Inputs!$I$7+(((A155)+1)/2)*(Inputs!$J$7-Inputs!$I$7)))/Inputs!$K$7)^2)</f>
        <v>62.60312499999997</v>
      </c>
      <c r="AB155" s="9">
        <f>(Inputs!$H$8+Inputs!$L$8*(((Inputs!$I$8+(((A155)+1)/2)*(Inputs!$J$8-Inputs!$I$8)))/Inputs!$K$8)^2)</f>
        <v>107.97812499999992</v>
      </c>
      <c r="AC155" s="9">
        <f>(Inputs!$H$9+Inputs!$L$9*(((Inputs!$I$9+(((A155)+1)/2)*(Inputs!$J$9-Inputs!$I$9)))/Inputs!$K$9)^2)</f>
        <v>98.734374999999915</v>
      </c>
      <c r="AD155" s="10"/>
      <c r="AE155" s="9">
        <f t="shared" si="22"/>
        <v>0.27500000000000002</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789.68346359198381</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38399.016251951769</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81449.692174078315</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84177.698176889331</v>
      </c>
      <c r="AJ155" s="10"/>
      <c r="AK155" s="9">
        <f t="shared" si="23"/>
        <v>0.27500000000000002</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-141.07286347980531</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-1805.5451664152629</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-2001.7212437803259</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-1994.2864981877924</v>
      </c>
      <c r="AP155" s="10"/>
      <c r="AQ155" s="9">
        <f t="shared" si="24"/>
        <v>0.27500000000000002</v>
      </c>
      <c r="AR155" s="9">
        <f>0</f>
        <v>0</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406.20178346502695</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174.21313379386783</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240.54359828898043</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240.54359828898043</v>
      </c>
      <c r="AW155" s="10"/>
      <c r="AX155" s="9">
        <f t="shared" si="25"/>
        <v>0.27500000000000002</v>
      </c>
      <c r="AY155" s="9">
        <f>0</f>
        <v>0</v>
      </c>
      <c r="AZ155" s="9">
        <f>IF(OR(Inputs!$F$6=TRUE,Inputs!$F$6="TRUE",Inputs!$F$6=1),(Inputs!$H$6+Inputs!$L$6*(((Inputs!$I$6+(((A155)+1)/2)*(Inputs!$J$6-Inputs!$I$6)))/Inputs!$K$6)^2),NA())</f>
        <v>400.30250000000001</v>
      </c>
      <c r="BA155" s="9">
        <f>IF(OR(Inputs!$F$7=TRUE,Inputs!$F$7="TRUE",Inputs!$F$7=1),(Inputs!$H$7+Inputs!$L$7*(((Inputs!$I$7+(((A155)+1)/2)*(Inputs!$J$7-Inputs!$I$7)))/Inputs!$K$7)^2),NA())</f>
        <v>62.60312499999997</v>
      </c>
      <c r="BB155" s="9">
        <f>IF(OR(Inputs!$F$8=TRUE,Inputs!$F$8="TRUE",Inputs!$F$8=1),(Inputs!$H$8+Inputs!$L$8*(((Inputs!$I$8+(((A155)+1)/2)*(Inputs!$J$8-Inputs!$I$8)))/Inputs!$K$8)^2),NA())</f>
        <v>107.97812499999992</v>
      </c>
      <c r="BC155" s="9">
        <f>IF(OR(Inputs!$F$9=TRUE,Inputs!$F$9="TRUE",Inputs!$F$9=1),(Inputs!$H$9+Inputs!$L$9*(((Inputs!$I$9+(((A155)+1)/2)*(Inputs!$J$9-Inputs!$I$9)))/Inputs!$K$9)^2),NA())</f>
        <v>98.734374999999915</v>
      </c>
      <c r="BD155" s="10"/>
      <c r="BE155" s="9">
        <f t="shared" si="26"/>
        <v>0.27500000000000002</v>
      </c>
      <c r="BF155" s="9">
        <f>0</f>
        <v>0</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row>
    <row r="156" spans="1:62">
      <c r="A156" s="9">
        <f>ROUND(-1+154*2/240,3)</f>
        <v>0.28299999999999997</v>
      </c>
      <c r="B156" s="9">
        <f>IF(OR(Inputs!$F$6=TRUE,Inputs!$F$6="TRUE",Inputs!$F$6=1),(Inputs!$H$6+Inputs!$L$6*(((Inputs!$I$6+(((A156)+1)/2)*(Inputs!$J$6-Inputs!$I$6)))/Inputs!$K$6)^2),NA())</f>
        <v>400.320356</v>
      </c>
      <c r="C156" s="9">
        <f>IF(OR(Inputs!$F$7=TRUE,Inputs!$F$7="TRUE",Inputs!$F$7=1),(Inputs!$H$7+Inputs!$L$7*(((Inputs!$I$7+(((A156)+1)/2)*(Inputs!$J$7-Inputs!$I$7)))/Inputs!$K$7)^2),NA())</f>
        <v>64.232484999999969</v>
      </c>
      <c r="D156" s="9">
        <f>IF(OR(Inputs!$F$8=TRUE,Inputs!$F$8="TRUE",Inputs!$F$8=1),(Inputs!$H$8+Inputs!$L$8*(((Inputs!$I$8+(((A156)+1)/2)*(Inputs!$J$8-Inputs!$I$8)))/Inputs!$K$8)^2),NA())</f>
        <v>112.28588499999989</v>
      </c>
      <c r="E156" s="9">
        <f>IF(OR(Inputs!$F$9=TRUE,Inputs!$F$9="TRUE",Inputs!$F$9=1),(Inputs!$H$9+Inputs!$L$9*(((Inputs!$I$9+(((A156)+1)/2)*(Inputs!$J$9-Inputs!$I$9)))/Inputs!$K$9)^2),NA())</f>
        <v>103.0867749999999</v>
      </c>
      <c r="F156" s="10"/>
      <c r="G156" s="9">
        <f t="shared" si="18"/>
        <v>0.28299999999999997</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c r="L156" s="10"/>
      <c r="M156" s="9">
        <f t="shared" si="19"/>
        <v>0.28299999999999997</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-145.16542313645522</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-1820.7472062686484</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-2021.8172313671021</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-2014.4506510814804</v>
      </c>
      <c r="R156" s="10"/>
      <c r="S156" s="9">
        <f t="shared" si="20"/>
        <v>0.28299999999999997</v>
      </c>
      <c r="T156" s="9">
        <f>(Inputs!$I$6+(((A156)+1)/2)*(Inputs!$J$6-Inputs!$I$6))</f>
        <v>16.97999999999999</v>
      </c>
      <c r="U156" s="9">
        <f>(Inputs!$I$7+(((A156)+1)/2)*(Inputs!$J$7-Inputs!$I$7))</f>
        <v>113.19999999999993</v>
      </c>
      <c r="V156" s="9">
        <f>(Inputs!$I$8+(((A156)+1)/2)*(Inputs!$J$8-Inputs!$I$8))</f>
        <v>226.39999999999986</v>
      </c>
      <c r="W156" s="9">
        <f>(Inputs!$I$9+(((A156)+1)/2)*(Inputs!$J$9-Inputs!$I$9))</f>
        <v>226.39999999999986</v>
      </c>
      <c r="X156" s="10"/>
      <c r="Y156" s="9">
        <f t="shared" si="21"/>
        <v>0.28299999999999997</v>
      </c>
      <c r="Z156" s="9">
        <f>(Inputs!$H$6+Inputs!$L$6*(((Inputs!$I$6+(((A156)+1)/2)*(Inputs!$J$6-Inputs!$I$6)))/Inputs!$K$6)^2)</f>
        <v>400.320356</v>
      </c>
      <c r="AA156" s="9">
        <f>(Inputs!$H$7+Inputs!$L$7*(((Inputs!$I$7+(((A156)+1)/2)*(Inputs!$J$7-Inputs!$I$7)))/Inputs!$K$7)^2)</f>
        <v>64.232484999999969</v>
      </c>
      <c r="AB156" s="9">
        <f>(Inputs!$H$8+Inputs!$L$8*(((Inputs!$I$8+(((A156)+1)/2)*(Inputs!$J$8-Inputs!$I$8)))/Inputs!$K$8)^2)</f>
        <v>112.28588499999989</v>
      </c>
      <c r="AC156" s="9">
        <f>(Inputs!$H$9+Inputs!$L$9*(((Inputs!$I$9+(((A156)+1)/2)*(Inputs!$J$9-Inputs!$I$9)))/Inputs!$K$9)^2)</f>
        <v>103.0867749999999</v>
      </c>
      <c r="AD156" s="10"/>
      <c r="AE156" s="9">
        <f t="shared" si="22"/>
        <v>0.28299999999999997</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803.77322034790814</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39520.902450731883</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83550.376695550091</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86236.664786476991</v>
      </c>
      <c r="AJ156" s="10"/>
      <c r="AK156" s="9">
        <f t="shared" si="23"/>
        <v>0.28299999999999997</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-145.16542313645522</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-1820.7472062686484</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-2021.8172313671021</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-2014.4506510814804</v>
      </c>
      <c r="AP156" s="10"/>
      <c r="AQ156" s="9">
        <f t="shared" si="24"/>
        <v>0.28299999999999997</v>
      </c>
      <c r="AR156" s="9">
        <f>0</f>
        <v>0</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399.73099547465813</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186.77766507504103</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109.0158645172978</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109.0158645172978</v>
      </c>
      <c r="AW156" s="10"/>
      <c r="AX156" s="9">
        <f t="shared" si="25"/>
        <v>0.28299999999999997</v>
      </c>
      <c r="AY156" s="9">
        <f>0</f>
        <v>0</v>
      </c>
      <c r="AZ156" s="9">
        <f>IF(OR(Inputs!$F$6=TRUE,Inputs!$F$6="TRUE",Inputs!$F$6=1),(Inputs!$H$6+Inputs!$L$6*(((Inputs!$I$6+(((A156)+1)/2)*(Inputs!$J$6-Inputs!$I$6)))/Inputs!$K$6)^2),NA())</f>
        <v>400.320356</v>
      </c>
      <c r="BA156" s="9">
        <f>IF(OR(Inputs!$F$7=TRUE,Inputs!$F$7="TRUE",Inputs!$F$7=1),(Inputs!$H$7+Inputs!$L$7*(((Inputs!$I$7+(((A156)+1)/2)*(Inputs!$J$7-Inputs!$I$7)))/Inputs!$K$7)^2),NA())</f>
        <v>64.232484999999969</v>
      </c>
      <c r="BB156" s="9">
        <f>IF(OR(Inputs!$F$8=TRUE,Inputs!$F$8="TRUE",Inputs!$F$8=1),(Inputs!$H$8+Inputs!$L$8*(((Inputs!$I$8+(((A156)+1)/2)*(Inputs!$J$8-Inputs!$I$8)))/Inputs!$K$8)^2),NA())</f>
        <v>112.28588499999989</v>
      </c>
      <c r="BC156" s="9">
        <f>IF(OR(Inputs!$F$9=TRUE,Inputs!$F$9="TRUE",Inputs!$F$9=1),(Inputs!$H$9+Inputs!$L$9*(((Inputs!$I$9+(((A156)+1)/2)*(Inputs!$J$9-Inputs!$I$9)))/Inputs!$K$9)^2),NA())</f>
        <v>103.0867749999999</v>
      </c>
      <c r="BD156" s="10"/>
      <c r="BE156" s="9">
        <f t="shared" si="26"/>
        <v>0.28299999999999997</v>
      </c>
      <c r="BF156" s="9">
        <f>0</f>
        <v>0</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row>
    <row r="157" spans="1:62">
      <c r="A157" s="9">
        <f>ROUND(-1+155*2/240,3)</f>
        <v>0.29199999999999998</v>
      </c>
      <c r="B157" s="9">
        <f>IF(OR(Inputs!$F$6=TRUE,Inputs!$F$6="TRUE",Inputs!$F$6=1),(Inputs!$H$6+Inputs!$L$6*(((Inputs!$I$6+(((A157)+1)/2)*(Inputs!$J$6-Inputs!$I$6)))/Inputs!$K$6)^2),NA())</f>
        <v>400.34105599999998</v>
      </c>
      <c r="C157" s="9">
        <f>IF(OR(Inputs!$F$7=TRUE,Inputs!$F$7="TRUE",Inputs!$F$7=1),(Inputs!$H$7+Inputs!$L$7*(((Inputs!$I$7+(((A157)+1)/2)*(Inputs!$J$7-Inputs!$I$7)))/Inputs!$K$7)^2),NA())</f>
        <v>66.121360000000038</v>
      </c>
      <c r="D157" s="9">
        <f>IF(OR(Inputs!$F$8=TRUE,Inputs!$F$8="TRUE",Inputs!$F$8=1),(Inputs!$H$8+Inputs!$L$8*(((Inputs!$I$8+(((A157)+1)/2)*(Inputs!$J$8-Inputs!$I$8)))/Inputs!$K$8)^2),NA())</f>
        <v>117.27976000000008</v>
      </c>
      <c r="E157" s="9">
        <f>IF(OR(Inputs!$F$9=TRUE,Inputs!$F$9="TRUE",Inputs!$F$9=1),(Inputs!$H$9+Inputs!$L$9*(((Inputs!$I$9+(((A157)+1)/2)*(Inputs!$J$9-Inputs!$I$9)))/Inputs!$K$9)^2),NA())</f>
        <v>108.13240000000009</v>
      </c>
      <c r="F157" s="10"/>
      <c r="G157" s="9">
        <f t="shared" si="18"/>
        <v>0.29199999999999998</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c r="L157" s="10"/>
      <c r="M157" s="9">
        <f t="shared" si="19"/>
        <v>0.29199999999999998</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-149.76838614406955</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-1837.6927794236631</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-2044.7821149976226</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-2037.5440336049628</v>
      </c>
      <c r="R157" s="10"/>
      <c r="S157" s="9">
        <f t="shared" si="20"/>
        <v>0.29199999999999998</v>
      </c>
      <c r="T157" s="9">
        <f>(Inputs!$I$6+(((A157)+1)/2)*(Inputs!$J$6-Inputs!$I$6))</f>
        <v>17.519999999999996</v>
      </c>
      <c r="U157" s="9">
        <f>(Inputs!$I$7+(((A157)+1)/2)*(Inputs!$J$7-Inputs!$I$7))</f>
        <v>116.80000000000007</v>
      </c>
      <c r="V157" s="9">
        <f>(Inputs!$I$8+(((A157)+1)/2)*(Inputs!$J$8-Inputs!$I$8))</f>
        <v>233.60000000000014</v>
      </c>
      <c r="W157" s="9">
        <f>(Inputs!$I$9+(((A157)+1)/2)*(Inputs!$J$9-Inputs!$I$9))</f>
        <v>233.60000000000014</v>
      </c>
      <c r="X157" s="10"/>
      <c r="Y157" s="9">
        <f t="shared" si="21"/>
        <v>0.29199999999999998</v>
      </c>
      <c r="Z157" s="9">
        <f>(Inputs!$H$6+Inputs!$L$6*(((Inputs!$I$6+(((A157)+1)/2)*(Inputs!$J$6-Inputs!$I$6)))/Inputs!$K$6)^2)</f>
        <v>400.34105599999998</v>
      </c>
      <c r="AA157" s="9">
        <f>(Inputs!$H$7+Inputs!$L$7*(((Inputs!$I$7+(((A157)+1)/2)*(Inputs!$J$7-Inputs!$I$7)))/Inputs!$K$7)^2)</f>
        <v>66.121360000000038</v>
      </c>
      <c r="AB157" s="9">
        <f>(Inputs!$H$8+Inputs!$L$8*(((Inputs!$I$8+(((A157)+1)/2)*(Inputs!$J$8-Inputs!$I$8)))/Inputs!$K$8)^2)</f>
        <v>117.27976000000008</v>
      </c>
      <c r="AC157" s="9">
        <f>(Inputs!$H$9+Inputs!$L$9*(((Inputs!$I$9+(((A157)+1)/2)*(Inputs!$J$9-Inputs!$I$9)))/Inputs!$K$9)^2)</f>
        <v>108.13240000000009</v>
      </c>
      <c r="AD157" s="10"/>
      <c r="AE157" s="9">
        <f t="shared" si="22"/>
        <v>0.29199999999999998</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820.10474594276889</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40771.968102242477</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85885.112955287957</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88523.856088207292</v>
      </c>
      <c r="AJ157" s="10"/>
      <c r="AK157" s="9">
        <f t="shared" si="23"/>
        <v>0.29199999999999998</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-149.76838614406955</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-1837.6927794236631</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-2044.7821149976226</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-2037.5440336049628</v>
      </c>
      <c r="AP157" s="10"/>
      <c r="AQ157" s="9">
        <f t="shared" si="24"/>
        <v>0.29199999999999998</v>
      </c>
      <c r="AR157" s="9">
        <f>0</f>
        <v>0</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414.8667251252914</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139.85330279835185</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168.53655761010126</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168.53655761010126</v>
      </c>
      <c r="AW157" s="10"/>
      <c r="AX157" s="9">
        <f t="shared" si="25"/>
        <v>0.29199999999999998</v>
      </c>
      <c r="AY157" s="9">
        <f>0</f>
        <v>0</v>
      </c>
      <c r="AZ157" s="9">
        <f>IF(OR(Inputs!$F$6=TRUE,Inputs!$F$6="TRUE",Inputs!$F$6=1),(Inputs!$H$6+Inputs!$L$6*(((Inputs!$I$6+(((A157)+1)/2)*(Inputs!$J$6-Inputs!$I$6)))/Inputs!$K$6)^2),NA())</f>
        <v>400.34105599999998</v>
      </c>
      <c r="BA157" s="9">
        <f>IF(OR(Inputs!$F$7=TRUE,Inputs!$F$7="TRUE",Inputs!$F$7=1),(Inputs!$H$7+Inputs!$L$7*(((Inputs!$I$7+(((A157)+1)/2)*(Inputs!$J$7-Inputs!$I$7)))/Inputs!$K$7)^2),NA())</f>
        <v>66.121360000000038</v>
      </c>
      <c r="BB157" s="9">
        <f>IF(OR(Inputs!$F$8=TRUE,Inputs!$F$8="TRUE",Inputs!$F$8=1),(Inputs!$H$8+Inputs!$L$8*(((Inputs!$I$8+(((A157)+1)/2)*(Inputs!$J$8-Inputs!$I$8)))/Inputs!$K$8)^2),NA())</f>
        <v>117.27976000000008</v>
      </c>
      <c r="BC157" s="9">
        <f>IF(OR(Inputs!$F$9=TRUE,Inputs!$F$9="TRUE",Inputs!$F$9=1),(Inputs!$H$9+Inputs!$L$9*(((Inputs!$I$9+(((A157)+1)/2)*(Inputs!$J$9-Inputs!$I$9)))/Inputs!$K$9)^2),NA())</f>
        <v>108.13240000000009</v>
      </c>
      <c r="BD157" s="10"/>
      <c r="BE157" s="9">
        <f t="shared" si="26"/>
        <v>0.29199999999999998</v>
      </c>
      <c r="BF157" s="9">
        <f>0</f>
        <v>0</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row>
    <row r="158" spans="1:62">
      <c r="A158" s="9">
        <f>ROUND(-1+156*2/240,3)</f>
        <v>0.3</v>
      </c>
      <c r="B158" s="9">
        <f>IF(OR(Inputs!$F$6=TRUE,Inputs!$F$6="TRUE",Inputs!$F$6=1),(Inputs!$H$6+Inputs!$L$6*(((Inputs!$I$6+(((A158)+1)/2)*(Inputs!$J$6-Inputs!$I$6)))/Inputs!$K$6)^2),NA())</f>
        <v>400.36</v>
      </c>
      <c r="C158" s="9">
        <f>IF(OR(Inputs!$F$7=TRUE,Inputs!$F$7="TRUE",Inputs!$F$7=1),(Inputs!$H$7+Inputs!$L$7*(((Inputs!$I$7+(((A158)+1)/2)*(Inputs!$J$7-Inputs!$I$7)))/Inputs!$K$7)^2),NA())</f>
        <v>67.849999999999994</v>
      </c>
      <c r="D158" s="9">
        <f>IF(OR(Inputs!$F$8=TRUE,Inputs!$F$8="TRUE",Inputs!$F$8=1),(Inputs!$H$8+Inputs!$L$8*(((Inputs!$I$8+(((A158)+1)/2)*(Inputs!$J$8-Inputs!$I$8)))/Inputs!$K$8)^2),NA())</f>
        <v>121.85</v>
      </c>
      <c r="E158" s="9">
        <f>IF(OR(Inputs!$F$9=TRUE,Inputs!$F$9="TRUE",Inputs!$F$9=1),(Inputs!$H$9+Inputs!$L$9*(((Inputs!$I$9+(((A158)+1)/2)*(Inputs!$J$9-Inputs!$I$9)))/Inputs!$K$9)^2),NA())</f>
        <v>112.75</v>
      </c>
      <c r="F158" s="10"/>
      <c r="G158" s="9">
        <f t="shared" si="18"/>
        <v>0.3</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c r="L158" s="10"/>
      <c r="M158" s="9">
        <f t="shared" si="19"/>
        <v>0.3</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-153.85884194651075</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-1852.6524141587827</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-2065.5176137733747</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-2058.4353644245243</v>
      </c>
      <c r="R158" s="10"/>
      <c r="S158" s="9">
        <f t="shared" si="20"/>
        <v>0.3</v>
      </c>
      <c r="T158" s="9">
        <f>(Inputs!$I$6+(((A158)+1)/2)*(Inputs!$J$6-Inputs!$I$6))</f>
        <v>18</v>
      </c>
      <c r="U158" s="9">
        <f>(Inputs!$I$7+(((A158)+1)/2)*(Inputs!$J$7-Inputs!$I$7))</f>
        <v>120</v>
      </c>
      <c r="V158" s="9">
        <f>(Inputs!$I$8+(((A158)+1)/2)*(Inputs!$J$8-Inputs!$I$8))</f>
        <v>240</v>
      </c>
      <c r="W158" s="9">
        <f>(Inputs!$I$9+(((A158)+1)/2)*(Inputs!$J$9-Inputs!$I$9))</f>
        <v>240</v>
      </c>
      <c r="X158" s="10"/>
      <c r="Y158" s="9">
        <f t="shared" si="21"/>
        <v>0.3</v>
      </c>
      <c r="Z158" s="9">
        <f>(Inputs!$H$6+Inputs!$L$6*(((Inputs!$I$6+(((A158)+1)/2)*(Inputs!$J$6-Inputs!$I$6)))/Inputs!$K$6)^2)</f>
        <v>400.36</v>
      </c>
      <c r="AA158" s="9">
        <f>(Inputs!$H$7+Inputs!$L$7*(((Inputs!$I$7+(((A158)+1)/2)*(Inputs!$J$7-Inputs!$I$7)))/Inputs!$K$7)^2)</f>
        <v>67.849999999999994</v>
      </c>
      <c r="AB158" s="9">
        <f>(Inputs!$H$8+Inputs!$L$8*(((Inputs!$I$8+(((A158)+1)/2)*(Inputs!$J$8-Inputs!$I$8)))/Inputs!$K$8)^2)</f>
        <v>121.85</v>
      </c>
      <c r="AC158" s="9">
        <f>(Inputs!$H$9+Inputs!$L$9*(((Inputs!$I$9+(((A158)+1)/2)*(Inputs!$J$9-Inputs!$I$9)))/Inputs!$K$9)^2)</f>
        <v>112.75</v>
      </c>
      <c r="AD158" s="10"/>
      <c r="AE158" s="9">
        <f t="shared" si="22"/>
        <v>0.3</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835.04862778640972</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41874.057232795858</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87935.819541909106</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90531.858717313269</v>
      </c>
      <c r="AJ158" s="10"/>
      <c r="AK158" s="9">
        <f t="shared" si="23"/>
        <v>0.3</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-153.85884194651075</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-1852.6524141587827</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-2065.5176137733747</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-2058.4353644245243</v>
      </c>
      <c r="AP158" s="10"/>
      <c r="AQ158" s="9">
        <f t="shared" si="24"/>
        <v>0.3</v>
      </c>
      <c r="AR158" s="9">
        <f>0</f>
        <v>0</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417.36712485558922</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68.458771215557988</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170.07540465012823</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170.07540465012823</v>
      </c>
      <c r="AW158" s="10"/>
      <c r="AX158" s="9">
        <f t="shared" si="25"/>
        <v>0.3</v>
      </c>
      <c r="AY158" s="9">
        <f>0</f>
        <v>0</v>
      </c>
      <c r="AZ158" s="9">
        <f>IF(OR(Inputs!$F$6=TRUE,Inputs!$F$6="TRUE",Inputs!$F$6=1),(Inputs!$H$6+Inputs!$L$6*(((Inputs!$I$6+(((A158)+1)/2)*(Inputs!$J$6-Inputs!$I$6)))/Inputs!$K$6)^2),NA())</f>
        <v>400.36</v>
      </c>
      <c r="BA158" s="9">
        <f>IF(OR(Inputs!$F$7=TRUE,Inputs!$F$7="TRUE",Inputs!$F$7=1),(Inputs!$H$7+Inputs!$L$7*(((Inputs!$I$7+(((A158)+1)/2)*(Inputs!$J$7-Inputs!$I$7)))/Inputs!$K$7)^2),NA())</f>
        <v>67.849999999999994</v>
      </c>
      <c r="BB158" s="9">
        <f>IF(OR(Inputs!$F$8=TRUE,Inputs!$F$8="TRUE",Inputs!$F$8=1),(Inputs!$H$8+Inputs!$L$8*(((Inputs!$I$8+(((A158)+1)/2)*(Inputs!$J$8-Inputs!$I$8)))/Inputs!$K$8)^2),NA())</f>
        <v>121.85</v>
      </c>
      <c r="BC158" s="9">
        <f>IF(OR(Inputs!$F$9=TRUE,Inputs!$F$9="TRUE",Inputs!$F$9=1),(Inputs!$H$9+Inputs!$L$9*(((Inputs!$I$9+(((A158)+1)/2)*(Inputs!$J$9-Inputs!$I$9)))/Inputs!$K$9)^2),NA())</f>
        <v>112.75</v>
      </c>
      <c r="BD158" s="10"/>
      <c r="BE158" s="9">
        <f t="shared" si="26"/>
        <v>0.3</v>
      </c>
      <c r="BF158" s="9">
        <f>0</f>
        <v>0</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row>
    <row r="159" spans="1:62">
      <c r="A159" s="9">
        <f>ROUND(-1+157*2/240,3)</f>
        <v>0.308</v>
      </c>
      <c r="B159" s="9">
        <f>IF(OR(Inputs!$F$6=TRUE,Inputs!$F$6="TRUE",Inputs!$F$6=1),(Inputs!$H$6+Inputs!$L$6*(((Inputs!$I$6+(((A159)+1)/2)*(Inputs!$J$6-Inputs!$I$6)))/Inputs!$K$6)^2),NA())</f>
        <v>400.379456</v>
      </c>
      <c r="C159" s="9">
        <f>IF(OR(Inputs!$F$7=TRUE,Inputs!$F$7="TRUE",Inputs!$F$7=1),(Inputs!$H$7+Inputs!$L$7*(((Inputs!$I$7+(((A159)+1)/2)*(Inputs!$J$7-Inputs!$I$7)))/Inputs!$K$7)^2),NA())</f>
        <v>69.625360000000029</v>
      </c>
      <c r="D159" s="9">
        <f>IF(OR(Inputs!$F$8=TRUE,Inputs!$F$8="TRUE",Inputs!$F$8=1),(Inputs!$H$8+Inputs!$L$8*(((Inputs!$I$8+(((A159)+1)/2)*(Inputs!$J$8-Inputs!$I$8)))/Inputs!$K$8)^2),NA())</f>
        <v>126.54376000000006</v>
      </c>
      <c r="E159" s="9">
        <f>IF(OR(Inputs!$F$9=TRUE,Inputs!$F$9="TRUE",Inputs!$F$9=1),(Inputs!$H$9+Inputs!$L$9*(((Inputs!$I$9+(((A159)+1)/2)*(Inputs!$J$9-Inputs!$I$9)))/Inputs!$K$9)^2),NA())</f>
        <v>117.49240000000006</v>
      </c>
      <c r="F159" s="10"/>
      <c r="G159" s="9">
        <f t="shared" si="18"/>
        <v>0.308</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c r="L159" s="10"/>
      <c r="M159" s="9">
        <f t="shared" si="19"/>
        <v>0.308</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-157.94826555448978</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-1867.5449465593661</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-2086.5595222069446</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-2079.6685463681242</v>
      </c>
      <c r="R159" s="10"/>
      <c r="S159" s="9">
        <f t="shared" si="20"/>
        <v>0.308</v>
      </c>
      <c r="T159" s="9">
        <f>(Inputs!$I$6+(((A159)+1)/2)*(Inputs!$J$6-Inputs!$I$6))</f>
        <v>18.480000000000004</v>
      </c>
      <c r="U159" s="9">
        <f>(Inputs!$I$7+(((A159)+1)/2)*(Inputs!$J$7-Inputs!$I$7))</f>
        <v>123.20000000000005</v>
      </c>
      <c r="V159" s="9">
        <f>(Inputs!$I$8+(((A159)+1)/2)*(Inputs!$J$8-Inputs!$I$8))</f>
        <v>246.40000000000009</v>
      </c>
      <c r="W159" s="9">
        <f>(Inputs!$I$9+(((A159)+1)/2)*(Inputs!$J$9-Inputs!$I$9))</f>
        <v>246.40000000000009</v>
      </c>
      <c r="X159" s="10"/>
      <c r="Y159" s="9">
        <f t="shared" si="21"/>
        <v>0.308</v>
      </c>
      <c r="Z159" s="9">
        <f>(Inputs!$H$6+Inputs!$L$6*(((Inputs!$I$6+(((A159)+1)/2)*(Inputs!$J$6-Inputs!$I$6)))/Inputs!$K$6)^2)</f>
        <v>400.379456</v>
      </c>
      <c r="AA159" s="9">
        <f>(Inputs!$H$7+Inputs!$L$7*(((Inputs!$I$7+(((A159)+1)/2)*(Inputs!$J$7-Inputs!$I$7)))/Inputs!$K$7)^2)</f>
        <v>69.625360000000029</v>
      </c>
      <c r="AB159" s="9">
        <f>(Inputs!$H$8+Inputs!$L$8*(((Inputs!$I$8+(((A159)+1)/2)*(Inputs!$J$8-Inputs!$I$8)))/Inputs!$K$8)^2)</f>
        <v>126.54376000000006</v>
      </c>
      <c r="AC159" s="9">
        <f>(Inputs!$H$9+Inputs!$L$9*(((Inputs!$I$9+(((A159)+1)/2)*(Inputs!$J$9-Inputs!$I$9)))/Inputs!$K$9)^2)</f>
        <v>117.49240000000006</v>
      </c>
      <c r="AD159" s="10"/>
      <c r="AE159" s="9">
        <f t="shared" si="22"/>
        <v>0.308</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850.39418523880806</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42966.667538375812</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89964.073356015142</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92517.080109217073</v>
      </c>
      <c r="AJ159" s="10"/>
      <c r="AK159" s="9">
        <f t="shared" si="23"/>
        <v>0.308</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-157.94826555448978</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-1867.5449465593661</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-2086.5595222069446</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-2079.6685463681242</v>
      </c>
      <c r="AP159" s="10"/>
      <c r="AQ159" s="9">
        <f t="shared" si="24"/>
        <v>0.308</v>
      </c>
      <c r="AR159" s="9">
        <f>0</f>
        <v>0</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424.36691856102624</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77.976860719824671</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106.90420390302586</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106.90420390302586</v>
      </c>
      <c r="AW159" s="10"/>
      <c r="AX159" s="9">
        <f t="shared" si="25"/>
        <v>0.308</v>
      </c>
      <c r="AY159" s="9">
        <f>0</f>
        <v>0</v>
      </c>
      <c r="AZ159" s="9">
        <f>IF(OR(Inputs!$F$6=TRUE,Inputs!$F$6="TRUE",Inputs!$F$6=1),(Inputs!$H$6+Inputs!$L$6*(((Inputs!$I$6+(((A159)+1)/2)*(Inputs!$J$6-Inputs!$I$6)))/Inputs!$K$6)^2),NA())</f>
        <v>400.379456</v>
      </c>
      <c r="BA159" s="9">
        <f>IF(OR(Inputs!$F$7=TRUE,Inputs!$F$7="TRUE",Inputs!$F$7=1),(Inputs!$H$7+Inputs!$L$7*(((Inputs!$I$7+(((A159)+1)/2)*(Inputs!$J$7-Inputs!$I$7)))/Inputs!$K$7)^2),NA())</f>
        <v>69.625360000000029</v>
      </c>
      <c r="BB159" s="9">
        <f>IF(OR(Inputs!$F$8=TRUE,Inputs!$F$8="TRUE",Inputs!$F$8=1),(Inputs!$H$8+Inputs!$L$8*(((Inputs!$I$8+(((A159)+1)/2)*(Inputs!$J$8-Inputs!$I$8)))/Inputs!$K$8)^2),NA())</f>
        <v>126.54376000000006</v>
      </c>
      <c r="BC159" s="9">
        <f>IF(OR(Inputs!$F$9=TRUE,Inputs!$F$9="TRUE",Inputs!$F$9=1),(Inputs!$H$9+Inputs!$L$9*(((Inputs!$I$9+(((A159)+1)/2)*(Inputs!$J$9-Inputs!$I$9)))/Inputs!$K$9)^2),NA())</f>
        <v>117.49240000000006</v>
      </c>
      <c r="BD159" s="10"/>
      <c r="BE159" s="9">
        <f t="shared" si="26"/>
        <v>0.308</v>
      </c>
      <c r="BF159" s="9">
        <f>0</f>
        <v>0</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row>
    <row r="160" spans="1:62">
      <c r="A160" s="9">
        <f>ROUND(-1+158*2/240,3)</f>
        <v>0.317</v>
      </c>
      <c r="B160" s="9">
        <f>IF(OR(Inputs!$F$6=TRUE,Inputs!$F$6="TRUE",Inputs!$F$6=1),(Inputs!$H$6+Inputs!$L$6*(((Inputs!$I$6+(((A160)+1)/2)*(Inputs!$J$6-Inputs!$I$6)))/Inputs!$K$6)^2),NA())</f>
        <v>400.40195599999998</v>
      </c>
      <c r="C160" s="9">
        <f>IF(OR(Inputs!$F$7=TRUE,Inputs!$F$7="TRUE",Inputs!$F$7=1),(Inputs!$H$7+Inputs!$L$7*(((Inputs!$I$7+(((A160)+1)/2)*(Inputs!$J$7-Inputs!$I$7)))/Inputs!$K$7)^2),NA())</f>
        <v>71.678484999999966</v>
      </c>
      <c r="D160" s="9">
        <f>IF(OR(Inputs!$F$8=TRUE,Inputs!$F$8="TRUE",Inputs!$F$8=1),(Inputs!$H$8+Inputs!$L$8*(((Inputs!$I$8+(((A160)+1)/2)*(Inputs!$J$8-Inputs!$I$8)))/Inputs!$K$8)^2),NA())</f>
        <v>131.97188499999993</v>
      </c>
      <c r="E160" s="9">
        <f>IF(OR(Inputs!$F$9=TRUE,Inputs!$F$9="TRUE",Inputs!$F$9=1),(Inputs!$H$9+Inputs!$L$9*(((Inputs!$I$9+(((A160)+1)/2)*(Inputs!$J$9-Inputs!$I$9)))/Inputs!$K$9)^2),NA())</f>
        <v>122.97677499999993</v>
      </c>
      <c r="F160" s="10"/>
      <c r="G160" s="9">
        <f t="shared" si="18"/>
        <v>0.317</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c r="L160" s="10"/>
      <c r="M160" s="9">
        <f t="shared" si="19"/>
        <v>0.317</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-162.54759981556018</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-1884.2501620063235</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-2110.5999273700668</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-2103.9625390161777</v>
      </c>
      <c r="R160" s="10"/>
      <c r="S160" s="9">
        <f t="shared" si="20"/>
        <v>0.317</v>
      </c>
      <c r="T160" s="9">
        <f>(Inputs!$I$6+(((A160)+1)/2)*(Inputs!$J$6-Inputs!$I$6))</f>
        <v>19.019999999999996</v>
      </c>
      <c r="U160" s="9">
        <f>(Inputs!$I$7+(((A160)+1)/2)*(Inputs!$J$7-Inputs!$I$7))</f>
        <v>126.79999999999995</v>
      </c>
      <c r="V160" s="9">
        <f>(Inputs!$I$8+(((A160)+1)/2)*(Inputs!$J$8-Inputs!$I$8))</f>
        <v>253.59999999999991</v>
      </c>
      <c r="W160" s="9">
        <f>(Inputs!$I$9+(((A160)+1)/2)*(Inputs!$J$9-Inputs!$I$9))</f>
        <v>253.59999999999991</v>
      </c>
      <c r="X160" s="10"/>
      <c r="Y160" s="9">
        <f t="shared" si="21"/>
        <v>0.317</v>
      </c>
      <c r="Z160" s="9">
        <f>(Inputs!$H$6+Inputs!$L$6*(((Inputs!$I$6+(((A160)+1)/2)*(Inputs!$J$6-Inputs!$I$6)))/Inputs!$K$6)^2)</f>
        <v>400.40195599999998</v>
      </c>
      <c r="AA160" s="9">
        <f>(Inputs!$H$7+Inputs!$L$7*(((Inputs!$I$7+(((A160)+1)/2)*(Inputs!$J$7-Inputs!$I$7)))/Inputs!$K$7)^2)</f>
        <v>71.678484999999966</v>
      </c>
      <c r="AB160" s="9">
        <f>(Inputs!$H$8+Inputs!$L$8*(((Inputs!$I$8+(((A160)+1)/2)*(Inputs!$J$8-Inputs!$I$8)))/Inputs!$K$8)^2)</f>
        <v>131.97188499999993</v>
      </c>
      <c r="AC160" s="9">
        <f>(Inputs!$H$9+Inputs!$L$9*(((Inputs!$I$9+(((A160)+1)/2)*(Inputs!$J$9-Inputs!$I$9)))/Inputs!$K$9)^2)</f>
        <v>122.97677499999993</v>
      </c>
      <c r="AD160" s="10"/>
      <c r="AE160" s="9">
        <f t="shared" si="22"/>
        <v>0.317</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868.13784564244827</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44184.449188712351</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92219.880843034611</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94724.177856921175</v>
      </c>
      <c r="AJ160" s="10"/>
      <c r="AK160" s="9">
        <f t="shared" si="23"/>
        <v>0.317</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-162.54759981556018</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-1884.2501620063235</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-2110.5999273700668</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-2103.9625390161777</v>
      </c>
      <c r="AP160" s="10"/>
      <c r="AQ160" s="9">
        <f t="shared" si="24"/>
        <v>0.317</v>
      </c>
      <c r="AR160" s="9">
        <f>0</f>
        <v>0</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413.16626512166084</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148.34640520880026</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170.60025016119593</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170.60025016119593</v>
      </c>
      <c r="AW160" s="10"/>
      <c r="AX160" s="9">
        <f t="shared" si="25"/>
        <v>0.317</v>
      </c>
      <c r="AY160" s="9">
        <f>0</f>
        <v>0</v>
      </c>
      <c r="AZ160" s="9">
        <f>IF(OR(Inputs!$F$6=TRUE,Inputs!$F$6="TRUE",Inputs!$F$6=1),(Inputs!$H$6+Inputs!$L$6*(((Inputs!$I$6+(((A160)+1)/2)*(Inputs!$J$6-Inputs!$I$6)))/Inputs!$K$6)^2),NA())</f>
        <v>400.40195599999998</v>
      </c>
      <c r="BA160" s="9">
        <f>IF(OR(Inputs!$F$7=TRUE,Inputs!$F$7="TRUE",Inputs!$F$7=1),(Inputs!$H$7+Inputs!$L$7*(((Inputs!$I$7+(((A160)+1)/2)*(Inputs!$J$7-Inputs!$I$7)))/Inputs!$K$7)^2),NA())</f>
        <v>71.678484999999966</v>
      </c>
      <c r="BB160" s="9">
        <f>IF(OR(Inputs!$F$8=TRUE,Inputs!$F$8="TRUE",Inputs!$F$8=1),(Inputs!$H$8+Inputs!$L$8*(((Inputs!$I$8+(((A160)+1)/2)*(Inputs!$J$8-Inputs!$I$8)))/Inputs!$K$8)^2),NA())</f>
        <v>131.97188499999993</v>
      </c>
      <c r="BC160" s="9">
        <f>IF(OR(Inputs!$F$9=TRUE,Inputs!$F$9="TRUE",Inputs!$F$9=1),(Inputs!$H$9+Inputs!$L$9*(((Inputs!$I$9+(((A160)+1)/2)*(Inputs!$J$9-Inputs!$I$9)))/Inputs!$K$9)^2),NA())</f>
        <v>122.97677499999993</v>
      </c>
      <c r="BD160" s="10"/>
      <c r="BE160" s="9">
        <f t="shared" si="26"/>
        <v>0.317</v>
      </c>
      <c r="BF160" s="9">
        <f>0</f>
        <v>0</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row>
    <row r="161" spans="1:62">
      <c r="A161" s="9">
        <f>ROUND(-1+159*2/240,3)</f>
        <v>0.32500000000000001</v>
      </c>
      <c r="B161" s="9">
        <f>IF(OR(Inputs!$F$6=TRUE,Inputs!$F$6="TRUE",Inputs!$F$6=1),(Inputs!$H$6+Inputs!$L$6*(((Inputs!$I$6+(((A161)+1)/2)*(Inputs!$J$6-Inputs!$I$6)))/Inputs!$K$6)^2),NA())</f>
        <v>400.42250000000001</v>
      </c>
      <c r="C161" s="9">
        <f>IF(OR(Inputs!$F$7=TRUE,Inputs!$F$7="TRUE",Inputs!$F$7=1),(Inputs!$H$7+Inputs!$L$7*(((Inputs!$I$7+(((A161)+1)/2)*(Inputs!$J$7-Inputs!$I$7)))/Inputs!$K$7)^2),NA())</f>
        <v>73.553124999999994</v>
      </c>
      <c r="D161" s="9">
        <f>IF(OR(Inputs!$F$8=TRUE,Inputs!$F$8="TRUE",Inputs!$F$8=1),(Inputs!$H$8+Inputs!$L$8*(((Inputs!$I$8+(((A161)+1)/2)*(Inputs!$J$8-Inputs!$I$8)))/Inputs!$K$8)^2),NA())</f>
        <v>136.92812500000002</v>
      </c>
      <c r="E161" s="9">
        <f>IF(OR(Inputs!$F$9=TRUE,Inputs!$F$9="TRUE",Inputs!$F$9=1),(Inputs!$H$9+Inputs!$L$9*(((Inputs!$I$9+(((A161)+1)/2)*(Inputs!$J$9-Inputs!$I$9)))/Inputs!$K$9)^2),NA())</f>
        <v>127.98437500000001</v>
      </c>
      <c r="F161" s="10"/>
      <c r="G161" s="9">
        <f t="shared" si="18"/>
        <v>0.32500000000000001</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c r="L161" s="10"/>
      <c r="M161" s="9">
        <f t="shared" si="19"/>
        <v>0.32500000000000001</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-166.63474072408775</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-1899.0802840621604</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-2132.2970556960481</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-2125.9160621487108</v>
      </c>
      <c r="R161" s="10"/>
      <c r="S161" s="9">
        <f t="shared" si="20"/>
        <v>0.32500000000000001</v>
      </c>
      <c r="T161" s="9">
        <f>(Inputs!$I$6+(((A161)+1)/2)*(Inputs!$J$6-Inputs!$I$6))</f>
        <v>19.5</v>
      </c>
      <c r="U161" s="9">
        <f>(Inputs!$I$7+(((A161)+1)/2)*(Inputs!$J$7-Inputs!$I$7))</f>
        <v>130</v>
      </c>
      <c r="V161" s="9">
        <f>(Inputs!$I$8+(((A161)+1)/2)*(Inputs!$J$8-Inputs!$I$8))</f>
        <v>260</v>
      </c>
      <c r="W161" s="9">
        <f>(Inputs!$I$9+(((A161)+1)/2)*(Inputs!$J$9-Inputs!$I$9))</f>
        <v>260</v>
      </c>
      <c r="X161" s="10"/>
      <c r="Y161" s="9">
        <f t="shared" si="21"/>
        <v>0.32500000000000001</v>
      </c>
      <c r="Z161" s="9">
        <f>(Inputs!$H$6+Inputs!$L$6*(((Inputs!$I$6+(((A161)+1)/2)*(Inputs!$J$6-Inputs!$I$6)))/Inputs!$K$6)^2)</f>
        <v>400.42250000000001</v>
      </c>
      <c r="AA161" s="9">
        <f>(Inputs!$H$7+Inputs!$L$7*(((Inputs!$I$7+(((A161)+1)/2)*(Inputs!$J$7-Inputs!$I$7)))/Inputs!$K$7)^2)</f>
        <v>73.553124999999994</v>
      </c>
      <c r="AB161" s="9">
        <f>(Inputs!$H$8+Inputs!$L$8*(((Inputs!$I$8+(((A161)+1)/2)*(Inputs!$J$8-Inputs!$I$8)))/Inputs!$K$8)^2)</f>
        <v>136.92812500000002</v>
      </c>
      <c r="AC161" s="9">
        <f>(Inputs!$H$9+Inputs!$L$9*(((Inputs!$I$9+(((A161)+1)/2)*(Inputs!$J$9-Inputs!$I$9)))/Inputs!$K$9)^2)</f>
        <v>127.98437500000001</v>
      </c>
      <c r="AD161" s="10"/>
      <c r="AE161" s="9">
        <f t="shared" si="22"/>
        <v>0.32500000000000001</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884.3363729737207</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45256.747830272761</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94202.718556589636</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96663.529051192891</v>
      </c>
      <c r="AJ161" s="10"/>
      <c r="AK161" s="9">
        <f t="shared" si="23"/>
        <v>0.32500000000000001</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-166.63474072408775</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-1899.0802840621604</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-2132.2970556960481</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-2125.9160621487108</v>
      </c>
      <c r="AP161" s="10"/>
      <c r="AQ161" s="9">
        <f t="shared" si="24"/>
        <v>0.32500000000000001</v>
      </c>
      <c r="AR161" s="9">
        <f>0</f>
        <v>0</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436.66425250955575</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179.42575827267754</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134.66164099948801</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134.66164099948801</v>
      </c>
      <c r="AW161" s="10"/>
      <c r="AX161" s="9">
        <f t="shared" si="25"/>
        <v>0.32500000000000001</v>
      </c>
      <c r="AY161" s="9">
        <f>0</f>
        <v>0</v>
      </c>
      <c r="AZ161" s="9">
        <f>IF(OR(Inputs!$F$6=TRUE,Inputs!$F$6="TRUE",Inputs!$F$6=1),(Inputs!$H$6+Inputs!$L$6*(((Inputs!$I$6+(((A161)+1)/2)*(Inputs!$J$6-Inputs!$I$6)))/Inputs!$K$6)^2),NA())</f>
        <v>400.42250000000001</v>
      </c>
      <c r="BA161" s="9">
        <f>IF(OR(Inputs!$F$7=TRUE,Inputs!$F$7="TRUE",Inputs!$F$7=1),(Inputs!$H$7+Inputs!$L$7*(((Inputs!$I$7+(((A161)+1)/2)*(Inputs!$J$7-Inputs!$I$7)))/Inputs!$K$7)^2),NA())</f>
        <v>73.553124999999994</v>
      </c>
      <c r="BB161" s="9">
        <f>IF(OR(Inputs!$F$8=TRUE,Inputs!$F$8="TRUE",Inputs!$F$8=1),(Inputs!$H$8+Inputs!$L$8*(((Inputs!$I$8+(((A161)+1)/2)*(Inputs!$J$8-Inputs!$I$8)))/Inputs!$K$8)^2),NA())</f>
        <v>136.92812500000002</v>
      </c>
      <c r="BC161" s="9">
        <f>IF(OR(Inputs!$F$9=TRUE,Inputs!$F$9="TRUE",Inputs!$F$9=1),(Inputs!$H$9+Inputs!$L$9*(((Inputs!$I$9+(((A161)+1)/2)*(Inputs!$J$9-Inputs!$I$9)))/Inputs!$K$9)^2),NA())</f>
        <v>127.98437500000001</v>
      </c>
      <c r="BD161" s="10"/>
      <c r="BE161" s="9">
        <f t="shared" si="26"/>
        <v>0.32500000000000001</v>
      </c>
      <c r="BF161" s="9">
        <f>0</f>
        <v>0</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row>
    <row r="162" spans="1:62">
      <c r="A162" s="9">
        <f>ROUND(-1+160*2/240,3)</f>
        <v>0.33300000000000002</v>
      </c>
      <c r="B162" s="9">
        <f>IF(OR(Inputs!$F$6=TRUE,Inputs!$F$6="TRUE",Inputs!$F$6=1),(Inputs!$H$6+Inputs!$L$6*(((Inputs!$I$6+(((A162)+1)/2)*(Inputs!$J$6-Inputs!$I$6)))/Inputs!$K$6)^2),NA())</f>
        <v>400.443556</v>
      </c>
      <c r="C162" s="9">
        <f>IF(OR(Inputs!$F$7=TRUE,Inputs!$F$7="TRUE",Inputs!$F$7=1),(Inputs!$H$7+Inputs!$L$7*(((Inputs!$I$7+(((A162)+1)/2)*(Inputs!$J$7-Inputs!$I$7)))/Inputs!$K$7)^2),NA())</f>
        <v>75.474484999999959</v>
      </c>
      <c r="D162" s="9">
        <f>IF(OR(Inputs!$F$8=TRUE,Inputs!$F$8="TRUE",Inputs!$F$8=1),(Inputs!$H$8+Inputs!$L$8*(((Inputs!$I$8+(((A162)+1)/2)*(Inputs!$J$8-Inputs!$I$8)))/Inputs!$K$8)^2),NA())</f>
        <v>142.0078849999999</v>
      </c>
      <c r="E162" s="9">
        <f>IF(OR(Inputs!$F$9=TRUE,Inputs!$F$9="TRUE",Inputs!$F$9=1),(Inputs!$H$9+Inputs!$L$9*(((Inputs!$I$9+(((A162)+1)/2)*(Inputs!$J$9-Inputs!$I$9)))/Inputs!$K$9)^2),NA())</f>
        <v>133.1167749999999</v>
      </c>
      <c r="F162" s="10"/>
      <c r="G162" s="9">
        <f t="shared" si="18"/>
        <v>0.33300000000000002</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c r="L162" s="10"/>
      <c r="M162" s="9">
        <f t="shared" si="19"/>
        <v>0.33300000000000002</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-170.72076550892695</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-1913.9128492305058</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-2154.3022886046483</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-2148.204181874316</v>
      </c>
      <c r="R162" s="10"/>
      <c r="S162" s="9">
        <f t="shared" si="20"/>
        <v>0.33300000000000002</v>
      </c>
      <c r="T162" s="9">
        <f>(Inputs!$I$6+(((A162)+1)/2)*(Inputs!$J$6-Inputs!$I$6))</f>
        <v>19.980000000000004</v>
      </c>
      <c r="U162" s="9">
        <f>(Inputs!$I$7+(((A162)+1)/2)*(Inputs!$J$7-Inputs!$I$7))</f>
        <v>133.19999999999993</v>
      </c>
      <c r="V162" s="9">
        <f>(Inputs!$I$8+(((A162)+1)/2)*(Inputs!$J$8-Inputs!$I$8))</f>
        <v>266.39999999999986</v>
      </c>
      <c r="W162" s="9">
        <f>(Inputs!$I$9+(((A162)+1)/2)*(Inputs!$J$9-Inputs!$I$9))</f>
        <v>266.39999999999986</v>
      </c>
      <c r="X162" s="10"/>
      <c r="Y162" s="9">
        <f t="shared" si="21"/>
        <v>0.33300000000000002</v>
      </c>
      <c r="Z162" s="9">
        <f>(Inputs!$H$6+Inputs!$L$6*(((Inputs!$I$6+(((A162)+1)/2)*(Inputs!$J$6-Inputs!$I$6)))/Inputs!$K$6)^2)</f>
        <v>400.443556</v>
      </c>
      <c r="AA162" s="9">
        <f>(Inputs!$H$7+Inputs!$L$7*(((Inputs!$I$7+(((A162)+1)/2)*(Inputs!$J$7-Inputs!$I$7)))/Inputs!$K$7)^2)</f>
        <v>75.474484999999959</v>
      </c>
      <c r="AB162" s="9">
        <f>(Inputs!$H$8+Inputs!$L$8*(((Inputs!$I$8+(((A162)+1)/2)*(Inputs!$J$8-Inputs!$I$8)))/Inputs!$K$8)^2)</f>
        <v>142.0078849999999</v>
      </c>
      <c r="AC162" s="9">
        <f>(Inputs!$H$9+Inputs!$L$9*(((Inputs!$I$9+(((A162)+1)/2)*(Inputs!$J$9-Inputs!$I$9)))/Inputs!$K$9)^2)</f>
        <v>133.1167749999999</v>
      </c>
      <c r="AD162" s="10"/>
      <c r="AE162" s="9">
        <f t="shared" si="22"/>
        <v>0.33300000000000002</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900.93601014903118</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46319.462006148962</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96165.266959034823</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98582.478222103397</v>
      </c>
      <c r="AJ162" s="10"/>
      <c r="AK162" s="9">
        <f t="shared" si="23"/>
        <v>0.33300000000000002</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-170.72076550892695</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-1913.9128492305058</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-2154.3022886046483</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-2148.204181874316</v>
      </c>
      <c r="AP162" s="10"/>
      <c r="AQ162" s="9">
        <f t="shared" si="24"/>
        <v>0.33300000000000002</v>
      </c>
      <c r="AR162" s="9">
        <f>0</f>
        <v>0</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436.47109711249175</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166.73279551626314</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101.2320109624505</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101.2320109624505</v>
      </c>
      <c r="AW162" s="10"/>
      <c r="AX162" s="9">
        <f t="shared" si="25"/>
        <v>0.33300000000000002</v>
      </c>
      <c r="AY162" s="9">
        <f>0</f>
        <v>0</v>
      </c>
      <c r="AZ162" s="9">
        <f>IF(OR(Inputs!$F$6=TRUE,Inputs!$F$6="TRUE",Inputs!$F$6=1),(Inputs!$H$6+Inputs!$L$6*(((Inputs!$I$6+(((A162)+1)/2)*(Inputs!$J$6-Inputs!$I$6)))/Inputs!$K$6)^2),NA())</f>
        <v>400.443556</v>
      </c>
      <c r="BA162" s="9">
        <f>IF(OR(Inputs!$F$7=TRUE,Inputs!$F$7="TRUE",Inputs!$F$7=1),(Inputs!$H$7+Inputs!$L$7*(((Inputs!$I$7+(((A162)+1)/2)*(Inputs!$J$7-Inputs!$I$7)))/Inputs!$K$7)^2),NA())</f>
        <v>75.474484999999959</v>
      </c>
      <c r="BB162" s="9">
        <f>IF(OR(Inputs!$F$8=TRUE,Inputs!$F$8="TRUE",Inputs!$F$8=1),(Inputs!$H$8+Inputs!$L$8*(((Inputs!$I$8+(((A162)+1)/2)*(Inputs!$J$8-Inputs!$I$8)))/Inputs!$K$8)^2),NA())</f>
        <v>142.0078849999999</v>
      </c>
      <c r="BC162" s="9">
        <f>IF(OR(Inputs!$F$9=TRUE,Inputs!$F$9="TRUE",Inputs!$F$9=1),(Inputs!$H$9+Inputs!$L$9*(((Inputs!$I$9+(((A162)+1)/2)*(Inputs!$J$9-Inputs!$I$9)))/Inputs!$K$9)^2),NA())</f>
        <v>133.1167749999999</v>
      </c>
      <c r="BD162" s="10"/>
      <c r="BE162" s="9">
        <f t="shared" si="26"/>
        <v>0.33300000000000002</v>
      </c>
      <c r="BF162" s="9">
        <f>0</f>
        <v>0</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row>
    <row r="163" spans="1:62">
      <c r="A163" s="9">
        <f>ROUND(-1+161*2/240,3)</f>
        <v>0.34200000000000003</v>
      </c>
      <c r="B163" s="9">
        <f>IF(OR(Inputs!$F$6=TRUE,Inputs!$F$6="TRUE",Inputs!$F$6=1),(Inputs!$H$6+Inputs!$L$6*(((Inputs!$I$6+(((A163)+1)/2)*(Inputs!$J$6-Inputs!$I$6)))/Inputs!$K$6)^2),NA())</f>
        <v>400.46785599999998</v>
      </c>
      <c r="C163" s="9">
        <f>IF(OR(Inputs!$F$7=TRUE,Inputs!$F$7="TRUE",Inputs!$F$7=1),(Inputs!$H$7+Inputs!$L$7*(((Inputs!$I$7+(((A163)+1)/2)*(Inputs!$J$7-Inputs!$I$7)))/Inputs!$K$7)^2),NA())</f>
        <v>77.691860000000048</v>
      </c>
      <c r="D163" s="9">
        <f>IF(OR(Inputs!$F$8=TRUE,Inputs!$F$8="TRUE",Inputs!$F$8=1),(Inputs!$H$8+Inputs!$L$8*(((Inputs!$I$8+(((A163)+1)/2)*(Inputs!$J$8-Inputs!$I$8)))/Inputs!$K$8)^2),NA())</f>
        <v>147.87026000000014</v>
      </c>
      <c r="E163" s="9">
        <f>IF(OR(Inputs!$F$9=TRUE,Inputs!$F$9="TRUE",Inputs!$F$9=1),(Inputs!$H$9+Inputs!$L$9*(((Inputs!$I$9+(((A163)+1)/2)*(Inputs!$J$9-Inputs!$I$9)))/Inputs!$K$9)^2),NA())</f>
        <v>139.03990000000013</v>
      </c>
      <c r="F163" s="10"/>
      <c r="G163" s="9">
        <f t="shared" si="18"/>
        <v>0.34200000000000003</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c r="L163" s="10"/>
      <c r="M163" s="9">
        <f t="shared" si="19"/>
        <v>0.34200000000000003</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-175.31617596466532</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-1930.6236674148909</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-2179.4248345006072</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-2173.6737724055292</v>
      </c>
      <c r="R163" s="10"/>
      <c r="S163" s="9">
        <f t="shared" si="20"/>
        <v>0.34200000000000003</v>
      </c>
      <c r="T163" s="9">
        <f>(Inputs!$I$6+(((A163)+1)/2)*(Inputs!$J$6-Inputs!$I$6))</f>
        <v>20.52000000000001</v>
      </c>
      <c r="U163" s="9">
        <f>(Inputs!$I$7+(((A163)+1)/2)*(Inputs!$J$7-Inputs!$I$7))</f>
        <v>136.80000000000007</v>
      </c>
      <c r="V163" s="9">
        <f>(Inputs!$I$8+(((A163)+1)/2)*(Inputs!$J$8-Inputs!$I$8))</f>
        <v>273.60000000000014</v>
      </c>
      <c r="W163" s="9">
        <f>(Inputs!$I$9+(((A163)+1)/2)*(Inputs!$J$9-Inputs!$I$9))</f>
        <v>273.60000000000014</v>
      </c>
      <c r="X163" s="10"/>
      <c r="Y163" s="9">
        <f t="shared" si="21"/>
        <v>0.34200000000000003</v>
      </c>
      <c r="Z163" s="9">
        <f>(Inputs!$H$6+Inputs!$L$6*(((Inputs!$I$6+(((A163)+1)/2)*(Inputs!$J$6-Inputs!$I$6)))/Inputs!$K$6)^2)</f>
        <v>400.46785599999998</v>
      </c>
      <c r="AA163" s="9">
        <f>(Inputs!$H$7+Inputs!$L$7*(((Inputs!$I$7+(((A163)+1)/2)*(Inputs!$J$7-Inputs!$I$7)))/Inputs!$K$7)^2)</f>
        <v>77.691860000000048</v>
      </c>
      <c r="AB163" s="9">
        <f>(Inputs!$H$8+Inputs!$L$8*(((Inputs!$I$8+(((A163)+1)/2)*(Inputs!$J$8-Inputs!$I$8)))/Inputs!$K$8)^2)</f>
        <v>147.87026000000014</v>
      </c>
      <c r="AC163" s="9">
        <f>(Inputs!$H$9+Inputs!$L$9*(((Inputs!$I$9+(((A163)+1)/2)*(Inputs!$J$9-Inputs!$I$9)))/Inputs!$K$9)^2)</f>
        <v>139.03990000000013</v>
      </c>
      <c r="AD163" s="10"/>
      <c r="AE163" s="9">
        <f t="shared" si="22"/>
        <v>0.34200000000000003</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920.0898163795357</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47503.575396581895</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98349.742170340309</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100717.8402144492</v>
      </c>
      <c r="AJ163" s="10"/>
      <c r="AK163" s="9">
        <f t="shared" si="23"/>
        <v>0.34200000000000003</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-175.31617596466532</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-1930.6236674148909</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-2179.4248345006072</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-2173.6737724055292</v>
      </c>
      <c r="AP163" s="10"/>
      <c r="AQ163" s="9">
        <f t="shared" si="24"/>
        <v>0.34200000000000003</v>
      </c>
      <c r="AR163" s="9">
        <f>0</f>
        <v>0</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440.16808372091691</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98.782151084427483</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169.11259776023078</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169.11259776023078</v>
      </c>
      <c r="AW163" s="10"/>
      <c r="AX163" s="9">
        <f t="shared" si="25"/>
        <v>0.34200000000000003</v>
      </c>
      <c r="AY163" s="9">
        <f>0</f>
        <v>0</v>
      </c>
      <c r="AZ163" s="9">
        <f>IF(OR(Inputs!$F$6=TRUE,Inputs!$F$6="TRUE",Inputs!$F$6=1),(Inputs!$H$6+Inputs!$L$6*(((Inputs!$I$6+(((A163)+1)/2)*(Inputs!$J$6-Inputs!$I$6)))/Inputs!$K$6)^2),NA())</f>
        <v>400.46785599999998</v>
      </c>
      <c r="BA163" s="9">
        <f>IF(OR(Inputs!$F$7=TRUE,Inputs!$F$7="TRUE",Inputs!$F$7=1),(Inputs!$H$7+Inputs!$L$7*(((Inputs!$I$7+(((A163)+1)/2)*(Inputs!$J$7-Inputs!$I$7)))/Inputs!$K$7)^2),NA())</f>
        <v>77.691860000000048</v>
      </c>
      <c r="BB163" s="9">
        <f>IF(OR(Inputs!$F$8=TRUE,Inputs!$F$8="TRUE",Inputs!$F$8=1),(Inputs!$H$8+Inputs!$L$8*(((Inputs!$I$8+(((A163)+1)/2)*(Inputs!$J$8-Inputs!$I$8)))/Inputs!$K$8)^2),NA())</f>
        <v>147.87026000000014</v>
      </c>
      <c r="BC163" s="9">
        <f>IF(OR(Inputs!$F$9=TRUE,Inputs!$F$9="TRUE",Inputs!$F$9=1),(Inputs!$H$9+Inputs!$L$9*(((Inputs!$I$9+(((A163)+1)/2)*(Inputs!$J$9-Inputs!$I$9)))/Inputs!$K$9)^2),NA())</f>
        <v>139.03990000000013</v>
      </c>
      <c r="BD163" s="10"/>
      <c r="BE163" s="9">
        <f t="shared" si="26"/>
        <v>0.34200000000000003</v>
      </c>
      <c r="BF163" s="9">
        <f>0</f>
        <v>0</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row>
    <row r="164" spans="1:62">
      <c r="A164" s="9">
        <f>ROUND(-1+162*2/240,3)</f>
        <v>0.35</v>
      </c>
      <c r="B164" s="9">
        <f>IF(OR(Inputs!$F$6=TRUE,Inputs!$F$6="TRUE",Inputs!$F$6=1),(Inputs!$H$6+Inputs!$L$6*(((Inputs!$I$6+(((A164)+1)/2)*(Inputs!$J$6-Inputs!$I$6)))/Inputs!$K$6)^2),NA())</f>
        <v>400.49</v>
      </c>
      <c r="C164" s="9">
        <f>IF(OR(Inputs!$F$7=TRUE,Inputs!$F$7="TRUE",Inputs!$F$7=1),(Inputs!$H$7+Inputs!$L$7*(((Inputs!$I$7+(((A164)+1)/2)*(Inputs!$J$7-Inputs!$I$7)))/Inputs!$K$7)^2),NA())</f>
        <v>79.712499999999991</v>
      </c>
      <c r="D164" s="9">
        <f>IF(OR(Inputs!$F$8=TRUE,Inputs!$F$8="TRUE",Inputs!$F$8=1),(Inputs!$H$8+Inputs!$L$8*(((Inputs!$I$8+(((A164)+1)/2)*(Inputs!$J$8-Inputs!$I$8)))/Inputs!$K$8)^2),NA())</f>
        <v>153.21249999999998</v>
      </c>
      <c r="E164" s="9">
        <f>IF(OR(Inputs!$F$9=TRUE,Inputs!$F$9="TRUE",Inputs!$F$9=1),(Inputs!$H$9+Inputs!$L$9*(((Inputs!$I$9+(((A164)+1)/2)*(Inputs!$J$9-Inputs!$I$9)))/Inputs!$K$9)^2),NA())</f>
        <v>144.4375</v>
      </c>
      <c r="F164" s="10"/>
      <c r="G164" s="9">
        <f t="shared" si="18"/>
        <v>0.35</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c r="L164" s="10"/>
      <c r="M164" s="9">
        <f t="shared" si="19"/>
        <v>0.35</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-179.39974021759684</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-1945.5158603718908</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-2202.0797024944559</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-2196.6604138172584</v>
      </c>
      <c r="R164" s="10"/>
      <c r="S164" s="9">
        <f t="shared" si="20"/>
        <v>0.35</v>
      </c>
      <c r="T164" s="9">
        <f>(Inputs!$I$6+(((A164)+1)/2)*(Inputs!$J$6-Inputs!$I$6))</f>
        <v>21</v>
      </c>
      <c r="U164" s="9">
        <f>(Inputs!$I$7+(((A164)+1)/2)*(Inputs!$J$7-Inputs!$I$7))</f>
        <v>140</v>
      </c>
      <c r="V164" s="9">
        <f>(Inputs!$I$8+(((A164)+1)/2)*(Inputs!$J$8-Inputs!$I$8))</f>
        <v>280</v>
      </c>
      <c r="W164" s="9">
        <f>(Inputs!$I$9+(((A164)+1)/2)*(Inputs!$J$9-Inputs!$I$9))</f>
        <v>280</v>
      </c>
      <c r="X164" s="10"/>
      <c r="Y164" s="9">
        <f t="shared" si="21"/>
        <v>0.35</v>
      </c>
      <c r="Z164" s="9">
        <f>(Inputs!$H$6+Inputs!$L$6*(((Inputs!$I$6+(((A164)+1)/2)*(Inputs!$J$6-Inputs!$I$6)))/Inputs!$K$6)^2)</f>
        <v>400.49</v>
      </c>
      <c r="AA164" s="9">
        <f>(Inputs!$H$7+Inputs!$L$7*(((Inputs!$I$7+(((A164)+1)/2)*(Inputs!$J$7-Inputs!$I$7)))/Inputs!$K$7)^2)</f>
        <v>79.712499999999991</v>
      </c>
      <c r="AB164" s="9">
        <f>(Inputs!$H$8+Inputs!$L$8*(((Inputs!$I$8+(((A164)+1)/2)*(Inputs!$J$8-Inputs!$I$8)))/Inputs!$K$8)^2)</f>
        <v>153.21249999999998</v>
      </c>
      <c r="AC164" s="9">
        <f>(Inputs!$H$9+Inputs!$L$9*(((Inputs!$I$9+(((A164)+1)/2)*(Inputs!$J$9-Inputs!$I$9)))/Inputs!$K$9)^2)</f>
        <v>144.4375</v>
      </c>
      <c r="AD164" s="10"/>
      <c r="AE164" s="9">
        <f t="shared" si="22"/>
        <v>0.35</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937.54117429259725</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48545.986799792699</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100271.4657357698</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102595.90779409655</v>
      </c>
      <c r="AJ164" s="10"/>
      <c r="AK164" s="9">
        <f t="shared" si="23"/>
        <v>0.35</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-179.39974021759684</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-1945.5158603718908</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-2202.0797024944559</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-2196.6604138172584</v>
      </c>
      <c r="AP164" s="10"/>
      <c r="AQ164" s="9">
        <f t="shared" si="24"/>
        <v>0.35</v>
      </c>
      <c r="AR164" s="9">
        <f>0</f>
        <v>0</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441.25371433177679</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82.387156791304207</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136.66892692881419</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136.66892692881419</v>
      </c>
      <c r="AW164" s="10"/>
      <c r="AX164" s="9">
        <f t="shared" si="25"/>
        <v>0.35</v>
      </c>
      <c r="AY164" s="9">
        <f>0</f>
        <v>0</v>
      </c>
      <c r="AZ164" s="9">
        <f>IF(OR(Inputs!$F$6=TRUE,Inputs!$F$6="TRUE",Inputs!$F$6=1),(Inputs!$H$6+Inputs!$L$6*(((Inputs!$I$6+(((A164)+1)/2)*(Inputs!$J$6-Inputs!$I$6)))/Inputs!$K$6)^2),NA())</f>
        <v>400.49</v>
      </c>
      <c r="BA164" s="9">
        <f>IF(OR(Inputs!$F$7=TRUE,Inputs!$F$7="TRUE",Inputs!$F$7=1),(Inputs!$H$7+Inputs!$L$7*(((Inputs!$I$7+(((A164)+1)/2)*(Inputs!$J$7-Inputs!$I$7)))/Inputs!$K$7)^2),NA())</f>
        <v>79.712499999999991</v>
      </c>
      <c r="BB164" s="9">
        <f>IF(OR(Inputs!$F$8=TRUE,Inputs!$F$8="TRUE",Inputs!$F$8=1),(Inputs!$H$8+Inputs!$L$8*(((Inputs!$I$8+(((A164)+1)/2)*(Inputs!$J$8-Inputs!$I$8)))/Inputs!$K$8)^2),NA())</f>
        <v>153.21249999999998</v>
      </c>
      <c r="BC164" s="9">
        <f>IF(OR(Inputs!$F$9=TRUE,Inputs!$F$9="TRUE",Inputs!$F$9=1),(Inputs!$H$9+Inputs!$L$9*(((Inputs!$I$9+(((A164)+1)/2)*(Inputs!$J$9-Inputs!$I$9)))/Inputs!$K$9)^2),NA())</f>
        <v>144.4375</v>
      </c>
      <c r="BD164" s="10"/>
      <c r="BE164" s="9">
        <f t="shared" si="26"/>
        <v>0.35</v>
      </c>
      <c r="BF164" s="9">
        <f>0</f>
        <v>0</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row>
    <row r="165" spans="1:62">
      <c r="A165" s="9">
        <f>ROUND(-1+163*2/240,3)</f>
        <v>0.35799999999999998</v>
      </c>
      <c r="B165" s="9">
        <f>IF(OR(Inputs!$F$6=TRUE,Inputs!$F$6="TRUE",Inputs!$F$6=1),(Inputs!$H$6+Inputs!$L$6*(((Inputs!$I$6+(((A165)+1)/2)*(Inputs!$J$6-Inputs!$I$6)))/Inputs!$K$6)^2),NA())</f>
        <v>400.51265599999999</v>
      </c>
      <c r="C165" s="9">
        <f>IF(OR(Inputs!$F$7=TRUE,Inputs!$F$7="TRUE",Inputs!$F$7=1),(Inputs!$H$7+Inputs!$L$7*(((Inputs!$I$7+(((A165)+1)/2)*(Inputs!$J$7-Inputs!$I$7)))/Inputs!$K$7)^2),NA())</f>
        <v>81.779860000000014</v>
      </c>
      <c r="D165" s="9">
        <f>IF(OR(Inputs!$F$8=TRUE,Inputs!$F$8="TRUE",Inputs!$F$8=1),(Inputs!$H$8+Inputs!$L$8*(((Inputs!$I$8+(((A165)+1)/2)*(Inputs!$J$8-Inputs!$I$8)))/Inputs!$K$8)^2),NA())</f>
        <v>158.67826000000005</v>
      </c>
      <c r="E165" s="9">
        <f>IF(OR(Inputs!$F$9=TRUE,Inputs!$F$9="TRUE",Inputs!$F$9=1),(Inputs!$H$9+Inputs!$L$9*(((Inputs!$I$9+(((A165)+1)/2)*(Inputs!$J$9-Inputs!$I$9)))/Inputs!$K$9)^2),NA())</f>
        <v>149.95990000000006</v>
      </c>
      <c r="F165" s="10"/>
      <c r="G165" s="9">
        <f t="shared" si="18"/>
        <v>0.35799999999999998</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c r="L165" s="10"/>
      <c r="M165" s="9">
        <f t="shared" si="19"/>
        <v>0.35799999999999998</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-183.48210491224648</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-1960.4577208252522</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-2225.0365616310296</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-2219.968994570122</v>
      </c>
      <c r="R165" s="10"/>
      <c r="S165" s="9">
        <f t="shared" si="20"/>
        <v>0.35799999999999998</v>
      </c>
      <c r="T165" s="9">
        <f>(Inputs!$I$6+(((A165)+1)/2)*(Inputs!$J$6-Inputs!$I$6))</f>
        <v>21.480000000000004</v>
      </c>
      <c r="U165" s="9">
        <f>(Inputs!$I$7+(((A165)+1)/2)*(Inputs!$J$7-Inputs!$I$7))</f>
        <v>143.20000000000005</v>
      </c>
      <c r="V165" s="9">
        <f>(Inputs!$I$8+(((A165)+1)/2)*(Inputs!$J$8-Inputs!$I$8))</f>
        <v>286.40000000000009</v>
      </c>
      <c r="W165" s="9">
        <f>(Inputs!$I$9+(((A165)+1)/2)*(Inputs!$J$9-Inputs!$I$9))</f>
        <v>286.40000000000009</v>
      </c>
      <c r="X165" s="10"/>
      <c r="Y165" s="9">
        <f t="shared" si="21"/>
        <v>0.35799999999999998</v>
      </c>
      <c r="Z165" s="9">
        <f>(Inputs!$H$6+Inputs!$L$6*(((Inputs!$I$6+(((A165)+1)/2)*(Inputs!$J$6-Inputs!$I$6)))/Inputs!$K$6)^2)</f>
        <v>400.51265599999999</v>
      </c>
      <c r="AA165" s="9">
        <f>(Inputs!$H$7+Inputs!$L$7*(((Inputs!$I$7+(((A165)+1)/2)*(Inputs!$J$7-Inputs!$I$7)))/Inputs!$K$7)^2)</f>
        <v>81.779860000000014</v>
      </c>
      <c r="AB165" s="9">
        <f>(Inputs!$H$8+Inputs!$L$8*(((Inputs!$I$8+(((A165)+1)/2)*(Inputs!$J$8-Inputs!$I$8)))/Inputs!$K$8)^2)</f>
        <v>158.67826000000005</v>
      </c>
      <c r="AC165" s="9">
        <f>(Inputs!$H$9+Inputs!$L$9*(((Inputs!$I$9+(((A165)+1)/2)*(Inputs!$J$9-Inputs!$I$9)))/Inputs!$K$9)^2)</f>
        <v>149.95990000000006</v>
      </c>
      <c r="AD165" s="10"/>
      <c r="AE165" s="9">
        <f t="shared" si="22"/>
        <v>0.35799999999999998</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955.39303220836666</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49578.910558030417</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102175.04570747219</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104455.88098801921</v>
      </c>
      <c r="AJ165" s="10"/>
      <c r="AK165" s="9">
        <f t="shared" si="23"/>
        <v>0.35799999999999998</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-183.48210491224648</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-1960.4577208252522</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-2225.0365616310296</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-2219.968994570122</v>
      </c>
      <c r="AP165" s="10"/>
      <c r="AQ165" s="9">
        <f t="shared" si="24"/>
        <v>0.35799999999999998</v>
      </c>
      <c r="AR165" s="9">
        <f>0</f>
        <v>0</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439.31057826208274</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144.28524191413874</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108.79163999954223</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108.79163999954223</v>
      </c>
      <c r="AW165" s="10"/>
      <c r="AX165" s="9">
        <f t="shared" si="25"/>
        <v>0.35799999999999998</v>
      </c>
      <c r="AY165" s="9">
        <f>0</f>
        <v>0</v>
      </c>
      <c r="AZ165" s="9">
        <f>IF(OR(Inputs!$F$6=TRUE,Inputs!$F$6="TRUE",Inputs!$F$6=1),(Inputs!$H$6+Inputs!$L$6*(((Inputs!$I$6+(((A165)+1)/2)*(Inputs!$J$6-Inputs!$I$6)))/Inputs!$K$6)^2),NA())</f>
        <v>400.51265599999999</v>
      </c>
      <c r="BA165" s="9">
        <f>IF(OR(Inputs!$F$7=TRUE,Inputs!$F$7="TRUE",Inputs!$F$7=1),(Inputs!$H$7+Inputs!$L$7*(((Inputs!$I$7+(((A165)+1)/2)*(Inputs!$J$7-Inputs!$I$7)))/Inputs!$K$7)^2),NA())</f>
        <v>81.779860000000014</v>
      </c>
      <c r="BB165" s="9">
        <f>IF(OR(Inputs!$F$8=TRUE,Inputs!$F$8="TRUE",Inputs!$F$8=1),(Inputs!$H$8+Inputs!$L$8*(((Inputs!$I$8+(((A165)+1)/2)*(Inputs!$J$8-Inputs!$I$8)))/Inputs!$K$8)^2),NA())</f>
        <v>158.67826000000005</v>
      </c>
      <c r="BC165" s="9">
        <f>IF(OR(Inputs!$F$9=TRUE,Inputs!$F$9="TRUE",Inputs!$F$9=1),(Inputs!$H$9+Inputs!$L$9*(((Inputs!$I$9+(((A165)+1)/2)*(Inputs!$J$9-Inputs!$I$9)))/Inputs!$K$9)^2),NA())</f>
        <v>149.95990000000006</v>
      </c>
      <c r="BD165" s="10"/>
      <c r="BE165" s="9">
        <f t="shared" si="26"/>
        <v>0.35799999999999998</v>
      </c>
      <c r="BF165" s="9">
        <f>0</f>
        <v>0</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row>
    <row r="166" spans="1:62">
      <c r="A166" s="9">
        <f>ROUND(-1+164*2/240,3)</f>
        <v>0.36699999999999999</v>
      </c>
      <c r="B166" s="9">
        <f>IF(OR(Inputs!$F$6=TRUE,Inputs!$F$6="TRUE",Inputs!$F$6=1),(Inputs!$H$6+Inputs!$L$6*(((Inputs!$I$6+(((A166)+1)/2)*(Inputs!$J$6-Inputs!$I$6)))/Inputs!$K$6)^2),NA())</f>
        <v>400.53875599999998</v>
      </c>
      <c r="C166" s="9">
        <f>IF(OR(Inputs!$F$7=TRUE,Inputs!$F$7="TRUE",Inputs!$F$7=1),(Inputs!$H$7+Inputs!$L$7*(((Inputs!$I$7+(((A166)+1)/2)*(Inputs!$J$7-Inputs!$I$7)))/Inputs!$K$7)^2),NA())</f>
        <v>84.161484999999971</v>
      </c>
      <c r="D166" s="9">
        <f>IF(OR(Inputs!$F$8=TRUE,Inputs!$F$8="TRUE",Inputs!$F$8=1),(Inputs!$H$8+Inputs!$L$8*(((Inputs!$I$8+(((A166)+1)/2)*(Inputs!$J$8-Inputs!$I$8)))/Inputs!$K$8)^2),NA())</f>
        <v>164.97488499999992</v>
      </c>
      <c r="E166" s="9">
        <f>IF(OR(Inputs!$F$9=TRUE,Inputs!$F$9="TRUE",Inputs!$F$9=1),(Inputs!$H$9+Inputs!$L$9*(((Inputs!$I$9+(((A166)+1)/2)*(Inputs!$J$9-Inputs!$I$9)))/Inputs!$K$9)^2),NA())</f>
        <v>156.32177499999992</v>
      </c>
      <c r="F166" s="10"/>
      <c r="G166" s="9">
        <f t="shared" si="18"/>
        <v>0.36699999999999999</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c r="L166" s="10"/>
      <c r="M166" s="9">
        <f t="shared" si="19"/>
        <v>0.36699999999999999</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-188.07329824273955</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-1977.3411093049588</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-2251.2201596622417</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-2246.5699860788332</v>
      </c>
      <c r="R166" s="10"/>
      <c r="S166" s="9">
        <f t="shared" si="20"/>
        <v>0.36699999999999999</v>
      </c>
      <c r="T166" s="9">
        <f>(Inputs!$I$6+(((A166)+1)/2)*(Inputs!$J$6-Inputs!$I$6))</f>
        <v>22.019999999999996</v>
      </c>
      <c r="U166" s="9">
        <f>(Inputs!$I$7+(((A166)+1)/2)*(Inputs!$J$7-Inputs!$I$7))</f>
        <v>146.79999999999995</v>
      </c>
      <c r="V166" s="9">
        <f>(Inputs!$I$8+(((A166)+1)/2)*(Inputs!$J$8-Inputs!$I$8))</f>
        <v>293.59999999999991</v>
      </c>
      <c r="W166" s="9">
        <f>(Inputs!$I$9+(((A166)+1)/2)*(Inputs!$J$9-Inputs!$I$9))</f>
        <v>293.59999999999991</v>
      </c>
      <c r="X166" s="10"/>
      <c r="Y166" s="9">
        <f t="shared" si="21"/>
        <v>0.36699999999999999</v>
      </c>
      <c r="Z166" s="9">
        <f>(Inputs!$H$6+Inputs!$L$6*(((Inputs!$I$6+(((A166)+1)/2)*(Inputs!$J$6-Inputs!$I$6)))/Inputs!$K$6)^2)</f>
        <v>400.53875599999998</v>
      </c>
      <c r="AA166" s="9">
        <f>(Inputs!$H$7+Inputs!$L$7*(((Inputs!$I$7+(((A166)+1)/2)*(Inputs!$J$7-Inputs!$I$7)))/Inputs!$K$7)^2)</f>
        <v>84.161484999999971</v>
      </c>
      <c r="AB166" s="9">
        <f>(Inputs!$H$8+Inputs!$L$8*(((Inputs!$I$8+(((A166)+1)/2)*(Inputs!$J$8-Inputs!$I$8)))/Inputs!$K$8)^2)</f>
        <v>164.97488499999992</v>
      </c>
      <c r="AC166" s="9">
        <f>(Inputs!$H$9+Inputs!$L$9*(((Inputs!$I$9+(((A166)+1)/2)*(Inputs!$J$9-Inputs!$I$9)))/Inputs!$K$9)^2)</f>
        <v>156.32177499999992</v>
      </c>
      <c r="AD166" s="10"/>
      <c r="AE166" s="9">
        <f t="shared" si="22"/>
        <v>0.36699999999999999</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975.95484033236517</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50729.687364035897</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104295.72641077251</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106527.61610975167</v>
      </c>
      <c r="AJ166" s="10"/>
      <c r="AK166" s="9">
        <f t="shared" si="23"/>
        <v>0.36699999999999999</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-188.07329824273955</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-1977.3411093049588</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-2251.2201596622417</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-2246.5699860788332</v>
      </c>
      <c r="AP166" s="10"/>
      <c r="AQ166" s="9">
        <f t="shared" si="24"/>
        <v>0.36699999999999999</v>
      </c>
      <c r="AR166" s="9">
        <f>0</f>
        <v>0</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458.08869961431759</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228.60392437287734</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248.3394682718388</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248.3394682718388</v>
      </c>
      <c r="AW166" s="10"/>
      <c r="AX166" s="9">
        <f t="shared" si="25"/>
        <v>0.36699999999999999</v>
      </c>
      <c r="AY166" s="9">
        <f>0</f>
        <v>0</v>
      </c>
      <c r="AZ166" s="9">
        <f>IF(OR(Inputs!$F$6=TRUE,Inputs!$F$6="TRUE",Inputs!$F$6=1),(Inputs!$H$6+Inputs!$L$6*(((Inputs!$I$6+(((A166)+1)/2)*(Inputs!$J$6-Inputs!$I$6)))/Inputs!$K$6)^2),NA())</f>
        <v>400.53875599999998</v>
      </c>
      <c r="BA166" s="9">
        <f>IF(OR(Inputs!$F$7=TRUE,Inputs!$F$7="TRUE",Inputs!$F$7=1),(Inputs!$H$7+Inputs!$L$7*(((Inputs!$I$7+(((A166)+1)/2)*(Inputs!$J$7-Inputs!$I$7)))/Inputs!$K$7)^2),NA())</f>
        <v>84.161484999999971</v>
      </c>
      <c r="BB166" s="9">
        <f>IF(OR(Inputs!$F$8=TRUE,Inputs!$F$8="TRUE",Inputs!$F$8=1),(Inputs!$H$8+Inputs!$L$8*(((Inputs!$I$8+(((A166)+1)/2)*(Inputs!$J$8-Inputs!$I$8)))/Inputs!$K$8)^2),NA())</f>
        <v>164.97488499999992</v>
      </c>
      <c r="BC166" s="9">
        <f>IF(OR(Inputs!$F$9=TRUE,Inputs!$F$9="TRUE",Inputs!$F$9=1),(Inputs!$H$9+Inputs!$L$9*(((Inputs!$I$9+(((A166)+1)/2)*(Inputs!$J$9-Inputs!$I$9)))/Inputs!$K$9)^2),NA())</f>
        <v>156.32177499999992</v>
      </c>
      <c r="BD166" s="10"/>
      <c r="BE166" s="9">
        <f t="shared" si="26"/>
        <v>0.36699999999999999</v>
      </c>
      <c r="BF166" s="9">
        <f>0</f>
        <v>0</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row>
    <row r="167" spans="1:62">
      <c r="A167" s="9">
        <f>ROUND(-1+165*2/240,3)</f>
        <v>0.375</v>
      </c>
      <c r="B167" s="9">
        <f>IF(OR(Inputs!$F$6=TRUE,Inputs!$F$6="TRUE",Inputs!$F$6=1),(Inputs!$H$6+Inputs!$L$6*(((Inputs!$I$6+(((A167)+1)/2)*(Inputs!$J$6-Inputs!$I$6)))/Inputs!$K$6)^2),NA())</f>
        <v>400.5625</v>
      </c>
      <c r="C167" s="9">
        <f>IF(OR(Inputs!$F$7=TRUE,Inputs!$F$7="TRUE",Inputs!$F$7=1),(Inputs!$H$7+Inputs!$L$7*(((Inputs!$I$7+(((A167)+1)/2)*(Inputs!$J$7-Inputs!$I$7)))/Inputs!$K$7)^2),NA())</f>
        <v>86.328125</v>
      </c>
      <c r="D167" s="9">
        <f>IF(OR(Inputs!$F$8=TRUE,Inputs!$F$8="TRUE",Inputs!$F$8=1),(Inputs!$H$8+Inputs!$L$8*(((Inputs!$I$8+(((A167)+1)/2)*(Inputs!$J$8-Inputs!$I$8)))/Inputs!$K$8)^2),NA())</f>
        <v>170.703125</v>
      </c>
      <c r="E167" s="9">
        <f>IF(OR(Inputs!$F$9=TRUE,Inputs!$F$9="TRUE",Inputs!$F$9=1),(Inputs!$H$9+Inputs!$L$9*(((Inputs!$I$9+(((A167)+1)/2)*(Inputs!$J$9-Inputs!$I$9)))/Inputs!$K$9)^2),NA())</f>
        <v>162.109375</v>
      </c>
      <c r="F167" s="10"/>
      <c r="G167" s="9">
        <f t="shared" si="18"/>
        <v>0.375</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c r="L167" s="10"/>
      <c r="M167" s="9">
        <f t="shared" si="19"/>
        <v>0.375</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-192.15302566213933</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-1992.425429394599</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-2274.808041014935</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-2270.5464453803947</v>
      </c>
      <c r="R167" s="10"/>
      <c r="S167" s="9">
        <f t="shared" si="20"/>
        <v>0.375</v>
      </c>
      <c r="T167" s="9">
        <f>(Inputs!$I$6+(((A167)+1)/2)*(Inputs!$J$6-Inputs!$I$6))</f>
        <v>22.5</v>
      </c>
      <c r="U167" s="9">
        <f>(Inputs!$I$7+(((A167)+1)/2)*(Inputs!$J$7-Inputs!$I$7))</f>
        <v>150</v>
      </c>
      <c r="V167" s="9">
        <f>(Inputs!$I$8+(((A167)+1)/2)*(Inputs!$J$8-Inputs!$I$8))</f>
        <v>300</v>
      </c>
      <c r="W167" s="9">
        <f>(Inputs!$I$9+(((A167)+1)/2)*(Inputs!$J$9-Inputs!$I$9))</f>
        <v>300</v>
      </c>
      <c r="X167" s="10"/>
      <c r="Y167" s="9">
        <f t="shared" si="21"/>
        <v>0.375</v>
      </c>
      <c r="Z167" s="9">
        <f>(Inputs!$H$6+Inputs!$L$6*(((Inputs!$I$6+(((A167)+1)/2)*(Inputs!$J$6-Inputs!$I$6)))/Inputs!$K$6)^2)</f>
        <v>400.5625</v>
      </c>
      <c r="AA167" s="9">
        <f>(Inputs!$H$7+Inputs!$L$7*(((Inputs!$I$7+(((A167)+1)/2)*(Inputs!$J$7-Inputs!$I$7)))/Inputs!$K$7)^2)</f>
        <v>86.328125</v>
      </c>
      <c r="AB167" s="9">
        <f>(Inputs!$H$8+Inputs!$L$8*(((Inputs!$I$8+(((A167)+1)/2)*(Inputs!$J$8-Inputs!$I$8)))/Inputs!$K$8)^2)</f>
        <v>170.703125</v>
      </c>
      <c r="AC167" s="9">
        <f>(Inputs!$H$9+Inputs!$L$9*(((Inputs!$I$9+(((A167)+1)/2)*(Inputs!$J$9-Inputs!$I$9)))/Inputs!$K$9)^2)</f>
        <v>162.109375</v>
      </c>
      <c r="AD167" s="10"/>
      <c r="AE167" s="9">
        <f t="shared" si="22"/>
        <v>0.375</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994.65707646456565</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51742.672553663324</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106162.98410826577</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108351.50932337677</v>
      </c>
      <c r="AJ167" s="10"/>
      <c r="AK167" s="9">
        <f t="shared" si="23"/>
        <v>0.375</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-192.15302566213933</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-1992.425429394599</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-2274.808041014935</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-2270.5464453803947</v>
      </c>
      <c r="AP167" s="10"/>
      <c r="AQ167" s="9">
        <f t="shared" si="24"/>
        <v>0.375</v>
      </c>
      <c r="AR167" s="9">
        <f>0</f>
        <v>0</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442.50927153418206</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210.96219301075482</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97.235377909493536</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97.235377909493536</v>
      </c>
      <c r="AW167" s="10"/>
      <c r="AX167" s="9">
        <f t="shared" si="25"/>
        <v>0.375</v>
      </c>
      <c r="AY167" s="9">
        <f>0</f>
        <v>0</v>
      </c>
      <c r="AZ167" s="9">
        <f>IF(OR(Inputs!$F$6=TRUE,Inputs!$F$6="TRUE",Inputs!$F$6=1),(Inputs!$H$6+Inputs!$L$6*(((Inputs!$I$6+(((A167)+1)/2)*(Inputs!$J$6-Inputs!$I$6)))/Inputs!$K$6)^2),NA())</f>
        <v>400.5625</v>
      </c>
      <c r="BA167" s="9">
        <f>IF(OR(Inputs!$F$7=TRUE,Inputs!$F$7="TRUE",Inputs!$F$7=1),(Inputs!$H$7+Inputs!$L$7*(((Inputs!$I$7+(((A167)+1)/2)*(Inputs!$J$7-Inputs!$I$7)))/Inputs!$K$7)^2),NA())</f>
        <v>86.328125</v>
      </c>
      <c r="BB167" s="9">
        <f>IF(OR(Inputs!$F$8=TRUE,Inputs!$F$8="TRUE",Inputs!$F$8=1),(Inputs!$H$8+Inputs!$L$8*(((Inputs!$I$8+(((A167)+1)/2)*(Inputs!$J$8-Inputs!$I$8)))/Inputs!$K$8)^2),NA())</f>
        <v>170.703125</v>
      </c>
      <c r="BC167" s="9">
        <f>IF(OR(Inputs!$F$9=TRUE,Inputs!$F$9="TRUE",Inputs!$F$9=1),(Inputs!$H$9+Inputs!$L$9*(((Inputs!$I$9+(((A167)+1)/2)*(Inputs!$J$9-Inputs!$I$9)))/Inputs!$K$9)^2),NA())</f>
        <v>162.109375</v>
      </c>
      <c r="BD167" s="10"/>
      <c r="BE167" s="9">
        <f t="shared" si="26"/>
        <v>0.375</v>
      </c>
      <c r="BF167" s="9">
        <f>0</f>
        <v>0</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row>
    <row r="168" spans="1:62">
      <c r="A168" s="9">
        <f>ROUND(-1+166*2/240,3)</f>
        <v>0.38300000000000001</v>
      </c>
      <c r="B168" s="9">
        <f>IF(OR(Inputs!$F$6=TRUE,Inputs!$F$6="TRUE",Inputs!$F$6=1),(Inputs!$H$6+Inputs!$L$6*(((Inputs!$I$6+(((A168)+1)/2)*(Inputs!$J$6-Inputs!$I$6)))/Inputs!$K$6)^2),NA())</f>
        <v>400.58675599999998</v>
      </c>
      <c r="C168" s="9">
        <f>IF(OR(Inputs!$F$7=TRUE,Inputs!$F$7="TRUE",Inputs!$F$7=1),(Inputs!$H$7+Inputs!$L$7*(((Inputs!$I$7+(((A168)+1)/2)*(Inputs!$J$7-Inputs!$I$7)))/Inputs!$K$7)^2),NA())</f>
        <v>88.541485000000037</v>
      </c>
      <c r="D168" s="9">
        <f>IF(OR(Inputs!$F$8=TRUE,Inputs!$F$8="TRUE",Inputs!$F$8=1),(Inputs!$H$8+Inputs!$L$8*(((Inputs!$I$8+(((A168)+1)/2)*(Inputs!$J$8-Inputs!$I$8)))/Inputs!$K$8)^2),NA())</f>
        <v>176.5548850000001</v>
      </c>
      <c r="E168" s="9">
        <f>IF(OR(Inputs!$F$9=TRUE,Inputs!$F$9="TRUE",Inputs!$F$9=1),(Inputs!$H$9+Inputs!$L$9*(((Inputs!$I$9+(((A168)+1)/2)*(Inputs!$J$9-Inputs!$I$9)))/Inputs!$K$9)^2),NA())</f>
        <v>168.0217750000001</v>
      </c>
      <c r="F168" s="10"/>
      <c r="G168" s="9">
        <f t="shared" si="18"/>
        <v>0.38300000000000001</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c r="L168" s="10"/>
      <c r="M168" s="9">
        <f t="shared" si="19"/>
        <v>0.38300000000000001</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-196.23147061896577</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-2007.5913959656809</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-2298.6870308669577</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-2294.8290503255221</v>
      </c>
      <c r="R168" s="10"/>
      <c r="S168" s="9">
        <f t="shared" si="20"/>
        <v>0.38300000000000001</v>
      </c>
      <c r="T168" s="9">
        <f>(Inputs!$I$6+(((A168)+1)/2)*(Inputs!$J$6-Inputs!$I$6))</f>
        <v>22.980000000000004</v>
      </c>
      <c r="U168" s="9">
        <f>(Inputs!$I$7+(((A168)+1)/2)*(Inputs!$J$7-Inputs!$I$7))</f>
        <v>153.20000000000005</v>
      </c>
      <c r="V168" s="9">
        <f>(Inputs!$I$8+(((A168)+1)/2)*(Inputs!$J$8-Inputs!$I$8))</f>
        <v>306.40000000000009</v>
      </c>
      <c r="W168" s="9">
        <f>(Inputs!$I$9+(((A168)+1)/2)*(Inputs!$J$9-Inputs!$I$9))</f>
        <v>306.40000000000009</v>
      </c>
      <c r="X168" s="10"/>
      <c r="Y168" s="9">
        <f t="shared" si="21"/>
        <v>0.38300000000000001</v>
      </c>
      <c r="Z168" s="9">
        <f>(Inputs!$H$6+Inputs!$L$6*(((Inputs!$I$6+(((A168)+1)/2)*(Inputs!$J$6-Inputs!$I$6)))/Inputs!$K$6)^2)</f>
        <v>400.58675599999998</v>
      </c>
      <c r="AA168" s="9">
        <f>(Inputs!$H$7+Inputs!$L$7*(((Inputs!$I$7+(((A168)+1)/2)*(Inputs!$J$7-Inputs!$I$7)))/Inputs!$K$7)^2)</f>
        <v>88.541485000000037</v>
      </c>
      <c r="AB168" s="9">
        <f>(Inputs!$H$8+Inputs!$L$8*(((Inputs!$I$8+(((A168)+1)/2)*(Inputs!$J$8-Inputs!$I$8)))/Inputs!$K$8)^2)</f>
        <v>176.5548850000001</v>
      </c>
      <c r="AC168" s="9">
        <f>(Inputs!$H$9+Inputs!$L$9*(((Inputs!$I$9+(((A168)+1)/2)*(Inputs!$J$9-Inputs!$I$9)))/Inputs!$K$9)^2)</f>
        <v>168.0217750000001</v>
      </c>
      <c r="AD168" s="10"/>
      <c r="AE168" s="9">
        <f t="shared" si="22"/>
        <v>0.38300000000000001</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1013.7591589562022</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52746.404314813139</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108014.18286329438</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110159.51485401066</v>
      </c>
      <c r="AJ168" s="10"/>
      <c r="AK168" s="9">
        <f t="shared" si="23"/>
        <v>0.38300000000000001</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-196.23147061896577</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-2007.5913959656809</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-2298.6870308669577</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-2294.8290503255221</v>
      </c>
      <c r="AP168" s="10"/>
      <c r="AQ168" s="9">
        <f t="shared" si="24"/>
        <v>0.38300000000000001</v>
      </c>
      <c r="AR168" s="9">
        <f>0</f>
        <v>0</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455.92133718618885</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134.71597497987901</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179.00165036690109</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179.00165036690109</v>
      </c>
      <c r="AW168" s="10"/>
      <c r="AX168" s="9">
        <f t="shared" si="25"/>
        <v>0.38300000000000001</v>
      </c>
      <c r="AY168" s="9">
        <f>0</f>
        <v>0</v>
      </c>
      <c r="AZ168" s="9">
        <f>IF(OR(Inputs!$F$6=TRUE,Inputs!$F$6="TRUE",Inputs!$F$6=1),(Inputs!$H$6+Inputs!$L$6*(((Inputs!$I$6+(((A168)+1)/2)*(Inputs!$J$6-Inputs!$I$6)))/Inputs!$K$6)^2),NA())</f>
        <v>400.58675599999998</v>
      </c>
      <c r="BA168" s="9">
        <f>IF(OR(Inputs!$F$7=TRUE,Inputs!$F$7="TRUE",Inputs!$F$7=1),(Inputs!$H$7+Inputs!$L$7*(((Inputs!$I$7+(((A168)+1)/2)*(Inputs!$J$7-Inputs!$I$7)))/Inputs!$K$7)^2),NA())</f>
        <v>88.541485000000037</v>
      </c>
      <c r="BB168" s="9">
        <f>IF(OR(Inputs!$F$8=TRUE,Inputs!$F$8="TRUE",Inputs!$F$8=1),(Inputs!$H$8+Inputs!$L$8*(((Inputs!$I$8+(((A168)+1)/2)*(Inputs!$J$8-Inputs!$I$8)))/Inputs!$K$8)^2),NA())</f>
        <v>176.5548850000001</v>
      </c>
      <c r="BC168" s="9">
        <f>IF(OR(Inputs!$F$9=TRUE,Inputs!$F$9="TRUE",Inputs!$F$9=1),(Inputs!$H$9+Inputs!$L$9*(((Inputs!$I$9+(((A168)+1)/2)*(Inputs!$J$9-Inputs!$I$9)))/Inputs!$K$9)^2),NA())</f>
        <v>168.0217750000001</v>
      </c>
      <c r="BD168" s="10"/>
      <c r="BE168" s="9">
        <f t="shared" si="26"/>
        <v>0.38300000000000001</v>
      </c>
      <c r="BF168" s="9">
        <f>0</f>
        <v>0</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row>
    <row r="169" spans="1:62">
      <c r="A169" s="9">
        <f>ROUND(-1+167*2/240,3)</f>
        <v>0.39200000000000002</v>
      </c>
      <c r="B169" s="9">
        <f>IF(OR(Inputs!$F$6=TRUE,Inputs!$F$6="TRUE",Inputs!$F$6=1),(Inputs!$H$6+Inputs!$L$6*(((Inputs!$I$6+(((A169)+1)/2)*(Inputs!$J$6-Inputs!$I$6)))/Inputs!$K$6)^2),NA())</f>
        <v>400.61465600000002</v>
      </c>
      <c r="C169" s="9">
        <f>IF(OR(Inputs!$F$7=TRUE,Inputs!$F$7="TRUE",Inputs!$F$7=1),(Inputs!$H$7+Inputs!$L$7*(((Inputs!$I$7+(((A169)+1)/2)*(Inputs!$J$7-Inputs!$I$7)))/Inputs!$K$7)^2),NA())</f>
        <v>91.087359999999961</v>
      </c>
      <c r="D169" s="9">
        <f>IF(OR(Inputs!$F$8=TRUE,Inputs!$F$8="TRUE",Inputs!$F$8=1),(Inputs!$H$8+Inputs!$L$8*(((Inputs!$I$8+(((A169)+1)/2)*(Inputs!$J$8-Inputs!$I$8)))/Inputs!$K$8)^2),NA())</f>
        <v>183.28575999999993</v>
      </c>
      <c r="E169" s="9">
        <f>IF(OR(Inputs!$F$9=TRUE,Inputs!$F$9="TRUE",Inputs!$F$9=1),(Inputs!$H$9+Inputs!$L$9*(((Inputs!$I$9+(((A169)+1)/2)*(Inputs!$J$9-Inputs!$I$9)))/Inputs!$K$9)^2),NA())</f>
        <v>174.8223999999999</v>
      </c>
      <c r="F169" s="10"/>
      <c r="G169" s="9">
        <f t="shared" si="18"/>
        <v>0.39200000000000002</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c r="L169" s="10"/>
      <c r="M169" s="9">
        <f t="shared" si="19"/>
        <v>0.39200000000000002</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-200.81815536858807</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-2024.7604022220578</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-2325.8936779166311</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-2322.5061095929618</v>
      </c>
      <c r="R169" s="10"/>
      <c r="S169" s="9">
        <f t="shared" si="20"/>
        <v>0.39200000000000002</v>
      </c>
      <c r="T169" s="9">
        <f>(Inputs!$I$6+(((A169)+1)/2)*(Inputs!$J$6-Inputs!$I$6))</f>
        <v>23.519999999999996</v>
      </c>
      <c r="U169" s="9">
        <f>(Inputs!$I$7+(((A169)+1)/2)*(Inputs!$J$7-Inputs!$I$7))</f>
        <v>156.79999999999995</v>
      </c>
      <c r="V169" s="9">
        <f>(Inputs!$I$8+(((A169)+1)/2)*(Inputs!$J$8-Inputs!$I$8))</f>
        <v>313.59999999999991</v>
      </c>
      <c r="W169" s="9">
        <f>(Inputs!$I$9+(((A169)+1)/2)*(Inputs!$J$9-Inputs!$I$9))</f>
        <v>313.59999999999991</v>
      </c>
      <c r="X169" s="10"/>
      <c r="Y169" s="9">
        <f t="shared" si="21"/>
        <v>0.39200000000000002</v>
      </c>
      <c r="Z169" s="9">
        <f>(Inputs!$H$6+Inputs!$L$6*(((Inputs!$I$6+(((A169)+1)/2)*(Inputs!$J$6-Inputs!$I$6)))/Inputs!$K$6)^2)</f>
        <v>400.61465600000002</v>
      </c>
      <c r="AA169" s="9">
        <f>(Inputs!$H$7+Inputs!$L$7*(((Inputs!$I$7+(((A169)+1)/2)*(Inputs!$J$7-Inputs!$I$7)))/Inputs!$K$7)^2)</f>
        <v>91.087359999999961</v>
      </c>
      <c r="AB169" s="9">
        <f>(Inputs!$H$8+Inputs!$L$8*(((Inputs!$I$8+(((A169)+1)/2)*(Inputs!$J$8-Inputs!$I$8)))/Inputs!$K$8)^2)</f>
        <v>183.28575999999993</v>
      </c>
      <c r="AC169" s="9">
        <f>(Inputs!$H$9+Inputs!$L$9*(((Inputs!$I$9+(((A169)+1)/2)*(Inputs!$J$9-Inputs!$I$9)))/Inputs!$K$9)^2)</f>
        <v>174.8223999999999</v>
      </c>
      <c r="AD169" s="10"/>
      <c r="AE169" s="9">
        <f t="shared" si="22"/>
        <v>0.39200000000000002</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1035.7266710358547</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53864.661948684465</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110078.3944131492</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112175.37883709907</v>
      </c>
      <c r="AJ169" s="10"/>
      <c r="AK169" s="9">
        <f t="shared" si="23"/>
        <v>0.39200000000000002</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-200.81815536858807</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-2024.7604022220578</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-2325.8936779166311</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-2322.5061095929618</v>
      </c>
      <c r="AP169" s="10"/>
      <c r="AQ169" s="9">
        <f t="shared" si="24"/>
        <v>0.39200000000000002</v>
      </c>
      <c r="AR169" s="9">
        <f>0</f>
        <v>0</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440.00271542276272</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139.29932347584824</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166.25858720113123</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166.25858720113123</v>
      </c>
      <c r="AW169" s="10"/>
      <c r="AX169" s="9">
        <f t="shared" si="25"/>
        <v>0.39200000000000002</v>
      </c>
      <c r="AY169" s="9">
        <f>0</f>
        <v>0</v>
      </c>
      <c r="AZ169" s="9">
        <f>IF(OR(Inputs!$F$6=TRUE,Inputs!$F$6="TRUE",Inputs!$F$6=1),(Inputs!$H$6+Inputs!$L$6*(((Inputs!$I$6+(((A169)+1)/2)*(Inputs!$J$6-Inputs!$I$6)))/Inputs!$K$6)^2),NA())</f>
        <v>400.61465600000002</v>
      </c>
      <c r="BA169" s="9">
        <f>IF(OR(Inputs!$F$7=TRUE,Inputs!$F$7="TRUE",Inputs!$F$7=1),(Inputs!$H$7+Inputs!$L$7*(((Inputs!$I$7+(((A169)+1)/2)*(Inputs!$J$7-Inputs!$I$7)))/Inputs!$K$7)^2),NA())</f>
        <v>91.087359999999961</v>
      </c>
      <c r="BB169" s="9">
        <f>IF(OR(Inputs!$F$8=TRUE,Inputs!$F$8="TRUE",Inputs!$F$8=1),(Inputs!$H$8+Inputs!$L$8*(((Inputs!$I$8+(((A169)+1)/2)*(Inputs!$J$8-Inputs!$I$8)))/Inputs!$K$8)^2),NA())</f>
        <v>183.28575999999993</v>
      </c>
      <c r="BC169" s="9">
        <f>IF(OR(Inputs!$F$9=TRUE,Inputs!$F$9="TRUE",Inputs!$F$9=1),(Inputs!$H$9+Inputs!$L$9*(((Inputs!$I$9+(((A169)+1)/2)*(Inputs!$J$9-Inputs!$I$9)))/Inputs!$K$9)^2),NA())</f>
        <v>174.8223999999999</v>
      </c>
      <c r="BD169" s="10"/>
      <c r="BE169" s="9">
        <f t="shared" si="26"/>
        <v>0.39200000000000002</v>
      </c>
      <c r="BF169" s="9">
        <f>0</f>
        <v>0</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row>
    <row r="170" spans="1:62">
      <c r="A170" s="9">
        <f>ROUND(-1+168*2/240,3)</f>
        <v>0.4</v>
      </c>
      <c r="B170" s="9">
        <f>IF(OR(Inputs!$F$6=TRUE,Inputs!$F$6="TRUE",Inputs!$F$6=1),(Inputs!$H$6+Inputs!$L$6*(((Inputs!$I$6+(((A170)+1)/2)*(Inputs!$J$6-Inputs!$I$6)))/Inputs!$K$6)^2),NA())</f>
        <v>400.64</v>
      </c>
      <c r="C170" s="9">
        <f>IF(OR(Inputs!$F$7=TRUE,Inputs!$F$7="TRUE",Inputs!$F$7=1),(Inputs!$H$7+Inputs!$L$7*(((Inputs!$I$7+(((A170)+1)/2)*(Inputs!$J$7-Inputs!$I$7)))/Inputs!$K$7)^2),NA())</f>
        <v>93.4</v>
      </c>
      <c r="D170" s="9">
        <f>IF(OR(Inputs!$F$8=TRUE,Inputs!$F$8="TRUE",Inputs!$F$8=1),(Inputs!$H$8+Inputs!$L$8*(((Inputs!$I$8+(((A170)+1)/2)*(Inputs!$J$8-Inputs!$I$8)))/Inputs!$K$8)^2),NA())</f>
        <v>189.40000000000003</v>
      </c>
      <c r="E170" s="9">
        <f>IF(OR(Inputs!$F$9=TRUE,Inputs!$F$9="TRUE",Inputs!$F$9=1),(Inputs!$H$9+Inputs!$L$9*(((Inputs!$I$9+(((A170)+1)/2)*(Inputs!$J$9-Inputs!$I$9)))/Inputs!$K$9)^2),NA())</f>
        <v>181.00000000000003</v>
      </c>
      <c r="F170" s="10"/>
      <c r="G170" s="9">
        <f t="shared" si="18"/>
        <v>0.4</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c r="L170" s="10"/>
      <c r="M170" s="9">
        <f t="shared" si="19"/>
        <v>0.4</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-204.89378747120131</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-2040.124647642961</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-2350.3771823153534</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-2347.4209581836103</v>
      </c>
      <c r="R170" s="10"/>
      <c r="S170" s="9">
        <f t="shared" si="20"/>
        <v>0.4</v>
      </c>
      <c r="T170" s="9">
        <f>(Inputs!$I$6+(((A170)+1)/2)*(Inputs!$J$6-Inputs!$I$6))</f>
        <v>24</v>
      </c>
      <c r="U170" s="9">
        <f>(Inputs!$I$7+(((A170)+1)/2)*(Inputs!$J$7-Inputs!$I$7))</f>
        <v>160</v>
      </c>
      <c r="V170" s="9">
        <f>(Inputs!$I$8+(((A170)+1)/2)*(Inputs!$J$8-Inputs!$I$8))</f>
        <v>320</v>
      </c>
      <c r="W170" s="9">
        <f>(Inputs!$I$9+(((A170)+1)/2)*(Inputs!$J$9-Inputs!$I$9))</f>
        <v>320</v>
      </c>
      <c r="X170" s="10"/>
      <c r="Y170" s="9">
        <f t="shared" si="21"/>
        <v>0.4</v>
      </c>
      <c r="Z170" s="9">
        <f>(Inputs!$H$6+Inputs!$L$6*(((Inputs!$I$6+(((A170)+1)/2)*(Inputs!$J$6-Inputs!$I$6)))/Inputs!$K$6)^2)</f>
        <v>400.64</v>
      </c>
      <c r="AA170" s="9">
        <f>(Inputs!$H$7+Inputs!$L$7*(((Inputs!$I$7+(((A170)+1)/2)*(Inputs!$J$7-Inputs!$I$7)))/Inputs!$K$7)^2)</f>
        <v>93.4</v>
      </c>
      <c r="AB170" s="9">
        <f>(Inputs!$H$8+Inputs!$L$8*(((Inputs!$I$8+(((A170)+1)/2)*(Inputs!$J$8-Inputs!$I$8)))/Inputs!$K$8)^2)</f>
        <v>189.40000000000003</v>
      </c>
      <c r="AC170" s="9">
        <f>(Inputs!$H$9+Inputs!$L$9*(((Inputs!$I$9+(((A170)+1)/2)*(Inputs!$J$9-Inputs!$I$9)))/Inputs!$K$9)^2)</f>
        <v>181.00000000000003</v>
      </c>
      <c r="AD170" s="10"/>
      <c r="AE170" s="9">
        <f t="shared" si="22"/>
        <v>0.4</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1055.6776964389417</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54849.059895729632</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111897.61266068535</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113951.87151114203</v>
      </c>
      <c r="AJ170" s="10"/>
      <c r="AK170" s="9">
        <f t="shared" si="23"/>
        <v>0.4</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-204.89378747120131</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-2040.124647642961</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-2350.3771823153534</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-2347.4209581836103</v>
      </c>
      <c r="AP170" s="10"/>
      <c r="AQ170" s="9">
        <f t="shared" si="24"/>
        <v>0.4</v>
      </c>
      <c r="AR170" s="9">
        <f>0</f>
        <v>0</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441.26250725072242</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163.17360558683558</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63.162985900579422</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63.162985900579422</v>
      </c>
      <c r="AW170" s="10"/>
      <c r="AX170" s="9">
        <f t="shared" si="25"/>
        <v>0.4</v>
      </c>
      <c r="AY170" s="9">
        <f>0</f>
        <v>0</v>
      </c>
      <c r="AZ170" s="9">
        <f>IF(OR(Inputs!$F$6=TRUE,Inputs!$F$6="TRUE",Inputs!$F$6=1),(Inputs!$H$6+Inputs!$L$6*(((Inputs!$I$6+(((A170)+1)/2)*(Inputs!$J$6-Inputs!$I$6)))/Inputs!$K$6)^2),NA())</f>
        <v>400.64</v>
      </c>
      <c r="BA170" s="9">
        <f>IF(OR(Inputs!$F$7=TRUE,Inputs!$F$7="TRUE",Inputs!$F$7=1),(Inputs!$H$7+Inputs!$L$7*(((Inputs!$I$7+(((A170)+1)/2)*(Inputs!$J$7-Inputs!$I$7)))/Inputs!$K$7)^2),NA())</f>
        <v>93.4</v>
      </c>
      <c r="BB170" s="9">
        <f>IF(OR(Inputs!$F$8=TRUE,Inputs!$F$8="TRUE",Inputs!$F$8=1),(Inputs!$H$8+Inputs!$L$8*(((Inputs!$I$8+(((A170)+1)/2)*(Inputs!$J$8-Inputs!$I$8)))/Inputs!$K$8)^2),NA())</f>
        <v>189.40000000000003</v>
      </c>
      <c r="BC170" s="9">
        <f>IF(OR(Inputs!$F$9=TRUE,Inputs!$F$9="TRUE",Inputs!$F$9=1),(Inputs!$H$9+Inputs!$L$9*(((Inputs!$I$9+(((A170)+1)/2)*(Inputs!$J$9-Inputs!$I$9)))/Inputs!$K$9)^2),NA())</f>
        <v>181.00000000000003</v>
      </c>
      <c r="BD170" s="10"/>
      <c r="BE170" s="9">
        <f t="shared" si="26"/>
        <v>0.4</v>
      </c>
      <c r="BF170" s="9">
        <f>0</f>
        <v>0</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row>
    <row r="171" spans="1:62">
      <c r="A171" s="9">
        <f>ROUND(-1+169*2/240,3)</f>
        <v>0.40799999999999997</v>
      </c>
      <c r="B171" s="9">
        <f>IF(OR(Inputs!$F$6=TRUE,Inputs!$F$6="TRUE",Inputs!$F$6=1),(Inputs!$H$6+Inputs!$L$6*(((Inputs!$I$6+(((A171)+1)/2)*(Inputs!$J$6-Inputs!$I$6)))/Inputs!$K$6)^2),NA())</f>
        <v>400.66585600000002</v>
      </c>
      <c r="C171" s="9">
        <f>IF(OR(Inputs!$F$7=TRUE,Inputs!$F$7="TRUE",Inputs!$F$7=1),(Inputs!$H$7+Inputs!$L$7*(((Inputs!$I$7+(((A171)+1)/2)*(Inputs!$J$7-Inputs!$I$7)))/Inputs!$K$7)^2),NA())</f>
        <v>95.75935999999993</v>
      </c>
      <c r="D171" s="9">
        <f>IF(OR(Inputs!$F$8=TRUE,Inputs!$F$8="TRUE",Inputs!$F$8=1),(Inputs!$H$8+Inputs!$L$8*(((Inputs!$I$8+(((A171)+1)/2)*(Inputs!$J$8-Inputs!$I$8)))/Inputs!$K$8)^2),NA())</f>
        <v>195.63775999999984</v>
      </c>
      <c r="E171" s="9">
        <f>IF(OR(Inputs!$F$9=TRUE,Inputs!$F$9="TRUE",Inputs!$F$9=1),(Inputs!$H$9+Inputs!$L$9*(((Inputs!$I$9+(((A171)+1)/2)*(Inputs!$J$9-Inputs!$I$9)))/Inputs!$K$9)^2),NA())</f>
        <v>187.30239999999984</v>
      </c>
      <c r="F171" s="10"/>
      <c r="G171" s="9">
        <f t="shared" si="18"/>
        <v>0.40799999999999997</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c r="L171" s="10"/>
      <c r="M171" s="9">
        <f t="shared" si="19"/>
        <v>0.40799999999999997</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-208.96805477241759</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-2055.5919229887022</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-2375.1380654706691</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-2372.6244588040818</v>
      </c>
      <c r="R171" s="10"/>
      <c r="S171" s="9">
        <f t="shared" si="20"/>
        <v>0.40799999999999997</v>
      </c>
      <c r="T171" s="9">
        <f>(Inputs!$I$6+(((A171)+1)/2)*(Inputs!$J$6-Inputs!$I$6))</f>
        <v>24.47999999999999</v>
      </c>
      <c r="U171" s="9">
        <f>(Inputs!$I$7+(((A171)+1)/2)*(Inputs!$J$7-Inputs!$I$7))</f>
        <v>163.19999999999993</v>
      </c>
      <c r="V171" s="9">
        <f>(Inputs!$I$8+(((A171)+1)/2)*(Inputs!$J$8-Inputs!$I$8))</f>
        <v>326.39999999999986</v>
      </c>
      <c r="W171" s="9">
        <f>(Inputs!$I$9+(((A171)+1)/2)*(Inputs!$J$9-Inputs!$I$9))</f>
        <v>326.39999999999986</v>
      </c>
      <c r="X171" s="10"/>
      <c r="Y171" s="9">
        <f t="shared" si="21"/>
        <v>0.40799999999999997</v>
      </c>
      <c r="Z171" s="9">
        <f>(Inputs!$H$6+Inputs!$L$6*(((Inputs!$I$6+(((A171)+1)/2)*(Inputs!$J$6-Inputs!$I$6)))/Inputs!$K$6)^2)</f>
        <v>400.66585600000002</v>
      </c>
      <c r="AA171" s="9">
        <f>(Inputs!$H$7+Inputs!$L$7*(((Inputs!$I$7+(((A171)+1)/2)*(Inputs!$J$7-Inputs!$I$7)))/Inputs!$K$7)^2)</f>
        <v>95.75935999999993</v>
      </c>
      <c r="AB171" s="9">
        <f>(Inputs!$H$8+Inputs!$L$8*(((Inputs!$I$8+(((A171)+1)/2)*(Inputs!$J$8-Inputs!$I$8)))/Inputs!$K$8)^2)</f>
        <v>195.63775999999984</v>
      </c>
      <c r="AC171" s="9">
        <f>(Inputs!$H$9+Inputs!$L$9*(((Inputs!$I$9+(((A171)+1)/2)*(Inputs!$J$9-Inputs!$I$9)))/Inputs!$K$9)^2)</f>
        <v>187.30239999999984</v>
      </c>
      <c r="AD171" s="10"/>
      <c r="AE171" s="9">
        <f t="shared" si="22"/>
        <v>0.40799999999999997</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1076.027871037179</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55824.531214984396</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113702.76930301565</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115714.56565630784</v>
      </c>
      <c r="AJ171" s="10"/>
      <c r="AK171" s="9">
        <f t="shared" si="23"/>
        <v>0.40799999999999997</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-208.96805477241759</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-2055.5919229887022</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-2375.1380654706691</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-2372.6244588040818</v>
      </c>
      <c r="AP171" s="10"/>
      <c r="AQ171" s="9">
        <f t="shared" si="24"/>
        <v>0.40799999999999997</v>
      </c>
      <c r="AR171" s="9">
        <f>0</f>
        <v>0</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424.75587705492239</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167.11991433707081</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179.43259642725053</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179.43259642725053</v>
      </c>
      <c r="AW171" s="10"/>
      <c r="AX171" s="9">
        <f t="shared" si="25"/>
        <v>0.40799999999999997</v>
      </c>
      <c r="AY171" s="9">
        <f>0</f>
        <v>0</v>
      </c>
      <c r="AZ171" s="9">
        <f>IF(OR(Inputs!$F$6=TRUE,Inputs!$F$6="TRUE",Inputs!$F$6=1),(Inputs!$H$6+Inputs!$L$6*(((Inputs!$I$6+(((A171)+1)/2)*(Inputs!$J$6-Inputs!$I$6)))/Inputs!$K$6)^2),NA())</f>
        <v>400.66585600000002</v>
      </c>
      <c r="BA171" s="9">
        <f>IF(OR(Inputs!$F$7=TRUE,Inputs!$F$7="TRUE",Inputs!$F$7=1),(Inputs!$H$7+Inputs!$L$7*(((Inputs!$I$7+(((A171)+1)/2)*(Inputs!$J$7-Inputs!$I$7)))/Inputs!$K$7)^2),NA())</f>
        <v>95.75935999999993</v>
      </c>
      <c r="BB171" s="9">
        <f>IF(OR(Inputs!$F$8=TRUE,Inputs!$F$8="TRUE",Inputs!$F$8=1),(Inputs!$H$8+Inputs!$L$8*(((Inputs!$I$8+(((A171)+1)/2)*(Inputs!$J$8-Inputs!$I$8)))/Inputs!$K$8)^2),NA())</f>
        <v>195.63775999999984</v>
      </c>
      <c r="BC171" s="9">
        <f>IF(OR(Inputs!$F$9=TRUE,Inputs!$F$9="TRUE",Inputs!$F$9=1),(Inputs!$H$9+Inputs!$L$9*(((Inputs!$I$9+(((A171)+1)/2)*(Inputs!$J$9-Inputs!$I$9)))/Inputs!$K$9)^2),NA())</f>
        <v>187.30239999999984</v>
      </c>
      <c r="BD171" s="10"/>
      <c r="BE171" s="9">
        <f t="shared" si="26"/>
        <v>0.40799999999999997</v>
      </c>
      <c r="BF171" s="9">
        <f>0</f>
        <v>0</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row>
    <row r="172" spans="1:62">
      <c r="A172" s="9">
        <f>ROUND(-1+170*2/240,3)</f>
        <v>0.41699999999999998</v>
      </c>
      <c r="B172" s="9">
        <f>IF(OR(Inputs!$F$6=TRUE,Inputs!$F$6="TRUE",Inputs!$F$6=1),(Inputs!$H$6+Inputs!$L$6*(((Inputs!$I$6+(((A172)+1)/2)*(Inputs!$J$6-Inputs!$I$6)))/Inputs!$K$6)^2),NA())</f>
        <v>400.69555600000001</v>
      </c>
      <c r="C172" s="9">
        <f>IF(OR(Inputs!$F$7=TRUE,Inputs!$F$7="TRUE",Inputs!$F$7=1),(Inputs!$H$7+Inputs!$L$7*(((Inputs!$I$7+(((A172)+1)/2)*(Inputs!$J$7-Inputs!$I$7)))/Inputs!$K$7)^2),NA())</f>
        <v>98.469485000000049</v>
      </c>
      <c r="D172" s="9">
        <f>IF(OR(Inputs!$F$8=TRUE,Inputs!$F$8="TRUE",Inputs!$F$8=1),(Inputs!$H$8+Inputs!$L$8*(((Inputs!$I$8+(((A172)+1)/2)*(Inputs!$J$8-Inputs!$I$8)))/Inputs!$K$8)^2),NA())</f>
        <v>202.80288500000012</v>
      </c>
      <c r="E172" s="9">
        <f>IF(OR(Inputs!$F$9=TRUE,Inputs!$F$9="TRUE",Inputs!$F$9=1),(Inputs!$H$9+Inputs!$L$9*(((Inputs!$I$9+(((A172)+1)/2)*(Inputs!$J$9-Inputs!$I$9)))/Inputs!$K$9)^2),NA())</f>
        <v>194.54177500000011</v>
      </c>
      <c r="F172" s="10"/>
      <c r="G172" s="9">
        <f t="shared" si="18"/>
        <v>0.41699999999999998</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c r="L172" s="10"/>
      <c r="M172" s="9">
        <f t="shared" si="19"/>
        <v>0.41699999999999998</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-213.54994147342623</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-2073.1221403730688</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-2403.3196601901182</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-2401.3162100798245</v>
      </c>
      <c r="R172" s="10"/>
      <c r="S172" s="9">
        <f t="shared" si="20"/>
        <v>0.41699999999999998</v>
      </c>
      <c r="T172" s="9">
        <f>(Inputs!$I$6+(((A172)+1)/2)*(Inputs!$J$6-Inputs!$I$6))</f>
        <v>25.019999999999996</v>
      </c>
      <c r="U172" s="9">
        <f>(Inputs!$I$7+(((A172)+1)/2)*(Inputs!$J$7-Inputs!$I$7))</f>
        <v>166.80000000000007</v>
      </c>
      <c r="V172" s="9">
        <f>(Inputs!$I$8+(((A172)+1)/2)*(Inputs!$J$8-Inputs!$I$8))</f>
        <v>333.60000000000014</v>
      </c>
      <c r="W172" s="9">
        <f>(Inputs!$I$9+(((A172)+1)/2)*(Inputs!$J$9-Inputs!$I$9))</f>
        <v>333.60000000000014</v>
      </c>
      <c r="X172" s="10"/>
      <c r="Y172" s="9">
        <f t="shared" si="21"/>
        <v>0.41699999999999998</v>
      </c>
      <c r="Z172" s="9">
        <f>(Inputs!$H$6+Inputs!$L$6*(((Inputs!$I$6+(((A172)+1)/2)*(Inputs!$J$6-Inputs!$I$6)))/Inputs!$K$6)^2)</f>
        <v>400.69555600000001</v>
      </c>
      <c r="AA172" s="9">
        <f>(Inputs!$H$7+Inputs!$L$7*(((Inputs!$I$7+(((A172)+1)/2)*(Inputs!$J$7-Inputs!$I$7)))/Inputs!$K$7)^2)</f>
        <v>98.469485000000049</v>
      </c>
      <c r="AB172" s="9">
        <f>(Inputs!$H$8+Inputs!$L$8*(((Inputs!$I$8+(((A172)+1)/2)*(Inputs!$J$8-Inputs!$I$8)))/Inputs!$K$8)^2)</f>
        <v>202.80288500000012</v>
      </c>
      <c r="AC172" s="9">
        <f>(Inputs!$H$9+Inputs!$L$9*(((Inputs!$I$9+(((A172)+1)/2)*(Inputs!$J$9-Inputs!$I$9)))/Inputs!$K$9)^2)</f>
        <v>194.54177500000011</v>
      </c>
      <c r="AD172" s="10"/>
      <c r="AE172" s="9">
        <f t="shared" si="22"/>
        <v>0.41699999999999998</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1099.3986361532616</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56911.414376867055</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115717.53155231771</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117681.90206940593</v>
      </c>
      <c r="AJ172" s="10"/>
      <c r="AK172" s="9">
        <f t="shared" si="23"/>
        <v>0.41699999999999998</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-213.54994147342623</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-2073.1221403730688</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-2403.3196601901182</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-2401.3162100798245</v>
      </c>
      <c r="AP172" s="10"/>
      <c r="AQ172" s="9">
        <f t="shared" si="24"/>
        <v>0.41699999999999998</v>
      </c>
      <c r="AR172" s="9">
        <f>0</f>
        <v>0</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416.92271681723446</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178.26107511251419</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98.744383539006222</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98.744383539006222</v>
      </c>
      <c r="AW172" s="10"/>
      <c r="AX172" s="9">
        <f t="shared" si="25"/>
        <v>0.41699999999999998</v>
      </c>
      <c r="AY172" s="9">
        <f>0</f>
        <v>0</v>
      </c>
      <c r="AZ172" s="9">
        <f>IF(OR(Inputs!$F$6=TRUE,Inputs!$F$6="TRUE",Inputs!$F$6=1),(Inputs!$H$6+Inputs!$L$6*(((Inputs!$I$6+(((A172)+1)/2)*(Inputs!$J$6-Inputs!$I$6)))/Inputs!$K$6)^2),NA())</f>
        <v>400.69555600000001</v>
      </c>
      <c r="BA172" s="9">
        <f>IF(OR(Inputs!$F$7=TRUE,Inputs!$F$7="TRUE",Inputs!$F$7=1),(Inputs!$H$7+Inputs!$L$7*(((Inputs!$I$7+(((A172)+1)/2)*(Inputs!$J$7-Inputs!$I$7)))/Inputs!$K$7)^2),NA())</f>
        <v>98.469485000000049</v>
      </c>
      <c r="BB172" s="9">
        <f>IF(OR(Inputs!$F$8=TRUE,Inputs!$F$8="TRUE",Inputs!$F$8=1),(Inputs!$H$8+Inputs!$L$8*(((Inputs!$I$8+(((A172)+1)/2)*(Inputs!$J$8-Inputs!$I$8)))/Inputs!$K$8)^2),NA())</f>
        <v>202.80288500000012</v>
      </c>
      <c r="BC172" s="9">
        <f>IF(OR(Inputs!$F$9=TRUE,Inputs!$F$9="TRUE",Inputs!$F$9=1),(Inputs!$H$9+Inputs!$L$9*(((Inputs!$I$9+(((A172)+1)/2)*(Inputs!$J$9-Inputs!$I$9)))/Inputs!$K$9)^2),NA())</f>
        <v>194.54177500000011</v>
      </c>
      <c r="BD172" s="10"/>
      <c r="BE172" s="9">
        <f t="shared" si="26"/>
        <v>0.41699999999999998</v>
      </c>
      <c r="BF172" s="9">
        <f>0</f>
        <v>0</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row>
    <row r="173" spans="1:62">
      <c r="A173" s="9">
        <f>ROUND(-1+171*2/240,3)</f>
        <v>0.42499999999999999</v>
      </c>
      <c r="B173" s="9">
        <f>IF(OR(Inputs!$F$6=TRUE,Inputs!$F$6="TRUE",Inputs!$F$6=1),(Inputs!$H$6+Inputs!$L$6*(((Inputs!$I$6+(((A173)+1)/2)*(Inputs!$J$6-Inputs!$I$6)))/Inputs!$K$6)^2),NA())</f>
        <v>400.72250000000003</v>
      </c>
      <c r="C173" s="9">
        <f>IF(OR(Inputs!$F$7=TRUE,Inputs!$F$7="TRUE",Inputs!$F$7=1),(Inputs!$H$7+Inputs!$L$7*(((Inputs!$I$7+(((A173)+1)/2)*(Inputs!$J$7-Inputs!$I$7)))/Inputs!$K$7)^2),NA())</f>
        <v>100.92812499999999</v>
      </c>
      <c r="D173" s="9">
        <f>IF(OR(Inputs!$F$8=TRUE,Inputs!$F$8="TRUE",Inputs!$F$8=1),(Inputs!$H$8+Inputs!$L$8*(((Inputs!$I$8+(((A173)+1)/2)*(Inputs!$J$8-Inputs!$I$8)))/Inputs!$K$8)^2),NA())</f>
        <v>209.30312499999999</v>
      </c>
      <c r="E173" s="9">
        <f>IF(OR(Inputs!$F$9=TRUE,Inputs!$F$9="TRUE",Inputs!$F$9=1),(Inputs!$H$9+Inputs!$L$9*(((Inputs!$I$9+(((A173)+1)/2)*(Inputs!$J$9-Inputs!$I$9)))/Inputs!$K$9)^2),NA())</f>
        <v>201.10937499999997</v>
      </c>
      <c r="F173" s="10"/>
      <c r="G173" s="9">
        <f t="shared" si="18"/>
        <v>0.42499999999999999</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c r="L173" s="10"/>
      <c r="M173" s="9">
        <f t="shared" si="19"/>
        <v>0.42499999999999999</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-217.62122157998533</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-2088.8245942087233</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-2428.653951998976</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-2427.1137937459162</v>
      </c>
      <c r="R173" s="10"/>
      <c r="S173" s="9">
        <f t="shared" si="20"/>
        <v>0.42499999999999999</v>
      </c>
      <c r="T173" s="9">
        <f>(Inputs!$I$6+(((A173)+1)/2)*(Inputs!$J$6-Inputs!$I$6))</f>
        <v>25.5</v>
      </c>
      <c r="U173" s="9">
        <f>(Inputs!$I$7+(((A173)+1)/2)*(Inputs!$J$7-Inputs!$I$7))</f>
        <v>170</v>
      </c>
      <c r="V173" s="9">
        <f>(Inputs!$I$8+(((A173)+1)/2)*(Inputs!$J$8-Inputs!$I$8))</f>
        <v>340</v>
      </c>
      <c r="W173" s="9">
        <f>(Inputs!$I$9+(((A173)+1)/2)*(Inputs!$J$9-Inputs!$I$9))</f>
        <v>340</v>
      </c>
      <c r="X173" s="10"/>
      <c r="Y173" s="9">
        <f t="shared" si="21"/>
        <v>0.42499999999999999</v>
      </c>
      <c r="Z173" s="9">
        <f>(Inputs!$H$6+Inputs!$L$6*(((Inputs!$I$6+(((A173)+1)/2)*(Inputs!$J$6-Inputs!$I$6)))/Inputs!$K$6)^2)</f>
        <v>400.72250000000003</v>
      </c>
      <c r="AA173" s="9">
        <f>(Inputs!$H$7+Inputs!$L$7*(((Inputs!$I$7+(((A173)+1)/2)*(Inputs!$J$7-Inputs!$I$7)))/Inputs!$K$7)^2)</f>
        <v>100.92812499999999</v>
      </c>
      <c r="AB173" s="9">
        <f>(Inputs!$H$8+Inputs!$L$8*(((Inputs!$I$8+(((A173)+1)/2)*(Inputs!$J$8-Inputs!$I$8)))/Inputs!$K$8)^2)</f>
        <v>209.30312499999999</v>
      </c>
      <c r="AC173" s="9">
        <f>(Inputs!$H$9+Inputs!$L$9*(((Inputs!$I$9+(((A173)+1)/2)*(Inputs!$J$9-Inputs!$I$9)))/Inputs!$K$9)^2)</f>
        <v>201.10937499999997</v>
      </c>
      <c r="AD173" s="10"/>
      <c r="AE173" s="9">
        <f t="shared" si="22"/>
        <v>0.42499999999999999</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1120.5962262068354</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57868.317490881214</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117494.84561465749</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119417.3902121415</v>
      </c>
      <c r="AJ173" s="10"/>
      <c r="AK173" s="9">
        <f t="shared" si="23"/>
        <v>0.42499999999999999</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-217.62122157998533</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-2088.8245942087233</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-2428.653951998976</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-2427.1137937459162</v>
      </c>
      <c r="AP173" s="10"/>
      <c r="AQ173" s="9">
        <f t="shared" si="24"/>
        <v>0.42499999999999999</v>
      </c>
      <c r="AR173" s="9">
        <f>0</f>
        <v>0</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390.15691093624679</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186.5860449204655</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124.64043868220405</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124.64043868220405</v>
      </c>
      <c r="AW173" s="10"/>
      <c r="AX173" s="9">
        <f t="shared" si="25"/>
        <v>0.42499999999999999</v>
      </c>
      <c r="AY173" s="9">
        <f>0</f>
        <v>0</v>
      </c>
      <c r="AZ173" s="9">
        <f>IF(OR(Inputs!$F$6=TRUE,Inputs!$F$6="TRUE",Inputs!$F$6=1),(Inputs!$H$6+Inputs!$L$6*(((Inputs!$I$6+(((A173)+1)/2)*(Inputs!$J$6-Inputs!$I$6)))/Inputs!$K$6)^2),NA())</f>
        <v>400.72250000000003</v>
      </c>
      <c r="BA173" s="9">
        <f>IF(OR(Inputs!$F$7=TRUE,Inputs!$F$7="TRUE",Inputs!$F$7=1),(Inputs!$H$7+Inputs!$L$7*(((Inputs!$I$7+(((A173)+1)/2)*(Inputs!$J$7-Inputs!$I$7)))/Inputs!$K$7)^2),NA())</f>
        <v>100.92812499999999</v>
      </c>
      <c r="BB173" s="9">
        <f>IF(OR(Inputs!$F$8=TRUE,Inputs!$F$8="TRUE",Inputs!$F$8=1),(Inputs!$H$8+Inputs!$L$8*(((Inputs!$I$8+(((A173)+1)/2)*(Inputs!$J$8-Inputs!$I$8)))/Inputs!$K$8)^2),NA())</f>
        <v>209.30312499999999</v>
      </c>
      <c r="BC173" s="9">
        <f>IF(OR(Inputs!$F$9=TRUE,Inputs!$F$9="TRUE",Inputs!$F$9=1),(Inputs!$H$9+Inputs!$L$9*(((Inputs!$I$9+(((A173)+1)/2)*(Inputs!$J$9-Inputs!$I$9)))/Inputs!$K$9)^2),NA())</f>
        <v>201.10937499999997</v>
      </c>
      <c r="BD173" s="10"/>
      <c r="BE173" s="9">
        <f t="shared" si="26"/>
        <v>0.42499999999999999</v>
      </c>
      <c r="BF173" s="9">
        <f>0</f>
        <v>0</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row>
    <row r="174" spans="1:62">
      <c r="A174" s="9">
        <f>ROUND(-1+172*2/240,3)</f>
        <v>0.433</v>
      </c>
      <c r="B174" s="9">
        <f>IF(OR(Inputs!$F$6=TRUE,Inputs!$F$6="TRUE",Inputs!$F$6=1),(Inputs!$H$6+Inputs!$L$6*(((Inputs!$I$6+(((A174)+1)/2)*(Inputs!$J$6-Inputs!$I$6)))/Inputs!$K$6)^2),NA())</f>
        <v>400.749956</v>
      </c>
      <c r="C174" s="9">
        <f>IF(OR(Inputs!$F$7=TRUE,Inputs!$F$7="TRUE",Inputs!$F$7=1),(Inputs!$H$7+Inputs!$L$7*(((Inputs!$I$7+(((A174)+1)/2)*(Inputs!$J$7-Inputs!$I$7)))/Inputs!$K$7)^2),NA())</f>
        <v>103.43348500000003</v>
      </c>
      <c r="D174" s="9">
        <f>IF(OR(Inputs!$F$8=TRUE,Inputs!$F$8="TRUE",Inputs!$F$8=1),(Inputs!$H$8+Inputs!$L$8*(((Inputs!$I$8+(((A174)+1)/2)*(Inputs!$J$8-Inputs!$I$8)))/Inputs!$K$8)^2),NA())</f>
        <v>215.92688500000008</v>
      </c>
      <c r="E174" s="9">
        <f>IF(OR(Inputs!$F$9=TRUE,Inputs!$F$9="TRUE",Inputs!$F$9=1),(Inputs!$H$9+Inputs!$L$9*(((Inputs!$I$9+(((A174)+1)/2)*(Inputs!$J$9-Inputs!$I$9)))/Inputs!$K$9)^2),NA())</f>
        <v>207.80177500000011</v>
      </c>
      <c r="F174" s="10"/>
      <c r="G174" s="9">
        <f t="shared" si="18"/>
        <v>0.433</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c r="L174" s="10"/>
      <c r="M174" s="9">
        <f t="shared" si="19"/>
        <v>0.433</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-221.6910551464016</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-2104.6439840188036</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-2454.2502981172438</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-2453.1817732967611</v>
      </c>
      <c r="R174" s="10"/>
      <c r="S174" s="9">
        <f t="shared" si="20"/>
        <v>0.433</v>
      </c>
      <c r="T174" s="9">
        <f>(Inputs!$I$6+(((A174)+1)/2)*(Inputs!$J$6-Inputs!$I$6))</f>
        <v>25.980000000000004</v>
      </c>
      <c r="U174" s="9">
        <f>(Inputs!$I$7+(((A174)+1)/2)*(Inputs!$J$7-Inputs!$I$7))</f>
        <v>173.20000000000005</v>
      </c>
      <c r="V174" s="9">
        <f>(Inputs!$I$8+(((A174)+1)/2)*(Inputs!$J$8-Inputs!$I$8))</f>
        <v>346.40000000000009</v>
      </c>
      <c r="W174" s="9">
        <f>(Inputs!$I$9+(((A174)+1)/2)*(Inputs!$J$9-Inputs!$I$9))</f>
        <v>346.40000000000009</v>
      </c>
      <c r="X174" s="10"/>
      <c r="Y174" s="9">
        <f t="shared" si="21"/>
        <v>0.433</v>
      </c>
      <c r="Z174" s="9">
        <f>(Inputs!$H$6+Inputs!$L$6*(((Inputs!$I$6+(((A174)+1)/2)*(Inputs!$J$6-Inputs!$I$6)))/Inputs!$K$6)^2)</f>
        <v>400.749956</v>
      </c>
      <c r="AA174" s="9">
        <f>(Inputs!$H$7+Inputs!$L$7*(((Inputs!$I$7+(((A174)+1)/2)*(Inputs!$J$7-Inputs!$I$7)))/Inputs!$K$7)^2)</f>
        <v>103.43348500000003</v>
      </c>
      <c r="AB174" s="9">
        <f>(Inputs!$H$8+Inputs!$L$8*(((Inputs!$I$8+(((A174)+1)/2)*(Inputs!$J$8-Inputs!$I$8)))/Inputs!$K$8)^2)</f>
        <v>215.92688500000008</v>
      </c>
      <c r="AC174" s="9">
        <f>(Inputs!$H$9+Inputs!$L$9*(((Inputs!$I$9+(((A174)+1)/2)*(Inputs!$J$9-Inputs!$I$9)))/Inputs!$K$9)^2)</f>
        <v>207.80177500000011</v>
      </c>
      <c r="AD174" s="10"/>
      <c r="AE174" s="9">
        <f t="shared" si="22"/>
        <v>0.433</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1142.192225081589</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58816.681987083721</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119259.99280237065</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121141.04301230967</v>
      </c>
      <c r="AJ174" s="10"/>
      <c r="AK174" s="9">
        <f t="shared" si="23"/>
        <v>0.433</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-221.6910551464016</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-2104.6439840188036</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-2454.2502981172438</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-2453.1817732967611</v>
      </c>
      <c r="AP174" s="10"/>
      <c r="AQ174" s="9">
        <f t="shared" si="24"/>
        <v>0.433</v>
      </c>
      <c r="AR174" s="9">
        <f>0</f>
        <v>0</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400.19622906619219</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126.5299055931917</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179.60079982845463</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179.60079982845463</v>
      </c>
      <c r="AW174" s="10"/>
      <c r="AX174" s="9">
        <f t="shared" si="25"/>
        <v>0.433</v>
      </c>
      <c r="AY174" s="9">
        <f>0</f>
        <v>0</v>
      </c>
      <c r="AZ174" s="9">
        <f>IF(OR(Inputs!$F$6=TRUE,Inputs!$F$6="TRUE",Inputs!$F$6=1),(Inputs!$H$6+Inputs!$L$6*(((Inputs!$I$6+(((A174)+1)/2)*(Inputs!$J$6-Inputs!$I$6)))/Inputs!$K$6)^2),NA())</f>
        <v>400.749956</v>
      </c>
      <c r="BA174" s="9">
        <f>IF(OR(Inputs!$F$7=TRUE,Inputs!$F$7="TRUE",Inputs!$F$7=1),(Inputs!$H$7+Inputs!$L$7*(((Inputs!$I$7+(((A174)+1)/2)*(Inputs!$J$7-Inputs!$I$7)))/Inputs!$K$7)^2),NA())</f>
        <v>103.43348500000003</v>
      </c>
      <c r="BB174" s="9">
        <f>IF(OR(Inputs!$F$8=TRUE,Inputs!$F$8="TRUE",Inputs!$F$8=1),(Inputs!$H$8+Inputs!$L$8*(((Inputs!$I$8+(((A174)+1)/2)*(Inputs!$J$8-Inputs!$I$8)))/Inputs!$K$8)^2),NA())</f>
        <v>215.92688500000008</v>
      </c>
      <c r="BC174" s="9">
        <f>IF(OR(Inputs!$F$9=TRUE,Inputs!$F$9="TRUE",Inputs!$F$9=1),(Inputs!$H$9+Inputs!$L$9*(((Inputs!$I$9+(((A174)+1)/2)*(Inputs!$J$9-Inputs!$I$9)))/Inputs!$K$9)^2),NA())</f>
        <v>207.80177500000011</v>
      </c>
      <c r="BD174" s="10"/>
      <c r="BE174" s="9">
        <f t="shared" si="26"/>
        <v>0.433</v>
      </c>
      <c r="BF174" s="9">
        <f>0</f>
        <v>0</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row>
    <row r="175" spans="1:62">
      <c r="A175" s="9">
        <f>ROUND(-1+173*2/240,3)</f>
        <v>0.442</v>
      </c>
      <c r="B175" s="9">
        <f>IF(OR(Inputs!$F$6=TRUE,Inputs!$F$6="TRUE",Inputs!$F$6=1),(Inputs!$H$6+Inputs!$L$6*(((Inputs!$I$6+(((A175)+1)/2)*(Inputs!$J$6-Inputs!$I$6)))/Inputs!$K$6)^2),NA())</f>
        <v>400.78145599999999</v>
      </c>
      <c r="C175" s="9">
        <f>IF(OR(Inputs!$F$7=TRUE,Inputs!$F$7="TRUE",Inputs!$F$7=1),(Inputs!$H$7+Inputs!$L$7*(((Inputs!$I$7+(((A175)+1)/2)*(Inputs!$J$7-Inputs!$I$7)))/Inputs!$K$7)^2),NA())</f>
        <v>106.30785999999996</v>
      </c>
      <c r="D175" s="9">
        <f>IF(OR(Inputs!$F$8=TRUE,Inputs!$F$8="TRUE",Inputs!$F$8=1),(Inputs!$H$8+Inputs!$L$8*(((Inputs!$I$8+(((A175)+1)/2)*(Inputs!$J$8-Inputs!$I$8)))/Inputs!$K$8)^2),NA())</f>
        <v>223.52625999999989</v>
      </c>
      <c r="E175" s="9">
        <f>IF(OR(Inputs!$F$9=TRUE,Inputs!$F$9="TRUE",Inputs!$F$9=1),(Inputs!$H$9+Inputs!$L$9*(((Inputs!$I$9+(((A175)+1)/2)*(Inputs!$J$9-Inputs!$I$9)))/Inputs!$K$9)^2),NA())</f>
        <v>215.4798999999999</v>
      </c>
      <c r="F175" s="10"/>
      <c r="G175" s="9">
        <f t="shared" si="18"/>
        <v>0.442</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c r="L175" s="10"/>
      <c r="M175" s="9">
        <f t="shared" si="19"/>
        <v>0.442</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-226.26785644062778</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-2122.5845865903166</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-2483.3530771221585</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-2482.8241182372158</v>
      </c>
      <c r="R175" s="10"/>
      <c r="S175" s="9">
        <f t="shared" si="20"/>
        <v>0.442</v>
      </c>
      <c r="T175" s="9">
        <f>(Inputs!$I$6+(((A175)+1)/2)*(Inputs!$J$6-Inputs!$I$6))</f>
        <v>26.519999999999996</v>
      </c>
      <c r="U175" s="9">
        <f>(Inputs!$I$7+(((A175)+1)/2)*(Inputs!$J$7-Inputs!$I$7))</f>
        <v>176.79999999999995</v>
      </c>
      <c r="V175" s="9">
        <f>(Inputs!$I$8+(((A175)+1)/2)*(Inputs!$J$8-Inputs!$I$8))</f>
        <v>353.59999999999991</v>
      </c>
      <c r="W175" s="9">
        <f>(Inputs!$I$9+(((A175)+1)/2)*(Inputs!$J$9-Inputs!$I$9))</f>
        <v>353.59999999999991</v>
      </c>
      <c r="X175" s="10"/>
      <c r="Y175" s="9">
        <f t="shared" si="21"/>
        <v>0.442</v>
      </c>
      <c r="Z175" s="9">
        <f>(Inputs!$H$6+Inputs!$L$6*(((Inputs!$I$6+(((A175)+1)/2)*(Inputs!$J$6-Inputs!$I$6)))/Inputs!$K$6)^2)</f>
        <v>400.78145599999999</v>
      </c>
      <c r="AA175" s="9">
        <f>(Inputs!$H$7+Inputs!$L$7*(((Inputs!$I$7+(((A175)+1)/2)*(Inputs!$J$7-Inputs!$I$7)))/Inputs!$K$7)^2)</f>
        <v>106.30785999999996</v>
      </c>
      <c r="AB175" s="9">
        <f>(Inputs!$H$8+Inputs!$L$8*(((Inputs!$I$8+(((A175)+1)/2)*(Inputs!$J$8-Inputs!$I$8)))/Inputs!$K$8)^2)</f>
        <v>223.52625999999989</v>
      </c>
      <c r="AC175" s="9">
        <f>(Inputs!$H$9+Inputs!$L$9*(((Inputs!$I$9+(((A175)+1)/2)*(Inputs!$J$9-Inputs!$I$9)))/Inputs!$K$9)^2)</f>
        <v>215.4798999999999</v>
      </c>
      <c r="AD175" s="10"/>
      <c r="AE175" s="9">
        <f t="shared" si="22"/>
        <v>0.442</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1166.9636404009684</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59873.551783396419</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121231.96584214331</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123066.75329043757</v>
      </c>
      <c r="AJ175" s="10"/>
      <c r="AK175" s="9">
        <f t="shared" si="23"/>
        <v>0.442</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-226.26785644062778</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-2122.5845865903166</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-2483.3530771221585</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-2482.8241182372158</v>
      </c>
      <c r="AP175" s="10"/>
      <c r="AQ175" s="9">
        <f t="shared" si="24"/>
        <v>0.442</v>
      </c>
      <c r="AR175" s="9">
        <f>0</f>
        <v>0</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359.30685150718341</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81.547047529818229</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132.87376517592949</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132.87376517592949</v>
      </c>
      <c r="AW175" s="10"/>
      <c r="AX175" s="9">
        <f t="shared" si="25"/>
        <v>0.442</v>
      </c>
      <c r="AY175" s="9">
        <f>0</f>
        <v>0</v>
      </c>
      <c r="AZ175" s="9">
        <f>IF(OR(Inputs!$F$6=TRUE,Inputs!$F$6="TRUE",Inputs!$F$6=1),(Inputs!$H$6+Inputs!$L$6*(((Inputs!$I$6+(((A175)+1)/2)*(Inputs!$J$6-Inputs!$I$6)))/Inputs!$K$6)^2),NA())</f>
        <v>400.78145599999999</v>
      </c>
      <c r="BA175" s="9">
        <f>IF(OR(Inputs!$F$7=TRUE,Inputs!$F$7="TRUE",Inputs!$F$7=1),(Inputs!$H$7+Inputs!$L$7*(((Inputs!$I$7+(((A175)+1)/2)*(Inputs!$J$7-Inputs!$I$7)))/Inputs!$K$7)^2),NA())</f>
        <v>106.30785999999996</v>
      </c>
      <c r="BB175" s="9">
        <f>IF(OR(Inputs!$F$8=TRUE,Inputs!$F$8="TRUE",Inputs!$F$8=1),(Inputs!$H$8+Inputs!$L$8*(((Inputs!$I$8+(((A175)+1)/2)*(Inputs!$J$8-Inputs!$I$8)))/Inputs!$K$8)^2),NA())</f>
        <v>223.52625999999989</v>
      </c>
      <c r="BC175" s="9">
        <f>IF(OR(Inputs!$F$9=TRUE,Inputs!$F$9="TRUE",Inputs!$F$9=1),(Inputs!$H$9+Inputs!$L$9*(((Inputs!$I$9+(((A175)+1)/2)*(Inputs!$J$9-Inputs!$I$9)))/Inputs!$K$9)^2),NA())</f>
        <v>215.4798999999999</v>
      </c>
      <c r="BD175" s="10"/>
      <c r="BE175" s="9">
        <f t="shared" si="26"/>
        <v>0.442</v>
      </c>
      <c r="BF175" s="9">
        <f>0</f>
        <v>0</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row>
    <row r="176" spans="1:62">
      <c r="A176" s="9">
        <f>ROUND(-1+174*2/240,3)</f>
        <v>0.45</v>
      </c>
      <c r="B176" s="9">
        <f>IF(OR(Inputs!$F$6=TRUE,Inputs!$F$6="TRUE",Inputs!$F$6=1),(Inputs!$H$6+Inputs!$L$6*(((Inputs!$I$6+(((A176)+1)/2)*(Inputs!$J$6-Inputs!$I$6)))/Inputs!$K$6)^2),NA())</f>
        <v>400.81</v>
      </c>
      <c r="C176" s="9">
        <f>IF(OR(Inputs!$F$7=TRUE,Inputs!$F$7="TRUE",Inputs!$F$7=1),(Inputs!$H$7+Inputs!$L$7*(((Inputs!$I$7+(((A176)+1)/2)*(Inputs!$J$7-Inputs!$I$7)))/Inputs!$K$7)^2),NA())</f>
        <v>108.91250000000001</v>
      </c>
      <c r="D176" s="9">
        <f>IF(OR(Inputs!$F$8=TRUE,Inputs!$F$8="TRUE",Inputs!$F$8=1),(Inputs!$H$8+Inputs!$L$8*(((Inputs!$I$8+(((A176)+1)/2)*(Inputs!$J$8-Inputs!$I$8)))/Inputs!$K$8)^2),NA())</f>
        <v>230.41250000000002</v>
      </c>
      <c r="E176" s="9">
        <f>IF(OR(Inputs!$F$9=TRUE,Inputs!$F$9="TRUE",Inputs!$F$9=1),(Inputs!$H$9+Inputs!$L$9*(((Inputs!$I$9+(((A176)+1)/2)*(Inputs!$J$9-Inputs!$I$9)))/Inputs!$K$9)^2),NA())</f>
        <v>222.4375</v>
      </c>
      <c r="F176" s="10"/>
      <c r="G176" s="9">
        <f t="shared" si="18"/>
        <v>0.45</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c r="L176" s="10"/>
      <c r="M176" s="9">
        <f t="shared" si="19"/>
        <v>0.45</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-230.33452978340816</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-2138.6626146641197</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-2509.489301007653</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-2509.4471205524701</v>
      </c>
      <c r="R176" s="10"/>
      <c r="S176" s="9">
        <f t="shared" si="20"/>
        <v>0.45</v>
      </c>
      <c r="T176" s="9">
        <f>(Inputs!$I$6+(((A176)+1)/2)*(Inputs!$J$6-Inputs!$I$6))</f>
        <v>27</v>
      </c>
      <c r="U176" s="9">
        <f>(Inputs!$I$7+(((A176)+1)/2)*(Inputs!$J$7-Inputs!$I$7))</f>
        <v>180</v>
      </c>
      <c r="V176" s="9">
        <f>(Inputs!$I$8+(((A176)+1)/2)*(Inputs!$J$8-Inputs!$I$8))</f>
        <v>360</v>
      </c>
      <c r="W176" s="9">
        <f>(Inputs!$I$9+(((A176)+1)/2)*(Inputs!$J$9-Inputs!$I$9))</f>
        <v>360</v>
      </c>
      <c r="X176" s="10"/>
      <c r="Y176" s="9">
        <f t="shared" si="21"/>
        <v>0.45</v>
      </c>
      <c r="Z176" s="9">
        <f>(Inputs!$H$6+Inputs!$L$6*(((Inputs!$I$6+(((A176)+1)/2)*(Inputs!$J$6-Inputs!$I$6)))/Inputs!$K$6)^2)</f>
        <v>400.81</v>
      </c>
      <c r="AA176" s="9">
        <f>(Inputs!$H$7+Inputs!$L$7*(((Inputs!$I$7+(((A176)+1)/2)*(Inputs!$J$7-Inputs!$I$7)))/Inputs!$K$7)^2)</f>
        <v>108.91250000000001</v>
      </c>
      <c r="AB176" s="9">
        <f>(Inputs!$H$8+Inputs!$L$8*(((Inputs!$I$8+(((A176)+1)/2)*(Inputs!$J$8-Inputs!$I$8)))/Inputs!$K$8)^2)</f>
        <v>230.41250000000002</v>
      </c>
      <c r="AC176" s="9">
        <f>(Inputs!$H$9+Inputs!$L$9*(((Inputs!$I$9+(((A176)+1)/2)*(Inputs!$J$9-Inputs!$I$9)))/Inputs!$K$9)^2)</f>
        <v>222.4375</v>
      </c>
      <c r="AD176" s="10"/>
      <c r="AE176" s="9">
        <f t="shared" si="22"/>
        <v>0.45</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1189.4054357952016</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60804.218334370096</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122973.18039248708</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124767.23503203205</v>
      </c>
      <c r="AJ176" s="10"/>
      <c r="AK176" s="9">
        <f t="shared" si="23"/>
        <v>0.45</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-230.33452978340816</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-2138.6626146641197</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-2509.489301007653</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-2509.4471205524701</v>
      </c>
      <c r="AP176" s="10"/>
      <c r="AQ176" s="9">
        <f t="shared" si="24"/>
        <v>0.45</v>
      </c>
      <c r="AR176" s="9">
        <f>0</f>
        <v>0</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346.22873286462408</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131.8458952600806</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147.40890122903744</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147.40890122903744</v>
      </c>
      <c r="AW176" s="10"/>
      <c r="AX176" s="9">
        <f t="shared" si="25"/>
        <v>0.45</v>
      </c>
      <c r="AY176" s="9">
        <f>0</f>
        <v>0</v>
      </c>
      <c r="AZ176" s="9">
        <f>IF(OR(Inputs!$F$6=TRUE,Inputs!$F$6="TRUE",Inputs!$F$6=1),(Inputs!$H$6+Inputs!$L$6*(((Inputs!$I$6+(((A176)+1)/2)*(Inputs!$J$6-Inputs!$I$6)))/Inputs!$K$6)^2),NA())</f>
        <v>400.81</v>
      </c>
      <c r="BA176" s="9">
        <f>IF(OR(Inputs!$F$7=TRUE,Inputs!$F$7="TRUE",Inputs!$F$7=1),(Inputs!$H$7+Inputs!$L$7*(((Inputs!$I$7+(((A176)+1)/2)*(Inputs!$J$7-Inputs!$I$7)))/Inputs!$K$7)^2),NA())</f>
        <v>108.91250000000001</v>
      </c>
      <c r="BB176" s="9">
        <f>IF(OR(Inputs!$F$8=TRUE,Inputs!$F$8="TRUE",Inputs!$F$8=1),(Inputs!$H$8+Inputs!$L$8*(((Inputs!$I$8+(((A176)+1)/2)*(Inputs!$J$8-Inputs!$I$8)))/Inputs!$K$8)^2),NA())</f>
        <v>230.41250000000002</v>
      </c>
      <c r="BC176" s="9">
        <f>IF(OR(Inputs!$F$9=TRUE,Inputs!$F$9="TRUE",Inputs!$F$9=1),(Inputs!$H$9+Inputs!$L$9*(((Inputs!$I$9+(((A176)+1)/2)*(Inputs!$J$9-Inputs!$I$9)))/Inputs!$K$9)^2),NA())</f>
        <v>222.4375</v>
      </c>
      <c r="BD176" s="10"/>
      <c r="BE176" s="9">
        <f t="shared" si="26"/>
        <v>0.45</v>
      </c>
      <c r="BF176" s="9">
        <f>0</f>
        <v>0</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row>
    <row r="177" spans="1:62">
      <c r="A177" s="9">
        <f>ROUND(-1+175*2/240,3)</f>
        <v>0.45800000000000002</v>
      </c>
      <c r="B177" s="9">
        <f>IF(OR(Inputs!$F$6=TRUE,Inputs!$F$6="TRUE",Inputs!$F$6=1),(Inputs!$H$6+Inputs!$L$6*(((Inputs!$I$6+(((A177)+1)/2)*(Inputs!$J$6-Inputs!$I$6)))/Inputs!$K$6)^2),NA())</f>
        <v>400.83905600000003</v>
      </c>
      <c r="C177" s="9">
        <f>IF(OR(Inputs!$F$7=TRUE,Inputs!$F$7="TRUE",Inputs!$F$7=1),(Inputs!$H$7+Inputs!$L$7*(((Inputs!$I$7+(((A177)+1)/2)*(Inputs!$J$7-Inputs!$I$7)))/Inputs!$K$7)^2),NA())</f>
        <v>111.56385999999995</v>
      </c>
      <c r="D177" s="9">
        <f>IF(OR(Inputs!$F$8=TRUE,Inputs!$F$8="TRUE",Inputs!$F$8=1),(Inputs!$H$8+Inputs!$L$8*(((Inputs!$I$8+(((A177)+1)/2)*(Inputs!$J$8-Inputs!$I$8)))/Inputs!$K$8)^2),NA())</f>
        <v>237.42225999999988</v>
      </c>
      <c r="E177" s="9">
        <f>IF(OR(Inputs!$F$9=TRUE,Inputs!$F$9="TRUE",Inputs!$F$9=1),(Inputs!$H$9+Inputs!$L$9*(((Inputs!$I$9+(((A177)+1)/2)*(Inputs!$J$9-Inputs!$I$9)))/Inputs!$K$9)^2),NA())</f>
        <v>229.51989999999986</v>
      </c>
      <c r="F177" s="10"/>
      <c r="G177" s="9">
        <f t="shared" si="18"/>
        <v>0.45800000000000002</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c r="L177" s="10"/>
      <c r="M177" s="9">
        <f t="shared" si="19"/>
        <v>0.45800000000000002</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-234.39967548141186</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-2154.8661396533066</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-2535.8714943942905</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-2536.3221234523176</v>
      </c>
      <c r="R177" s="10"/>
      <c r="S177" s="9">
        <f t="shared" si="20"/>
        <v>0.45800000000000002</v>
      </c>
      <c r="T177" s="9">
        <f>(Inputs!$I$6+(((A177)+1)/2)*(Inputs!$J$6-Inputs!$I$6))</f>
        <v>27.480000000000004</v>
      </c>
      <c r="U177" s="9">
        <f>(Inputs!$I$7+(((A177)+1)/2)*(Inputs!$J$7-Inputs!$I$7))</f>
        <v>183.19999999999993</v>
      </c>
      <c r="V177" s="9">
        <f>(Inputs!$I$8+(((A177)+1)/2)*(Inputs!$J$8-Inputs!$I$8))</f>
        <v>366.39999999999986</v>
      </c>
      <c r="W177" s="9">
        <f>(Inputs!$I$9+(((A177)+1)/2)*(Inputs!$J$9-Inputs!$I$9))</f>
        <v>366.39999999999986</v>
      </c>
      <c r="X177" s="10"/>
      <c r="Y177" s="9">
        <f t="shared" si="21"/>
        <v>0.45800000000000002</v>
      </c>
      <c r="Z177" s="9">
        <f>(Inputs!$H$6+Inputs!$L$6*(((Inputs!$I$6+(((A177)+1)/2)*(Inputs!$J$6-Inputs!$I$6)))/Inputs!$K$6)^2)</f>
        <v>400.83905600000003</v>
      </c>
      <c r="AA177" s="9">
        <f>(Inputs!$H$7+Inputs!$L$7*(((Inputs!$I$7+(((A177)+1)/2)*(Inputs!$J$7-Inputs!$I$7)))/Inputs!$K$7)^2)</f>
        <v>111.56385999999995</v>
      </c>
      <c r="AB177" s="9">
        <f>(Inputs!$H$8+Inputs!$L$8*(((Inputs!$I$8+(((A177)+1)/2)*(Inputs!$J$8-Inputs!$I$8)))/Inputs!$K$8)^2)</f>
        <v>237.42225999999988</v>
      </c>
      <c r="AC177" s="9">
        <f>(Inputs!$H$9+Inputs!$L$9*(((Inputs!$I$9+(((A177)+1)/2)*(Inputs!$J$9-Inputs!$I$9)))/Inputs!$K$9)^2)</f>
        <v>229.51989999999986</v>
      </c>
      <c r="AD177" s="10"/>
      <c r="AE177" s="9">
        <f t="shared" si="22"/>
        <v>0.45800000000000002</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1212.2448567525639</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61726.773205847116</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124704.01211642414</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126457.71562969443</v>
      </c>
      <c r="AJ177" s="10"/>
      <c r="AK177" s="9">
        <f t="shared" si="23"/>
        <v>0.45800000000000002</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-234.39967548141186</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-2154.8661396533066</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-2535.8714943942905</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-2536.3221234523176</v>
      </c>
      <c r="AP177" s="10"/>
      <c r="AQ177" s="9">
        <f t="shared" si="24"/>
        <v>0.45800000000000002</v>
      </c>
      <c r="AR177" s="9">
        <f>0</f>
        <v>0</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341.6036692279352</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201.60452660919756</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218.82120570399934</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218.82120570399934</v>
      </c>
      <c r="AW177" s="10"/>
      <c r="AX177" s="9">
        <f t="shared" si="25"/>
        <v>0.45800000000000002</v>
      </c>
      <c r="AY177" s="9">
        <f>0</f>
        <v>0</v>
      </c>
      <c r="AZ177" s="9">
        <f>IF(OR(Inputs!$F$6=TRUE,Inputs!$F$6="TRUE",Inputs!$F$6=1),(Inputs!$H$6+Inputs!$L$6*(((Inputs!$I$6+(((A177)+1)/2)*(Inputs!$J$6-Inputs!$I$6)))/Inputs!$K$6)^2),NA())</f>
        <v>400.83905600000003</v>
      </c>
      <c r="BA177" s="9">
        <f>IF(OR(Inputs!$F$7=TRUE,Inputs!$F$7="TRUE",Inputs!$F$7=1),(Inputs!$H$7+Inputs!$L$7*(((Inputs!$I$7+(((A177)+1)/2)*(Inputs!$J$7-Inputs!$I$7)))/Inputs!$K$7)^2),NA())</f>
        <v>111.56385999999995</v>
      </c>
      <c r="BB177" s="9">
        <f>IF(OR(Inputs!$F$8=TRUE,Inputs!$F$8="TRUE",Inputs!$F$8=1),(Inputs!$H$8+Inputs!$L$8*(((Inputs!$I$8+(((A177)+1)/2)*(Inputs!$J$8-Inputs!$I$8)))/Inputs!$K$8)^2),NA())</f>
        <v>237.42225999999988</v>
      </c>
      <c r="BC177" s="9">
        <f>IF(OR(Inputs!$F$9=TRUE,Inputs!$F$9="TRUE",Inputs!$F$9=1),(Inputs!$H$9+Inputs!$L$9*(((Inputs!$I$9+(((A177)+1)/2)*(Inputs!$J$9-Inputs!$I$9)))/Inputs!$K$9)^2),NA())</f>
        <v>229.51989999999986</v>
      </c>
      <c r="BD177" s="10"/>
      <c r="BE177" s="9">
        <f t="shared" si="26"/>
        <v>0.45800000000000002</v>
      </c>
      <c r="BF177" s="9">
        <f>0</f>
        <v>0</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row>
    <row r="178" spans="1:62">
      <c r="A178" s="9">
        <f>ROUND(-1+176*2/240,3)</f>
        <v>0.46700000000000003</v>
      </c>
      <c r="B178" s="9">
        <f>IF(OR(Inputs!$F$6=TRUE,Inputs!$F$6="TRUE",Inputs!$F$6=1),(Inputs!$H$6+Inputs!$L$6*(((Inputs!$I$6+(((A178)+1)/2)*(Inputs!$J$6-Inputs!$I$6)))/Inputs!$K$6)^2),NA())</f>
        <v>400.87235600000002</v>
      </c>
      <c r="C178" s="9">
        <f>IF(OR(Inputs!$F$7=TRUE,Inputs!$F$7="TRUE",Inputs!$F$7=1),(Inputs!$H$7+Inputs!$L$7*(((Inputs!$I$7+(((A178)+1)/2)*(Inputs!$J$7-Inputs!$I$7)))/Inputs!$K$7)^2),NA())</f>
        <v>114.60248500000006</v>
      </c>
      <c r="D178" s="9">
        <f>IF(OR(Inputs!$F$8=TRUE,Inputs!$F$8="TRUE",Inputs!$F$8=1),(Inputs!$H$8+Inputs!$L$8*(((Inputs!$I$8+(((A178)+1)/2)*(Inputs!$J$8-Inputs!$I$8)))/Inputs!$K$8)^2),NA())</f>
        <v>245.45588500000017</v>
      </c>
      <c r="E178" s="9">
        <f>IF(OR(Inputs!$F$9=TRUE,Inputs!$F$9="TRUE",Inputs!$F$9=1),(Inputs!$H$9+Inputs!$L$9*(((Inputs!$I$9+(((A178)+1)/2)*(Inputs!$J$9-Inputs!$I$9)))/Inputs!$K$9)^2),NA())</f>
        <v>237.63677500000017</v>
      </c>
      <c r="F178" s="10"/>
      <c r="G178" s="9">
        <f t="shared" si="18"/>
        <v>0.46700000000000003</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c r="L178" s="10"/>
      <c r="M178" s="9">
        <f t="shared" si="19"/>
        <v>0.46700000000000003</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-238.97110623990716</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-2173.2474236401672</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-2565.8389850239537</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-2566.8504470413018</v>
      </c>
      <c r="R178" s="10"/>
      <c r="S178" s="9">
        <f t="shared" si="20"/>
        <v>0.46700000000000003</v>
      </c>
      <c r="T178" s="9">
        <f>(Inputs!$I$6+(((A178)+1)/2)*(Inputs!$J$6-Inputs!$I$6))</f>
        <v>28.02000000000001</v>
      </c>
      <c r="U178" s="9">
        <f>(Inputs!$I$7+(((A178)+1)/2)*(Inputs!$J$7-Inputs!$I$7))</f>
        <v>186.80000000000007</v>
      </c>
      <c r="V178" s="9">
        <f>(Inputs!$I$8+(((A178)+1)/2)*(Inputs!$J$8-Inputs!$I$8))</f>
        <v>373.60000000000014</v>
      </c>
      <c r="W178" s="9">
        <f>(Inputs!$I$9+(((A178)+1)/2)*(Inputs!$J$9-Inputs!$I$9))</f>
        <v>373.60000000000014</v>
      </c>
      <c r="X178" s="10"/>
      <c r="Y178" s="9">
        <f t="shared" si="21"/>
        <v>0.46700000000000003</v>
      </c>
      <c r="Z178" s="9">
        <f>(Inputs!$H$6+Inputs!$L$6*(((Inputs!$I$6+(((A178)+1)/2)*(Inputs!$J$6-Inputs!$I$6)))/Inputs!$K$6)^2)</f>
        <v>400.87235600000002</v>
      </c>
      <c r="AA178" s="9">
        <f>(Inputs!$H$7+Inputs!$L$7*(((Inputs!$I$7+(((A178)+1)/2)*(Inputs!$J$7-Inputs!$I$7)))/Inputs!$K$7)^2)</f>
        <v>114.60248500000006</v>
      </c>
      <c r="AB178" s="9">
        <f>(Inputs!$H$8+Inputs!$L$8*(((Inputs!$I$8+(((A178)+1)/2)*(Inputs!$J$8-Inputs!$I$8)))/Inputs!$K$8)^2)</f>
        <v>245.45588500000017</v>
      </c>
      <c r="AC178" s="9">
        <f>(Inputs!$H$9+Inputs!$L$9*(((Inputs!$I$9+(((A178)+1)/2)*(Inputs!$J$9-Inputs!$I$9)))/Inputs!$K$9)^2)</f>
        <v>237.63677500000017</v>
      </c>
      <c r="AD178" s="10"/>
      <c r="AE178" s="9">
        <f t="shared" si="22"/>
        <v>0.46700000000000003</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1238.4141686788944</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62755.12844116737</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126639.46756829671</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128348.24821852469</v>
      </c>
      <c r="AJ178" s="10"/>
      <c r="AK178" s="9">
        <f t="shared" si="23"/>
        <v>0.46700000000000003</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-238.97110623990716</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-2173.2474236401672</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-2565.8389850239537</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-2566.8504470413018</v>
      </c>
      <c r="AP178" s="10"/>
      <c r="AQ178" s="9">
        <f t="shared" si="24"/>
        <v>0.46700000000000003</v>
      </c>
      <c r="AR178" s="9">
        <f>0</f>
        <v>0</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330.58439741725317</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166.48078773497991</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113.49703397252357</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113.49703397252357</v>
      </c>
      <c r="AW178" s="10"/>
      <c r="AX178" s="9">
        <f t="shared" si="25"/>
        <v>0.46700000000000003</v>
      </c>
      <c r="AY178" s="9">
        <f>0</f>
        <v>0</v>
      </c>
      <c r="AZ178" s="9">
        <f>IF(OR(Inputs!$F$6=TRUE,Inputs!$F$6="TRUE",Inputs!$F$6=1),(Inputs!$H$6+Inputs!$L$6*(((Inputs!$I$6+(((A178)+1)/2)*(Inputs!$J$6-Inputs!$I$6)))/Inputs!$K$6)^2),NA())</f>
        <v>400.87235600000002</v>
      </c>
      <c r="BA178" s="9">
        <f>IF(OR(Inputs!$F$7=TRUE,Inputs!$F$7="TRUE",Inputs!$F$7=1),(Inputs!$H$7+Inputs!$L$7*(((Inputs!$I$7+(((A178)+1)/2)*(Inputs!$J$7-Inputs!$I$7)))/Inputs!$K$7)^2),NA())</f>
        <v>114.60248500000006</v>
      </c>
      <c r="BB178" s="9">
        <f>IF(OR(Inputs!$F$8=TRUE,Inputs!$F$8="TRUE",Inputs!$F$8=1),(Inputs!$H$8+Inputs!$L$8*(((Inputs!$I$8+(((A178)+1)/2)*(Inputs!$J$8-Inputs!$I$8)))/Inputs!$K$8)^2),NA())</f>
        <v>245.45588500000017</v>
      </c>
      <c r="BC178" s="9">
        <f>IF(OR(Inputs!$F$9=TRUE,Inputs!$F$9="TRUE",Inputs!$F$9=1),(Inputs!$H$9+Inputs!$L$9*(((Inputs!$I$9+(((A178)+1)/2)*(Inputs!$J$9-Inputs!$I$9)))/Inputs!$K$9)^2),NA())</f>
        <v>237.63677500000017</v>
      </c>
      <c r="BD178" s="10"/>
      <c r="BE178" s="9">
        <f t="shared" si="26"/>
        <v>0.46700000000000003</v>
      </c>
      <c r="BF178" s="9">
        <f>0</f>
        <v>0</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row>
    <row r="179" spans="1:62">
      <c r="A179" s="9">
        <f>ROUND(-1+177*2/240,3)</f>
        <v>0.47499999999999998</v>
      </c>
      <c r="B179" s="9">
        <f>IF(OR(Inputs!$F$6=TRUE,Inputs!$F$6="TRUE",Inputs!$F$6=1),(Inputs!$H$6+Inputs!$L$6*(((Inputs!$I$6+(((A179)+1)/2)*(Inputs!$J$6-Inputs!$I$6)))/Inputs!$K$6)^2),NA())</f>
        <v>400.90249999999997</v>
      </c>
      <c r="C179" s="9">
        <f>IF(OR(Inputs!$F$7=TRUE,Inputs!$F$7="TRUE",Inputs!$F$7=1),(Inputs!$H$7+Inputs!$L$7*(((Inputs!$I$7+(((A179)+1)/2)*(Inputs!$J$7-Inputs!$I$7)))/Inputs!$K$7)^2),NA())</f>
        <v>117.35312499999999</v>
      </c>
      <c r="D179" s="9">
        <f>IF(OR(Inputs!$F$8=TRUE,Inputs!$F$8="TRUE",Inputs!$F$8=1),(Inputs!$H$8+Inputs!$L$8*(((Inputs!$I$8+(((A179)+1)/2)*(Inputs!$J$8-Inputs!$I$8)))/Inputs!$K$8)^2),NA())</f>
        <v>252.72812500000001</v>
      </c>
      <c r="E179" s="9">
        <f>IF(OR(Inputs!$F$9=TRUE,Inputs!$F$9="TRUE",Inputs!$F$9=1),(Inputs!$H$9+Inputs!$L$9*(((Inputs!$I$9+(((A179)+1)/2)*(Inputs!$J$9-Inputs!$I$9)))/Inputs!$K$9)^2),NA())</f>
        <v>244.984375</v>
      </c>
      <c r="F179" s="10"/>
      <c r="G179" s="9">
        <f t="shared" si="18"/>
        <v>0.47499999999999998</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c r="L179" s="10"/>
      <c r="M179" s="9">
        <f t="shared" si="19"/>
        <v>0.47499999999999998</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-243.03292006845169</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-2189.7233886221143</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-2592.7265593356356</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-2594.2415995855963</v>
      </c>
      <c r="R179" s="10"/>
      <c r="S179" s="9">
        <f t="shared" si="20"/>
        <v>0.47499999999999998</v>
      </c>
      <c r="T179" s="9">
        <f>(Inputs!$I$6+(((A179)+1)/2)*(Inputs!$J$6-Inputs!$I$6))</f>
        <v>28.5</v>
      </c>
      <c r="U179" s="9">
        <f>(Inputs!$I$7+(((A179)+1)/2)*(Inputs!$J$7-Inputs!$I$7))</f>
        <v>190</v>
      </c>
      <c r="V179" s="9">
        <f>(Inputs!$I$8+(((A179)+1)/2)*(Inputs!$J$8-Inputs!$I$8))</f>
        <v>380</v>
      </c>
      <c r="W179" s="9">
        <f>(Inputs!$I$9+(((A179)+1)/2)*(Inputs!$J$9-Inputs!$I$9))</f>
        <v>380</v>
      </c>
      <c r="X179" s="10"/>
      <c r="Y179" s="9">
        <f t="shared" si="21"/>
        <v>0.47499999999999998</v>
      </c>
      <c r="Z179" s="9">
        <f>(Inputs!$H$6+Inputs!$L$6*(((Inputs!$I$6+(((A179)+1)/2)*(Inputs!$J$6-Inputs!$I$6)))/Inputs!$K$6)^2)</f>
        <v>400.90249999999997</v>
      </c>
      <c r="AA179" s="9">
        <f>(Inputs!$H$7+Inputs!$L$7*(((Inputs!$I$7+(((A179)+1)/2)*(Inputs!$J$7-Inputs!$I$7)))/Inputs!$K$7)^2)</f>
        <v>117.35312499999999</v>
      </c>
      <c r="AB179" s="9">
        <f>(Inputs!$H$8+Inputs!$L$8*(((Inputs!$I$8+(((A179)+1)/2)*(Inputs!$J$8-Inputs!$I$8)))/Inputs!$K$8)^2)</f>
        <v>252.72812500000001</v>
      </c>
      <c r="AC179" s="9">
        <f>(Inputs!$H$9+Inputs!$L$9*(((Inputs!$I$9+(((A179)+1)/2)*(Inputs!$J$9-Inputs!$I$9)))/Inputs!$K$9)^2)</f>
        <v>244.984375</v>
      </c>
      <c r="AD179" s="10"/>
      <c r="AE179" s="9">
        <f t="shared" si="22"/>
        <v>0.47499999999999998</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1262.0976764465599</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63660.920126394747</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128350.03703989064</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130019.31854284673</v>
      </c>
      <c r="AJ179" s="10"/>
      <c r="AK179" s="9">
        <f t="shared" si="23"/>
        <v>0.47499999999999998</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-243.03292006845169</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-2189.7233886221143</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-2592.7265593356356</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-2594.2415995855963</v>
      </c>
      <c r="AP179" s="10"/>
      <c r="AQ179" s="9">
        <f t="shared" si="24"/>
        <v>0.47499999999999998</v>
      </c>
      <c r="AR179" s="9">
        <f>0</f>
        <v>0</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310.46598665119308</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125.04995835056246</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190.60775900654997</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190.60775900654997</v>
      </c>
      <c r="AW179" s="10"/>
      <c r="AX179" s="9">
        <f t="shared" si="25"/>
        <v>0.47499999999999998</v>
      </c>
      <c r="AY179" s="9">
        <f>0</f>
        <v>0</v>
      </c>
      <c r="AZ179" s="9">
        <f>IF(OR(Inputs!$F$6=TRUE,Inputs!$F$6="TRUE",Inputs!$F$6=1),(Inputs!$H$6+Inputs!$L$6*(((Inputs!$I$6+(((A179)+1)/2)*(Inputs!$J$6-Inputs!$I$6)))/Inputs!$K$6)^2),NA())</f>
        <v>400.90249999999997</v>
      </c>
      <c r="BA179" s="9">
        <f>IF(OR(Inputs!$F$7=TRUE,Inputs!$F$7="TRUE",Inputs!$F$7=1),(Inputs!$H$7+Inputs!$L$7*(((Inputs!$I$7+(((A179)+1)/2)*(Inputs!$J$7-Inputs!$I$7)))/Inputs!$K$7)^2),NA())</f>
        <v>117.35312499999999</v>
      </c>
      <c r="BB179" s="9">
        <f>IF(OR(Inputs!$F$8=TRUE,Inputs!$F$8="TRUE",Inputs!$F$8=1),(Inputs!$H$8+Inputs!$L$8*(((Inputs!$I$8+(((A179)+1)/2)*(Inputs!$J$8-Inputs!$I$8)))/Inputs!$K$8)^2),NA())</f>
        <v>252.72812500000001</v>
      </c>
      <c r="BC179" s="9">
        <f>IF(OR(Inputs!$F$9=TRUE,Inputs!$F$9="TRUE",Inputs!$F$9=1),(Inputs!$H$9+Inputs!$L$9*(((Inputs!$I$9+(((A179)+1)/2)*(Inputs!$J$9-Inputs!$I$9)))/Inputs!$K$9)^2),NA())</f>
        <v>244.984375</v>
      </c>
      <c r="BD179" s="10"/>
      <c r="BE179" s="9">
        <f t="shared" si="26"/>
        <v>0.47499999999999998</v>
      </c>
      <c r="BF179" s="9">
        <f>0</f>
        <v>0</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row>
    <row r="180" spans="1:62">
      <c r="A180" s="9">
        <f>ROUND(-1+178*2/240,3)</f>
        <v>0.48299999999999998</v>
      </c>
      <c r="B180" s="9">
        <f>IF(OR(Inputs!$F$6=TRUE,Inputs!$F$6="TRUE",Inputs!$F$6=1),(Inputs!$H$6+Inputs!$L$6*(((Inputs!$I$6+(((A180)+1)/2)*(Inputs!$J$6-Inputs!$I$6)))/Inputs!$K$6)^2),NA())</f>
        <v>400.933156</v>
      </c>
      <c r="C180" s="9">
        <f>IF(OR(Inputs!$F$7=TRUE,Inputs!$F$7="TRUE",Inputs!$F$7=1),(Inputs!$H$7+Inputs!$L$7*(((Inputs!$I$7+(((A180)+1)/2)*(Inputs!$J$7-Inputs!$I$7)))/Inputs!$K$7)^2),NA())</f>
        <v>120.15048500000003</v>
      </c>
      <c r="D180" s="9">
        <f>IF(OR(Inputs!$F$8=TRUE,Inputs!$F$8="TRUE",Inputs!$F$8=1),(Inputs!$H$8+Inputs!$L$8*(((Inputs!$I$8+(((A180)+1)/2)*(Inputs!$J$8-Inputs!$I$8)))/Inputs!$K$8)^2),NA())</f>
        <v>260.12388500000009</v>
      </c>
      <c r="E180" s="9">
        <f>IF(OR(Inputs!$F$9=TRUE,Inputs!$F$9="TRUE",Inputs!$F$9=1),(Inputs!$H$9+Inputs!$L$9*(((Inputs!$I$9+(((A180)+1)/2)*(Inputs!$J$9-Inputs!$I$9)))/Inputs!$K$9)^2),NA())</f>
        <v>252.45677500000008</v>
      </c>
      <c r="F180" s="10"/>
      <c r="G180" s="9">
        <f t="shared" si="18"/>
        <v>0.48299999999999998</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c r="L180" s="10"/>
      <c r="M180" s="9">
        <f t="shared" si="19"/>
        <v>0.48299999999999998</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-247.09312581512677</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-2206.3295518032432</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-2619.8438215786646</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-2621.8666360326174</v>
      </c>
      <c r="R180" s="10"/>
      <c r="S180" s="9">
        <f t="shared" si="20"/>
        <v>0.48299999999999998</v>
      </c>
      <c r="T180" s="9">
        <f>(Inputs!$I$6+(((A180)+1)/2)*(Inputs!$J$6-Inputs!$I$6))</f>
        <v>28.980000000000004</v>
      </c>
      <c r="U180" s="9">
        <f>(Inputs!$I$7+(((A180)+1)/2)*(Inputs!$J$7-Inputs!$I$7))</f>
        <v>193.20000000000005</v>
      </c>
      <c r="V180" s="9">
        <f>(Inputs!$I$8+(((A180)+1)/2)*(Inputs!$J$8-Inputs!$I$8))</f>
        <v>386.40000000000009</v>
      </c>
      <c r="W180" s="9">
        <f>(Inputs!$I$9+(((A180)+1)/2)*(Inputs!$J$9-Inputs!$I$9))</f>
        <v>386.40000000000009</v>
      </c>
      <c r="X180" s="10"/>
      <c r="Y180" s="9">
        <f t="shared" si="21"/>
        <v>0.48299999999999998</v>
      </c>
      <c r="Z180" s="9">
        <f>(Inputs!$H$6+Inputs!$L$6*(((Inputs!$I$6+(((A180)+1)/2)*(Inputs!$J$6-Inputs!$I$6)))/Inputs!$K$6)^2)</f>
        <v>400.933156</v>
      </c>
      <c r="AA180" s="9">
        <f>(Inputs!$H$7+Inputs!$L$7*(((Inputs!$I$7+(((A180)+1)/2)*(Inputs!$J$7-Inputs!$I$7)))/Inputs!$K$7)^2)</f>
        <v>120.15048500000003</v>
      </c>
      <c r="AB180" s="9">
        <f>(Inputs!$H$8+Inputs!$L$8*(((Inputs!$I$8+(((A180)+1)/2)*(Inputs!$J$8-Inputs!$I$8)))/Inputs!$K$8)^2)</f>
        <v>260.12388500000009</v>
      </c>
      <c r="AC180" s="9">
        <f>(Inputs!$H$9+Inputs!$L$9*(((Inputs!$I$9+(((A180)+1)/2)*(Inputs!$J$9-Inputs!$I$9)))/Inputs!$K$9)^2)</f>
        <v>252.45677500000008</v>
      </c>
      <c r="AD180" s="10"/>
      <c r="AE180" s="9">
        <f t="shared" si="22"/>
        <v>0.48299999999999998</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1286.1779839771466</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64559.049991515094</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130051.89381794147</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131682.09352150981</v>
      </c>
      <c r="AJ180" s="10"/>
      <c r="AK180" s="9">
        <f t="shared" si="23"/>
        <v>0.48299999999999998</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-247.09312581512677</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-2206.3295518032432</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-2619.8438215786646</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-2621.8666360326174</v>
      </c>
      <c r="AP180" s="10"/>
      <c r="AQ180" s="9">
        <f t="shared" si="24"/>
        <v>0.48299999999999998</v>
      </c>
      <c r="AR180" s="9">
        <f>0</f>
        <v>0</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275.33228870662612</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75.650340762904989</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172.29954163024684</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172.29954163024684</v>
      </c>
      <c r="AW180" s="10"/>
      <c r="AX180" s="9">
        <f t="shared" si="25"/>
        <v>0.48299999999999998</v>
      </c>
      <c r="AY180" s="9">
        <f>0</f>
        <v>0</v>
      </c>
      <c r="AZ180" s="9">
        <f>IF(OR(Inputs!$F$6=TRUE,Inputs!$F$6="TRUE",Inputs!$F$6=1),(Inputs!$H$6+Inputs!$L$6*(((Inputs!$I$6+(((A180)+1)/2)*(Inputs!$J$6-Inputs!$I$6)))/Inputs!$K$6)^2),NA())</f>
        <v>400.933156</v>
      </c>
      <c r="BA180" s="9">
        <f>IF(OR(Inputs!$F$7=TRUE,Inputs!$F$7="TRUE",Inputs!$F$7=1),(Inputs!$H$7+Inputs!$L$7*(((Inputs!$I$7+(((A180)+1)/2)*(Inputs!$J$7-Inputs!$I$7)))/Inputs!$K$7)^2),NA())</f>
        <v>120.15048500000003</v>
      </c>
      <c r="BB180" s="9">
        <f>IF(OR(Inputs!$F$8=TRUE,Inputs!$F$8="TRUE",Inputs!$F$8=1),(Inputs!$H$8+Inputs!$L$8*(((Inputs!$I$8+(((A180)+1)/2)*(Inputs!$J$8-Inputs!$I$8)))/Inputs!$K$8)^2),NA())</f>
        <v>260.12388500000009</v>
      </c>
      <c r="BC180" s="9">
        <f>IF(OR(Inputs!$F$9=TRUE,Inputs!$F$9="TRUE",Inputs!$F$9=1),(Inputs!$H$9+Inputs!$L$9*(((Inputs!$I$9+(((A180)+1)/2)*(Inputs!$J$9-Inputs!$I$9)))/Inputs!$K$9)^2),NA())</f>
        <v>252.45677500000008</v>
      </c>
      <c r="BD180" s="10"/>
      <c r="BE180" s="9">
        <f t="shared" si="26"/>
        <v>0.48299999999999998</v>
      </c>
      <c r="BF180" s="9">
        <f>0</f>
        <v>0</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row>
    <row r="181" spans="1:62">
      <c r="A181" s="9">
        <f>ROUND(-1+179*2/240,3)</f>
        <v>0.49199999999999999</v>
      </c>
      <c r="B181" s="9">
        <f>IF(OR(Inputs!$F$6=TRUE,Inputs!$F$6="TRUE",Inputs!$F$6=1),(Inputs!$H$6+Inputs!$L$6*(((Inputs!$I$6+(((A181)+1)/2)*(Inputs!$J$6-Inputs!$I$6)))/Inputs!$K$6)^2),NA())</f>
        <v>400.968256</v>
      </c>
      <c r="C181" s="9">
        <f>IF(OR(Inputs!$F$7=TRUE,Inputs!$F$7="TRUE",Inputs!$F$7=1),(Inputs!$H$7+Inputs!$L$7*(((Inputs!$I$7+(((A181)+1)/2)*(Inputs!$J$7-Inputs!$I$7)))/Inputs!$K$7)^2),NA())</f>
        <v>123.35335999999997</v>
      </c>
      <c r="D181" s="9">
        <f>IF(OR(Inputs!$F$8=TRUE,Inputs!$F$8="TRUE",Inputs!$F$8=1),(Inputs!$H$8+Inputs!$L$8*(((Inputs!$I$8+(((A181)+1)/2)*(Inputs!$J$8-Inputs!$I$8)))/Inputs!$K$8)^2),NA())</f>
        <v>268.59175999999991</v>
      </c>
      <c r="E181" s="9">
        <f>IF(OR(Inputs!$F$9=TRUE,Inputs!$F$9="TRUE",Inputs!$F$9=1),(Inputs!$H$9+Inputs!$L$9*(((Inputs!$I$9+(((A181)+1)/2)*(Inputs!$J$9-Inputs!$I$9)))/Inputs!$K$9)^2),NA())</f>
        <v>261.0123999999999</v>
      </c>
      <c r="F181" s="10"/>
      <c r="G181" s="9">
        <f t="shared" si="18"/>
        <v>0.49199999999999999</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c r="L181" s="10"/>
      <c r="M181" s="9">
        <f t="shared" si="19"/>
        <v>0.49199999999999999</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-251.65890325567995</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-2225.168186472958</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-2650.6188352046966</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-2653.2172841269071</v>
      </c>
      <c r="R181" s="10"/>
      <c r="S181" s="9">
        <f t="shared" si="20"/>
        <v>0.49199999999999999</v>
      </c>
      <c r="T181" s="9">
        <f>(Inputs!$I$6+(((A181)+1)/2)*(Inputs!$J$6-Inputs!$I$6))</f>
        <v>29.519999999999996</v>
      </c>
      <c r="U181" s="9">
        <f>(Inputs!$I$7+(((A181)+1)/2)*(Inputs!$J$7-Inputs!$I$7))</f>
        <v>196.79999999999995</v>
      </c>
      <c r="V181" s="9">
        <f>(Inputs!$I$8+(((A181)+1)/2)*(Inputs!$J$8-Inputs!$I$8))</f>
        <v>393.59999999999991</v>
      </c>
      <c r="W181" s="9">
        <f>(Inputs!$I$9+(((A181)+1)/2)*(Inputs!$J$9-Inputs!$I$9))</f>
        <v>393.59999999999991</v>
      </c>
      <c r="X181" s="10"/>
      <c r="Y181" s="9">
        <f t="shared" si="21"/>
        <v>0.49199999999999999</v>
      </c>
      <c r="Z181" s="9">
        <f>(Inputs!$H$6+Inputs!$L$6*(((Inputs!$I$6+(((A181)+1)/2)*(Inputs!$J$6-Inputs!$I$6)))/Inputs!$K$6)^2)</f>
        <v>400.968256</v>
      </c>
      <c r="AA181" s="9">
        <f>(Inputs!$H$7+Inputs!$L$7*(((Inputs!$I$7+(((A181)+1)/2)*(Inputs!$J$7-Inputs!$I$7)))/Inputs!$K$7)^2)</f>
        <v>123.35335999999997</v>
      </c>
      <c r="AB181" s="9">
        <f>(Inputs!$H$8+Inputs!$L$8*(((Inputs!$I$8+(((A181)+1)/2)*(Inputs!$J$8-Inputs!$I$8)))/Inputs!$K$8)^2)</f>
        <v>268.59175999999991</v>
      </c>
      <c r="AC181" s="9">
        <f>(Inputs!$H$9+Inputs!$L$9*(((Inputs!$I$9+(((A181)+1)/2)*(Inputs!$J$9-Inputs!$I$9)))/Inputs!$K$9)^2)</f>
        <v>261.0123999999999</v>
      </c>
      <c r="AD181" s="10"/>
      <c r="AE181" s="9">
        <f t="shared" si="22"/>
        <v>0.49199999999999999</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1313.742289353554</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65560.470643463443</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131956.70325951505</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133543.4457826576</v>
      </c>
      <c r="AJ181" s="10"/>
      <c r="AK181" s="9">
        <f t="shared" si="23"/>
        <v>0.49199999999999999</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-251.65890325567995</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-2225.168186472958</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-2650.6188352046966</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-2653.2172841269071</v>
      </c>
      <c r="AP181" s="10"/>
      <c r="AQ181" s="9">
        <f t="shared" si="24"/>
        <v>0.49199999999999999</v>
      </c>
      <c r="AR181" s="9">
        <f>0</f>
        <v>0</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279.43510440446897</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107.35304268822318</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80.879307469793645</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80.879307469793645</v>
      </c>
      <c r="AW181" s="10"/>
      <c r="AX181" s="9">
        <f t="shared" si="25"/>
        <v>0.49199999999999999</v>
      </c>
      <c r="AY181" s="9">
        <f>0</f>
        <v>0</v>
      </c>
      <c r="AZ181" s="9">
        <f>IF(OR(Inputs!$F$6=TRUE,Inputs!$F$6="TRUE",Inputs!$F$6=1),(Inputs!$H$6+Inputs!$L$6*(((Inputs!$I$6+(((A181)+1)/2)*(Inputs!$J$6-Inputs!$I$6)))/Inputs!$K$6)^2),NA())</f>
        <v>400.968256</v>
      </c>
      <c r="BA181" s="9">
        <f>IF(OR(Inputs!$F$7=TRUE,Inputs!$F$7="TRUE",Inputs!$F$7=1),(Inputs!$H$7+Inputs!$L$7*(((Inputs!$I$7+(((A181)+1)/2)*(Inputs!$J$7-Inputs!$I$7)))/Inputs!$K$7)^2),NA())</f>
        <v>123.35335999999997</v>
      </c>
      <c r="BB181" s="9">
        <f>IF(OR(Inputs!$F$8=TRUE,Inputs!$F$8="TRUE",Inputs!$F$8=1),(Inputs!$H$8+Inputs!$L$8*(((Inputs!$I$8+(((A181)+1)/2)*(Inputs!$J$8-Inputs!$I$8)))/Inputs!$K$8)^2),NA())</f>
        <v>268.59175999999991</v>
      </c>
      <c r="BC181" s="9">
        <f>IF(OR(Inputs!$F$9=TRUE,Inputs!$F$9="TRUE",Inputs!$F$9=1),(Inputs!$H$9+Inputs!$L$9*(((Inputs!$I$9+(((A181)+1)/2)*(Inputs!$J$9-Inputs!$I$9)))/Inputs!$K$9)^2),NA())</f>
        <v>261.0123999999999</v>
      </c>
      <c r="BD181" s="10"/>
      <c r="BE181" s="9">
        <f t="shared" si="26"/>
        <v>0.49199999999999999</v>
      </c>
      <c r="BF181" s="9">
        <f>0</f>
        <v>0</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row>
    <row r="182" spans="1:62">
      <c r="A182" s="9">
        <f>ROUND(-1+180*2/240,3)</f>
        <v>0.5</v>
      </c>
      <c r="B182" s="9">
        <f>IF(OR(Inputs!$F$6=TRUE,Inputs!$F$6="TRUE",Inputs!$F$6=1),(Inputs!$H$6+Inputs!$L$6*(((Inputs!$I$6+(((A182)+1)/2)*(Inputs!$J$6-Inputs!$I$6)))/Inputs!$K$6)^2),NA())</f>
        <v>401</v>
      </c>
      <c r="C182" s="9">
        <f>IF(OR(Inputs!$F$7=TRUE,Inputs!$F$7="TRUE",Inputs!$F$7=1),(Inputs!$H$7+Inputs!$L$7*(((Inputs!$I$7+(((A182)+1)/2)*(Inputs!$J$7-Inputs!$I$7)))/Inputs!$K$7)^2),NA())</f>
        <v>126.25</v>
      </c>
      <c r="D182" s="9">
        <f>IF(OR(Inputs!$F$8=TRUE,Inputs!$F$8="TRUE",Inputs!$F$8=1),(Inputs!$H$8+Inputs!$L$8*(((Inputs!$I$8+(((A182)+1)/2)*(Inputs!$J$8-Inputs!$I$8)))/Inputs!$K$8)^2),NA())</f>
        <v>276.25</v>
      </c>
      <c r="E182" s="9">
        <f>IF(OR(Inputs!$F$9=TRUE,Inputs!$F$9="TRUE",Inputs!$F$9=1),(Inputs!$H$9+Inputs!$L$9*(((Inputs!$I$9+(((A182)+1)/2)*(Inputs!$J$9-Inputs!$I$9)))/Inputs!$K$9)^2),NA())</f>
        <v>268.75</v>
      </c>
      <c r="F182" s="10"/>
      <c r="G182" s="9">
        <f t="shared" si="18"/>
        <v>0.5</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c r="L182" s="10"/>
      <c r="M182" s="9">
        <f t="shared" si="19"/>
        <v>0.5</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-255.71560694058931</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-2242.0535908117408</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-2678.2070044248176</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-2681.3205118758365</v>
      </c>
      <c r="R182" s="10"/>
      <c r="S182" s="9">
        <f t="shared" si="20"/>
        <v>0.5</v>
      </c>
      <c r="T182" s="9">
        <f>(Inputs!$I$6+(((A182)+1)/2)*(Inputs!$J$6-Inputs!$I$6))</f>
        <v>30</v>
      </c>
      <c r="U182" s="9">
        <f>(Inputs!$I$7+(((A182)+1)/2)*(Inputs!$J$7-Inputs!$I$7))</f>
        <v>200</v>
      </c>
      <c r="V182" s="9">
        <f>(Inputs!$I$8+(((A182)+1)/2)*(Inputs!$J$8-Inputs!$I$8))</f>
        <v>400</v>
      </c>
      <c r="W182" s="9">
        <f>(Inputs!$I$9+(((A182)+1)/2)*(Inputs!$J$9-Inputs!$I$9))</f>
        <v>400</v>
      </c>
      <c r="X182" s="10"/>
      <c r="Y182" s="9">
        <f t="shared" si="21"/>
        <v>0.5</v>
      </c>
      <c r="Z182" s="9">
        <f>(Inputs!$H$6+Inputs!$L$6*(((Inputs!$I$6+(((A182)+1)/2)*(Inputs!$J$6-Inputs!$I$6)))/Inputs!$K$6)^2)</f>
        <v>401</v>
      </c>
      <c r="AA182" s="9">
        <f>(Inputs!$H$7+Inputs!$L$7*(((Inputs!$I$7+(((A182)+1)/2)*(Inputs!$J$7-Inputs!$I$7)))/Inputs!$K$7)^2)</f>
        <v>126.25</v>
      </c>
      <c r="AB182" s="9">
        <f>(Inputs!$H$8+Inputs!$L$8*(((Inputs!$I$8+(((A182)+1)/2)*(Inputs!$J$8-Inputs!$I$8)))/Inputs!$K$8)^2)</f>
        <v>276.25</v>
      </c>
      <c r="AC182" s="9">
        <f>(Inputs!$H$9+Inputs!$L$9*(((Inputs!$I$9+(((A182)+1)/2)*(Inputs!$J$9-Inputs!$I$9)))/Inputs!$K$9)^2)</f>
        <v>268.75</v>
      </c>
      <c r="AD182" s="10"/>
      <c r="AE182" s="9">
        <f t="shared" si="22"/>
        <v>0.5</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1338.6648839632076</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66442.807601025852</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133641.7255249072</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135190.30115575515</v>
      </c>
      <c r="AJ182" s="10"/>
      <c r="AK182" s="9">
        <f t="shared" si="23"/>
        <v>0.5</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-255.71560694058931</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-2242.0535908117408</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-2678.2070044248176</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-2681.3205118758365</v>
      </c>
      <c r="AP182" s="10"/>
      <c r="AQ182" s="9">
        <f t="shared" si="24"/>
        <v>0.5</v>
      </c>
      <c r="AR182" s="9">
        <f>0</f>
        <v>0</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258.38103540276461</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158.86775074007286</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200.74184530236539</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200.74184530236539</v>
      </c>
      <c r="AW182" s="10"/>
      <c r="AX182" s="9">
        <f t="shared" si="25"/>
        <v>0.5</v>
      </c>
      <c r="AY182" s="9">
        <f>0</f>
        <v>0</v>
      </c>
      <c r="AZ182" s="9">
        <f>IF(OR(Inputs!$F$6=TRUE,Inputs!$F$6="TRUE",Inputs!$F$6=1),(Inputs!$H$6+Inputs!$L$6*(((Inputs!$I$6+(((A182)+1)/2)*(Inputs!$J$6-Inputs!$I$6)))/Inputs!$K$6)^2),NA())</f>
        <v>401</v>
      </c>
      <c r="BA182" s="9">
        <f>IF(OR(Inputs!$F$7=TRUE,Inputs!$F$7="TRUE",Inputs!$F$7=1),(Inputs!$H$7+Inputs!$L$7*(((Inputs!$I$7+(((A182)+1)/2)*(Inputs!$J$7-Inputs!$I$7)))/Inputs!$K$7)^2),NA())</f>
        <v>126.25</v>
      </c>
      <c r="BB182" s="9">
        <f>IF(OR(Inputs!$F$8=TRUE,Inputs!$F$8="TRUE",Inputs!$F$8=1),(Inputs!$H$8+Inputs!$L$8*(((Inputs!$I$8+(((A182)+1)/2)*(Inputs!$J$8-Inputs!$I$8)))/Inputs!$K$8)^2),NA())</f>
        <v>276.25</v>
      </c>
      <c r="BC182" s="9">
        <f>IF(OR(Inputs!$F$9=TRUE,Inputs!$F$9="TRUE",Inputs!$F$9=1),(Inputs!$H$9+Inputs!$L$9*(((Inputs!$I$9+(((A182)+1)/2)*(Inputs!$J$9-Inputs!$I$9)))/Inputs!$K$9)^2),NA())</f>
        <v>268.75</v>
      </c>
      <c r="BD182" s="10"/>
      <c r="BE182" s="9">
        <f t="shared" si="26"/>
        <v>0.5</v>
      </c>
      <c r="BF182" s="9">
        <f>0</f>
        <v>0</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row>
    <row r="183" spans="1:62">
      <c r="A183" s="9">
        <f>ROUND(-1+181*2/240,3)</f>
        <v>0.50800000000000001</v>
      </c>
      <c r="B183" s="9">
        <f>IF(OR(Inputs!$F$6=TRUE,Inputs!$F$6="TRUE",Inputs!$F$6=1),(Inputs!$H$6+Inputs!$L$6*(((Inputs!$I$6+(((A183)+1)/2)*(Inputs!$J$6-Inputs!$I$6)))/Inputs!$K$6)^2),NA())</f>
        <v>401.03225600000002</v>
      </c>
      <c r="C183" s="9">
        <f>IF(OR(Inputs!$F$7=TRUE,Inputs!$F$7="TRUE",Inputs!$F$7=1),(Inputs!$H$7+Inputs!$L$7*(((Inputs!$I$7+(((A183)+1)/2)*(Inputs!$J$7-Inputs!$I$7)))/Inputs!$K$7)^2),NA())</f>
        <v>129.19336000000004</v>
      </c>
      <c r="D183" s="9">
        <f>IF(OR(Inputs!$F$8=TRUE,Inputs!$F$8="TRUE",Inputs!$F$8=1),(Inputs!$H$8+Inputs!$L$8*(((Inputs!$I$8+(((A183)+1)/2)*(Inputs!$J$8-Inputs!$I$8)))/Inputs!$K$8)^2),NA())</f>
        <v>284.03176000000013</v>
      </c>
      <c r="E183" s="9">
        <f>IF(OR(Inputs!$F$9=TRUE,Inputs!$F$9="TRUE",Inputs!$F$9=1),(Inputs!$H$9+Inputs!$L$9*(((Inputs!$I$9+(((A183)+1)/2)*(Inputs!$J$9-Inputs!$I$9)))/Inputs!$K$9)^2),NA())</f>
        <v>276.61240000000009</v>
      </c>
      <c r="F183" s="10"/>
      <c r="G183" s="9">
        <f t="shared" si="18"/>
        <v>0.50800000000000001</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c r="L183" s="10"/>
      <c r="M183" s="9">
        <f t="shared" si="19"/>
        <v>0.50800000000000001</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-259.77062280686749</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-2259.0710879618123</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-2706.008765684096</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-2709.6400639267272</v>
      </c>
      <c r="R183" s="10"/>
      <c r="S183" s="9">
        <f t="shared" si="20"/>
        <v>0.50800000000000001</v>
      </c>
      <c r="T183" s="9">
        <f>(Inputs!$I$6+(((A183)+1)/2)*(Inputs!$J$6-Inputs!$I$6))</f>
        <v>30.480000000000004</v>
      </c>
      <c r="U183" s="9">
        <f>(Inputs!$I$7+(((A183)+1)/2)*(Inputs!$J$7-Inputs!$I$7))</f>
        <v>203.20000000000005</v>
      </c>
      <c r="V183" s="9">
        <f>(Inputs!$I$8+(((A183)+1)/2)*(Inputs!$J$8-Inputs!$I$8))</f>
        <v>406.40000000000009</v>
      </c>
      <c r="W183" s="9">
        <f>(Inputs!$I$9+(((A183)+1)/2)*(Inputs!$J$9-Inputs!$I$9))</f>
        <v>406.40000000000009</v>
      </c>
      <c r="X183" s="10"/>
      <c r="Y183" s="9">
        <f t="shared" si="21"/>
        <v>0.50800000000000001</v>
      </c>
      <c r="Z183" s="9">
        <f>(Inputs!$H$6+Inputs!$L$6*(((Inputs!$I$6+(((A183)+1)/2)*(Inputs!$J$6-Inputs!$I$6)))/Inputs!$K$6)^2)</f>
        <v>401.03225600000002</v>
      </c>
      <c r="AA183" s="9">
        <f>(Inputs!$H$7+Inputs!$L$7*(((Inputs!$I$7+(((A183)+1)/2)*(Inputs!$J$7-Inputs!$I$7)))/Inputs!$K$7)^2)</f>
        <v>129.19336000000004</v>
      </c>
      <c r="AB183" s="9">
        <f>(Inputs!$H$8+Inputs!$L$8*(((Inputs!$I$8+(((A183)+1)/2)*(Inputs!$J$8-Inputs!$I$8)))/Inputs!$K$8)^2)</f>
        <v>284.03176000000013</v>
      </c>
      <c r="AC183" s="9">
        <f>(Inputs!$H$9+Inputs!$L$9*(((Inputs!$I$9+(((A183)+1)/2)*(Inputs!$J$9-Inputs!$I$9)))/Inputs!$K$9)^2)</f>
        <v>276.61240000000009</v>
      </c>
      <c r="AD183" s="10"/>
      <c r="AE183" s="9">
        <f t="shared" si="22"/>
        <v>0.50800000000000001</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1363.9834103540206</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67317.943918600096</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135319.5913621739</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136830.4415826691</v>
      </c>
      <c r="AJ183" s="10"/>
      <c r="AK183" s="9">
        <f t="shared" si="23"/>
        <v>0.50800000000000001</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-259.77062280686749</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-2259.0710879618123</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-2706.008765684096</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-2709.6400639267272</v>
      </c>
      <c r="AP183" s="10"/>
      <c r="AQ183" s="9">
        <f t="shared" si="24"/>
        <v>0.50800000000000001</v>
      </c>
      <c r="AR183" s="9">
        <f>0</f>
        <v>0</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248.30462581119681</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188.56626253642412</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74.779955977572115</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74.779955977572115</v>
      </c>
      <c r="AW183" s="10"/>
      <c r="AX183" s="9">
        <f t="shared" si="25"/>
        <v>0.50800000000000001</v>
      </c>
      <c r="AY183" s="9">
        <f>0</f>
        <v>0</v>
      </c>
      <c r="AZ183" s="9">
        <f>IF(OR(Inputs!$F$6=TRUE,Inputs!$F$6="TRUE",Inputs!$F$6=1),(Inputs!$H$6+Inputs!$L$6*(((Inputs!$I$6+(((A183)+1)/2)*(Inputs!$J$6-Inputs!$I$6)))/Inputs!$K$6)^2),NA())</f>
        <v>401.03225600000002</v>
      </c>
      <c r="BA183" s="9">
        <f>IF(OR(Inputs!$F$7=TRUE,Inputs!$F$7="TRUE",Inputs!$F$7=1),(Inputs!$H$7+Inputs!$L$7*(((Inputs!$I$7+(((A183)+1)/2)*(Inputs!$J$7-Inputs!$I$7)))/Inputs!$K$7)^2),NA())</f>
        <v>129.19336000000004</v>
      </c>
      <c r="BB183" s="9">
        <f>IF(OR(Inputs!$F$8=TRUE,Inputs!$F$8="TRUE",Inputs!$F$8=1),(Inputs!$H$8+Inputs!$L$8*(((Inputs!$I$8+(((A183)+1)/2)*(Inputs!$J$8-Inputs!$I$8)))/Inputs!$K$8)^2),NA())</f>
        <v>284.03176000000013</v>
      </c>
      <c r="BC183" s="9">
        <f>IF(OR(Inputs!$F$9=TRUE,Inputs!$F$9="TRUE",Inputs!$F$9=1),(Inputs!$H$9+Inputs!$L$9*(((Inputs!$I$9+(((A183)+1)/2)*(Inputs!$J$9-Inputs!$I$9)))/Inputs!$K$9)^2),NA())</f>
        <v>276.61240000000009</v>
      </c>
      <c r="BD183" s="10"/>
      <c r="BE183" s="9">
        <f t="shared" si="26"/>
        <v>0.50800000000000001</v>
      </c>
      <c r="BF183" s="9">
        <f>0</f>
        <v>0</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row>
    <row r="184" spans="1:62">
      <c r="A184" s="9">
        <f>ROUND(-1+182*2/240,3)</f>
        <v>0.51700000000000002</v>
      </c>
      <c r="B184" s="9">
        <f>IF(OR(Inputs!$F$6=TRUE,Inputs!$F$6="TRUE",Inputs!$F$6=1),(Inputs!$H$6+Inputs!$L$6*(((Inputs!$I$6+(((A184)+1)/2)*(Inputs!$J$6-Inputs!$I$6)))/Inputs!$K$6)^2),NA())</f>
        <v>401.06915600000002</v>
      </c>
      <c r="C184" s="9">
        <f>IF(OR(Inputs!$F$7=TRUE,Inputs!$F$7="TRUE",Inputs!$F$7=1),(Inputs!$H$7+Inputs!$L$7*(((Inputs!$I$7+(((A184)+1)/2)*(Inputs!$J$7-Inputs!$I$7)))/Inputs!$K$7)^2),NA())</f>
        <v>132.56048499999997</v>
      </c>
      <c r="D184" s="9">
        <f>IF(OR(Inputs!$F$8=TRUE,Inputs!$F$8="TRUE",Inputs!$F$8=1),(Inputs!$H$8+Inputs!$L$8*(((Inputs!$I$8+(((A184)+1)/2)*(Inputs!$J$8-Inputs!$I$8)))/Inputs!$K$8)^2),NA())</f>
        <v>292.93388499999992</v>
      </c>
      <c r="E184" s="9">
        <f>IF(OR(Inputs!$F$9=TRUE,Inputs!$F$9="TRUE",Inputs!$F$9=1),(Inputs!$H$9+Inputs!$L$9*(((Inputs!$I$9+(((A184)+1)/2)*(Inputs!$J$9-Inputs!$I$9)))/Inputs!$K$9)^2),NA())</f>
        <v>285.60677499999991</v>
      </c>
      <c r="F184" s="10"/>
      <c r="G184" s="9">
        <f t="shared" si="18"/>
        <v>0.51700000000000002</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c r="L184" s="10"/>
      <c r="M184" s="9">
        <f t="shared" si="19"/>
        <v>0.51700000000000002</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-264.33046660928352</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-2278.3738359403364</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-2737.5347497540224</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-2741.7513278623705</v>
      </c>
      <c r="R184" s="10"/>
      <c r="S184" s="9">
        <f t="shared" si="20"/>
        <v>0.51700000000000002</v>
      </c>
      <c r="T184" s="9">
        <f>(Inputs!$I$6+(((A184)+1)/2)*(Inputs!$J$6-Inputs!$I$6))</f>
        <v>31.019999999999996</v>
      </c>
      <c r="U184" s="9">
        <f>(Inputs!$I$7+(((A184)+1)/2)*(Inputs!$J$7-Inputs!$I$7))</f>
        <v>206.79999999999995</v>
      </c>
      <c r="V184" s="9">
        <f>(Inputs!$I$8+(((A184)+1)/2)*(Inputs!$J$8-Inputs!$I$8))</f>
        <v>413.59999999999991</v>
      </c>
      <c r="W184" s="9">
        <f>(Inputs!$I$9+(((A184)+1)/2)*(Inputs!$J$9-Inputs!$I$9))</f>
        <v>413.59999999999991</v>
      </c>
      <c r="X184" s="10"/>
      <c r="Y184" s="9">
        <f t="shared" si="21"/>
        <v>0.51700000000000002</v>
      </c>
      <c r="Z184" s="9">
        <f>(Inputs!$H$6+Inputs!$L$6*(((Inputs!$I$6+(((A184)+1)/2)*(Inputs!$J$6-Inputs!$I$6)))/Inputs!$K$6)^2)</f>
        <v>401.06915600000002</v>
      </c>
      <c r="AA184" s="9">
        <f>(Inputs!$H$7+Inputs!$L$7*(((Inputs!$I$7+(((A184)+1)/2)*(Inputs!$J$7-Inputs!$I$7)))/Inputs!$K$7)^2)</f>
        <v>132.56048499999997</v>
      </c>
      <c r="AB184" s="9">
        <f>(Inputs!$H$8+Inputs!$L$8*(((Inputs!$I$8+(((A184)+1)/2)*(Inputs!$J$8-Inputs!$I$8)))/Inputs!$K$8)^2)</f>
        <v>292.93388499999992</v>
      </c>
      <c r="AC184" s="9">
        <f>(Inputs!$H$9+Inputs!$L$9*(((Inputs!$I$9+(((A184)+1)/2)*(Inputs!$J$9-Inputs!$I$9)))/Inputs!$K$9)^2)</f>
        <v>285.60677499999991</v>
      </c>
      <c r="AD184" s="10"/>
      <c r="AE184" s="9">
        <f t="shared" si="22"/>
        <v>0.51700000000000002</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1392.939657729881</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68294.050186912355</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137199.22635367914</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138668.17023633647</v>
      </c>
      <c r="AJ184" s="10"/>
      <c r="AK184" s="9">
        <f t="shared" si="23"/>
        <v>0.51700000000000002</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-264.33046660928352</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-2278.3738359403364</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-2737.5347497540224</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-2741.7513278623705</v>
      </c>
      <c r="AP184" s="10"/>
      <c r="AQ184" s="9">
        <f t="shared" si="24"/>
        <v>0.51700000000000002</v>
      </c>
      <c r="AR184" s="9">
        <f>0</f>
        <v>0</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244.67710451683851</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165.27951163003507</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139.62227780424172</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139.62227780424172</v>
      </c>
      <c r="AW184" s="10"/>
      <c r="AX184" s="9">
        <f t="shared" si="25"/>
        <v>0.51700000000000002</v>
      </c>
      <c r="AY184" s="9">
        <f>0</f>
        <v>0</v>
      </c>
      <c r="AZ184" s="9">
        <f>IF(OR(Inputs!$F$6=TRUE,Inputs!$F$6="TRUE",Inputs!$F$6=1),(Inputs!$H$6+Inputs!$L$6*(((Inputs!$I$6+(((A184)+1)/2)*(Inputs!$J$6-Inputs!$I$6)))/Inputs!$K$6)^2),NA())</f>
        <v>401.06915600000002</v>
      </c>
      <c r="BA184" s="9">
        <f>IF(OR(Inputs!$F$7=TRUE,Inputs!$F$7="TRUE",Inputs!$F$7=1),(Inputs!$H$7+Inputs!$L$7*(((Inputs!$I$7+(((A184)+1)/2)*(Inputs!$J$7-Inputs!$I$7)))/Inputs!$K$7)^2),NA())</f>
        <v>132.56048499999997</v>
      </c>
      <c r="BB184" s="9">
        <f>IF(OR(Inputs!$F$8=TRUE,Inputs!$F$8="TRUE",Inputs!$F$8=1),(Inputs!$H$8+Inputs!$L$8*(((Inputs!$I$8+(((A184)+1)/2)*(Inputs!$J$8-Inputs!$I$8)))/Inputs!$K$8)^2),NA())</f>
        <v>292.93388499999992</v>
      </c>
      <c r="BC184" s="9">
        <f>IF(OR(Inputs!$F$9=TRUE,Inputs!$F$9="TRUE",Inputs!$F$9=1),(Inputs!$H$9+Inputs!$L$9*(((Inputs!$I$9+(((A184)+1)/2)*(Inputs!$J$9-Inputs!$I$9)))/Inputs!$K$9)^2),NA())</f>
        <v>285.60677499999991</v>
      </c>
      <c r="BD184" s="10"/>
      <c r="BE184" s="9">
        <f t="shared" si="26"/>
        <v>0.51700000000000002</v>
      </c>
      <c r="BF184" s="9">
        <f>0</f>
        <v>0</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row>
    <row r="185" spans="1:62">
      <c r="A185" s="9">
        <f>ROUND(-1+183*2/240,3)</f>
        <v>0.52500000000000002</v>
      </c>
      <c r="B185" s="9">
        <f>IF(OR(Inputs!$F$6=TRUE,Inputs!$F$6="TRUE",Inputs!$F$6=1),(Inputs!$H$6+Inputs!$L$6*(((Inputs!$I$6+(((A185)+1)/2)*(Inputs!$J$6-Inputs!$I$6)))/Inputs!$K$6)^2),NA())</f>
        <v>401.10250000000002</v>
      </c>
      <c r="C185" s="9">
        <f>IF(OR(Inputs!$F$7=TRUE,Inputs!$F$7="TRUE",Inputs!$F$7=1),(Inputs!$H$7+Inputs!$L$7*(((Inputs!$I$7+(((A185)+1)/2)*(Inputs!$J$7-Inputs!$I$7)))/Inputs!$K$7)^2),NA())</f>
        <v>135.60312500000001</v>
      </c>
      <c r="D185" s="9">
        <f>IF(OR(Inputs!$F$8=TRUE,Inputs!$F$8="TRUE",Inputs!$F$8=1),(Inputs!$H$8+Inputs!$L$8*(((Inputs!$I$8+(((A185)+1)/2)*(Inputs!$J$8-Inputs!$I$8)))/Inputs!$K$8)^2),NA())</f>
        <v>300.97812500000003</v>
      </c>
      <c r="E185" s="9">
        <f>IF(OR(Inputs!$F$9=TRUE,Inputs!$F$9="TRUE",Inputs!$F$9=1),(Inputs!$H$9+Inputs!$L$9*(((Inputs!$I$9+(((A185)+1)/2)*(Inputs!$J$9-Inputs!$I$9)))/Inputs!$K$9)^2),NA())</f>
        <v>293.734375</v>
      </c>
      <c r="F185" s="10"/>
      <c r="G185" s="9">
        <f t="shared" si="18"/>
        <v>0.52500000000000002</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c r="L185" s="10"/>
      <c r="M185" s="9">
        <f t="shared" si="19"/>
        <v>0.52500000000000002</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-268.38181174398898</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-2295.6722738105373</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-2765.7736366966515</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-2770.5125083741054</v>
      </c>
      <c r="R185" s="10"/>
      <c r="S185" s="9">
        <f t="shared" si="20"/>
        <v>0.52500000000000002</v>
      </c>
      <c r="T185" s="9">
        <f>(Inputs!$I$6+(((A185)+1)/2)*(Inputs!$J$6-Inputs!$I$6))</f>
        <v>31.5</v>
      </c>
      <c r="U185" s="9">
        <f>(Inputs!$I$7+(((A185)+1)/2)*(Inputs!$J$7-Inputs!$I$7))</f>
        <v>210</v>
      </c>
      <c r="V185" s="9">
        <f>(Inputs!$I$8+(((A185)+1)/2)*(Inputs!$J$8-Inputs!$I$8))</f>
        <v>420</v>
      </c>
      <c r="W185" s="9">
        <f>(Inputs!$I$9+(((A185)+1)/2)*(Inputs!$J$9-Inputs!$I$9))</f>
        <v>420</v>
      </c>
      <c r="X185" s="10"/>
      <c r="Y185" s="9">
        <f t="shared" si="21"/>
        <v>0.52500000000000002</v>
      </c>
      <c r="Z185" s="9">
        <f>(Inputs!$H$6+Inputs!$L$6*(((Inputs!$I$6+(((A185)+1)/2)*(Inputs!$J$6-Inputs!$I$6)))/Inputs!$K$6)^2)</f>
        <v>401.10250000000002</v>
      </c>
      <c r="AA185" s="9">
        <f>(Inputs!$H$7+Inputs!$L$7*(((Inputs!$I$7+(((A185)+1)/2)*(Inputs!$J$7-Inputs!$I$7)))/Inputs!$K$7)^2)</f>
        <v>135.60312500000001</v>
      </c>
      <c r="AB185" s="9">
        <f>(Inputs!$H$8+Inputs!$L$8*(((Inputs!$I$8+(((A185)+1)/2)*(Inputs!$J$8-Inputs!$I$8)))/Inputs!$K$8)^2)</f>
        <v>300.97812500000003</v>
      </c>
      <c r="AC185" s="9">
        <f>(Inputs!$H$9+Inputs!$L$9*(((Inputs!$I$9+(((A185)+1)/2)*(Inputs!$J$9-Inputs!$I$9)))/Inputs!$K$9)^2)</f>
        <v>293.734375</v>
      </c>
      <c r="AD185" s="10"/>
      <c r="AE185" s="9">
        <f t="shared" si="22"/>
        <v>0.52500000000000002</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1419.0985822283808</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69154.378330409847</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138863.4454390576</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140295.61983985599</v>
      </c>
      <c r="AJ185" s="10"/>
      <c r="AK185" s="9">
        <f t="shared" si="23"/>
        <v>0.52500000000000002</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-268.38181174398898</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-2295.6722738105373</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-2765.7736366966515</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-2770.5125083741054</v>
      </c>
      <c r="AP185" s="10"/>
      <c r="AQ185" s="9">
        <f t="shared" si="24"/>
        <v>0.52500000000000002</v>
      </c>
      <c r="AR185" s="9">
        <f>0</f>
        <v>0</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216.56157473379682</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96.440393902227513</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172.26894270531849</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172.26894270531849</v>
      </c>
      <c r="AW185" s="10"/>
      <c r="AX185" s="9">
        <f t="shared" si="25"/>
        <v>0.52500000000000002</v>
      </c>
      <c r="AY185" s="9">
        <f>0</f>
        <v>0</v>
      </c>
      <c r="AZ185" s="9">
        <f>IF(OR(Inputs!$F$6=TRUE,Inputs!$F$6="TRUE",Inputs!$F$6=1),(Inputs!$H$6+Inputs!$L$6*(((Inputs!$I$6+(((A185)+1)/2)*(Inputs!$J$6-Inputs!$I$6)))/Inputs!$K$6)^2),NA())</f>
        <v>401.10250000000002</v>
      </c>
      <c r="BA185" s="9">
        <f>IF(OR(Inputs!$F$7=TRUE,Inputs!$F$7="TRUE",Inputs!$F$7=1),(Inputs!$H$7+Inputs!$L$7*(((Inputs!$I$7+(((A185)+1)/2)*(Inputs!$J$7-Inputs!$I$7)))/Inputs!$K$7)^2),NA())</f>
        <v>135.60312500000001</v>
      </c>
      <c r="BB185" s="9">
        <f>IF(OR(Inputs!$F$8=TRUE,Inputs!$F$8="TRUE",Inputs!$F$8=1),(Inputs!$H$8+Inputs!$L$8*(((Inputs!$I$8+(((A185)+1)/2)*(Inputs!$J$8-Inputs!$I$8)))/Inputs!$K$8)^2),NA())</f>
        <v>300.97812500000003</v>
      </c>
      <c r="BC185" s="9">
        <f>IF(OR(Inputs!$F$9=TRUE,Inputs!$F$9="TRUE",Inputs!$F$9=1),(Inputs!$H$9+Inputs!$L$9*(((Inputs!$I$9+(((A185)+1)/2)*(Inputs!$J$9-Inputs!$I$9)))/Inputs!$K$9)^2),NA())</f>
        <v>293.734375</v>
      </c>
      <c r="BD185" s="10"/>
      <c r="BE185" s="9">
        <f t="shared" si="26"/>
        <v>0.52500000000000002</v>
      </c>
      <c r="BF185" s="9">
        <f>0</f>
        <v>0</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row>
    <row r="186" spans="1:62">
      <c r="A186" s="9">
        <f>ROUND(-1+184*2/240,3)</f>
        <v>0.53300000000000003</v>
      </c>
      <c r="B186" s="9">
        <f>IF(OR(Inputs!$F$6=TRUE,Inputs!$F$6="TRUE",Inputs!$F$6=1),(Inputs!$H$6+Inputs!$L$6*(((Inputs!$I$6+(((A186)+1)/2)*(Inputs!$J$6-Inputs!$I$6)))/Inputs!$K$6)^2),NA())</f>
        <v>401.13635599999998</v>
      </c>
      <c r="C186" s="9">
        <f>IF(OR(Inputs!$F$7=TRUE,Inputs!$F$7="TRUE",Inputs!$F$7=1),(Inputs!$H$7+Inputs!$L$7*(((Inputs!$I$7+(((A186)+1)/2)*(Inputs!$J$7-Inputs!$I$7)))/Inputs!$K$7)^2),NA())</f>
        <v>138.69248499999992</v>
      </c>
      <c r="D186" s="9">
        <f>IF(OR(Inputs!$F$8=TRUE,Inputs!$F$8="TRUE",Inputs!$F$8=1),(Inputs!$H$8+Inputs!$L$8*(((Inputs!$I$8+(((A186)+1)/2)*(Inputs!$J$8-Inputs!$I$8)))/Inputs!$K$8)^2),NA())</f>
        <v>309.14588499999979</v>
      </c>
      <c r="E186" s="9">
        <f>IF(OR(Inputs!$F$9=TRUE,Inputs!$F$9="TRUE",Inputs!$F$9=1),(Inputs!$H$9+Inputs!$L$9*(((Inputs!$I$9+(((A186)+1)/2)*(Inputs!$J$9-Inputs!$I$9)))/Inputs!$K$9)^2),NA())</f>
        <v>301.9867749999998</v>
      </c>
      <c r="F186" s="10"/>
      <c r="G186" s="9">
        <f t="shared" si="18"/>
        <v>0.53300000000000003</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c r="L186" s="10"/>
      <c r="M186" s="9">
        <f t="shared" si="19"/>
        <v>0.53300000000000003</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-272.43139005576143</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-2313.1026509349413</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-2794.2104632719015</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-2799.4731921013426</v>
      </c>
      <c r="R186" s="10"/>
      <c r="S186" s="9">
        <f t="shared" si="20"/>
        <v>0.53300000000000003</v>
      </c>
      <c r="T186" s="9">
        <f>(Inputs!$I$6+(((A186)+1)/2)*(Inputs!$J$6-Inputs!$I$6))</f>
        <v>31.97999999999999</v>
      </c>
      <c r="U186" s="9">
        <f>(Inputs!$I$7+(((A186)+1)/2)*(Inputs!$J$7-Inputs!$I$7))</f>
        <v>213.19999999999993</v>
      </c>
      <c r="V186" s="9">
        <f>(Inputs!$I$8+(((A186)+1)/2)*(Inputs!$J$8-Inputs!$I$8))</f>
        <v>426.39999999999986</v>
      </c>
      <c r="W186" s="9">
        <f>(Inputs!$I$9+(((A186)+1)/2)*(Inputs!$J$9-Inputs!$I$9))</f>
        <v>426.39999999999986</v>
      </c>
      <c r="X186" s="10"/>
      <c r="Y186" s="9">
        <f t="shared" si="21"/>
        <v>0.53300000000000003</v>
      </c>
      <c r="Z186" s="9">
        <f>(Inputs!$H$6+Inputs!$L$6*(((Inputs!$I$6+(((A186)+1)/2)*(Inputs!$J$6-Inputs!$I$6)))/Inputs!$K$6)^2)</f>
        <v>401.13635599999998</v>
      </c>
      <c r="AA186" s="9">
        <f>(Inputs!$H$7+Inputs!$L$7*(((Inputs!$I$7+(((A186)+1)/2)*(Inputs!$J$7-Inputs!$I$7)))/Inputs!$K$7)^2)</f>
        <v>138.69248499999992</v>
      </c>
      <c r="AB186" s="9">
        <f>(Inputs!$H$8+Inputs!$L$8*(((Inputs!$I$8+(((A186)+1)/2)*(Inputs!$J$8-Inputs!$I$8)))/Inputs!$K$8)^2)</f>
        <v>309.14588499999979</v>
      </c>
      <c r="AC186" s="9">
        <f>(Inputs!$H$9+Inputs!$L$9*(((Inputs!$I$9+(((A186)+1)/2)*(Inputs!$J$9-Inputs!$I$9)))/Inputs!$K$9)^2)</f>
        <v>301.9867749999998</v>
      </c>
      <c r="AD186" s="10"/>
      <c r="AE186" s="9">
        <f t="shared" si="22"/>
        <v>0.53300000000000003</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1445.6525287208501</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70007.969882482634</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140521.95276394059</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141917.81409441959</v>
      </c>
      <c r="AJ186" s="10"/>
      <c r="AK186" s="9">
        <f t="shared" si="23"/>
        <v>0.53300000000000003</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-272.43139005576143</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-2313.1026509349413</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-2794.2104632719015</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-2799.4731921013426</v>
      </c>
      <c r="AP186" s="10"/>
      <c r="AQ186" s="9">
        <f t="shared" si="24"/>
        <v>0.53300000000000003</v>
      </c>
      <c r="AR186" s="9">
        <f>0</f>
        <v>0</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234.5526737227535</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87.706723200602056</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118.12668531351692</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118.12668531351692</v>
      </c>
      <c r="AW186" s="10"/>
      <c r="AX186" s="9">
        <f t="shared" si="25"/>
        <v>0.53300000000000003</v>
      </c>
      <c r="AY186" s="9">
        <f>0</f>
        <v>0</v>
      </c>
      <c r="AZ186" s="9">
        <f>IF(OR(Inputs!$F$6=TRUE,Inputs!$F$6="TRUE",Inputs!$F$6=1),(Inputs!$H$6+Inputs!$L$6*(((Inputs!$I$6+(((A186)+1)/2)*(Inputs!$J$6-Inputs!$I$6)))/Inputs!$K$6)^2),NA())</f>
        <v>401.13635599999998</v>
      </c>
      <c r="BA186" s="9">
        <f>IF(OR(Inputs!$F$7=TRUE,Inputs!$F$7="TRUE",Inputs!$F$7=1),(Inputs!$H$7+Inputs!$L$7*(((Inputs!$I$7+(((A186)+1)/2)*(Inputs!$J$7-Inputs!$I$7)))/Inputs!$K$7)^2),NA())</f>
        <v>138.69248499999992</v>
      </c>
      <c r="BB186" s="9">
        <f>IF(OR(Inputs!$F$8=TRUE,Inputs!$F$8="TRUE",Inputs!$F$8=1),(Inputs!$H$8+Inputs!$L$8*(((Inputs!$I$8+(((A186)+1)/2)*(Inputs!$J$8-Inputs!$I$8)))/Inputs!$K$8)^2),NA())</f>
        <v>309.14588499999979</v>
      </c>
      <c r="BC186" s="9">
        <f>IF(OR(Inputs!$F$9=TRUE,Inputs!$F$9="TRUE",Inputs!$F$9=1),(Inputs!$H$9+Inputs!$L$9*(((Inputs!$I$9+(((A186)+1)/2)*(Inputs!$J$9-Inputs!$I$9)))/Inputs!$K$9)^2),NA())</f>
        <v>301.9867749999998</v>
      </c>
      <c r="BD186" s="10"/>
      <c r="BE186" s="9">
        <f t="shared" si="26"/>
        <v>0.53300000000000003</v>
      </c>
      <c r="BF186" s="9">
        <f>0</f>
        <v>0</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row>
    <row r="187" spans="1:62">
      <c r="A187" s="9">
        <f>ROUND(-1+185*2/240,3)</f>
        <v>0.54200000000000004</v>
      </c>
      <c r="B187" s="9">
        <f>IF(OR(Inputs!$F$6=TRUE,Inputs!$F$6="TRUE",Inputs!$F$6=1),(Inputs!$H$6+Inputs!$L$6*(((Inputs!$I$6+(((A187)+1)/2)*(Inputs!$J$6-Inputs!$I$6)))/Inputs!$K$6)^2),NA())</f>
        <v>401.17505599999998</v>
      </c>
      <c r="C187" s="9">
        <f>IF(OR(Inputs!$F$7=TRUE,Inputs!$F$7="TRUE",Inputs!$F$7=1),(Inputs!$H$7+Inputs!$L$7*(((Inputs!$I$7+(((A187)+1)/2)*(Inputs!$J$7-Inputs!$I$7)))/Inputs!$K$7)^2),NA())</f>
        <v>142.22386000000006</v>
      </c>
      <c r="D187" s="9">
        <f>IF(OR(Inputs!$F$8=TRUE,Inputs!$F$8="TRUE",Inputs!$F$8=1),(Inputs!$H$8+Inputs!$L$8*(((Inputs!$I$8+(((A187)+1)/2)*(Inputs!$J$8-Inputs!$I$8)))/Inputs!$K$8)^2),NA())</f>
        <v>318.48226000000011</v>
      </c>
      <c r="E187" s="9">
        <f>IF(OR(Inputs!$F$9=TRUE,Inputs!$F$9="TRUE",Inputs!$F$9=1),(Inputs!$H$9+Inputs!$L$9*(((Inputs!$I$9+(((A187)+1)/2)*(Inputs!$J$9-Inputs!$I$9)))/Inputs!$K$9)^2),NA())</f>
        <v>311.41990000000015</v>
      </c>
      <c r="F187" s="10"/>
      <c r="G187" s="9">
        <f t="shared" si="18"/>
        <v>0.54200000000000004</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c r="L187" s="10"/>
      <c r="M187" s="9">
        <f t="shared" si="19"/>
        <v>0.54200000000000004</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-276.98502247480349</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-2332.8690468950272</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-2826.4324125999724</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-2832.2859502946653</v>
      </c>
      <c r="R187" s="10"/>
      <c r="S187" s="9">
        <f t="shared" si="20"/>
        <v>0.54200000000000004</v>
      </c>
      <c r="T187" s="9">
        <f>(Inputs!$I$6+(((A187)+1)/2)*(Inputs!$J$6-Inputs!$I$6))</f>
        <v>32.519999999999996</v>
      </c>
      <c r="U187" s="9">
        <f>(Inputs!$I$7+(((A187)+1)/2)*(Inputs!$J$7-Inputs!$I$7))</f>
        <v>216.80000000000007</v>
      </c>
      <c r="V187" s="9">
        <f>(Inputs!$I$8+(((A187)+1)/2)*(Inputs!$J$8-Inputs!$I$8))</f>
        <v>433.60000000000014</v>
      </c>
      <c r="W187" s="9">
        <f>(Inputs!$I$9+(((A187)+1)/2)*(Inputs!$J$9-Inputs!$I$9))</f>
        <v>433.60000000000014</v>
      </c>
      <c r="X187" s="10"/>
      <c r="Y187" s="9">
        <f t="shared" si="21"/>
        <v>0.54200000000000004</v>
      </c>
      <c r="Z187" s="9">
        <f>(Inputs!$H$6+Inputs!$L$6*(((Inputs!$I$6+(((A187)+1)/2)*(Inputs!$J$6-Inputs!$I$6)))/Inputs!$K$6)^2)</f>
        <v>401.17505599999998</v>
      </c>
      <c r="AA187" s="9">
        <f>(Inputs!$H$7+Inputs!$L$7*(((Inputs!$I$7+(((A187)+1)/2)*(Inputs!$J$7-Inputs!$I$7)))/Inputs!$K$7)^2)</f>
        <v>142.22386000000006</v>
      </c>
      <c r="AB187" s="9">
        <f>(Inputs!$H$8+Inputs!$L$8*(((Inputs!$I$8+(((A187)+1)/2)*(Inputs!$J$8-Inputs!$I$8)))/Inputs!$K$8)^2)</f>
        <v>318.48226000000011</v>
      </c>
      <c r="AC187" s="9">
        <f>(Inputs!$H$9+Inputs!$L$9*(((Inputs!$I$9+(((A187)+1)/2)*(Inputs!$J$9-Inputs!$I$9)))/Inputs!$K$9)^2)</f>
        <v>311.41990000000015</v>
      </c>
      <c r="AD187" s="10"/>
      <c r="AE187" s="9">
        <f t="shared" si="22"/>
        <v>0.54200000000000004</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1475.9975196772957</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70960.392358088211</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142381.49272875165</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143737.05130179529</v>
      </c>
      <c r="AJ187" s="10"/>
      <c r="AK187" s="9">
        <f t="shared" si="23"/>
        <v>0.54200000000000004</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-276.98502247480349</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-2332.8690468950272</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-2826.4324125999724</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-2832.2859502946653</v>
      </c>
      <c r="AP187" s="10"/>
      <c r="AQ187" s="9">
        <f t="shared" si="24"/>
        <v>0.54200000000000004</v>
      </c>
      <c r="AR187" s="9">
        <f>0</f>
        <v>0</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233.82030727332534</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174.08127263840029</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183.34577549887439</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183.34577549887439</v>
      </c>
      <c r="AW187" s="10"/>
      <c r="AX187" s="9">
        <f t="shared" si="25"/>
        <v>0.54200000000000004</v>
      </c>
      <c r="AY187" s="9">
        <f>0</f>
        <v>0</v>
      </c>
      <c r="AZ187" s="9">
        <f>IF(OR(Inputs!$F$6=TRUE,Inputs!$F$6="TRUE",Inputs!$F$6=1),(Inputs!$H$6+Inputs!$L$6*(((Inputs!$I$6+(((A187)+1)/2)*(Inputs!$J$6-Inputs!$I$6)))/Inputs!$K$6)^2),NA())</f>
        <v>401.17505599999998</v>
      </c>
      <c r="BA187" s="9">
        <f>IF(OR(Inputs!$F$7=TRUE,Inputs!$F$7="TRUE",Inputs!$F$7=1),(Inputs!$H$7+Inputs!$L$7*(((Inputs!$I$7+(((A187)+1)/2)*(Inputs!$J$7-Inputs!$I$7)))/Inputs!$K$7)^2),NA())</f>
        <v>142.22386000000006</v>
      </c>
      <c r="BB187" s="9">
        <f>IF(OR(Inputs!$F$8=TRUE,Inputs!$F$8="TRUE",Inputs!$F$8=1),(Inputs!$H$8+Inputs!$L$8*(((Inputs!$I$8+(((A187)+1)/2)*(Inputs!$J$8-Inputs!$I$8)))/Inputs!$K$8)^2),NA())</f>
        <v>318.48226000000011</v>
      </c>
      <c r="BC187" s="9">
        <f>IF(OR(Inputs!$F$9=TRUE,Inputs!$F$9="TRUE",Inputs!$F$9=1),(Inputs!$H$9+Inputs!$L$9*(((Inputs!$I$9+(((A187)+1)/2)*(Inputs!$J$9-Inputs!$I$9)))/Inputs!$K$9)^2),NA())</f>
        <v>311.41990000000015</v>
      </c>
      <c r="BD187" s="10"/>
      <c r="BE187" s="9">
        <f t="shared" si="26"/>
        <v>0.54200000000000004</v>
      </c>
      <c r="BF187" s="9">
        <f>0</f>
        <v>0</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row>
    <row r="188" spans="1:62">
      <c r="A188" s="9">
        <f>ROUND(-1+186*2/240,3)</f>
        <v>0.55000000000000004</v>
      </c>
      <c r="B188" s="9">
        <f>IF(OR(Inputs!$F$6=TRUE,Inputs!$F$6="TRUE",Inputs!$F$6=1),(Inputs!$H$6+Inputs!$L$6*(((Inputs!$I$6+(((A188)+1)/2)*(Inputs!$J$6-Inputs!$I$6)))/Inputs!$K$6)^2),NA())</f>
        <v>401.21</v>
      </c>
      <c r="C188" s="9">
        <f>IF(OR(Inputs!$F$7=TRUE,Inputs!$F$7="TRUE",Inputs!$F$7=1),(Inputs!$H$7+Inputs!$L$7*(((Inputs!$I$7+(((A188)+1)/2)*(Inputs!$J$7-Inputs!$I$7)))/Inputs!$K$7)^2),NA())</f>
        <v>145.41250000000002</v>
      </c>
      <c r="D188" s="9">
        <f>IF(OR(Inputs!$F$8=TRUE,Inputs!$F$8="TRUE",Inputs!$F$8=1),(Inputs!$H$8+Inputs!$L$8*(((Inputs!$I$8+(((A188)+1)/2)*(Inputs!$J$8-Inputs!$I$8)))/Inputs!$K$8)^2),NA())</f>
        <v>326.91250000000002</v>
      </c>
      <c r="E188" s="9">
        <f>IF(OR(Inputs!$F$9=TRUE,Inputs!$F$9="TRUE",Inputs!$F$9=1),(Inputs!$H$9+Inputs!$L$9*(((Inputs!$I$9+(((A188)+1)/2)*(Inputs!$J$9-Inputs!$I$9)))/Inputs!$K$9)^2),NA())</f>
        <v>319.93750000000006</v>
      </c>
      <c r="F188" s="10"/>
      <c r="G188" s="9">
        <f t="shared" si="18"/>
        <v>0.55000000000000004</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c r="L188" s="10"/>
      <c r="M188" s="9">
        <f t="shared" si="19"/>
        <v>0.55000000000000004</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-281.03076297523637</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-2350.5783406390192</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-2855.2737239108219</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-2861.6534020483109</v>
      </c>
      <c r="R188" s="10"/>
      <c r="S188" s="9">
        <f t="shared" si="20"/>
        <v>0.55000000000000004</v>
      </c>
      <c r="T188" s="9">
        <f>(Inputs!$I$6+(((A188)+1)/2)*(Inputs!$J$6-Inputs!$I$6))</f>
        <v>33</v>
      </c>
      <c r="U188" s="9">
        <f>(Inputs!$I$7+(((A188)+1)/2)*(Inputs!$J$7-Inputs!$I$7))</f>
        <v>220</v>
      </c>
      <c r="V188" s="9">
        <f>(Inputs!$I$8+(((A188)+1)/2)*(Inputs!$J$8-Inputs!$I$8))</f>
        <v>440</v>
      </c>
      <c r="W188" s="9">
        <f>(Inputs!$I$9+(((A188)+1)/2)*(Inputs!$J$9-Inputs!$I$9))</f>
        <v>440</v>
      </c>
      <c r="X188" s="10"/>
      <c r="Y188" s="9">
        <f t="shared" si="21"/>
        <v>0.55000000000000004</v>
      </c>
      <c r="Z188" s="9">
        <f>(Inputs!$H$6+Inputs!$L$6*(((Inputs!$I$6+(((A188)+1)/2)*(Inputs!$J$6-Inputs!$I$6)))/Inputs!$K$6)^2)</f>
        <v>401.21</v>
      </c>
      <c r="AA188" s="9">
        <f>(Inputs!$H$7+Inputs!$L$7*(((Inputs!$I$7+(((A188)+1)/2)*(Inputs!$J$7-Inputs!$I$7)))/Inputs!$K$7)^2)</f>
        <v>145.41250000000002</v>
      </c>
      <c r="AB188" s="9">
        <f>(Inputs!$H$8+Inputs!$L$8*(((Inputs!$I$8+(((A188)+1)/2)*(Inputs!$J$8-Inputs!$I$8)))/Inputs!$K$8)^2)</f>
        <v>326.91250000000002</v>
      </c>
      <c r="AC188" s="9">
        <f>(Inputs!$H$9+Inputs!$L$9*(((Inputs!$I$9+(((A188)+1)/2)*(Inputs!$J$9-Inputs!$I$9)))/Inputs!$K$9)^2)</f>
        <v>319.93750000000006</v>
      </c>
      <c r="AD188" s="10"/>
      <c r="AE188" s="9">
        <f t="shared" si="22"/>
        <v>0.55000000000000004</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1503.3898868855904</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71800.159556671249</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144029.30762810478</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145349.53259232538</v>
      </c>
      <c r="AJ188" s="10"/>
      <c r="AK188" s="9">
        <f t="shared" si="23"/>
        <v>0.55000000000000004</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-281.03076297523637</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-2350.5783406390192</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-2855.2737239108219</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-2861.6534020483109</v>
      </c>
      <c r="AP188" s="10"/>
      <c r="AQ188" s="9">
        <f t="shared" si="24"/>
        <v>0.55000000000000004</v>
      </c>
      <c r="AR188" s="9">
        <f>0</f>
        <v>0</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226.08418221808537</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240.54359978574016</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169.69698765971629</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169.69698765971629</v>
      </c>
      <c r="AW188" s="10"/>
      <c r="AX188" s="9">
        <f t="shared" si="25"/>
        <v>0.55000000000000004</v>
      </c>
      <c r="AY188" s="9">
        <f>0</f>
        <v>0</v>
      </c>
      <c r="AZ188" s="9">
        <f>IF(OR(Inputs!$F$6=TRUE,Inputs!$F$6="TRUE",Inputs!$F$6=1),(Inputs!$H$6+Inputs!$L$6*(((Inputs!$I$6+(((A188)+1)/2)*(Inputs!$J$6-Inputs!$I$6)))/Inputs!$K$6)^2),NA())</f>
        <v>401.21</v>
      </c>
      <c r="BA188" s="9">
        <f>IF(OR(Inputs!$F$7=TRUE,Inputs!$F$7="TRUE",Inputs!$F$7=1),(Inputs!$H$7+Inputs!$L$7*(((Inputs!$I$7+(((A188)+1)/2)*(Inputs!$J$7-Inputs!$I$7)))/Inputs!$K$7)^2),NA())</f>
        <v>145.41250000000002</v>
      </c>
      <c r="BB188" s="9">
        <f>IF(OR(Inputs!$F$8=TRUE,Inputs!$F$8="TRUE",Inputs!$F$8=1),(Inputs!$H$8+Inputs!$L$8*(((Inputs!$I$8+(((A188)+1)/2)*(Inputs!$J$8-Inputs!$I$8)))/Inputs!$K$8)^2),NA())</f>
        <v>326.91250000000002</v>
      </c>
      <c r="BC188" s="9">
        <f>IF(OR(Inputs!$F$9=TRUE,Inputs!$F$9="TRUE",Inputs!$F$9=1),(Inputs!$H$9+Inputs!$L$9*(((Inputs!$I$9+(((A188)+1)/2)*(Inputs!$J$9-Inputs!$I$9)))/Inputs!$K$9)^2),NA())</f>
        <v>319.93750000000006</v>
      </c>
      <c r="BD188" s="10"/>
      <c r="BE188" s="9">
        <f t="shared" si="26"/>
        <v>0.55000000000000004</v>
      </c>
      <c r="BF188" s="9">
        <f>0</f>
        <v>0</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row>
    <row r="189" spans="1:62">
      <c r="A189" s="9">
        <f>ROUND(-1+187*2/240,3)</f>
        <v>0.55800000000000005</v>
      </c>
      <c r="B189" s="9">
        <f>IF(OR(Inputs!$F$6=TRUE,Inputs!$F$6="TRUE",Inputs!$F$6=1),(Inputs!$H$6+Inputs!$L$6*(((Inputs!$I$6+(((A189)+1)/2)*(Inputs!$J$6-Inputs!$I$6)))/Inputs!$K$6)^2),NA())</f>
        <v>401.24545599999999</v>
      </c>
      <c r="C189" s="9">
        <f>IF(OR(Inputs!$F$7=TRUE,Inputs!$F$7="TRUE",Inputs!$F$7=1),(Inputs!$H$7+Inputs!$L$7*(((Inputs!$I$7+(((A189)+1)/2)*(Inputs!$J$7-Inputs!$I$7)))/Inputs!$K$7)^2),NA())</f>
        <v>148.64786000000007</v>
      </c>
      <c r="D189" s="9">
        <f>IF(OR(Inputs!$F$8=TRUE,Inputs!$F$8="TRUE",Inputs!$F$8=1),(Inputs!$H$8+Inputs!$L$8*(((Inputs!$I$8+(((A189)+1)/2)*(Inputs!$J$8-Inputs!$I$8)))/Inputs!$K$8)^2),NA())</f>
        <v>335.4662600000002</v>
      </c>
      <c r="E189" s="9">
        <f>IF(OR(Inputs!$F$9=TRUE,Inputs!$F$9="TRUE",Inputs!$F$9=1),(Inputs!$H$9+Inputs!$L$9*(((Inputs!$I$9+(((A189)+1)/2)*(Inputs!$J$9-Inputs!$I$9)))/Inputs!$K$9)^2),NA())</f>
        <v>328.57990000000018</v>
      </c>
      <c r="F189" s="10"/>
      <c r="G189" s="9">
        <f t="shared" si="18"/>
        <v>0.55800000000000005</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c r="L189" s="10"/>
      <c r="M189" s="9">
        <f t="shared" si="19"/>
        <v>0.55800000000000005</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-285.07465841232926</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-2368.417926314276</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-2884.2979360666113</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-2891.2043869114673</v>
      </c>
      <c r="R189" s="10"/>
      <c r="S189" s="9">
        <f t="shared" si="20"/>
        <v>0.55800000000000005</v>
      </c>
      <c r="T189" s="9">
        <f>(Inputs!$I$6+(((A189)+1)/2)*(Inputs!$J$6-Inputs!$I$6))</f>
        <v>33.480000000000004</v>
      </c>
      <c r="U189" s="9">
        <f>(Inputs!$I$7+(((A189)+1)/2)*(Inputs!$J$7-Inputs!$I$7))</f>
        <v>223.20000000000005</v>
      </c>
      <c r="V189" s="9">
        <f>(Inputs!$I$8+(((A189)+1)/2)*(Inputs!$J$8-Inputs!$I$8))</f>
        <v>446.40000000000009</v>
      </c>
      <c r="W189" s="9">
        <f>(Inputs!$I$9+(((A189)+1)/2)*(Inputs!$J$9-Inputs!$I$9))</f>
        <v>446.40000000000009</v>
      </c>
      <c r="X189" s="10"/>
      <c r="Y189" s="9">
        <f t="shared" si="21"/>
        <v>0.55800000000000005</v>
      </c>
      <c r="Z189" s="9">
        <f>(Inputs!$H$6+Inputs!$L$6*(((Inputs!$I$6+(((A189)+1)/2)*(Inputs!$J$6-Inputs!$I$6)))/Inputs!$K$6)^2)</f>
        <v>401.24545599999999</v>
      </c>
      <c r="AA189" s="9">
        <f>(Inputs!$H$7+Inputs!$L$7*(((Inputs!$I$7+(((A189)+1)/2)*(Inputs!$J$7-Inputs!$I$7)))/Inputs!$K$7)^2)</f>
        <v>148.64786000000007</v>
      </c>
      <c r="AB189" s="9">
        <f>(Inputs!$H$8+Inputs!$L$8*(((Inputs!$I$8+(((A189)+1)/2)*(Inputs!$J$8-Inputs!$I$8)))/Inputs!$K$8)^2)</f>
        <v>335.4662600000002</v>
      </c>
      <c r="AC189" s="9">
        <f>(Inputs!$H$9+Inputs!$L$9*(((Inputs!$I$9+(((A189)+1)/2)*(Inputs!$J$9-Inputs!$I$9)))/Inputs!$K$9)^2)</f>
        <v>328.57990000000018</v>
      </c>
      <c r="AD189" s="10"/>
      <c r="AE189" s="9">
        <f t="shared" si="22"/>
        <v>0.55800000000000005</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1531.1763248895636</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72633.650912181896</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145672.74759155026</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146958.10294394518</v>
      </c>
      <c r="AJ189" s="10"/>
      <c r="AK189" s="9">
        <f t="shared" si="23"/>
        <v>0.55800000000000005</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-285.07465841232926</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-2368.417926314276</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-2884.2979360666113</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-2891.2043869114673</v>
      </c>
      <c r="AP189" s="10"/>
      <c r="AQ189" s="9">
        <f t="shared" si="24"/>
        <v>0.55800000000000005</v>
      </c>
      <c r="AR189" s="9">
        <f>0</f>
        <v>0</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220.25536491491704</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188.26223235476763</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122.91233991840328</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122.91233991840328</v>
      </c>
      <c r="AW189" s="10"/>
      <c r="AX189" s="9">
        <f t="shared" si="25"/>
        <v>0.55800000000000005</v>
      </c>
      <c r="AY189" s="9">
        <f>0</f>
        <v>0</v>
      </c>
      <c r="AZ189" s="9">
        <f>IF(OR(Inputs!$F$6=TRUE,Inputs!$F$6="TRUE",Inputs!$F$6=1),(Inputs!$H$6+Inputs!$L$6*(((Inputs!$I$6+(((A189)+1)/2)*(Inputs!$J$6-Inputs!$I$6)))/Inputs!$K$6)^2),NA())</f>
        <v>401.24545599999999</v>
      </c>
      <c r="BA189" s="9">
        <f>IF(OR(Inputs!$F$7=TRUE,Inputs!$F$7="TRUE",Inputs!$F$7=1),(Inputs!$H$7+Inputs!$L$7*(((Inputs!$I$7+(((A189)+1)/2)*(Inputs!$J$7-Inputs!$I$7)))/Inputs!$K$7)^2),NA())</f>
        <v>148.64786000000007</v>
      </c>
      <c r="BB189" s="9">
        <f>IF(OR(Inputs!$F$8=TRUE,Inputs!$F$8="TRUE",Inputs!$F$8=1),(Inputs!$H$8+Inputs!$L$8*(((Inputs!$I$8+(((A189)+1)/2)*(Inputs!$J$8-Inputs!$I$8)))/Inputs!$K$8)^2),NA())</f>
        <v>335.4662600000002</v>
      </c>
      <c r="BC189" s="9">
        <f>IF(OR(Inputs!$F$9=TRUE,Inputs!$F$9="TRUE",Inputs!$F$9=1),(Inputs!$H$9+Inputs!$L$9*(((Inputs!$I$9+(((A189)+1)/2)*(Inputs!$J$9-Inputs!$I$9)))/Inputs!$K$9)^2),NA())</f>
        <v>328.57990000000018</v>
      </c>
      <c r="BD189" s="10"/>
      <c r="BE189" s="9">
        <f t="shared" si="26"/>
        <v>0.55800000000000005</v>
      </c>
      <c r="BF189" s="9">
        <f>0</f>
        <v>0</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row>
    <row r="190" spans="1:62">
      <c r="A190" s="9">
        <f>ROUND(-1+188*2/240,3)</f>
        <v>0.56699999999999995</v>
      </c>
      <c r="B190" s="9">
        <f>IF(OR(Inputs!$F$6=TRUE,Inputs!$F$6="TRUE",Inputs!$F$6=1),(Inputs!$H$6+Inputs!$L$6*(((Inputs!$I$6+(((A190)+1)/2)*(Inputs!$J$6-Inputs!$I$6)))/Inputs!$K$6)^2),NA())</f>
        <v>401.285956</v>
      </c>
      <c r="C190" s="9">
        <f>IF(OR(Inputs!$F$7=TRUE,Inputs!$F$7="TRUE",Inputs!$F$7=1),(Inputs!$H$7+Inputs!$L$7*(((Inputs!$I$7+(((A190)+1)/2)*(Inputs!$J$7-Inputs!$I$7)))/Inputs!$K$7)^2),NA())</f>
        <v>152.34348499999993</v>
      </c>
      <c r="D190" s="9">
        <f>IF(OR(Inputs!$F$8=TRUE,Inputs!$F$8="TRUE",Inputs!$F$8=1),(Inputs!$H$8+Inputs!$L$8*(((Inputs!$I$8+(((A190)+1)/2)*(Inputs!$J$8-Inputs!$I$8)))/Inputs!$K$8)^2),NA())</f>
        <v>345.2368849999998</v>
      </c>
      <c r="E190" s="9">
        <f>IF(OR(Inputs!$F$9=TRUE,Inputs!$F$9="TRUE",Inputs!$F$9=1),(Inputs!$H$9+Inputs!$L$9*(((Inputs!$I$9+(((A190)+1)/2)*(Inputs!$J$9-Inputs!$I$9)))/Inputs!$K$9)^2),NA())</f>
        <v>338.45177499999983</v>
      </c>
      <c r="F190" s="10"/>
      <c r="G190" s="9">
        <f t="shared" si="18"/>
        <v>0.56699999999999995</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c r="L190" s="10"/>
      <c r="M190" s="9">
        <f t="shared" si="19"/>
        <v>0.56699999999999995</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-289.62180438822787</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-2388.6422341040543</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-2917.1629942998798</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-2924.6625028341464</v>
      </c>
      <c r="R190" s="10"/>
      <c r="S190" s="9">
        <f t="shared" si="20"/>
        <v>0.56699999999999995</v>
      </c>
      <c r="T190" s="9">
        <f>(Inputs!$I$6+(((A190)+1)/2)*(Inputs!$J$6-Inputs!$I$6))</f>
        <v>34.019999999999996</v>
      </c>
      <c r="U190" s="9">
        <f>(Inputs!$I$7+(((A190)+1)/2)*(Inputs!$J$7-Inputs!$I$7))</f>
        <v>226.79999999999995</v>
      </c>
      <c r="V190" s="9">
        <f>(Inputs!$I$8+(((A190)+1)/2)*(Inputs!$J$8-Inputs!$I$8))</f>
        <v>453.59999999999991</v>
      </c>
      <c r="W190" s="9">
        <f>(Inputs!$I$9+(((A190)+1)/2)*(Inputs!$J$9-Inputs!$I$9))</f>
        <v>453.59999999999991</v>
      </c>
      <c r="X190" s="10"/>
      <c r="Y190" s="9">
        <f t="shared" si="21"/>
        <v>0.56699999999999995</v>
      </c>
      <c r="Z190" s="9">
        <f>(Inputs!$H$6+Inputs!$L$6*(((Inputs!$I$6+(((A190)+1)/2)*(Inputs!$J$6-Inputs!$I$6)))/Inputs!$K$6)^2)</f>
        <v>401.285956</v>
      </c>
      <c r="AA190" s="9">
        <f>(Inputs!$H$7+Inputs!$L$7*(((Inputs!$I$7+(((A190)+1)/2)*(Inputs!$J$7-Inputs!$I$7)))/Inputs!$K$7)^2)</f>
        <v>152.34348499999993</v>
      </c>
      <c r="AB190" s="9">
        <f>(Inputs!$H$8+Inputs!$L$8*(((Inputs!$I$8+(((A190)+1)/2)*(Inputs!$J$8-Inputs!$I$8)))/Inputs!$K$8)^2)</f>
        <v>345.2368849999998</v>
      </c>
      <c r="AC190" s="9">
        <f>(Inputs!$H$9+Inputs!$L$9*(((Inputs!$I$9+(((A190)+1)/2)*(Inputs!$J$9-Inputs!$I$9)))/Inputs!$K$9)^2)</f>
        <v>338.45177499999983</v>
      </c>
      <c r="AD190" s="10"/>
      <c r="AE190" s="9">
        <f t="shared" si="22"/>
        <v>0.56699999999999995</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1562.9067154259183</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73564.008809563704</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147516.89294631936</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148763.57599227017</v>
      </c>
      <c r="AJ190" s="10"/>
      <c r="AK190" s="9">
        <f t="shared" si="23"/>
        <v>0.56699999999999995</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-289.62180438822787</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-2388.6422341040543</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-2917.1629942998798</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-2924.6625028341464</v>
      </c>
      <c r="AP190" s="10"/>
      <c r="AQ190" s="9">
        <f t="shared" si="24"/>
        <v>0.56699999999999995</v>
      </c>
      <c r="AR190" s="9">
        <f>0</f>
        <v>0</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233.53219207352339</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101.48995263877876</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188.2746028760518</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188.2746028760518</v>
      </c>
      <c r="AW190" s="10"/>
      <c r="AX190" s="9">
        <f t="shared" si="25"/>
        <v>0.56699999999999995</v>
      </c>
      <c r="AY190" s="9">
        <f>0</f>
        <v>0</v>
      </c>
      <c r="AZ190" s="9">
        <f>IF(OR(Inputs!$F$6=TRUE,Inputs!$F$6="TRUE",Inputs!$F$6=1),(Inputs!$H$6+Inputs!$L$6*(((Inputs!$I$6+(((A190)+1)/2)*(Inputs!$J$6-Inputs!$I$6)))/Inputs!$K$6)^2),NA())</f>
        <v>401.285956</v>
      </c>
      <c r="BA190" s="9">
        <f>IF(OR(Inputs!$F$7=TRUE,Inputs!$F$7="TRUE",Inputs!$F$7=1),(Inputs!$H$7+Inputs!$L$7*(((Inputs!$I$7+(((A190)+1)/2)*(Inputs!$J$7-Inputs!$I$7)))/Inputs!$K$7)^2),NA())</f>
        <v>152.34348499999993</v>
      </c>
      <c r="BB190" s="9">
        <f>IF(OR(Inputs!$F$8=TRUE,Inputs!$F$8="TRUE",Inputs!$F$8=1),(Inputs!$H$8+Inputs!$L$8*(((Inputs!$I$8+(((A190)+1)/2)*(Inputs!$J$8-Inputs!$I$8)))/Inputs!$K$8)^2),NA())</f>
        <v>345.2368849999998</v>
      </c>
      <c r="BC190" s="9">
        <f>IF(OR(Inputs!$F$9=TRUE,Inputs!$F$9="TRUE",Inputs!$F$9=1),(Inputs!$H$9+Inputs!$L$9*(((Inputs!$I$9+(((A190)+1)/2)*(Inputs!$J$9-Inputs!$I$9)))/Inputs!$K$9)^2),NA())</f>
        <v>338.45177499999983</v>
      </c>
      <c r="BD190" s="10"/>
      <c r="BE190" s="9">
        <f t="shared" si="26"/>
        <v>0.56699999999999995</v>
      </c>
      <c r="BF190" s="9">
        <f>0</f>
        <v>0</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row>
    <row r="191" spans="1:62">
      <c r="A191" s="9">
        <f>ROUND(-1+189*2/240,3)</f>
        <v>0.57499999999999996</v>
      </c>
      <c r="B191" s="9">
        <f>IF(OR(Inputs!$F$6=TRUE,Inputs!$F$6="TRUE",Inputs!$F$6=1),(Inputs!$H$6+Inputs!$L$6*(((Inputs!$I$6+(((A191)+1)/2)*(Inputs!$J$6-Inputs!$I$6)))/Inputs!$K$6)^2),NA())</f>
        <v>401.32249999999999</v>
      </c>
      <c r="C191" s="9">
        <f>IF(OR(Inputs!$F$7=TRUE,Inputs!$F$7="TRUE",Inputs!$F$7=1),(Inputs!$H$7+Inputs!$L$7*(((Inputs!$I$7+(((A191)+1)/2)*(Inputs!$J$7-Inputs!$I$7)))/Inputs!$K$7)^2),NA())</f>
        <v>155.67812499999997</v>
      </c>
      <c r="D191" s="9">
        <f>IF(OR(Inputs!$F$8=TRUE,Inputs!$F$8="TRUE",Inputs!$F$8=1),(Inputs!$H$8+Inputs!$L$8*(((Inputs!$I$8+(((A191)+1)/2)*(Inputs!$J$8-Inputs!$I$8)))/Inputs!$K$8)^2),NA())</f>
        <v>354.05312499999997</v>
      </c>
      <c r="E191" s="9">
        <f>IF(OR(Inputs!$F$9=TRUE,Inputs!$F$9="TRUE",Inputs!$F$9=1),(Inputs!$H$9+Inputs!$L$9*(((Inputs!$I$9+(((A191)+1)/2)*(Inputs!$J$9-Inputs!$I$9)))/Inputs!$K$9)^2),NA())</f>
        <v>347.35937499999994</v>
      </c>
      <c r="F191" s="10"/>
      <c r="G191" s="9">
        <f t="shared" si="18"/>
        <v>0.57499999999999996</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c r="L191" s="10"/>
      <c r="M191" s="9">
        <f t="shared" si="19"/>
        <v>0.57499999999999996</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-293.66169659029333</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-2406.7560024233931</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-2946.5604806953747</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-2954.5872801705982</v>
      </c>
      <c r="R191" s="10"/>
      <c r="S191" s="9">
        <f t="shared" si="20"/>
        <v>0.57499999999999996</v>
      </c>
      <c r="T191" s="9">
        <f>(Inputs!$I$6+(((A191)+1)/2)*(Inputs!$J$6-Inputs!$I$6))</f>
        <v>34.5</v>
      </c>
      <c r="U191" s="9">
        <f>(Inputs!$I$7+(((A191)+1)/2)*(Inputs!$J$7-Inputs!$I$7))</f>
        <v>230</v>
      </c>
      <c r="V191" s="9">
        <f>(Inputs!$I$8+(((A191)+1)/2)*(Inputs!$J$8-Inputs!$I$8))</f>
        <v>460</v>
      </c>
      <c r="W191" s="9">
        <f>(Inputs!$I$9+(((A191)+1)/2)*(Inputs!$J$9-Inputs!$I$9))</f>
        <v>460</v>
      </c>
      <c r="X191" s="10"/>
      <c r="Y191" s="9">
        <f t="shared" si="21"/>
        <v>0.57499999999999996</v>
      </c>
      <c r="Z191" s="9">
        <f>(Inputs!$H$6+Inputs!$L$6*(((Inputs!$I$6+(((A191)+1)/2)*(Inputs!$J$6-Inputs!$I$6)))/Inputs!$K$6)^2)</f>
        <v>401.32249999999999</v>
      </c>
      <c r="AA191" s="9">
        <f>(Inputs!$H$7+Inputs!$L$7*(((Inputs!$I$7+(((A191)+1)/2)*(Inputs!$J$7-Inputs!$I$7)))/Inputs!$K$7)^2)</f>
        <v>155.67812499999997</v>
      </c>
      <c r="AB191" s="9">
        <f>(Inputs!$H$8+Inputs!$L$8*(((Inputs!$I$8+(((A191)+1)/2)*(Inputs!$J$8-Inputs!$I$8)))/Inputs!$K$8)^2)</f>
        <v>354.05312499999997</v>
      </c>
      <c r="AC191" s="9">
        <f>(Inputs!$H$9+Inputs!$L$9*(((Inputs!$I$9+(((A191)+1)/2)*(Inputs!$J$9-Inputs!$I$9)))/Inputs!$K$9)^2)</f>
        <v>347.35937499999994</v>
      </c>
      <c r="AD191" s="10"/>
      <c r="AE191" s="9">
        <f t="shared" si="22"/>
        <v>0.57499999999999996</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1591.5295091914868</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74384.647513398362</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149152.37048042755</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150365.17297367667</v>
      </c>
      <c r="AJ191" s="10"/>
      <c r="AK191" s="9">
        <f t="shared" si="23"/>
        <v>0.57499999999999996</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-293.66169659029333</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-2406.7560024233931</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-2946.5604806953747</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-2954.5872801705982</v>
      </c>
      <c r="AP191" s="10"/>
      <c r="AQ191" s="9">
        <f t="shared" si="24"/>
        <v>0.57499999999999996</v>
      </c>
      <c r="AR191" s="9">
        <f>0</f>
        <v>0</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248.84143597822731</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126.80278001898783</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139.45599759727173</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139.45599759727173</v>
      </c>
      <c r="AW191" s="10"/>
      <c r="AX191" s="9">
        <f t="shared" si="25"/>
        <v>0.57499999999999996</v>
      </c>
      <c r="AY191" s="9">
        <f>0</f>
        <v>0</v>
      </c>
      <c r="AZ191" s="9">
        <f>IF(OR(Inputs!$F$6=TRUE,Inputs!$F$6="TRUE",Inputs!$F$6=1),(Inputs!$H$6+Inputs!$L$6*(((Inputs!$I$6+(((A191)+1)/2)*(Inputs!$J$6-Inputs!$I$6)))/Inputs!$K$6)^2),NA())</f>
        <v>401.32249999999999</v>
      </c>
      <c r="BA191" s="9">
        <f>IF(OR(Inputs!$F$7=TRUE,Inputs!$F$7="TRUE",Inputs!$F$7=1),(Inputs!$H$7+Inputs!$L$7*(((Inputs!$I$7+(((A191)+1)/2)*(Inputs!$J$7-Inputs!$I$7)))/Inputs!$K$7)^2),NA())</f>
        <v>155.67812499999997</v>
      </c>
      <c r="BB191" s="9">
        <f>IF(OR(Inputs!$F$8=TRUE,Inputs!$F$8="TRUE",Inputs!$F$8=1),(Inputs!$H$8+Inputs!$L$8*(((Inputs!$I$8+(((A191)+1)/2)*(Inputs!$J$8-Inputs!$I$8)))/Inputs!$K$8)^2),NA())</f>
        <v>354.05312499999997</v>
      </c>
      <c r="BC191" s="9">
        <f>IF(OR(Inputs!$F$9=TRUE,Inputs!$F$9="TRUE",Inputs!$F$9=1),(Inputs!$H$9+Inputs!$L$9*(((Inputs!$I$9+(((A191)+1)/2)*(Inputs!$J$9-Inputs!$I$9)))/Inputs!$K$9)^2),NA())</f>
        <v>347.35937499999994</v>
      </c>
      <c r="BD191" s="10"/>
      <c r="BE191" s="9">
        <f t="shared" si="26"/>
        <v>0.57499999999999996</v>
      </c>
      <c r="BF191" s="9">
        <f>0</f>
        <v>0</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row>
    <row r="192" spans="1:62">
      <c r="A192" s="9">
        <f>ROUND(-1+190*2/240,3)</f>
        <v>0.58299999999999996</v>
      </c>
      <c r="B192" s="9">
        <f>IF(OR(Inputs!$F$6=TRUE,Inputs!$F$6="TRUE",Inputs!$F$6=1),(Inputs!$H$6+Inputs!$L$6*(((Inputs!$I$6+(((A192)+1)/2)*(Inputs!$J$6-Inputs!$I$6)))/Inputs!$K$6)^2),NA())</f>
        <v>401.359556</v>
      </c>
      <c r="C192" s="9">
        <f>IF(OR(Inputs!$F$7=TRUE,Inputs!$F$7="TRUE",Inputs!$F$7=1),(Inputs!$H$7+Inputs!$L$7*(((Inputs!$I$7+(((A192)+1)/2)*(Inputs!$J$7-Inputs!$I$7)))/Inputs!$K$7)^2),NA())</f>
        <v>159.05948499999994</v>
      </c>
      <c r="D192" s="9">
        <f>IF(OR(Inputs!$F$8=TRUE,Inputs!$F$8="TRUE",Inputs!$F$8=1),(Inputs!$H$8+Inputs!$L$8*(((Inputs!$I$8+(((A192)+1)/2)*(Inputs!$J$8-Inputs!$I$8)))/Inputs!$K$8)^2),NA())</f>
        <v>362.99288499999983</v>
      </c>
      <c r="E192" s="9">
        <f>IF(OR(Inputs!$F$9=TRUE,Inputs!$F$9="TRUE",Inputs!$F$9=1),(Inputs!$H$9+Inputs!$L$9*(((Inputs!$I$9+(((A192)+1)/2)*(Inputs!$J$9-Inputs!$I$9)))/Inputs!$K$9)^2),NA())</f>
        <v>356.39177499999983</v>
      </c>
      <c r="F192" s="10"/>
      <c r="G192" s="9">
        <f t="shared" si="18"/>
        <v>0.58299999999999996</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c r="L192" s="10"/>
      <c r="M192" s="9">
        <f t="shared" si="19"/>
        <v>0.58299999999999996</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-297.69966628322589</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-2424.9973321081497</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-2976.1265502004571</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-2984.6805343023439</v>
      </c>
      <c r="R192" s="10"/>
      <c r="S192" s="9">
        <f t="shared" si="20"/>
        <v>0.58299999999999996</v>
      </c>
      <c r="T192" s="9">
        <f>(Inputs!$I$6+(((A192)+1)/2)*(Inputs!$J$6-Inputs!$I$6))</f>
        <v>34.980000000000004</v>
      </c>
      <c r="U192" s="9">
        <f>(Inputs!$I$7+(((A192)+1)/2)*(Inputs!$J$7-Inputs!$I$7))</f>
        <v>233.19999999999993</v>
      </c>
      <c r="V192" s="9">
        <f>(Inputs!$I$8+(((A192)+1)/2)*(Inputs!$J$8-Inputs!$I$8))</f>
        <v>466.39999999999986</v>
      </c>
      <c r="W192" s="9">
        <f>(Inputs!$I$9+(((A192)+1)/2)*(Inputs!$J$9-Inputs!$I$9))</f>
        <v>466.39999999999986</v>
      </c>
      <c r="X192" s="10"/>
      <c r="Y192" s="9">
        <f t="shared" si="21"/>
        <v>0.58299999999999996</v>
      </c>
      <c r="Z192" s="9">
        <f>(Inputs!$H$6+Inputs!$L$6*(((Inputs!$I$6+(((A192)+1)/2)*(Inputs!$J$6-Inputs!$I$6)))/Inputs!$K$6)^2)</f>
        <v>401.359556</v>
      </c>
      <c r="AA192" s="9">
        <f>(Inputs!$H$7+Inputs!$L$7*(((Inputs!$I$7+(((A192)+1)/2)*(Inputs!$J$7-Inputs!$I$7)))/Inputs!$K$7)^2)</f>
        <v>159.05948499999994</v>
      </c>
      <c r="AB192" s="9">
        <f>(Inputs!$H$8+Inputs!$L$8*(((Inputs!$I$8+(((A192)+1)/2)*(Inputs!$J$8-Inputs!$I$8)))/Inputs!$K$8)^2)</f>
        <v>362.99288499999983</v>
      </c>
      <c r="AC192" s="9">
        <f>(Inputs!$H$9+Inputs!$L$9*(((Inputs!$I$9+(((A192)+1)/2)*(Inputs!$J$9-Inputs!$I$9)))/Inputs!$K$9)^2)</f>
        <v>356.39177499999983</v>
      </c>
      <c r="AD192" s="10"/>
      <c r="AE192" s="9">
        <f t="shared" si="22"/>
        <v>0.58299999999999996</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1620.5453815524222</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75199.463333358275</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150784.70677747967</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151964.09446013553</v>
      </c>
      <c r="AJ192" s="10"/>
      <c r="AK192" s="9">
        <f t="shared" si="23"/>
        <v>0.58299999999999996</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-297.69966628322589</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-2424.9973321081497</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-2976.1265502004571</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-2984.6805343023439</v>
      </c>
      <c r="AP192" s="10"/>
      <c r="AQ192" s="9">
        <f t="shared" si="24"/>
        <v>0.58299999999999996</v>
      </c>
      <c r="AR192" s="9">
        <f>0</f>
        <v>0</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241.80950555571286</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165.87643471974937</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80.883506790473319</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80.883506790473319</v>
      </c>
      <c r="AW192" s="10"/>
      <c r="AX192" s="9">
        <f t="shared" si="25"/>
        <v>0.58299999999999996</v>
      </c>
      <c r="AY192" s="9">
        <f>0</f>
        <v>0</v>
      </c>
      <c r="AZ192" s="9">
        <f>IF(OR(Inputs!$F$6=TRUE,Inputs!$F$6="TRUE",Inputs!$F$6=1),(Inputs!$H$6+Inputs!$L$6*(((Inputs!$I$6+(((A192)+1)/2)*(Inputs!$J$6-Inputs!$I$6)))/Inputs!$K$6)^2),NA())</f>
        <v>401.359556</v>
      </c>
      <c r="BA192" s="9">
        <f>IF(OR(Inputs!$F$7=TRUE,Inputs!$F$7="TRUE",Inputs!$F$7=1),(Inputs!$H$7+Inputs!$L$7*(((Inputs!$I$7+(((A192)+1)/2)*(Inputs!$J$7-Inputs!$I$7)))/Inputs!$K$7)^2),NA())</f>
        <v>159.05948499999994</v>
      </c>
      <c r="BB192" s="9">
        <f>IF(OR(Inputs!$F$8=TRUE,Inputs!$F$8="TRUE",Inputs!$F$8=1),(Inputs!$H$8+Inputs!$L$8*(((Inputs!$I$8+(((A192)+1)/2)*(Inputs!$J$8-Inputs!$I$8)))/Inputs!$K$8)^2),NA())</f>
        <v>362.99288499999983</v>
      </c>
      <c r="BC192" s="9">
        <f>IF(OR(Inputs!$F$9=TRUE,Inputs!$F$9="TRUE",Inputs!$F$9=1),(Inputs!$H$9+Inputs!$L$9*(((Inputs!$I$9+(((A192)+1)/2)*(Inputs!$J$9-Inputs!$I$9)))/Inputs!$K$9)^2),NA())</f>
        <v>356.39177499999983</v>
      </c>
      <c r="BD192" s="10"/>
      <c r="BE192" s="9">
        <f t="shared" si="26"/>
        <v>0.58299999999999996</v>
      </c>
      <c r="BF192" s="9">
        <f>0</f>
        <v>0</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row>
    <row r="193" spans="1:62">
      <c r="A193" s="9">
        <f>ROUND(-1+191*2/240,3)</f>
        <v>0.59199999999999997</v>
      </c>
      <c r="B193" s="9">
        <f>IF(OR(Inputs!$F$6=TRUE,Inputs!$F$6="TRUE",Inputs!$F$6=1),(Inputs!$H$6+Inputs!$L$6*(((Inputs!$I$6+(((A193)+1)/2)*(Inputs!$J$6-Inputs!$I$6)))/Inputs!$K$6)^2),NA())</f>
        <v>401.40185600000001</v>
      </c>
      <c r="C193" s="9">
        <f>IF(OR(Inputs!$F$7=TRUE,Inputs!$F$7="TRUE",Inputs!$F$7=1),(Inputs!$H$7+Inputs!$L$7*(((Inputs!$I$7+(((A193)+1)/2)*(Inputs!$J$7-Inputs!$I$7)))/Inputs!$K$7)^2),NA())</f>
        <v>162.9193600000001</v>
      </c>
      <c r="D193" s="9">
        <f>IF(OR(Inputs!$F$8=TRUE,Inputs!$F$8="TRUE",Inputs!$F$8=1),(Inputs!$H$8+Inputs!$L$8*(((Inputs!$I$8+(((A193)+1)/2)*(Inputs!$J$8-Inputs!$I$8)))/Inputs!$K$8)^2),NA())</f>
        <v>373.19776000000019</v>
      </c>
      <c r="E193" s="9">
        <f>IF(OR(Inputs!$F$9=TRUE,Inputs!$F$9="TRUE",Inputs!$F$9=1),(Inputs!$H$9+Inputs!$L$9*(((Inputs!$I$9+(((A193)+1)/2)*(Inputs!$J$9-Inputs!$I$9)))/Inputs!$K$9)^2),NA())</f>
        <v>366.70240000000024</v>
      </c>
      <c r="F193" s="10"/>
      <c r="G193" s="9">
        <f t="shared" si="18"/>
        <v>0.59199999999999997</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c r="L193" s="10"/>
      <c r="M193" s="9">
        <f t="shared" si="19"/>
        <v>0.59199999999999997</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-302.24005354966619</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-2445.6699934567805</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-3009.5843898456501</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-3018.7310791421733</v>
      </c>
      <c r="R193" s="10"/>
      <c r="S193" s="9">
        <f t="shared" si="20"/>
        <v>0.59199999999999997</v>
      </c>
      <c r="T193" s="9">
        <f>(Inputs!$I$6+(((A193)+1)/2)*(Inputs!$J$6-Inputs!$I$6))</f>
        <v>35.52000000000001</v>
      </c>
      <c r="U193" s="9">
        <f>(Inputs!$I$7+(((A193)+1)/2)*(Inputs!$J$7-Inputs!$I$7))</f>
        <v>236.80000000000007</v>
      </c>
      <c r="V193" s="9">
        <f>(Inputs!$I$8+(((A193)+1)/2)*(Inputs!$J$8-Inputs!$I$8))</f>
        <v>473.60000000000014</v>
      </c>
      <c r="W193" s="9">
        <f>(Inputs!$I$9+(((A193)+1)/2)*(Inputs!$J$9-Inputs!$I$9))</f>
        <v>473.60000000000014</v>
      </c>
      <c r="X193" s="10"/>
      <c r="Y193" s="9">
        <f t="shared" si="21"/>
        <v>0.59199999999999997</v>
      </c>
      <c r="Z193" s="9">
        <f>(Inputs!$H$6+Inputs!$L$6*(((Inputs!$I$6+(((A193)+1)/2)*(Inputs!$J$6-Inputs!$I$6)))/Inputs!$K$6)^2)</f>
        <v>401.40185600000001</v>
      </c>
      <c r="AA193" s="9">
        <f>(Inputs!$H$7+Inputs!$L$7*(((Inputs!$I$7+(((A193)+1)/2)*(Inputs!$J$7-Inputs!$I$7)))/Inputs!$K$7)^2)</f>
        <v>162.9193600000001</v>
      </c>
      <c r="AB193" s="9">
        <f>(Inputs!$H$8+Inputs!$L$8*(((Inputs!$I$8+(((A193)+1)/2)*(Inputs!$J$8-Inputs!$I$8)))/Inputs!$K$8)^2)</f>
        <v>373.19776000000019</v>
      </c>
      <c r="AC193" s="9">
        <f>(Inputs!$H$9+Inputs!$L$9*(((Inputs!$I$9+(((A193)+1)/2)*(Inputs!$J$9-Inputs!$I$9)))/Inputs!$K$9)^2)</f>
        <v>366.70240000000024</v>
      </c>
      <c r="AD193" s="10"/>
      <c r="AE193" s="9">
        <f t="shared" si="22"/>
        <v>0.59199999999999997</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1653.6576835301851</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76109.348651542008</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152617.79546593619</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153760.14759370033</v>
      </c>
      <c r="AJ193" s="10"/>
      <c r="AK193" s="9">
        <f t="shared" si="23"/>
        <v>0.59199999999999997</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-302.24005354966619</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-2445.6699934567805</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-3009.5843898456501</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-3018.7310791421733</v>
      </c>
      <c r="AP193" s="10"/>
      <c r="AQ193" s="9">
        <f t="shared" si="24"/>
        <v>0.59199999999999997</v>
      </c>
      <c r="AR193" s="9">
        <f>0</f>
        <v>0</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243.39165379312109</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197.41284277336749</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191.0076216597956</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191.0076216597956</v>
      </c>
      <c r="AW193" s="10"/>
      <c r="AX193" s="9">
        <f t="shared" si="25"/>
        <v>0.59199999999999997</v>
      </c>
      <c r="AY193" s="9">
        <f>0</f>
        <v>0</v>
      </c>
      <c r="AZ193" s="9">
        <f>IF(OR(Inputs!$F$6=TRUE,Inputs!$F$6="TRUE",Inputs!$F$6=1),(Inputs!$H$6+Inputs!$L$6*(((Inputs!$I$6+(((A193)+1)/2)*(Inputs!$J$6-Inputs!$I$6)))/Inputs!$K$6)^2),NA())</f>
        <v>401.40185600000001</v>
      </c>
      <c r="BA193" s="9">
        <f>IF(OR(Inputs!$F$7=TRUE,Inputs!$F$7="TRUE",Inputs!$F$7=1),(Inputs!$H$7+Inputs!$L$7*(((Inputs!$I$7+(((A193)+1)/2)*(Inputs!$J$7-Inputs!$I$7)))/Inputs!$K$7)^2),NA())</f>
        <v>162.9193600000001</v>
      </c>
      <c r="BB193" s="9">
        <f>IF(OR(Inputs!$F$8=TRUE,Inputs!$F$8="TRUE",Inputs!$F$8=1),(Inputs!$H$8+Inputs!$L$8*(((Inputs!$I$8+(((A193)+1)/2)*(Inputs!$J$8-Inputs!$I$8)))/Inputs!$K$8)^2),NA())</f>
        <v>373.19776000000019</v>
      </c>
      <c r="BC193" s="9">
        <f>IF(OR(Inputs!$F$9=TRUE,Inputs!$F$9="TRUE",Inputs!$F$9=1),(Inputs!$H$9+Inputs!$L$9*(((Inputs!$I$9+(((A193)+1)/2)*(Inputs!$J$9-Inputs!$I$9)))/Inputs!$K$9)^2),NA())</f>
        <v>366.70240000000024</v>
      </c>
      <c r="BD193" s="10"/>
      <c r="BE193" s="9">
        <f t="shared" si="26"/>
        <v>0.59199999999999997</v>
      </c>
      <c r="BF193" s="9">
        <f>0</f>
        <v>0</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row>
    <row r="194" spans="1:62">
      <c r="A194" s="9">
        <f>ROUND(-1+192*2/240,3)</f>
        <v>0.6</v>
      </c>
      <c r="B194" s="9">
        <f>IF(OR(Inputs!$F$6=TRUE,Inputs!$F$6="TRUE",Inputs!$F$6=1),(Inputs!$H$6+Inputs!$L$6*(((Inputs!$I$6+(((A194)+1)/2)*(Inputs!$J$6-Inputs!$I$6)))/Inputs!$K$6)^2),NA())</f>
        <v>401.44</v>
      </c>
      <c r="C194" s="9">
        <f>IF(OR(Inputs!$F$7=TRUE,Inputs!$F$7="TRUE",Inputs!$F$7=1),(Inputs!$H$7+Inputs!$L$7*(((Inputs!$I$7+(((A194)+1)/2)*(Inputs!$J$7-Inputs!$I$7)))/Inputs!$K$7)^2),NA())</f>
        <v>166.4</v>
      </c>
      <c r="D194" s="9">
        <f>IF(OR(Inputs!$F$8=TRUE,Inputs!$F$8="TRUE",Inputs!$F$8=1),(Inputs!$H$8+Inputs!$L$8*(((Inputs!$I$8+(((A194)+1)/2)*(Inputs!$J$8-Inputs!$I$8)))/Inputs!$K$8)^2),NA())</f>
        <v>382.4</v>
      </c>
      <c r="E194" s="9">
        <f>IF(OR(Inputs!$F$9=TRUE,Inputs!$F$9="TRUE",Inputs!$F$9=1),(Inputs!$H$9+Inputs!$L$9*(((Inputs!$I$9+(((A194)+1)/2)*(Inputs!$J$9-Inputs!$I$9)))/Inputs!$K$9)^2),NA())</f>
        <v>376</v>
      </c>
      <c r="F194" s="10"/>
      <c r="G194" s="9">
        <f t="shared" ref="G194:G242" si="27">A194</f>
        <v>0.6</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c r="L194" s="10"/>
      <c r="M194" s="9">
        <f t="shared" ref="M194:M242" si="28">A194</f>
        <v>0.6</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-306.2738563044615</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-2464.1788169406414</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-3039.4941303040473</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-3049.1671276524562</v>
      </c>
      <c r="R194" s="10"/>
      <c r="S194" s="9">
        <f t="shared" ref="S194:S242" si="29">A194</f>
        <v>0.6</v>
      </c>
      <c r="T194" s="9">
        <f>(Inputs!$I$6+(((A194)+1)/2)*(Inputs!$J$6-Inputs!$I$6))</f>
        <v>36</v>
      </c>
      <c r="U194" s="9">
        <f>(Inputs!$I$7+(((A194)+1)/2)*(Inputs!$J$7-Inputs!$I$7))</f>
        <v>240</v>
      </c>
      <c r="V194" s="9">
        <f>(Inputs!$I$8+(((A194)+1)/2)*(Inputs!$J$8-Inputs!$I$8))</f>
        <v>480</v>
      </c>
      <c r="W194" s="9">
        <f>(Inputs!$I$9+(((A194)+1)/2)*(Inputs!$J$9-Inputs!$I$9))</f>
        <v>480</v>
      </c>
      <c r="X194" s="10"/>
      <c r="Y194" s="9">
        <f t="shared" ref="Y194:Y242" si="30">A194</f>
        <v>0.6</v>
      </c>
      <c r="Z194" s="9">
        <f>(Inputs!$H$6+Inputs!$L$6*(((Inputs!$I$6+(((A194)+1)/2)*(Inputs!$J$6-Inputs!$I$6)))/Inputs!$K$6)^2)</f>
        <v>401.44</v>
      </c>
      <c r="AA194" s="9">
        <f>(Inputs!$H$7+Inputs!$L$7*(((Inputs!$I$7+(((A194)+1)/2)*(Inputs!$J$7-Inputs!$I$7)))/Inputs!$K$7)^2)</f>
        <v>166.4</v>
      </c>
      <c r="AB194" s="9">
        <f>(Inputs!$H$8+Inputs!$L$8*(((Inputs!$I$8+(((A194)+1)/2)*(Inputs!$J$8-Inputs!$I$8)))/Inputs!$K$8)^2)</f>
        <v>382.4</v>
      </c>
      <c r="AC194" s="9">
        <f>(Inputs!$H$9+Inputs!$L$9*(((Inputs!$I$9+(((A194)+1)/2)*(Inputs!$J$9-Inputs!$I$9)))/Inputs!$K$9)^2)</f>
        <v>376</v>
      </c>
      <c r="AD194" s="10"/>
      <c r="AE194" s="9">
        <f t="shared" ref="AE194:AE242" si="31">A194</f>
        <v>0.6</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1683.5077600200959</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76912.263277119331</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154244.68572170875</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155354.61064431272</v>
      </c>
      <c r="AJ194" s="10"/>
      <c r="AK194" s="9">
        <f t="shared" ref="AK194:AK242" si="32">A194</f>
        <v>0.6</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-306.2738563044615</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-2464.1788169406414</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-3039.4941303040473</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-3049.1671276524562</v>
      </c>
      <c r="AP194" s="10"/>
      <c r="AQ194" s="9">
        <f t="shared" ref="AQ194:AQ242" si="33">A194</f>
        <v>0.6</v>
      </c>
      <c r="AR194" s="9">
        <f>0</f>
        <v>0</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251.84803304144381</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170.07540465012823</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66.490254079237275</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66.490254079237275</v>
      </c>
      <c r="AW194" s="10"/>
      <c r="AX194" s="9">
        <f t="shared" ref="AX194:AX242" si="34">A194</f>
        <v>0.6</v>
      </c>
      <c r="AY194" s="9">
        <f>0</f>
        <v>0</v>
      </c>
      <c r="AZ194" s="9">
        <f>IF(OR(Inputs!$F$6=TRUE,Inputs!$F$6="TRUE",Inputs!$F$6=1),(Inputs!$H$6+Inputs!$L$6*(((Inputs!$I$6+(((A194)+1)/2)*(Inputs!$J$6-Inputs!$I$6)))/Inputs!$K$6)^2),NA())</f>
        <v>401.44</v>
      </c>
      <c r="BA194" s="9">
        <f>IF(OR(Inputs!$F$7=TRUE,Inputs!$F$7="TRUE",Inputs!$F$7=1),(Inputs!$H$7+Inputs!$L$7*(((Inputs!$I$7+(((A194)+1)/2)*(Inputs!$J$7-Inputs!$I$7)))/Inputs!$K$7)^2),NA())</f>
        <v>166.4</v>
      </c>
      <c r="BB194" s="9">
        <f>IF(OR(Inputs!$F$8=TRUE,Inputs!$F$8="TRUE",Inputs!$F$8=1),(Inputs!$H$8+Inputs!$L$8*(((Inputs!$I$8+(((A194)+1)/2)*(Inputs!$J$8-Inputs!$I$8)))/Inputs!$K$8)^2),NA())</f>
        <v>382.4</v>
      </c>
      <c r="BC194" s="9">
        <f>IF(OR(Inputs!$F$9=TRUE,Inputs!$F$9="TRUE",Inputs!$F$9=1),(Inputs!$H$9+Inputs!$L$9*(((Inputs!$I$9+(((A194)+1)/2)*(Inputs!$J$9-Inputs!$I$9)))/Inputs!$K$9)^2),NA())</f>
        <v>376</v>
      </c>
      <c r="BD194" s="10"/>
      <c r="BE194" s="9">
        <f t="shared" ref="BE194:BE242" si="35">A194</f>
        <v>0.6</v>
      </c>
      <c r="BF194" s="9">
        <f>0</f>
        <v>0</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row>
    <row r="195" spans="1:62">
      <c r="A195" s="9">
        <f>ROUND(-1+193*2/240,3)</f>
        <v>0.60799999999999998</v>
      </c>
      <c r="B195" s="9">
        <f>IF(OR(Inputs!$F$6=TRUE,Inputs!$F$6="TRUE",Inputs!$F$6=1),(Inputs!$H$6+Inputs!$L$6*(((Inputs!$I$6+(((A195)+1)/2)*(Inputs!$J$6-Inputs!$I$6)))/Inputs!$K$6)^2),NA())</f>
        <v>401.478656</v>
      </c>
      <c r="C195" s="9">
        <f>IF(OR(Inputs!$F$7=TRUE,Inputs!$F$7="TRUE",Inputs!$F$7=1),(Inputs!$H$7+Inputs!$L$7*(((Inputs!$I$7+(((A195)+1)/2)*(Inputs!$J$7-Inputs!$I$7)))/Inputs!$K$7)^2),NA())</f>
        <v>169.92736000000005</v>
      </c>
      <c r="D195" s="9">
        <f>IF(OR(Inputs!$F$8=TRUE,Inputs!$F$8="TRUE",Inputs!$F$8=1),(Inputs!$H$8+Inputs!$L$8*(((Inputs!$I$8+(((A195)+1)/2)*(Inputs!$J$8-Inputs!$I$8)))/Inputs!$K$8)^2),NA())</f>
        <v>391.72576000000009</v>
      </c>
      <c r="E195" s="9">
        <f>IF(OR(Inputs!$F$9=TRUE,Inputs!$F$9="TRUE",Inputs!$F$9=1),(Inputs!$H$9+Inputs!$L$9*(((Inputs!$I$9+(((A195)+1)/2)*(Inputs!$J$9-Inputs!$I$9)))/Inputs!$K$9)^2),NA())</f>
        <v>385.4224000000001</v>
      </c>
      <c r="F195" s="10"/>
      <c r="G195" s="9">
        <f t="shared" si="27"/>
        <v>0.60799999999999998</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c r="L195" s="10"/>
      <c r="M195" s="9">
        <f t="shared" si="28"/>
        <v>0.60799999999999998</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-310.3056599289165</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-2482.8116954130355</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-3069.5589193145233</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-3079.7575373039613</v>
      </c>
      <c r="R195" s="10"/>
      <c r="S195" s="9">
        <f t="shared" si="29"/>
        <v>0.60799999999999998</v>
      </c>
      <c r="T195" s="9">
        <f>(Inputs!$I$6+(((A195)+1)/2)*(Inputs!$J$6-Inputs!$I$6))</f>
        <v>36.480000000000004</v>
      </c>
      <c r="U195" s="9">
        <f>(Inputs!$I$7+(((A195)+1)/2)*(Inputs!$J$7-Inputs!$I$7))</f>
        <v>243.20000000000005</v>
      </c>
      <c r="V195" s="9">
        <f>(Inputs!$I$8+(((A195)+1)/2)*(Inputs!$J$8-Inputs!$I$8))</f>
        <v>486.40000000000009</v>
      </c>
      <c r="W195" s="9">
        <f>(Inputs!$I$9+(((A195)+1)/2)*(Inputs!$J$9-Inputs!$I$9))</f>
        <v>486.40000000000009</v>
      </c>
      <c r="X195" s="10"/>
      <c r="Y195" s="9">
        <f t="shared" si="30"/>
        <v>0.60799999999999998</v>
      </c>
      <c r="Z195" s="9">
        <f>(Inputs!$H$6+Inputs!$L$6*(((Inputs!$I$6+(((A195)+1)/2)*(Inputs!$J$6-Inputs!$I$6)))/Inputs!$K$6)^2)</f>
        <v>401.478656</v>
      </c>
      <c r="AA195" s="9">
        <f>(Inputs!$H$7+Inputs!$L$7*(((Inputs!$I$7+(((A195)+1)/2)*(Inputs!$J$7-Inputs!$I$7)))/Inputs!$K$7)^2)</f>
        <v>169.92736000000005</v>
      </c>
      <c r="AB195" s="9">
        <f>(Inputs!$H$8+Inputs!$L$8*(((Inputs!$I$8+(((A195)+1)/2)*(Inputs!$J$8-Inputs!$I$8)))/Inputs!$K$8)^2)</f>
        <v>391.72576000000009</v>
      </c>
      <c r="AC195" s="9">
        <f>(Inputs!$H$9+Inputs!$L$9*(((Inputs!$I$9+(((A195)+1)/2)*(Inputs!$J$9-Inputs!$I$9)))/Inputs!$K$9)^2)</f>
        <v>385.4224000000001</v>
      </c>
      <c r="AD195" s="10"/>
      <c r="AE195" s="9">
        <f t="shared" si="31"/>
        <v>0.60799999999999998</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1713.7498823328169</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77709.796950594158</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155869.57061769362</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156947.53120706149</v>
      </c>
      <c r="AJ195" s="10"/>
      <c r="AK195" s="9">
        <f t="shared" si="32"/>
        <v>0.60799999999999998</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-310.3056599289165</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-2482.8116954130355</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-3069.5589193145233</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-3079.7575373039613</v>
      </c>
      <c r="AP195" s="10"/>
      <c r="AQ195" s="9">
        <f t="shared" si="33"/>
        <v>0.60799999999999998</v>
      </c>
      <c r="AR195" s="9">
        <f>0</f>
        <v>0</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263.79859830925744</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158.892256466476</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172.31839877914939</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172.31839877914939</v>
      </c>
      <c r="AW195" s="10"/>
      <c r="AX195" s="9">
        <f t="shared" si="34"/>
        <v>0.60799999999999998</v>
      </c>
      <c r="AY195" s="9">
        <f>0</f>
        <v>0</v>
      </c>
      <c r="AZ195" s="9">
        <f>IF(OR(Inputs!$F$6=TRUE,Inputs!$F$6="TRUE",Inputs!$F$6=1),(Inputs!$H$6+Inputs!$L$6*(((Inputs!$I$6+(((A195)+1)/2)*(Inputs!$J$6-Inputs!$I$6)))/Inputs!$K$6)^2),NA())</f>
        <v>401.478656</v>
      </c>
      <c r="BA195" s="9">
        <f>IF(OR(Inputs!$F$7=TRUE,Inputs!$F$7="TRUE",Inputs!$F$7=1),(Inputs!$H$7+Inputs!$L$7*(((Inputs!$I$7+(((A195)+1)/2)*(Inputs!$J$7-Inputs!$I$7)))/Inputs!$K$7)^2),NA())</f>
        <v>169.92736000000005</v>
      </c>
      <c r="BB195" s="9">
        <f>IF(OR(Inputs!$F$8=TRUE,Inputs!$F$8="TRUE",Inputs!$F$8=1),(Inputs!$H$8+Inputs!$L$8*(((Inputs!$I$8+(((A195)+1)/2)*(Inputs!$J$8-Inputs!$I$8)))/Inputs!$K$8)^2),NA())</f>
        <v>391.72576000000009</v>
      </c>
      <c r="BC195" s="9">
        <f>IF(OR(Inputs!$F$9=TRUE,Inputs!$F$9="TRUE",Inputs!$F$9=1),(Inputs!$H$9+Inputs!$L$9*(((Inputs!$I$9+(((A195)+1)/2)*(Inputs!$J$9-Inputs!$I$9)))/Inputs!$K$9)^2),NA())</f>
        <v>385.4224000000001</v>
      </c>
      <c r="BD195" s="10"/>
      <c r="BE195" s="9">
        <f t="shared" si="35"/>
        <v>0.60799999999999998</v>
      </c>
      <c r="BF195" s="9">
        <f>0</f>
        <v>0</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row>
    <row r="196" spans="1:62">
      <c r="A196" s="9">
        <f>ROUND(-1+194*2/240,3)</f>
        <v>0.61699999999999999</v>
      </c>
      <c r="B196" s="9">
        <f>IF(OR(Inputs!$F$6=TRUE,Inputs!$F$6="TRUE",Inputs!$F$6=1),(Inputs!$H$6+Inputs!$L$6*(((Inputs!$I$6+(((A196)+1)/2)*(Inputs!$J$6-Inputs!$I$6)))/Inputs!$K$6)^2),NA())</f>
        <v>401.52275600000002</v>
      </c>
      <c r="C196" s="9">
        <f>IF(OR(Inputs!$F$7=TRUE,Inputs!$F$7="TRUE",Inputs!$F$7=1),(Inputs!$H$7+Inputs!$L$7*(((Inputs!$I$7+(((A196)+1)/2)*(Inputs!$J$7-Inputs!$I$7)))/Inputs!$K$7)^2),NA())</f>
        <v>173.95148499999993</v>
      </c>
      <c r="D196" s="9">
        <f>IF(OR(Inputs!$F$8=TRUE,Inputs!$F$8="TRUE",Inputs!$F$8=1),(Inputs!$H$8+Inputs!$L$8*(((Inputs!$I$8+(((A196)+1)/2)*(Inputs!$J$8-Inputs!$I$8)))/Inputs!$K$8)^2),NA())</f>
        <v>402.36488499999984</v>
      </c>
      <c r="E196" s="9">
        <f>IF(OR(Inputs!$F$9=TRUE,Inputs!$F$9="TRUE",Inputs!$F$9=1),(Inputs!$H$9+Inputs!$L$9*(((Inputs!$I$9+(((A196)+1)/2)*(Inputs!$J$9-Inputs!$I$9)))/Inputs!$K$9)^2),NA())</f>
        <v>396.17177499999985</v>
      </c>
      <c r="F196" s="10"/>
      <c r="G196" s="9">
        <f t="shared" si="27"/>
        <v>0.61699999999999999</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c r="L196" s="10"/>
      <c r="M196" s="9">
        <f t="shared" si="28"/>
        <v>0.61699999999999999</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-314.83901911841701</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-2503.9204145085046</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-3103.5619618162964</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-3114.3508857654188</v>
      </c>
      <c r="R196" s="10"/>
      <c r="S196" s="9">
        <f t="shared" si="29"/>
        <v>0.61699999999999999</v>
      </c>
      <c r="T196" s="9">
        <f>(Inputs!$I$6+(((A196)+1)/2)*(Inputs!$J$6-Inputs!$I$6))</f>
        <v>37.019999999999996</v>
      </c>
      <c r="U196" s="9">
        <f>(Inputs!$I$7+(((A196)+1)/2)*(Inputs!$J$7-Inputs!$I$7))</f>
        <v>246.79999999999995</v>
      </c>
      <c r="V196" s="9">
        <f>(Inputs!$I$8+(((A196)+1)/2)*(Inputs!$J$8-Inputs!$I$8))</f>
        <v>493.59999999999991</v>
      </c>
      <c r="W196" s="9">
        <f>(Inputs!$I$9+(((A196)+1)/2)*(Inputs!$J$9-Inputs!$I$9))</f>
        <v>493.59999999999991</v>
      </c>
      <c r="X196" s="10"/>
      <c r="Y196" s="9">
        <f t="shared" si="30"/>
        <v>0.61699999999999999</v>
      </c>
      <c r="Z196" s="9">
        <f>(Inputs!$H$6+Inputs!$L$6*(((Inputs!$I$6+(((A196)+1)/2)*(Inputs!$J$6-Inputs!$I$6)))/Inputs!$K$6)^2)</f>
        <v>401.52275600000002</v>
      </c>
      <c r="AA196" s="9">
        <f>(Inputs!$H$7+Inputs!$L$7*(((Inputs!$I$7+(((A196)+1)/2)*(Inputs!$J$7-Inputs!$I$7)))/Inputs!$K$7)^2)</f>
        <v>173.95148499999993</v>
      </c>
      <c r="AB196" s="9">
        <f>(Inputs!$H$8+Inputs!$L$8*(((Inputs!$I$8+(((A196)+1)/2)*(Inputs!$J$8-Inputs!$I$8)))/Inputs!$K$8)^2)</f>
        <v>402.36488499999984</v>
      </c>
      <c r="AC196" s="9">
        <f>(Inputs!$H$9+Inputs!$L$9*(((Inputs!$I$9+(((A196)+1)/2)*(Inputs!$J$9-Inputs!$I$9)))/Inputs!$K$9)^2)</f>
        <v>396.17177499999985</v>
      </c>
      <c r="AD196" s="10"/>
      <c r="AE196" s="9">
        <f t="shared" si="31"/>
        <v>0.61699999999999999</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1748.2404649752737</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78600.763046975364</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157695.59672146375</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158738.14855245082</v>
      </c>
      <c r="AJ196" s="10"/>
      <c r="AK196" s="9">
        <f t="shared" si="32"/>
        <v>0.61699999999999999</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-314.83901911841701</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-2503.9204145085046</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-3103.5619618162964</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-3114.3508857654188</v>
      </c>
      <c r="AP196" s="10"/>
      <c r="AQ196" s="9">
        <f t="shared" si="33"/>
        <v>0.61699999999999999</v>
      </c>
      <c r="AR196" s="9">
        <f>0</f>
        <v>0</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291.96042382841864</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98.444703118480732</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173.92601532672532</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173.92601532672532</v>
      </c>
      <c r="AW196" s="10"/>
      <c r="AX196" s="9">
        <f t="shared" si="34"/>
        <v>0.61699999999999999</v>
      </c>
      <c r="AY196" s="9">
        <f>0</f>
        <v>0</v>
      </c>
      <c r="AZ196" s="9">
        <f>IF(OR(Inputs!$F$6=TRUE,Inputs!$F$6="TRUE",Inputs!$F$6=1),(Inputs!$H$6+Inputs!$L$6*(((Inputs!$I$6+(((A196)+1)/2)*(Inputs!$J$6-Inputs!$I$6)))/Inputs!$K$6)^2),NA())</f>
        <v>401.52275600000002</v>
      </c>
      <c r="BA196" s="9">
        <f>IF(OR(Inputs!$F$7=TRUE,Inputs!$F$7="TRUE",Inputs!$F$7=1),(Inputs!$H$7+Inputs!$L$7*(((Inputs!$I$7+(((A196)+1)/2)*(Inputs!$J$7-Inputs!$I$7)))/Inputs!$K$7)^2),NA())</f>
        <v>173.95148499999993</v>
      </c>
      <c r="BB196" s="9">
        <f>IF(OR(Inputs!$F$8=TRUE,Inputs!$F$8="TRUE",Inputs!$F$8=1),(Inputs!$H$8+Inputs!$L$8*(((Inputs!$I$8+(((A196)+1)/2)*(Inputs!$J$8-Inputs!$I$8)))/Inputs!$K$8)^2),NA())</f>
        <v>402.36488499999984</v>
      </c>
      <c r="BC196" s="9">
        <f>IF(OR(Inputs!$F$9=TRUE,Inputs!$F$9="TRUE",Inputs!$F$9=1),(Inputs!$H$9+Inputs!$L$9*(((Inputs!$I$9+(((A196)+1)/2)*(Inputs!$J$9-Inputs!$I$9)))/Inputs!$K$9)^2),NA())</f>
        <v>396.17177499999985</v>
      </c>
      <c r="BD196" s="10"/>
      <c r="BE196" s="9">
        <f t="shared" si="35"/>
        <v>0.61699999999999999</v>
      </c>
      <c r="BF196" s="9">
        <f>0</f>
        <v>0</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row>
    <row r="197" spans="1:62">
      <c r="A197" s="9">
        <f>ROUND(-1+195*2/240,3)</f>
        <v>0.625</v>
      </c>
      <c r="B197" s="9">
        <f>IF(OR(Inputs!$F$6=TRUE,Inputs!$F$6="TRUE",Inputs!$F$6=1),(Inputs!$H$6+Inputs!$L$6*(((Inputs!$I$6+(((A197)+1)/2)*(Inputs!$J$6-Inputs!$I$6)))/Inputs!$K$6)^2),NA())</f>
        <v>401.5625</v>
      </c>
      <c r="C197" s="9">
        <f>IF(OR(Inputs!$F$7=TRUE,Inputs!$F$7="TRUE",Inputs!$F$7=1),(Inputs!$H$7+Inputs!$L$7*(((Inputs!$I$7+(((A197)+1)/2)*(Inputs!$J$7-Inputs!$I$7)))/Inputs!$K$7)^2),NA())</f>
        <v>177.578125</v>
      </c>
      <c r="D197" s="9">
        <f>IF(OR(Inputs!$F$8=TRUE,Inputs!$F$8="TRUE",Inputs!$F$8=1),(Inputs!$H$8+Inputs!$L$8*(((Inputs!$I$8+(((A197)+1)/2)*(Inputs!$J$8-Inputs!$I$8)))/Inputs!$K$8)^2),NA())</f>
        <v>411.953125</v>
      </c>
      <c r="E197" s="9">
        <f>IF(OR(Inputs!$F$9=TRUE,Inputs!$F$9="TRUE",Inputs!$F$9=1),(Inputs!$H$9+Inputs!$L$9*(((Inputs!$I$9+(((A197)+1)/2)*(Inputs!$J$9-Inputs!$I$9)))/Inputs!$K$9)^2),NA())</f>
        <v>405.859375</v>
      </c>
      <c r="F197" s="10"/>
      <c r="G197" s="9">
        <f t="shared" si="27"/>
        <v>0.625</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c r="L197" s="10"/>
      <c r="M197" s="9">
        <f t="shared" si="28"/>
        <v>0.625</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-318.86649388508926</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-2522.8127112245124</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-3133.9425203265596</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-3145.2550966793397</v>
      </c>
      <c r="R197" s="10"/>
      <c r="S197" s="9">
        <f t="shared" si="29"/>
        <v>0.625</v>
      </c>
      <c r="T197" s="9">
        <f>(Inputs!$I$6+(((A197)+1)/2)*(Inputs!$J$6-Inputs!$I$6))</f>
        <v>37.5</v>
      </c>
      <c r="U197" s="9">
        <f>(Inputs!$I$7+(((A197)+1)/2)*(Inputs!$J$7-Inputs!$I$7))</f>
        <v>250</v>
      </c>
      <c r="V197" s="9">
        <f>(Inputs!$I$8+(((A197)+1)/2)*(Inputs!$J$8-Inputs!$I$8))</f>
        <v>500</v>
      </c>
      <c r="W197" s="9">
        <f>(Inputs!$I$9+(((A197)+1)/2)*(Inputs!$J$9-Inputs!$I$9))</f>
        <v>500</v>
      </c>
      <c r="X197" s="10"/>
      <c r="Y197" s="9">
        <f t="shared" si="30"/>
        <v>0.625</v>
      </c>
      <c r="Z197" s="9">
        <f>(Inputs!$H$6+Inputs!$L$6*(((Inputs!$I$6+(((A197)+1)/2)*(Inputs!$J$6-Inputs!$I$6)))/Inputs!$K$6)^2)</f>
        <v>401.5625</v>
      </c>
      <c r="AA197" s="9">
        <f>(Inputs!$H$7+Inputs!$L$7*(((Inputs!$I$7+(((A197)+1)/2)*(Inputs!$J$7-Inputs!$I$7)))/Inputs!$K$7)^2)</f>
        <v>177.578125</v>
      </c>
      <c r="AB197" s="9">
        <f>(Inputs!$H$8+Inputs!$L$8*(((Inputs!$I$8+(((A197)+1)/2)*(Inputs!$J$8-Inputs!$I$8)))/Inputs!$K$8)^2)</f>
        <v>411.953125</v>
      </c>
      <c r="AC197" s="9">
        <f>(Inputs!$H$9+Inputs!$L$9*(((Inputs!$I$9+(((A197)+1)/2)*(Inputs!$J$9-Inputs!$I$9)))/Inputs!$K$9)^2)</f>
        <v>405.859375</v>
      </c>
      <c r="AD197" s="10"/>
      <c r="AE197" s="9">
        <f t="shared" si="31"/>
        <v>0.625</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1779.3145540322525</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79387.320918721598</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159317.35001562969</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160328.91496968584</v>
      </c>
      <c r="AJ197" s="10"/>
      <c r="AK197" s="9">
        <f t="shared" si="32"/>
        <v>0.625</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-318.86649388508926</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-2522.8127112245124</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-3133.9425203265596</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-3145.2550966793397</v>
      </c>
      <c r="AP197" s="10"/>
      <c r="AQ197" s="9">
        <f t="shared" si="33"/>
        <v>0.625</v>
      </c>
      <c r="AR197" s="9">
        <f>0</f>
        <v>0</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280.68428636923539</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92.403731475871666</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107.71497999841637</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107.71497999841637</v>
      </c>
      <c r="AW197" s="10"/>
      <c r="AX197" s="9">
        <f t="shared" si="34"/>
        <v>0.625</v>
      </c>
      <c r="AY197" s="9">
        <f>0</f>
        <v>0</v>
      </c>
      <c r="AZ197" s="9">
        <f>IF(OR(Inputs!$F$6=TRUE,Inputs!$F$6="TRUE",Inputs!$F$6=1),(Inputs!$H$6+Inputs!$L$6*(((Inputs!$I$6+(((A197)+1)/2)*(Inputs!$J$6-Inputs!$I$6)))/Inputs!$K$6)^2),NA())</f>
        <v>401.5625</v>
      </c>
      <c r="BA197" s="9">
        <f>IF(OR(Inputs!$F$7=TRUE,Inputs!$F$7="TRUE",Inputs!$F$7=1),(Inputs!$H$7+Inputs!$L$7*(((Inputs!$I$7+(((A197)+1)/2)*(Inputs!$J$7-Inputs!$I$7)))/Inputs!$K$7)^2),NA())</f>
        <v>177.578125</v>
      </c>
      <c r="BB197" s="9">
        <f>IF(OR(Inputs!$F$8=TRUE,Inputs!$F$8="TRUE",Inputs!$F$8=1),(Inputs!$H$8+Inputs!$L$8*(((Inputs!$I$8+(((A197)+1)/2)*(Inputs!$J$8-Inputs!$I$8)))/Inputs!$K$8)^2),NA())</f>
        <v>411.953125</v>
      </c>
      <c r="BC197" s="9">
        <f>IF(OR(Inputs!$F$9=TRUE,Inputs!$F$9="TRUE",Inputs!$F$9=1),(Inputs!$H$9+Inputs!$L$9*(((Inputs!$I$9+(((A197)+1)/2)*(Inputs!$J$9-Inputs!$I$9)))/Inputs!$K$9)^2),NA())</f>
        <v>405.859375</v>
      </c>
      <c r="BD197" s="10"/>
      <c r="BE197" s="9">
        <f t="shared" si="35"/>
        <v>0.625</v>
      </c>
      <c r="BF197" s="9">
        <f>0</f>
        <v>0</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row>
    <row r="198" spans="1:62">
      <c r="A198" s="9">
        <f>ROUND(-1+196*2/240,3)</f>
        <v>0.63300000000000001</v>
      </c>
      <c r="B198" s="9">
        <f>IF(OR(Inputs!$F$6=TRUE,Inputs!$F$6="TRUE",Inputs!$F$6=1),(Inputs!$H$6+Inputs!$L$6*(((Inputs!$I$6+(((A198)+1)/2)*(Inputs!$J$6-Inputs!$I$6)))/Inputs!$K$6)^2),NA())</f>
        <v>401.602756</v>
      </c>
      <c r="C198" s="9">
        <f>IF(OR(Inputs!$F$7=TRUE,Inputs!$F$7="TRUE",Inputs!$F$7=1),(Inputs!$H$7+Inputs!$L$7*(((Inputs!$I$7+(((A198)+1)/2)*(Inputs!$J$7-Inputs!$I$7)))/Inputs!$K$7)^2),NA())</f>
        <v>181.25148500000006</v>
      </c>
      <c r="D198" s="9">
        <f>IF(OR(Inputs!$F$8=TRUE,Inputs!$F$8="TRUE",Inputs!$F$8=1),(Inputs!$H$8+Inputs!$L$8*(((Inputs!$I$8+(((A198)+1)/2)*(Inputs!$J$8-Inputs!$I$8)))/Inputs!$K$8)^2),NA())</f>
        <v>421.66488500000014</v>
      </c>
      <c r="E198" s="9">
        <f>IF(OR(Inputs!$F$9=TRUE,Inputs!$F$9="TRUE",Inputs!$F$9=1),(Inputs!$H$9+Inputs!$L$9*(((Inputs!$I$9+(((A198)+1)/2)*(Inputs!$J$9-Inputs!$I$9)))/Inputs!$K$9)^2),NA())</f>
        <v>415.67177500000014</v>
      </c>
      <c r="F198" s="10"/>
      <c r="G198" s="9">
        <f t="shared" si="27"/>
        <v>0.63300000000000001</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c r="L198" s="10"/>
      <c r="M198" s="9">
        <f t="shared" si="28"/>
        <v>0.63300000000000001</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-322.89189375400963</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-2541.8250131573923</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-3164.4654052552846</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-3176.3004946503343</v>
      </c>
      <c r="R198" s="10"/>
      <c r="S198" s="9">
        <f t="shared" si="29"/>
        <v>0.63300000000000001</v>
      </c>
      <c r="T198" s="9">
        <f>(Inputs!$I$6+(((A198)+1)/2)*(Inputs!$J$6-Inputs!$I$6))</f>
        <v>37.980000000000004</v>
      </c>
      <c r="U198" s="9">
        <f>(Inputs!$I$7+(((A198)+1)/2)*(Inputs!$J$7-Inputs!$I$7))</f>
        <v>253.20000000000005</v>
      </c>
      <c r="V198" s="9">
        <f>(Inputs!$I$8+(((A198)+1)/2)*(Inputs!$J$8-Inputs!$I$8))</f>
        <v>506.40000000000009</v>
      </c>
      <c r="W198" s="9">
        <f>(Inputs!$I$9+(((A198)+1)/2)*(Inputs!$J$9-Inputs!$I$9))</f>
        <v>506.40000000000009</v>
      </c>
      <c r="X198" s="10"/>
      <c r="Y198" s="9">
        <f t="shared" si="30"/>
        <v>0.63300000000000001</v>
      </c>
      <c r="Z198" s="9">
        <f>(Inputs!$H$6+Inputs!$L$6*(((Inputs!$I$6+(((A198)+1)/2)*(Inputs!$J$6-Inputs!$I$6)))/Inputs!$K$6)^2)</f>
        <v>401.602756</v>
      </c>
      <c r="AA198" s="9">
        <f>(Inputs!$H$7+Inputs!$L$7*(((Inputs!$I$7+(((A198)+1)/2)*(Inputs!$J$7-Inputs!$I$7)))/Inputs!$K$7)^2)</f>
        <v>181.25148500000006</v>
      </c>
      <c r="AB198" s="9">
        <f>(Inputs!$H$8+Inputs!$L$8*(((Inputs!$I$8+(((A198)+1)/2)*(Inputs!$J$8-Inputs!$I$8)))/Inputs!$K$8)^2)</f>
        <v>421.66488500000014</v>
      </c>
      <c r="AC198" s="9">
        <f>(Inputs!$H$9+Inputs!$L$9*(((Inputs!$I$9+(((A198)+1)/2)*(Inputs!$J$9-Inputs!$I$9)))/Inputs!$K$9)^2)</f>
        <v>415.67177500000014</v>
      </c>
      <c r="AD198" s="10"/>
      <c r="AE198" s="9">
        <f t="shared" si="31"/>
        <v>0.63300000000000001</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1810.7796160089886</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80168.926445403733</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160938.14162452074</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161919.17609100946</v>
      </c>
      <c r="AJ198" s="10"/>
      <c r="AK198" s="9">
        <f t="shared" si="32"/>
        <v>0.63300000000000001</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-322.89189375400963</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-2541.8250131573923</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-3164.4654052552846</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-3176.3004946503343</v>
      </c>
      <c r="AP198" s="10"/>
      <c r="AQ198" s="9">
        <f t="shared" si="33"/>
        <v>0.63300000000000001</v>
      </c>
      <c r="AR198" s="9">
        <f>0</f>
        <v>0</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297.28956502515467</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151.83672337523279</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230.8279849864777</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230.8279849864777</v>
      </c>
      <c r="AW198" s="10"/>
      <c r="AX198" s="9">
        <f t="shared" si="34"/>
        <v>0.63300000000000001</v>
      </c>
      <c r="AY198" s="9">
        <f>0</f>
        <v>0</v>
      </c>
      <c r="AZ198" s="9">
        <f>IF(OR(Inputs!$F$6=TRUE,Inputs!$F$6="TRUE",Inputs!$F$6=1),(Inputs!$H$6+Inputs!$L$6*(((Inputs!$I$6+(((A198)+1)/2)*(Inputs!$J$6-Inputs!$I$6)))/Inputs!$K$6)^2),NA())</f>
        <v>401.602756</v>
      </c>
      <c r="BA198" s="9">
        <f>IF(OR(Inputs!$F$7=TRUE,Inputs!$F$7="TRUE",Inputs!$F$7=1),(Inputs!$H$7+Inputs!$L$7*(((Inputs!$I$7+(((A198)+1)/2)*(Inputs!$J$7-Inputs!$I$7)))/Inputs!$K$7)^2),NA())</f>
        <v>181.25148500000006</v>
      </c>
      <c r="BB198" s="9">
        <f>IF(OR(Inputs!$F$8=TRUE,Inputs!$F$8="TRUE",Inputs!$F$8=1),(Inputs!$H$8+Inputs!$L$8*(((Inputs!$I$8+(((A198)+1)/2)*(Inputs!$J$8-Inputs!$I$8)))/Inputs!$K$8)^2),NA())</f>
        <v>421.66488500000014</v>
      </c>
      <c r="BC198" s="9">
        <f>IF(OR(Inputs!$F$9=TRUE,Inputs!$F$9="TRUE",Inputs!$F$9=1),(Inputs!$H$9+Inputs!$L$9*(((Inputs!$I$9+(((A198)+1)/2)*(Inputs!$J$9-Inputs!$I$9)))/Inputs!$K$9)^2),NA())</f>
        <v>415.67177500000014</v>
      </c>
      <c r="BD198" s="10"/>
      <c r="BE198" s="9">
        <f t="shared" si="35"/>
        <v>0.63300000000000001</v>
      </c>
      <c r="BF198" s="9">
        <f>0</f>
        <v>0</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row>
    <row r="199" spans="1:62">
      <c r="A199" s="9">
        <f>ROUND(-1+197*2/240,3)</f>
        <v>0.64200000000000002</v>
      </c>
      <c r="B199" s="9">
        <f>IF(OR(Inputs!$F$6=TRUE,Inputs!$F$6="TRUE",Inputs!$F$6=1),(Inputs!$H$6+Inputs!$L$6*(((Inputs!$I$6+(((A199)+1)/2)*(Inputs!$J$6-Inputs!$I$6)))/Inputs!$K$6)^2),NA())</f>
        <v>401.64865600000002</v>
      </c>
      <c r="C199" s="9">
        <f>IF(OR(Inputs!$F$7=TRUE,Inputs!$F$7="TRUE",Inputs!$F$7=1),(Inputs!$H$7+Inputs!$L$7*(((Inputs!$I$7+(((A199)+1)/2)*(Inputs!$J$7-Inputs!$I$7)))/Inputs!$K$7)^2),NA())</f>
        <v>185.43985999999995</v>
      </c>
      <c r="D199" s="9">
        <f>IF(OR(Inputs!$F$8=TRUE,Inputs!$F$8="TRUE",Inputs!$F$8=1),(Inputs!$H$8+Inputs!$L$8*(((Inputs!$I$8+(((A199)+1)/2)*(Inputs!$J$8-Inputs!$I$8)))/Inputs!$K$8)^2),NA())</f>
        <v>432.73825999999985</v>
      </c>
      <c r="E199" s="9">
        <f>IF(OR(Inputs!$F$9=TRUE,Inputs!$F$9="TRUE",Inputs!$F$9=1),(Inputs!$H$9+Inputs!$L$9*(((Inputs!$I$9+(((A199)+1)/2)*(Inputs!$J$9-Inputs!$I$9)))/Inputs!$K$9)^2),NA())</f>
        <v>426.85989999999987</v>
      </c>
      <c r="F199" s="10"/>
      <c r="G199" s="9">
        <f t="shared" si="27"/>
        <v>0.64200000000000002</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c r="L199" s="10"/>
      <c r="M199" s="9">
        <f t="shared" si="28"/>
        <v>0.64200000000000002</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-327.4179585006213</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-2563.3555763674917</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-3198.9689250336592</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-3211.3903291497036</v>
      </c>
      <c r="R199" s="10"/>
      <c r="S199" s="9">
        <f t="shared" si="29"/>
        <v>0.64200000000000002</v>
      </c>
      <c r="T199" s="9">
        <f>(Inputs!$I$6+(((A199)+1)/2)*(Inputs!$J$6-Inputs!$I$6))</f>
        <v>38.519999999999996</v>
      </c>
      <c r="U199" s="9">
        <f>(Inputs!$I$7+(((A199)+1)/2)*(Inputs!$J$7-Inputs!$I$7))</f>
        <v>256.79999999999995</v>
      </c>
      <c r="V199" s="9">
        <f>(Inputs!$I$8+(((A199)+1)/2)*(Inputs!$J$8-Inputs!$I$8))</f>
        <v>513.59999999999991</v>
      </c>
      <c r="W199" s="9">
        <f>(Inputs!$I$9+(((A199)+1)/2)*(Inputs!$J$9-Inputs!$I$9))</f>
        <v>513.59999999999991</v>
      </c>
      <c r="X199" s="10"/>
      <c r="Y199" s="9">
        <f t="shared" si="30"/>
        <v>0.64200000000000002</v>
      </c>
      <c r="Z199" s="9">
        <f>(Inputs!$H$6+Inputs!$L$6*(((Inputs!$I$6+(((A199)+1)/2)*(Inputs!$J$6-Inputs!$I$6)))/Inputs!$K$6)^2)</f>
        <v>401.64865600000002</v>
      </c>
      <c r="AA199" s="9">
        <f>(Inputs!$H$7+Inputs!$L$7*(((Inputs!$I$7+(((A199)+1)/2)*(Inputs!$J$7-Inputs!$I$7)))/Inputs!$K$7)^2)</f>
        <v>185.43985999999995</v>
      </c>
      <c r="AB199" s="9">
        <f>(Inputs!$H$8+Inputs!$L$8*(((Inputs!$I$8+(((A199)+1)/2)*(Inputs!$J$8-Inputs!$I$8)))/Inputs!$K$8)^2)</f>
        <v>432.73825999999985</v>
      </c>
      <c r="AC199" s="9">
        <f>(Inputs!$H$9+Inputs!$L$9*(((Inputs!$I$9+(((A199)+1)/2)*(Inputs!$J$9-Inputs!$I$9)))/Inputs!$K$9)^2)</f>
        <v>426.85989999999987</v>
      </c>
      <c r="AD199" s="10"/>
      <c r="AE199" s="9">
        <f t="shared" si="31"/>
        <v>0.64200000000000002</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1846.6447074484392</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81042.479928761211</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162760.77509026151</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163708.00491582954</v>
      </c>
      <c r="AJ199" s="10"/>
      <c r="AK199" s="9">
        <f t="shared" si="32"/>
        <v>0.64200000000000002</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-327.4179585006213</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-2563.3555763674917</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-3198.9689250336592</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-3211.3903291497036</v>
      </c>
      <c r="AP199" s="10"/>
      <c r="AQ199" s="9">
        <f t="shared" si="33"/>
        <v>0.64200000000000002</v>
      </c>
      <c r="AR199" s="9">
        <f>0</f>
        <v>0</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286.13097340099171</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191.01298983194863</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142.91530810558785</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142.91530810558785</v>
      </c>
      <c r="AW199" s="10"/>
      <c r="AX199" s="9">
        <f t="shared" si="34"/>
        <v>0.64200000000000002</v>
      </c>
      <c r="AY199" s="9">
        <f>0</f>
        <v>0</v>
      </c>
      <c r="AZ199" s="9">
        <f>IF(OR(Inputs!$F$6=TRUE,Inputs!$F$6="TRUE",Inputs!$F$6=1),(Inputs!$H$6+Inputs!$L$6*(((Inputs!$I$6+(((A199)+1)/2)*(Inputs!$J$6-Inputs!$I$6)))/Inputs!$K$6)^2),NA())</f>
        <v>401.64865600000002</v>
      </c>
      <c r="BA199" s="9">
        <f>IF(OR(Inputs!$F$7=TRUE,Inputs!$F$7="TRUE",Inputs!$F$7=1),(Inputs!$H$7+Inputs!$L$7*(((Inputs!$I$7+(((A199)+1)/2)*(Inputs!$J$7-Inputs!$I$7)))/Inputs!$K$7)^2),NA())</f>
        <v>185.43985999999995</v>
      </c>
      <c r="BB199" s="9">
        <f>IF(OR(Inputs!$F$8=TRUE,Inputs!$F$8="TRUE",Inputs!$F$8=1),(Inputs!$H$8+Inputs!$L$8*(((Inputs!$I$8+(((A199)+1)/2)*(Inputs!$J$8-Inputs!$I$8)))/Inputs!$K$8)^2),NA())</f>
        <v>432.73825999999985</v>
      </c>
      <c r="BC199" s="9">
        <f>IF(OR(Inputs!$F$9=TRUE,Inputs!$F$9="TRUE",Inputs!$F$9=1),(Inputs!$H$9+Inputs!$L$9*(((Inputs!$I$9+(((A199)+1)/2)*(Inputs!$J$9-Inputs!$I$9)))/Inputs!$K$9)^2),NA())</f>
        <v>426.85989999999987</v>
      </c>
      <c r="BD199" s="10"/>
      <c r="BE199" s="9">
        <f t="shared" si="35"/>
        <v>0.64200000000000002</v>
      </c>
      <c r="BF199" s="9">
        <f>0</f>
        <v>0</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row>
    <row r="200" spans="1:62">
      <c r="A200" s="9">
        <f>ROUND(-1+198*2/240,3)</f>
        <v>0.65</v>
      </c>
      <c r="B200" s="9">
        <f>IF(OR(Inputs!$F$6=TRUE,Inputs!$F$6="TRUE",Inputs!$F$6=1),(Inputs!$H$6+Inputs!$L$6*(((Inputs!$I$6+(((A200)+1)/2)*(Inputs!$J$6-Inputs!$I$6)))/Inputs!$K$6)^2),NA())</f>
        <v>401.69</v>
      </c>
      <c r="C200" s="9">
        <f>IF(OR(Inputs!$F$7=TRUE,Inputs!$F$7="TRUE",Inputs!$F$7=1),(Inputs!$H$7+Inputs!$L$7*(((Inputs!$I$7+(((A200)+1)/2)*(Inputs!$J$7-Inputs!$I$7)))/Inputs!$K$7)^2),NA())</f>
        <v>189.21250000000001</v>
      </c>
      <c r="D200" s="9">
        <f>IF(OR(Inputs!$F$8=TRUE,Inputs!$F$8="TRUE",Inputs!$F$8=1),(Inputs!$H$8+Inputs!$L$8*(((Inputs!$I$8+(((A200)+1)/2)*(Inputs!$J$8-Inputs!$I$8)))/Inputs!$K$8)^2),NA())</f>
        <v>442.71250000000003</v>
      </c>
      <c r="E200" s="9">
        <f>IF(OR(Inputs!$F$9=TRUE,Inputs!$F$9="TRUE",Inputs!$F$9=1),(Inputs!$H$9+Inputs!$L$9*(((Inputs!$I$9+(((A200)+1)/2)*(Inputs!$J$9-Inputs!$I$9)))/Inputs!$K$9)^2),NA())</f>
        <v>436.93750000000006</v>
      </c>
      <c r="F200" s="10"/>
      <c r="G200" s="9">
        <f t="shared" si="27"/>
        <v>0.65</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c r="L200" s="10"/>
      <c r="M200" s="9">
        <f t="shared" si="28"/>
        <v>0.65</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-331.43886943681935</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-2582.6182654852992</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-3229.7814148818247</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-3242.7225209785565</v>
      </c>
      <c r="R200" s="10"/>
      <c r="S200" s="9">
        <f t="shared" si="29"/>
        <v>0.65</v>
      </c>
      <c r="T200" s="9">
        <f>(Inputs!$I$6+(((A200)+1)/2)*(Inputs!$J$6-Inputs!$I$6))</f>
        <v>39</v>
      </c>
      <c r="U200" s="9">
        <f>(Inputs!$I$7+(((A200)+1)/2)*(Inputs!$J$7-Inputs!$I$7))</f>
        <v>260</v>
      </c>
      <c r="V200" s="9">
        <f>(Inputs!$I$8+(((A200)+1)/2)*(Inputs!$J$8-Inputs!$I$8))</f>
        <v>520</v>
      </c>
      <c r="W200" s="9">
        <f>(Inputs!$I$9+(((A200)+1)/2)*(Inputs!$J$9-Inputs!$I$9))</f>
        <v>520</v>
      </c>
      <c r="X200" s="10"/>
      <c r="Y200" s="9">
        <f t="shared" si="30"/>
        <v>0.65</v>
      </c>
      <c r="Z200" s="9">
        <f>(Inputs!$H$6+Inputs!$L$6*(((Inputs!$I$6+(((A200)+1)/2)*(Inputs!$J$6-Inputs!$I$6)))/Inputs!$K$6)^2)</f>
        <v>401.69</v>
      </c>
      <c r="AA200" s="9">
        <f>(Inputs!$H$7+Inputs!$L$7*(((Inputs!$I$7+(((A200)+1)/2)*(Inputs!$J$7-Inputs!$I$7)))/Inputs!$K$7)^2)</f>
        <v>189.21250000000001</v>
      </c>
      <c r="AB200" s="9">
        <f>(Inputs!$H$8+Inputs!$L$8*(((Inputs!$I$8+(((A200)+1)/2)*(Inputs!$J$8-Inputs!$I$8)))/Inputs!$K$8)^2)</f>
        <v>442.71250000000003</v>
      </c>
      <c r="AC200" s="9">
        <f>(Inputs!$H$9+Inputs!$L$9*(((Inputs!$I$9+(((A200)+1)/2)*(Inputs!$J$9-Inputs!$I$9)))/Inputs!$K$9)^2)</f>
        <v>436.93750000000006</v>
      </c>
      <c r="AD200" s="10"/>
      <c r="AE200" s="9">
        <f t="shared" si="31"/>
        <v>0.65</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1878.9394139868214</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81814.004903983849</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164380.55969178746</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165298.21957316351</v>
      </c>
      <c r="AJ200" s="10"/>
      <c r="AK200" s="9">
        <f t="shared" si="32"/>
        <v>0.65</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-331.43886943681935</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-2582.6182654852992</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-3229.7814148818247</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-3242.7225209785565</v>
      </c>
      <c r="AP200" s="10"/>
      <c r="AQ200" s="9">
        <f t="shared" si="33"/>
        <v>0.65</v>
      </c>
      <c r="AR200" s="9">
        <f>0</f>
        <v>0</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302.84354967777892</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134.66164099948801</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150.39951407721946</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150.39951407721946</v>
      </c>
      <c r="AW200" s="10"/>
      <c r="AX200" s="9">
        <f t="shared" si="34"/>
        <v>0.65</v>
      </c>
      <c r="AY200" s="9">
        <f>0</f>
        <v>0</v>
      </c>
      <c r="AZ200" s="9">
        <f>IF(OR(Inputs!$F$6=TRUE,Inputs!$F$6="TRUE",Inputs!$F$6=1),(Inputs!$H$6+Inputs!$L$6*(((Inputs!$I$6+(((A200)+1)/2)*(Inputs!$J$6-Inputs!$I$6)))/Inputs!$K$6)^2),NA())</f>
        <v>401.69</v>
      </c>
      <c r="BA200" s="9">
        <f>IF(OR(Inputs!$F$7=TRUE,Inputs!$F$7="TRUE",Inputs!$F$7=1),(Inputs!$H$7+Inputs!$L$7*(((Inputs!$I$7+(((A200)+1)/2)*(Inputs!$J$7-Inputs!$I$7)))/Inputs!$K$7)^2),NA())</f>
        <v>189.21250000000001</v>
      </c>
      <c r="BB200" s="9">
        <f>IF(OR(Inputs!$F$8=TRUE,Inputs!$F$8="TRUE",Inputs!$F$8=1),(Inputs!$H$8+Inputs!$L$8*(((Inputs!$I$8+(((A200)+1)/2)*(Inputs!$J$8-Inputs!$I$8)))/Inputs!$K$8)^2),NA())</f>
        <v>442.71250000000003</v>
      </c>
      <c r="BC200" s="9">
        <f>IF(OR(Inputs!$F$9=TRUE,Inputs!$F$9="TRUE",Inputs!$F$9=1),(Inputs!$H$9+Inputs!$L$9*(((Inputs!$I$9+(((A200)+1)/2)*(Inputs!$J$9-Inputs!$I$9)))/Inputs!$K$9)^2),NA())</f>
        <v>436.93750000000006</v>
      </c>
      <c r="BD200" s="10"/>
      <c r="BE200" s="9">
        <f t="shared" si="35"/>
        <v>0.65</v>
      </c>
      <c r="BF200" s="9">
        <f>0</f>
        <v>0</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row>
    <row r="201" spans="1:62">
      <c r="A201" s="9">
        <f>ROUND(-1+199*2/240,3)</f>
        <v>0.65800000000000003</v>
      </c>
      <c r="B201" s="9">
        <f>IF(OR(Inputs!$F$6=TRUE,Inputs!$F$6="TRUE",Inputs!$F$6=1),(Inputs!$H$6+Inputs!$L$6*(((Inputs!$I$6+(((A201)+1)/2)*(Inputs!$J$6-Inputs!$I$6)))/Inputs!$K$6)^2),NA())</f>
        <v>401.73185599999999</v>
      </c>
      <c r="C201" s="9">
        <f>IF(OR(Inputs!$F$7=TRUE,Inputs!$F$7="TRUE",Inputs!$F$7=1),(Inputs!$H$7+Inputs!$L$7*(((Inputs!$I$7+(((A201)+1)/2)*(Inputs!$J$7-Inputs!$I$7)))/Inputs!$K$7)^2),NA())</f>
        <v>193.03185999999991</v>
      </c>
      <c r="D201" s="9">
        <f>IF(OR(Inputs!$F$8=TRUE,Inputs!$F$8="TRUE",Inputs!$F$8=1),(Inputs!$H$8+Inputs!$L$8*(((Inputs!$I$8+(((A201)+1)/2)*(Inputs!$J$8-Inputs!$I$8)))/Inputs!$K$8)^2),NA())</f>
        <v>452.81025999999974</v>
      </c>
      <c r="E201" s="9">
        <f>IF(OR(Inputs!$F$9=TRUE,Inputs!$F$9="TRUE",Inputs!$F$9=1),(Inputs!$H$9+Inputs!$L$9*(((Inputs!$I$9+(((A201)+1)/2)*(Inputs!$J$9-Inputs!$I$9)))/Inputs!$K$9)^2),NA())</f>
        <v>447.13989999999973</v>
      </c>
      <c r="F201" s="10"/>
      <c r="G201" s="9">
        <f t="shared" si="27"/>
        <v>0.65800000000000003</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c r="L201" s="10"/>
      <c r="M201" s="9">
        <f t="shared" si="28"/>
        <v>0.65800000000000003</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-335.45763059007538</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-2601.9965436821303</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-3260.7243268773741</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-3274.1836497104168</v>
      </c>
      <c r="R201" s="10"/>
      <c r="S201" s="9">
        <f t="shared" si="29"/>
        <v>0.65800000000000003</v>
      </c>
      <c r="T201" s="9">
        <f>(Inputs!$I$6+(((A201)+1)/2)*(Inputs!$J$6-Inputs!$I$6))</f>
        <v>39.47999999999999</v>
      </c>
      <c r="U201" s="9">
        <f>(Inputs!$I$7+(((A201)+1)/2)*(Inputs!$J$7-Inputs!$I$7))</f>
        <v>263.19999999999993</v>
      </c>
      <c r="V201" s="9">
        <f>(Inputs!$I$8+(((A201)+1)/2)*(Inputs!$J$8-Inputs!$I$8))</f>
        <v>526.39999999999986</v>
      </c>
      <c r="W201" s="9">
        <f>(Inputs!$I$9+(((A201)+1)/2)*(Inputs!$J$9-Inputs!$I$9))</f>
        <v>526.39999999999986</v>
      </c>
      <c r="X201" s="10"/>
      <c r="Y201" s="9">
        <f t="shared" si="30"/>
        <v>0.65800000000000003</v>
      </c>
      <c r="Z201" s="9">
        <f>(Inputs!$H$6+Inputs!$L$6*(((Inputs!$I$6+(((A201)+1)/2)*(Inputs!$J$6-Inputs!$I$6)))/Inputs!$K$6)^2)</f>
        <v>401.73185599999999</v>
      </c>
      <c r="AA201" s="9">
        <f>(Inputs!$H$7+Inputs!$L$7*(((Inputs!$I$7+(((A201)+1)/2)*(Inputs!$J$7-Inputs!$I$7)))/Inputs!$K$7)^2)</f>
        <v>193.03185999999991</v>
      </c>
      <c r="AB201" s="9">
        <f>(Inputs!$H$8+Inputs!$L$8*(((Inputs!$I$8+(((A201)+1)/2)*(Inputs!$J$8-Inputs!$I$8)))/Inputs!$K$8)^2)</f>
        <v>452.81025999999974</v>
      </c>
      <c r="AC201" s="9">
        <f>(Inputs!$H$9+Inputs!$L$9*(((Inputs!$I$9+(((A201)+1)/2)*(Inputs!$J$9-Inputs!$I$9)))/Inputs!$K$9)^2)</f>
        <v>447.13989999999973</v>
      </c>
      <c r="AD201" s="10"/>
      <c r="AE201" s="9">
        <f t="shared" si="31"/>
        <v>0.65800000000000003</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1911.623980866319</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82580.991233169101</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166000.33981586661</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166888.87687067781</v>
      </c>
      <c r="AJ201" s="10"/>
      <c r="AK201" s="9">
        <f t="shared" si="32"/>
        <v>0.65800000000000003</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-335.45763059007538</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-2601.9965436821303</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-3260.7243268773741</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-3274.1836497104168</v>
      </c>
      <c r="AP201" s="10"/>
      <c r="AQ201" s="9">
        <f t="shared" si="33"/>
        <v>0.65800000000000003</v>
      </c>
      <c r="AR201" s="9">
        <f>0</f>
        <v>0</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298.1246265268976</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95.896690726807677</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188.54870585549077</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188.54870585549077</v>
      </c>
      <c r="AW201" s="10"/>
      <c r="AX201" s="9">
        <f t="shared" si="34"/>
        <v>0.65800000000000003</v>
      </c>
      <c r="AY201" s="9">
        <f>0</f>
        <v>0</v>
      </c>
      <c r="AZ201" s="9">
        <f>IF(OR(Inputs!$F$6=TRUE,Inputs!$F$6="TRUE",Inputs!$F$6=1),(Inputs!$H$6+Inputs!$L$6*(((Inputs!$I$6+(((A201)+1)/2)*(Inputs!$J$6-Inputs!$I$6)))/Inputs!$K$6)^2),NA())</f>
        <v>401.73185599999999</v>
      </c>
      <c r="BA201" s="9">
        <f>IF(OR(Inputs!$F$7=TRUE,Inputs!$F$7="TRUE",Inputs!$F$7=1),(Inputs!$H$7+Inputs!$L$7*(((Inputs!$I$7+(((A201)+1)/2)*(Inputs!$J$7-Inputs!$I$7)))/Inputs!$K$7)^2),NA())</f>
        <v>193.03185999999991</v>
      </c>
      <c r="BB201" s="9">
        <f>IF(OR(Inputs!$F$8=TRUE,Inputs!$F$8="TRUE",Inputs!$F$8=1),(Inputs!$H$8+Inputs!$L$8*(((Inputs!$I$8+(((A201)+1)/2)*(Inputs!$J$8-Inputs!$I$8)))/Inputs!$K$8)^2),NA())</f>
        <v>452.81025999999974</v>
      </c>
      <c r="BC201" s="9">
        <f>IF(OR(Inputs!$F$9=TRUE,Inputs!$F$9="TRUE",Inputs!$F$9=1),(Inputs!$H$9+Inputs!$L$9*(((Inputs!$I$9+(((A201)+1)/2)*(Inputs!$J$9-Inputs!$I$9)))/Inputs!$K$9)^2),NA())</f>
        <v>447.13989999999973</v>
      </c>
      <c r="BD201" s="10"/>
      <c r="BE201" s="9">
        <f t="shared" si="35"/>
        <v>0.65800000000000003</v>
      </c>
      <c r="BF201" s="9">
        <f>0</f>
        <v>0</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row>
    <row r="202" spans="1:62">
      <c r="A202" s="9">
        <f>ROUND(-1+200*2/240,3)</f>
        <v>0.66700000000000004</v>
      </c>
      <c r="B202" s="9">
        <f>IF(OR(Inputs!$F$6=TRUE,Inputs!$F$6="TRUE",Inputs!$F$6=1),(Inputs!$H$6+Inputs!$L$6*(((Inputs!$I$6+(((A202)+1)/2)*(Inputs!$J$6-Inputs!$I$6)))/Inputs!$K$6)^2),NA())</f>
        <v>401.77955600000001</v>
      </c>
      <c r="C202" s="9">
        <f>IF(OR(Inputs!$F$7=TRUE,Inputs!$F$7="TRUE",Inputs!$F$7=1),(Inputs!$H$7+Inputs!$L$7*(((Inputs!$I$7+(((A202)+1)/2)*(Inputs!$J$7-Inputs!$I$7)))/Inputs!$K$7)^2),NA())</f>
        <v>197.38448500000007</v>
      </c>
      <c r="D202" s="9">
        <f>IF(OR(Inputs!$F$8=TRUE,Inputs!$F$8="TRUE",Inputs!$F$8=1),(Inputs!$H$8+Inputs!$L$8*(((Inputs!$I$8+(((A202)+1)/2)*(Inputs!$J$8-Inputs!$I$8)))/Inputs!$K$8)^2),NA())</f>
        <v>464.31788500000022</v>
      </c>
      <c r="E202" s="9">
        <f>IF(OR(Inputs!$F$9=TRUE,Inputs!$F$9="TRUE",Inputs!$F$9=1),(Inputs!$H$9+Inputs!$L$9*(((Inputs!$I$9+(((A202)+1)/2)*(Inputs!$J$9-Inputs!$I$9)))/Inputs!$K$9)^2),NA())</f>
        <v>458.76677500000022</v>
      </c>
      <c r="F202" s="10"/>
      <c r="G202" s="9">
        <f t="shared" si="27"/>
        <v>0.66700000000000004</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c r="L202" s="10"/>
      <c r="M202" s="9">
        <f t="shared" si="28"/>
        <v>0.66700000000000004</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-339.97613762928961</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-2623.9334437903226</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-3295.6864713532282</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-3309.7268991103374</v>
      </c>
      <c r="R202" s="10"/>
      <c r="S202" s="9">
        <f t="shared" si="29"/>
        <v>0.66700000000000004</v>
      </c>
      <c r="T202" s="9">
        <f>(Inputs!$I$6+(((A202)+1)/2)*(Inputs!$J$6-Inputs!$I$6))</f>
        <v>40.019999999999996</v>
      </c>
      <c r="U202" s="9">
        <f>(Inputs!$I$7+(((A202)+1)/2)*(Inputs!$J$7-Inputs!$I$7))</f>
        <v>266.80000000000007</v>
      </c>
      <c r="V202" s="9">
        <f>(Inputs!$I$8+(((A202)+1)/2)*(Inputs!$J$8-Inputs!$I$8))</f>
        <v>533.60000000000014</v>
      </c>
      <c r="W202" s="9">
        <f>(Inputs!$I$9+(((A202)+1)/2)*(Inputs!$J$9-Inputs!$I$9))</f>
        <v>533.60000000000014</v>
      </c>
      <c r="X202" s="10"/>
      <c r="Y202" s="9">
        <f t="shared" si="30"/>
        <v>0.66700000000000004</v>
      </c>
      <c r="Z202" s="9">
        <f>(Inputs!$H$6+Inputs!$L$6*(((Inputs!$I$6+(((A202)+1)/2)*(Inputs!$J$6-Inputs!$I$6)))/Inputs!$K$6)^2)</f>
        <v>401.77955600000001</v>
      </c>
      <c r="AA202" s="9">
        <f>(Inputs!$H$7+Inputs!$L$7*(((Inputs!$I$7+(((A202)+1)/2)*(Inputs!$J$7-Inputs!$I$7)))/Inputs!$K$7)^2)</f>
        <v>197.38448500000007</v>
      </c>
      <c r="AB202" s="9">
        <f>(Inputs!$H$8+Inputs!$L$8*(((Inputs!$I$8+(((A202)+1)/2)*(Inputs!$J$8-Inputs!$I$8)))/Inputs!$K$8)^2)</f>
        <v>464.31788500000022</v>
      </c>
      <c r="AC202" s="9">
        <f>(Inputs!$H$9+Inputs!$L$9*(((Inputs!$I$9+(((A202)+1)/2)*(Inputs!$J$9-Inputs!$I$9)))/Inputs!$K$9)^2)</f>
        <v>458.76677500000022</v>
      </c>
      <c r="AD202" s="10"/>
      <c r="AE202" s="9">
        <f t="shared" si="31"/>
        <v>0.66700000000000004</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1948.8596697604426</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83438.586374787192</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167822.94660199175</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168679.25062872327</v>
      </c>
      <c r="AJ202" s="10"/>
      <c r="AK202" s="9">
        <f t="shared" si="32"/>
        <v>0.66700000000000004</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-339.97613762928961</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-2623.9334437903226</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-3295.6864713532282</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-3309.7268991103374</v>
      </c>
      <c r="AP202" s="10"/>
      <c r="AQ202" s="9">
        <f t="shared" si="33"/>
        <v>0.66700000000000004</v>
      </c>
      <c r="AR202" s="9">
        <f>0</f>
        <v>0</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289.97544678373799</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109.33064948258051</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107.54564181032745</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107.54564181032745</v>
      </c>
      <c r="AW202" s="10"/>
      <c r="AX202" s="9">
        <f t="shared" si="34"/>
        <v>0.66700000000000004</v>
      </c>
      <c r="AY202" s="9">
        <f>0</f>
        <v>0</v>
      </c>
      <c r="AZ202" s="9">
        <f>IF(OR(Inputs!$F$6=TRUE,Inputs!$F$6="TRUE",Inputs!$F$6=1),(Inputs!$H$6+Inputs!$L$6*(((Inputs!$I$6+(((A202)+1)/2)*(Inputs!$J$6-Inputs!$I$6)))/Inputs!$K$6)^2),NA())</f>
        <v>401.77955600000001</v>
      </c>
      <c r="BA202" s="9">
        <f>IF(OR(Inputs!$F$7=TRUE,Inputs!$F$7="TRUE",Inputs!$F$7=1),(Inputs!$H$7+Inputs!$L$7*(((Inputs!$I$7+(((A202)+1)/2)*(Inputs!$J$7-Inputs!$I$7)))/Inputs!$K$7)^2),NA())</f>
        <v>197.38448500000007</v>
      </c>
      <c r="BB202" s="9">
        <f>IF(OR(Inputs!$F$8=TRUE,Inputs!$F$8="TRUE",Inputs!$F$8=1),(Inputs!$H$8+Inputs!$L$8*(((Inputs!$I$8+(((A202)+1)/2)*(Inputs!$J$8-Inputs!$I$8)))/Inputs!$K$8)^2),NA())</f>
        <v>464.31788500000022</v>
      </c>
      <c r="BC202" s="9">
        <f>IF(OR(Inputs!$F$9=TRUE,Inputs!$F$9="TRUE",Inputs!$F$9=1),(Inputs!$H$9+Inputs!$L$9*(((Inputs!$I$9+(((A202)+1)/2)*(Inputs!$J$9-Inputs!$I$9)))/Inputs!$K$9)^2),NA())</f>
        <v>458.76677500000022</v>
      </c>
      <c r="BD202" s="10"/>
      <c r="BE202" s="9">
        <f t="shared" si="35"/>
        <v>0.66700000000000004</v>
      </c>
      <c r="BF202" s="9">
        <f>0</f>
        <v>0</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row>
    <row r="203" spans="1:62">
      <c r="A203" s="9">
        <f>ROUND(-1+201*2/240,3)</f>
        <v>0.67500000000000004</v>
      </c>
      <c r="B203" s="9">
        <f>IF(OR(Inputs!$F$6=TRUE,Inputs!$F$6="TRUE",Inputs!$F$6=1),(Inputs!$H$6+Inputs!$L$6*(((Inputs!$I$6+(((A203)+1)/2)*(Inputs!$J$6-Inputs!$I$6)))/Inputs!$K$6)^2),NA())</f>
        <v>401.82249999999999</v>
      </c>
      <c r="C203" s="9">
        <f>IF(OR(Inputs!$F$7=TRUE,Inputs!$F$7="TRUE",Inputs!$F$7=1),(Inputs!$H$7+Inputs!$L$7*(((Inputs!$I$7+(((A203)+1)/2)*(Inputs!$J$7-Inputs!$I$7)))/Inputs!$K$7)^2),NA())</f>
        <v>201.30312500000002</v>
      </c>
      <c r="D203" s="9">
        <f>IF(OR(Inputs!$F$8=TRUE,Inputs!$F$8="TRUE",Inputs!$F$8=1),(Inputs!$H$8+Inputs!$L$8*(((Inputs!$I$8+(((A203)+1)/2)*(Inputs!$J$8-Inputs!$I$8)))/Inputs!$K$8)^2),NA())</f>
        <v>474.67812500000008</v>
      </c>
      <c r="E203" s="9">
        <f>IF(OR(Inputs!$F$9=TRUE,Inputs!$F$9="TRUE",Inputs!$F$9=1),(Inputs!$H$9+Inputs!$L$9*(((Inputs!$I$9+(((A203)+1)/2)*(Inputs!$J$9-Inputs!$I$9)))/Inputs!$K$9)^2),NA())</f>
        <v>469.23437500000006</v>
      </c>
      <c r="F203" s="10"/>
      <c r="G203" s="9">
        <f t="shared" si="27"/>
        <v>0.67500000000000004</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c r="L203" s="10"/>
      <c r="M203" s="9">
        <f t="shared" si="28"/>
        <v>0.67500000000000004</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-343.99025167913561</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-2643.5524520105528</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-3326.8945526195994</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-3341.4497476034194</v>
      </c>
      <c r="R203" s="10"/>
      <c r="S203" s="9">
        <f t="shared" si="29"/>
        <v>0.67500000000000004</v>
      </c>
      <c r="T203" s="9">
        <f>(Inputs!$I$6+(((A203)+1)/2)*(Inputs!$J$6-Inputs!$I$6))</f>
        <v>40.5</v>
      </c>
      <c r="U203" s="9">
        <f>(Inputs!$I$7+(((A203)+1)/2)*(Inputs!$J$7-Inputs!$I$7))</f>
        <v>270</v>
      </c>
      <c r="V203" s="9">
        <f>(Inputs!$I$8+(((A203)+1)/2)*(Inputs!$J$8-Inputs!$I$8))</f>
        <v>540</v>
      </c>
      <c r="W203" s="9">
        <f>(Inputs!$I$9+(((A203)+1)/2)*(Inputs!$J$9-Inputs!$I$9))</f>
        <v>540</v>
      </c>
      <c r="X203" s="10"/>
      <c r="Y203" s="9">
        <f t="shared" si="30"/>
        <v>0.67500000000000004</v>
      </c>
      <c r="Z203" s="9">
        <f>(Inputs!$H$6+Inputs!$L$6*(((Inputs!$I$6+(((A203)+1)/2)*(Inputs!$J$6-Inputs!$I$6)))/Inputs!$K$6)^2)</f>
        <v>401.82249999999999</v>
      </c>
      <c r="AA203" s="9">
        <f>(Inputs!$H$7+Inputs!$L$7*(((Inputs!$I$7+(((A203)+1)/2)*(Inputs!$J$7-Inputs!$I$7)))/Inputs!$K$7)^2)</f>
        <v>201.30312500000002</v>
      </c>
      <c r="AB203" s="9">
        <f>(Inputs!$H$8+Inputs!$L$8*(((Inputs!$I$8+(((A203)+1)/2)*(Inputs!$J$8-Inputs!$I$8)))/Inputs!$K$8)^2)</f>
        <v>474.67812500000008</v>
      </c>
      <c r="AC203" s="9">
        <f>(Inputs!$H$9+Inputs!$L$9*(((Inputs!$I$9+(((A203)+1)/2)*(Inputs!$J$9-Inputs!$I$9)))/Inputs!$K$9)^2)</f>
        <v>469.23437500000006</v>
      </c>
      <c r="AD203" s="10"/>
      <c r="AE203" s="9">
        <f t="shared" si="31"/>
        <v>0.67500000000000004</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1982.3714752072171</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84196.354509375931</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169443.66665855987</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170271.78631163717</v>
      </c>
      <c r="AJ203" s="10"/>
      <c r="AK203" s="9">
        <f t="shared" si="32"/>
        <v>0.67500000000000004</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-343.99025167913561</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-2643.5524520105528</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-3326.8945526195994</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-3341.4497476034194</v>
      </c>
      <c r="AP203" s="10"/>
      <c r="AQ203" s="9">
        <f t="shared" si="33"/>
        <v>0.67500000000000004</v>
      </c>
      <c r="AR203" s="9">
        <f>0</f>
        <v>0</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300.69750601512629</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112.61223727922423</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107.49826996155427</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107.49826996155427</v>
      </c>
      <c r="AW203" s="10"/>
      <c r="AX203" s="9">
        <f t="shared" si="34"/>
        <v>0.67500000000000004</v>
      </c>
      <c r="AY203" s="9">
        <f>0</f>
        <v>0</v>
      </c>
      <c r="AZ203" s="9">
        <f>IF(OR(Inputs!$F$6=TRUE,Inputs!$F$6="TRUE",Inputs!$F$6=1),(Inputs!$H$6+Inputs!$L$6*(((Inputs!$I$6+(((A203)+1)/2)*(Inputs!$J$6-Inputs!$I$6)))/Inputs!$K$6)^2),NA())</f>
        <v>401.82249999999999</v>
      </c>
      <c r="BA203" s="9">
        <f>IF(OR(Inputs!$F$7=TRUE,Inputs!$F$7="TRUE",Inputs!$F$7=1),(Inputs!$H$7+Inputs!$L$7*(((Inputs!$I$7+(((A203)+1)/2)*(Inputs!$J$7-Inputs!$I$7)))/Inputs!$K$7)^2),NA())</f>
        <v>201.30312500000002</v>
      </c>
      <c r="BB203" s="9">
        <f>IF(OR(Inputs!$F$8=TRUE,Inputs!$F$8="TRUE",Inputs!$F$8=1),(Inputs!$H$8+Inputs!$L$8*(((Inputs!$I$8+(((A203)+1)/2)*(Inputs!$J$8-Inputs!$I$8)))/Inputs!$K$8)^2),NA())</f>
        <v>474.67812500000008</v>
      </c>
      <c r="BC203" s="9">
        <f>IF(OR(Inputs!$F$9=TRUE,Inputs!$F$9="TRUE",Inputs!$F$9=1),(Inputs!$H$9+Inputs!$L$9*(((Inputs!$I$9+(((A203)+1)/2)*(Inputs!$J$9-Inputs!$I$9)))/Inputs!$K$9)^2),NA())</f>
        <v>469.23437500000006</v>
      </c>
      <c r="BD203" s="10"/>
      <c r="BE203" s="9">
        <f t="shared" si="35"/>
        <v>0.67500000000000004</v>
      </c>
      <c r="BF203" s="9">
        <f>0</f>
        <v>0</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row>
    <row r="204" spans="1:62">
      <c r="A204" s="9">
        <f>ROUND(-1+202*2/240,3)</f>
        <v>0.68300000000000005</v>
      </c>
      <c r="B204" s="9">
        <f>IF(OR(Inputs!$F$6=TRUE,Inputs!$F$6="TRUE",Inputs!$F$6=1),(Inputs!$H$6+Inputs!$L$6*(((Inputs!$I$6+(((A204)+1)/2)*(Inputs!$J$6-Inputs!$I$6)))/Inputs!$K$6)^2),NA())</f>
        <v>401.86595599999998</v>
      </c>
      <c r="C204" s="9">
        <f>IF(OR(Inputs!$F$7=TRUE,Inputs!$F$7="TRUE",Inputs!$F$7=1),(Inputs!$H$7+Inputs!$L$7*(((Inputs!$I$7+(((A204)+1)/2)*(Inputs!$J$7-Inputs!$I$7)))/Inputs!$K$7)^2),NA())</f>
        <v>205.26848500000008</v>
      </c>
      <c r="D204" s="9">
        <f>IF(OR(Inputs!$F$8=TRUE,Inputs!$F$8="TRUE",Inputs!$F$8=1),(Inputs!$H$8+Inputs!$L$8*(((Inputs!$I$8+(((A204)+1)/2)*(Inputs!$J$8-Inputs!$I$8)))/Inputs!$K$8)^2),NA())</f>
        <v>485.16188500000021</v>
      </c>
      <c r="E204" s="9">
        <f>IF(OR(Inputs!$F$9=TRUE,Inputs!$F$9="TRUE",Inputs!$F$9=1),(Inputs!$H$9+Inputs!$L$9*(((Inputs!$I$9+(((A204)+1)/2)*(Inputs!$J$9-Inputs!$I$9)))/Inputs!$K$9)^2),NA())</f>
        <v>479.82677500000023</v>
      </c>
      <c r="F204" s="10"/>
      <c r="G204" s="9">
        <f t="shared" si="27"/>
        <v>0.68300000000000005</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c r="L204" s="10"/>
      <c r="M204" s="9">
        <f t="shared" si="28"/>
        <v>0.68300000000000005</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-348.00214197068192</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-2663.2824023790881</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-3358.2219579859257</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-3373.2901761542139</v>
      </c>
      <c r="R204" s="10"/>
      <c r="S204" s="9">
        <f t="shared" si="29"/>
        <v>0.68300000000000005</v>
      </c>
      <c r="T204" s="9">
        <f>(Inputs!$I$6+(((A204)+1)/2)*(Inputs!$J$6-Inputs!$I$6))</f>
        <v>40.980000000000004</v>
      </c>
      <c r="U204" s="9">
        <f>(Inputs!$I$7+(((A204)+1)/2)*(Inputs!$J$7-Inputs!$I$7))</f>
        <v>273.20000000000005</v>
      </c>
      <c r="V204" s="9">
        <f>(Inputs!$I$8+(((A204)+1)/2)*(Inputs!$J$8-Inputs!$I$8))</f>
        <v>546.40000000000009</v>
      </c>
      <c r="W204" s="9">
        <f>(Inputs!$I$9+(((A204)+1)/2)*(Inputs!$J$9-Inputs!$I$9))</f>
        <v>546.40000000000009</v>
      </c>
      <c r="X204" s="10"/>
      <c r="Y204" s="9">
        <f t="shared" si="30"/>
        <v>0.68300000000000005</v>
      </c>
      <c r="Z204" s="9">
        <f>(Inputs!$H$6+Inputs!$L$6*(((Inputs!$I$6+(((A204)+1)/2)*(Inputs!$J$6-Inputs!$I$6)))/Inputs!$K$6)^2)</f>
        <v>401.86595599999998</v>
      </c>
      <c r="AA204" s="9">
        <f>(Inputs!$H$7+Inputs!$L$7*(((Inputs!$I$7+(((A204)+1)/2)*(Inputs!$J$7-Inputs!$I$7)))/Inputs!$K$7)^2)</f>
        <v>205.26848500000008</v>
      </c>
      <c r="AB204" s="9">
        <f>(Inputs!$H$8+Inputs!$L$8*(((Inputs!$I$8+(((A204)+1)/2)*(Inputs!$J$8-Inputs!$I$8)))/Inputs!$K$8)^2)</f>
        <v>485.16188500000021</v>
      </c>
      <c r="AC204" s="9">
        <f>(Inputs!$H$9+Inputs!$L$9*(((Inputs!$I$9+(((A204)+1)/2)*(Inputs!$J$9-Inputs!$I$9)))/Inputs!$K$9)^2)</f>
        <v>479.82677500000023</v>
      </c>
      <c r="AD204" s="10"/>
      <c r="AE204" s="9">
        <f t="shared" si="31"/>
        <v>0.68300000000000005</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2016.2719892159032</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84949.981751055384</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171065.25868974041</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171865.62970195324</v>
      </c>
      <c r="AJ204" s="10"/>
      <c r="AK204" s="9">
        <f t="shared" si="32"/>
        <v>0.68300000000000005</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-348.00214197068192</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-2663.2824023790881</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-3358.2219579859257</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-3373.2901761542139</v>
      </c>
      <c r="AP204" s="10"/>
      <c r="AQ204" s="9">
        <f t="shared" si="33"/>
        <v>0.68300000000000005</v>
      </c>
      <c r="AR204" s="9">
        <f>0</f>
        <v>0</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298.52953383059923</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176.70490916243401</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180.51304586666936</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180.51304586666936</v>
      </c>
      <c r="AW204" s="10"/>
      <c r="AX204" s="9">
        <f t="shared" si="34"/>
        <v>0.68300000000000005</v>
      </c>
      <c r="AY204" s="9">
        <f>0</f>
        <v>0</v>
      </c>
      <c r="AZ204" s="9">
        <f>IF(OR(Inputs!$F$6=TRUE,Inputs!$F$6="TRUE",Inputs!$F$6=1),(Inputs!$H$6+Inputs!$L$6*(((Inputs!$I$6+(((A204)+1)/2)*(Inputs!$J$6-Inputs!$I$6)))/Inputs!$K$6)^2),NA())</f>
        <v>401.86595599999998</v>
      </c>
      <c r="BA204" s="9">
        <f>IF(OR(Inputs!$F$7=TRUE,Inputs!$F$7="TRUE",Inputs!$F$7=1),(Inputs!$H$7+Inputs!$L$7*(((Inputs!$I$7+(((A204)+1)/2)*(Inputs!$J$7-Inputs!$I$7)))/Inputs!$K$7)^2),NA())</f>
        <v>205.26848500000008</v>
      </c>
      <c r="BB204" s="9">
        <f>IF(OR(Inputs!$F$8=TRUE,Inputs!$F$8="TRUE",Inputs!$F$8=1),(Inputs!$H$8+Inputs!$L$8*(((Inputs!$I$8+(((A204)+1)/2)*(Inputs!$J$8-Inputs!$I$8)))/Inputs!$K$8)^2),NA())</f>
        <v>485.16188500000021</v>
      </c>
      <c r="BC204" s="9">
        <f>IF(OR(Inputs!$F$9=TRUE,Inputs!$F$9="TRUE",Inputs!$F$9=1),(Inputs!$H$9+Inputs!$L$9*(((Inputs!$I$9+(((A204)+1)/2)*(Inputs!$J$9-Inputs!$I$9)))/Inputs!$K$9)^2),NA())</f>
        <v>479.82677500000023</v>
      </c>
      <c r="BD204" s="10"/>
      <c r="BE204" s="9">
        <f t="shared" si="35"/>
        <v>0.68300000000000005</v>
      </c>
      <c r="BF204" s="9">
        <f>0</f>
        <v>0</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row>
    <row r="205" spans="1:62">
      <c r="A205" s="9">
        <f>ROUND(-1+203*2/240,3)</f>
        <v>0.69199999999999995</v>
      </c>
      <c r="B205" s="9">
        <f>IF(OR(Inputs!$F$6=TRUE,Inputs!$F$6="TRUE",Inputs!$F$6=1),(Inputs!$H$6+Inputs!$L$6*(((Inputs!$I$6+(((A205)+1)/2)*(Inputs!$J$6-Inputs!$I$6)))/Inputs!$K$6)^2),NA())</f>
        <v>401.91545600000001</v>
      </c>
      <c r="C205" s="9">
        <f>IF(OR(Inputs!$F$7=TRUE,Inputs!$F$7="TRUE",Inputs!$F$7=1),(Inputs!$H$7+Inputs!$L$7*(((Inputs!$I$7+(((A205)+1)/2)*(Inputs!$J$7-Inputs!$I$7)))/Inputs!$K$7)^2),NA())</f>
        <v>209.78535999999991</v>
      </c>
      <c r="D205" s="9">
        <f>IF(OR(Inputs!$F$8=TRUE,Inputs!$F$8="TRUE",Inputs!$F$8=1),(Inputs!$H$8+Inputs!$L$8*(((Inputs!$I$8+(((A205)+1)/2)*(Inputs!$J$8-Inputs!$I$8)))/Inputs!$K$8)^2),NA())</f>
        <v>497.1037599999998</v>
      </c>
      <c r="E205" s="9">
        <f>IF(OR(Inputs!$F$9=TRUE,Inputs!$F$9="TRUE",Inputs!$F$9=1),(Inputs!$H$9+Inputs!$L$9*(((Inputs!$I$9+(((A205)+1)/2)*(Inputs!$J$9-Inputs!$I$9)))/Inputs!$K$9)^2),NA())</f>
        <v>491.89239999999978</v>
      </c>
      <c r="F205" s="10"/>
      <c r="G205" s="9">
        <f t="shared" si="27"/>
        <v>0.69199999999999995</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c r="L205" s="10"/>
      <c r="M205" s="9">
        <f t="shared" si="28"/>
        <v>0.69199999999999995</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-352.51283123651677</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-2685.6093165580623</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-3393.6037073427251</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-3409.2469086781539</v>
      </c>
      <c r="R205" s="10"/>
      <c r="S205" s="9">
        <f t="shared" si="29"/>
        <v>0.69199999999999995</v>
      </c>
      <c r="T205" s="9">
        <f>(Inputs!$I$6+(((A205)+1)/2)*(Inputs!$J$6-Inputs!$I$6))</f>
        <v>41.519999999999996</v>
      </c>
      <c r="U205" s="9">
        <f>(Inputs!$I$7+(((A205)+1)/2)*(Inputs!$J$7-Inputs!$I$7))</f>
        <v>276.79999999999995</v>
      </c>
      <c r="V205" s="9">
        <f>(Inputs!$I$8+(((A205)+1)/2)*(Inputs!$J$8-Inputs!$I$8))</f>
        <v>553.59999999999991</v>
      </c>
      <c r="W205" s="9">
        <f>(Inputs!$I$9+(((A205)+1)/2)*(Inputs!$J$9-Inputs!$I$9))</f>
        <v>553.59999999999991</v>
      </c>
      <c r="X205" s="10"/>
      <c r="Y205" s="9">
        <f t="shared" si="30"/>
        <v>0.69199999999999995</v>
      </c>
      <c r="Z205" s="9">
        <f>(Inputs!$H$6+Inputs!$L$6*(((Inputs!$I$6+(((A205)+1)/2)*(Inputs!$J$6-Inputs!$I$6)))/Inputs!$K$6)^2)</f>
        <v>401.91545600000001</v>
      </c>
      <c r="AA205" s="9">
        <f>(Inputs!$H$7+Inputs!$L$7*(((Inputs!$I$7+(((A205)+1)/2)*(Inputs!$J$7-Inputs!$I$7)))/Inputs!$K$7)^2)</f>
        <v>209.78535999999991</v>
      </c>
      <c r="AB205" s="9">
        <f>(Inputs!$H$8+Inputs!$L$8*(((Inputs!$I$8+(((A205)+1)/2)*(Inputs!$J$8-Inputs!$I$8)))/Inputs!$K$8)^2)</f>
        <v>497.1037599999998</v>
      </c>
      <c r="AC205" s="9">
        <f>(Inputs!$H$9+Inputs!$L$9*(((Inputs!$I$9+(((A205)+1)/2)*(Inputs!$J$9-Inputs!$I$9)))/Inputs!$K$9)^2)</f>
        <v>491.89239999999978</v>
      </c>
      <c r="AD205" s="10"/>
      <c r="AE205" s="9">
        <f t="shared" si="31"/>
        <v>0.69199999999999995</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2054.8742264016769</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85793.0168187823</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172890.92083021821</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173660.59047730869</v>
      </c>
      <c r="AJ205" s="10"/>
      <c r="AK205" s="9">
        <f t="shared" si="32"/>
        <v>0.69199999999999995</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-352.51283123651677</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-2685.6093165580623</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-3393.6037073427251</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-3409.2469086781539</v>
      </c>
      <c r="AP205" s="10"/>
      <c r="AQ205" s="9">
        <f t="shared" si="33"/>
        <v>0.69199999999999995</v>
      </c>
      <c r="AR205" s="9">
        <f>0</f>
        <v>0</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285.41310226719798</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197.15245723942326</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72.783267950302019</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72.783267950302019</v>
      </c>
      <c r="AW205" s="10"/>
      <c r="AX205" s="9">
        <f t="shared" si="34"/>
        <v>0.69199999999999995</v>
      </c>
      <c r="AY205" s="9">
        <f>0</f>
        <v>0</v>
      </c>
      <c r="AZ205" s="9">
        <f>IF(OR(Inputs!$F$6=TRUE,Inputs!$F$6="TRUE",Inputs!$F$6=1),(Inputs!$H$6+Inputs!$L$6*(((Inputs!$I$6+(((A205)+1)/2)*(Inputs!$J$6-Inputs!$I$6)))/Inputs!$K$6)^2),NA())</f>
        <v>401.91545600000001</v>
      </c>
      <c r="BA205" s="9">
        <f>IF(OR(Inputs!$F$7=TRUE,Inputs!$F$7="TRUE",Inputs!$F$7=1),(Inputs!$H$7+Inputs!$L$7*(((Inputs!$I$7+(((A205)+1)/2)*(Inputs!$J$7-Inputs!$I$7)))/Inputs!$K$7)^2),NA())</f>
        <v>209.78535999999991</v>
      </c>
      <c r="BB205" s="9">
        <f>IF(OR(Inputs!$F$8=TRUE,Inputs!$F$8="TRUE",Inputs!$F$8=1),(Inputs!$H$8+Inputs!$L$8*(((Inputs!$I$8+(((A205)+1)/2)*(Inputs!$J$8-Inputs!$I$8)))/Inputs!$K$8)^2),NA())</f>
        <v>497.1037599999998</v>
      </c>
      <c r="BC205" s="9">
        <f>IF(OR(Inputs!$F$9=TRUE,Inputs!$F$9="TRUE",Inputs!$F$9=1),(Inputs!$H$9+Inputs!$L$9*(((Inputs!$I$9+(((A205)+1)/2)*(Inputs!$J$9-Inputs!$I$9)))/Inputs!$K$9)^2),NA())</f>
        <v>491.89239999999978</v>
      </c>
      <c r="BD205" s="10"/>
      <c r="BE205" s="9">
        <f t="shared" si="35"/>
        <v>0.69199999999999995</v>
      </c>
      <c r="BF205" s="9">
        <f>0</f>
        <v>0</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row>
    <row r="206" spans="1:62">
      <c r="A206" s="9">
        <f>ROUND(-1+204*2/240,3)</f>
        <v>0.7</v>
      </c>
      <c r="B206" s="9">
        <f>IF(OR(Inputs!$F$6=TRUE,Inputs!$F$6="TRUE",Inputs!$F$6=1),(Inputs!$H$6+Inputs!$L$6*(((Inputs!$I$6+(((A206)+1)/2)*(Inputs!$J$6-Inputs!$I$6)))/Inputs!$K$6)^2),NA())</f>
        <v>401.96</v>
      </c>
      <c r="C206" s="9">
        <f>IF(OR(Inputs!$F$7=TRUE,Inputs!$F$7="TRUE",Inputs!$F$7=1),(Inputs!$H$7+Inputs!$L$7*(((Inputs!$I$7+(((A206)+1)/2)*(Inputs!$J$7-Inputs!$I$7)))/Inputs!$K$7)^2),NA())</f>
        <v>213.84999999999997</v>
      </c>
      <c r="D206" s="9">
        <f>IF(OR(Inputs!$F$8=TRUE,Inputs!$F$8="TRUE",Inputs!$F$8=1),(Inputs!$H$8+Inputs!$L$8*(((Inputs!$I$8+(((A206)+1)/2)*(Inputs!$J$8-Inputs!$I$8)))/Inputs!$K$8)^2),NA())</f>
        <v>507.84999999999997</v>
      </c>
      <c r="E206" s="9">
        <f>IF(OR(Inputs!$F$9=TRUE,Inputs!$F$9="TRUE",Inputs!$F$9=1),(Inputs!$H$9+Inputs!$L$9*(((Inputs!$I$9+(((A206)+1)/2)*(Inputs!$J$9-Inputs!$I$9)))/Inputs!$K$9)^2),NA())</f>
        <v>502.74999999999994</v>
      </c>
      <c r="F206" s="10"/>
      <c r="G206" s="9">
        <f t="shared" si="27"/>
        <v>0.7</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c r="L206" s="10"/>
      <c r="M206" s="9">
        <f t="shared" si="28"/>
        <v>0.7</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-356.51991821601899</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-2705.5699664091653</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-3425.1735367301781</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-3441.3258409617547</v>
      </c>
      <c r="R206" s="10"/>
      <c r="S206" s="9">
        <f t="shared" si="29"/>
        <v>0.7</v>
      </c>
      <c r="T206" s="9">
        <f>(Inputs!$I$6+(((A206)+1)/2)*(Inputs!$J$6-Inputs!$I$6))</f>
        <v>42</v>
      </c>
      <c r="U206" s="9">
        <f>(Inputs!$I$7+(((A206)+1)/2)*(Inputs!$J$7-Inputs!$I$7))</f>
        <v>280</v>
      </c>
      <c r="V206" s="9">
        <f>(Inputs!$I$8+(((A206)+1)/2)*(Inputs!$J$8-Inputs!$I$8))</f>
        <v>560</v>
      </c>
      <c r="W206" s="9">
        <f>(Inputs!$I$9+(((A206)+1)/2)*(Inputs!$J$9-Inputs!$I$9))</f>
        <v>560</v>
      </c>
      <c r="X206" s="10"/>
      <c r="Y206" s="9">
        <f t="shared" si="30"/>
        <v>0.7</v>
      </c>
      <c r="Z206" s="9">
        <f>(Inputs!$H$6+Inputs!$L$6*(((Inputs!$I$6+(((A206)+1)/2)*(Inputs!$J$6-Inputs!$I$6)))/Inputs!$K$6)^2)</f>
        <v>401.96</v>
      </c>
      <c r="AA206" s="9">
        <f>(Inputs!$H$7+Inputs!$L$7*(((Inputs!$I$7+(((A206)+1)/2)*(Inputs!$J$7-Inputs!$I$7)))/Inputs!$K$7)^2)</f>
        <v>213.84999999999997</v>
      </c>
      <c r="AB206" s="9">
        <f>(Inputs!$H$8+Inputs!$L$8*(((Inputs!$I$8+(((A206)+1)/2)*(Inputs!$J$8-Inputs!$I$8)))/Inputs!$K$8)^2)</f>
        <v>507.84999999999997</v>
      </c>
      <c r="AC206" s="9">
        <f>(Inputs!$H$9+Inputs!$L$9*(((Inputs!$I$9+(((A206)+1)/2)*(Inputs!$J$9-Inputs!$I$9)))/Inputs!$K$9)^2)</f>
        <v>502.74999999999994</v>
      </c>
      <c r="AD206" s="10"/>
      <c r="AE206" s="9">
        <f t="shared" si="31"/>
        <v>0.7</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2089.5994901917893</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86538.253594076945</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174515.23410010958</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175258.06759354385</v>
      </c>
      <c r="AJ206" s="10"/>
      <c r="AK206" s="9">
        <f t="shared" si="32"/>
        <v>0.7</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-356.51991821601899</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-2705.5699664091653</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-3425.1735367301781</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-3441.3258409617547</v>
      </c>
      <c r="AP206" s="10"/>
      <c r="AQ206" s="9">
        <f t="shared" si="33"/>
        <v>0.7</v>
      </c>
      <c r="AR206" s="9">
        <f>0</f>
        <v>0</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271.12620211290232</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136.66892692881419</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162.48775767249899</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162.48775767249899</v>
      </c>
      <c r="AW206" s="10"/>
      <c r="AX206" s="9">
        <f t="shared" si="34"/>
        <v>0.7</v>
      </c>
      <c r="AY206" s="9">
        <f>0</f>
        <v>0</v>
      </c>
      <c r="AZ206" s="9">
        <f>IF(OR(Inputs!$F$6=TRUE,Inputs!$F$6="TRUE",Inputs!$F$6=1),(Inputs!$H$6+Inputs!$L$6*(((Inputs!$I$6+(((A206)+1)/2)*(Inputs!$J$6-Inputs!$I$6)))/Inputs!$K$6)^2),NA())</f>
        <v>401.96</v>
      </c>
      <c r="BA206" s="9">
        <f>IF(OR(Inputs!$F$7=TRUE,Inputs!$F$7="TRUE",Inputs!$F$7=1),(Inputs!$H$7+Inputs!$L$7*(((Inputs!$I$7+(((A206)+1)/2)*(Inputs!$J$7-Inputs!$I$7)))/Inputs!$K$7)^2),NA())</f>
        <v>213.84999999999997</v>
      </c>
      <c r="BB206" s="9">
        <f>IF(OR(Inputs!$F$8=TRUE,Inputs!$F$8="TRUE",Inputs!$F$8=1),(Inputs!$H$8+Inputs!$L$8*(((Inputs!$I$8+(((A206)+1)/2)*(Inputs!$J$8-Inputs!$I$8)))/Inputs!$K$8)^2),NA())</f>
        <v>507.84999999999997</v>
      </c>
      <c r="BC206" s="9">
        <f>IF(OR(Inputs!$F$9=TRUE,Inputs!$F$9="TRUE",Inputs!$F$9=1),(Inputs!$H$9+Inputs!$L$9*(((Inputs!$I$9+(((A206)+1)/2)*(Inputs!$J$9-Inputs!$I$9)))/Inputs!$K$9)^2),NA())</f>
        <v>502.74999999999994</v>
      </c>
      <c r="BD206" s="10"/>
      <c r="BE206" s="9">
        <f t="shared" si="35"/>
        <v>0.7</v>
      </c>
      <c r="BF206" s="9">
        <f>0</f>
        <v>0</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row>
    <row r="207" spans="1:62">
      <c r="A207" s="9">
        <f>ROUND(-1+205*2/240,3)</f>
        <v>0.70799999999999996</v>
      </c>
      <c r="B207" s="9">
        <f>IF(OR(Inputs!$F$6=TRUE,Inputs!$F$6="TRUE",Inputs!$F$6=1),(Inputs!$H$6+Inputs!$L$6*(((Inputs!$I$6+(((A207)+1)/2)*(Inputs!$J$6-Inputs!$I$6)))/Inputs!$K$6)^2),NA())</f>
        <v>402.00505600000002</v>
      </c>
      <c r="C207" s="9">
        <f>IF(OR(Inputs!$F$7=TRUE,Inputs!$F$7="TRUE",Inputs!$F$7=1),(Inputs!$H$7+Inputs!$L$7*(((Inputs!$I$7+(((A207)+1)/2)*(Inputs!$J$7-Inputs!$I$7)))/Inputs!$K$7)^2),NA())</f>
        <v>217.96135999999993</v>
      </c>
      <c r="D207" s="9">
        <f>IF(OR(Inputs!$F$8=TRUE,Inputs!$F$8="TRUE",Inputs!$F$8=1),(Inputs!$H$8+Inputs!$L$8*(((Inputs!$I$8+(((A207)+1)/2)*(Inputs!$J$8-Inputs!$I$8)))/Inputs!$K$8)^2),NA())</f>
        <v>518.71975999999984</v>
      </c>
      <c r="E207" s="9">
        <f>IF(OR(Inputs!$F$9=TRUE,Inputs!$F$9="TRUE",Inputs!$F$9=1),(Inputs!$H$9+Inputs!$L$9*(((Inputs!$I$9+(((A207)+1)/2)*(Inputs!$J$9-Inputs!$I$9)))/Inputs!$K$9)^2),NA())</f>
        <v>513.73239999999987</v>
      </c>
      <c r="F207" s="10"/>
      <c r="G207" s="9">
        <f t="shared" si="27"/>
        <v>0.70799999999999996</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c r="L207" s="10"/>
      <c r="M207" s="9">
        <f t="shared" si="28"/>
        <v>0.70799999999999996</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-360.52470839848689</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-2725.6367848411619</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-3456.8523747265035</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-3473.5118503776707</v>
      </c>
      <c r="R207" s="10"/>
      <c r="S207" s="9">
        <f t="shared" si="29"/>
        <v>0.70799999999999996</v>
      </c>
      <c r="T207" s="9">
        <f>(Inputs!$I$6+(((A207)+1)/2)*(Inputs!$J$6-Inputs!$I$6))</f>
        <v>42.480000000000004</v>
      </c>
      <c r="U207" s="9">
        <f>(Inputs!$I$7+(((A207)+1)/2)*(Inputs!$J$7-Inputs!$I$7))</f>
        <v>283.19999999999993</v>
      </c>
      <c r="V207" s="9">
        <f>(Inputs!$I$8+(((A207)+1)/2)*(Inputs!$J$8-Inputs!$I$8))</f>
        <v>566.39999999999986</v>
      </c>
      <c r="W207" s="9">
        <f>(Inputs!$I$9+(((A207)+1)/2)*(Inputs!$J$9-Inputs!$I$9))</f>
        <v>566.39999999999986</v>
      </c>
      <c r="X207" s="10"/>
      <c r="Y207" s="9">
        <f t="shared" si="30"/>
        <v>0.70799999999999996</v>
      </c>
      <c r="Z207" s="9">
        <f>(Inputs!$H$6+Inputs!$L$6*(((Inputs!$I$6+(((A207)+1)/2)*(Inputs!$J$6-Inputs!$I$6)))/Inputs!$K$6)^2)</f>
        <v>402.00505600000002</v>
      </c>
      <c r="AA207" s="9">
        <f>(Inputs!$H$7+Inputs!$L$7*(((Inputs!$I$7+(((A207)+1)/2)*(Inputs!$J$7-Inputs!$I$7)))/Inputs!$K$7)^2)</f>
        <v>217.96135999999993</v>
      </c>
      <c r="AB207" s="9">
        <f>(Inputs!$H$8+Inputs!$L$8*(((Inputs!$I$8+(((A207)+1)/2)*(Inputs!$J$8-Inputs!$I$8)))/Inputs!$K$8)^2)</f>
        <v>518.71975999999984</v>
      </c>
      <c r="AC207" s="9">
        <f>(Inputs!$H$9+Inputs!$L$9*(((Inputs!$I$9+(((A207)+1)/2)*(Inputs!$J$9-Inputs!$I$9)))/Inputs!$K$9)^2)</f>
        <v>513.73239999999987</v>
      </c>
      <c r="AD207" s="10"/>
      <c r="AE207" s="9">
        <f t="shared" si="31"/>
        <v>0.70799999999999996</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2124.7122720466718</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87279.730664169983</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176141.22062529347</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176857.64075456728</v>
      </c>
      <c r="AJ207" s="10"/>
      <c r="AK207" s="9">
        <f t="shared" si="32"/>
        <v>0.70799999999999996</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-360.52470839848689</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-2725.6367848411619</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-3456.8523747265035</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-3473.5118503776707</v>
      </c>
      <c r="AP207" s="10"/>
      <c r="AQ207" s="9">
        <f t="shared" si="33"/>
        <v>0.70799999999999996</v>
      </c>
      <c r="AR207" s="9">
        <f>0</f>
        <v>0</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268.50313597712363</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89.510881371683823</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176.90824782568845</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176.90824782568845</v>
      </c>
      <c r="AW207" s="10"/>
      <c r="AX207" s="9">
        <f t="shared" si="34"/>
        <v>0.70799999999999996</v>
      </c>
      <c r="AY207" s="9">
        <f>0</f>
        <v>0</v>
      </c>
      <c r="AZ207" s="9">
        <f>IF(OR(Inputs!$F$6=TRUE,Inputs!$F$6="TRUE",Inputs!$F$6=1),(Inputs!$H$6+Inputs!$L$6*(((Inputs!$I$6+(((A207)+1)/2)*(Inputs!$J$6-Inputs!$I$6)))/Inputs!$K$6)^2),NA())</f>
        <v>402.00505600000002</v>
      </c>
      <c r="BA207" s="9">
        <f>IF(OR(Inputs!$F$7=TRUE,Inputs!$F$7="TRUE",Inputs!$F$7=1),(Inputs!$H$7+Inputs!$L$7*(((Inputs!$I$7+(((A207)+1)/2)*(Inputs!$J$7-Inputs!$I$7)))/Inputs!$K$7)^2),NA())</f>
        <v>217.96135999999993</v>
      </c>
      <c r="BB207" s="9">
        <f>IF(OR(Inputs!$F$8=TRUE,Inputs!$F$8="TRUE",Inputs!$F$8=1),(Inputs!$H$8+Inputs!$L$8*(((Inputs!$I$8+(((A207)+1)/2)*(Inputs!$J$8-Inputs!$I$8)))/Inputs!$K$8)^2),NA())</f>
        <v>518.71975999999984</v>
      </c>
      <c r="BC207" s="9">
        <f>IF(OR(Inputs!$F$9=TRUE,Inputs!$F$9="TRUE",Inputs!$F$9=1),(Inputs!$H$9+Inputs!$L$9*(((Inputs!$I$9+(((A207)+1)/2)*(Inputs!$J$9-Inputs!$I$9)))/Inputs!$K$9)^2),NA())</f>
        <v>513.73239999999987</v>
      </c>
      <c r="BD207" s="10"/>
      <c r="BE207" s="9">
        <f t="shared" si="35"/>
        <v>0.70799999999999996</v>
      </c>
      <c r="BF207" s="9">
        <f>0</f>
        <v>0</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row>
    <row r="208" spans="1:62">
      <c r="A208" s="9">
        <f>ROUND(-1+206*2/240,3)</f>
        <v>0.71699999999999997</v>
      </c>
      <c r="B208" s="9">
        <f>IF(OR(Inputs!$F$6=TRUE,Inputs!$F$6="TRUE",Inputs!$F$6=1),(Inputs!$H$6+Inputs!$L$6*(((Inputs!$I$6+(((A208)+1)/2)*(Inputs!$J$6-Inputs!$I$6)))/Inputs!$K$6)^2),NA())</f>
        <v>402.05635599999999</v>
      </c>
      <c r="C208" s="9">
        <f>IF(OR(Inputs!$F$7=TRUE,Inputs!$F$7="TRUE",Inputs!$F$7=1),(Inputs!$H$7+Inputs!$L$7*(((Inputs!$I$7+(((A208)+1)/2)*(Inputs!$J$7-Inputs!$I$7)))/Inputs!$K$7)^2),NA())</f>
        <v>222.64248500000008</v>
      </c>
      <c r="D208" s="9">
        <f>IF(OR(Inputs!$F$8=TRUE,Inputs!$F$8="TRUE",Inputs!$F$8=1),(Inputs!$H$8+Inputs!$L$8*(((Inputs!$I$8+(((A208)+1)/2)*(Inputs!$J$8-Inputs!$I$8)))/Inputs!$K$8)^2),NA())</f>
        <v>531.09588500000018</v>
      </c>
      <c r="E208" s="9">
        <f>IF(OR(Inputs!$F$9=TRUE,Inputs!$F$9="TRUE",Inputs!$F$9=1),(Inputs!$H$9+Inputs!$L$9*(((Inputs!$I$9+(((A208)+1)/2)*(Inputs!$J$9-Inputs!$I$9)))/Inputs!$K$9)^2),NA())</f>
        <v>526.23677500000031</v>
      </c>
      <c r="F208" s="10"/>
      <c r="G208" s="9">
        <f t="shared" si="27"/>
        <v>0.71699999999999997</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c r="L208" s="10"/>
      <c r="M208" s="9">
        <f t="shared" si="28"/>
        <v>0.71699999999999997</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-365.02732311765499</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-2748.3369418124944</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-3492.6174592185439</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-3509.8451355639663</v>
      </c>
      <c r="R208" s="10"/>
      <c r="S208" s="9">
        <f t="shared" si="29"/>
        <v>0.71699999999999997</v>
      </c>
      <c r="T208" s="9">
        <f>(Inputs!$I$6+(((A208)+1)/2)*(Inputs!$J$6-Inputs!$I$6))</f>
        <v>43.02000000000001</v>
      </c>
      <c r="U208" s="9">
        <f>(Inputs!$I$7+(((A208)+1)/2)*(Inputs!$J$7-Inputs!$I$7))</f>
        <v>286.80000000000007</v>
      </c>
      <c r="V208" s="9">
        <f>(Inputs!$I$8+(((A208)+1)/2)*(Inputs!$J$8-Inputs!$I$8))</f>
        <v>573.60000000000014</v>
      </c>
      <c r="W208" s="9">
        <f>(Inputs!$I$9+(((A208)+1)/2)*(Inputs!$J$9-Inputs!$I$9))</f>
        <v>573.60000000000014</v>
      </c>
      <c r="X208" s="10"/>
      <c r="Y208" s="9">
        <f t="shared" si="30"/>
        <v>0.71699999999999997</v>
      </c>
      <c r="Z208" s="9">
        <f>(Inputs!$H$6+Inputs!$L$6*(((Inputs!$I$6+(((A208)+1)/2)*(Inputs!$J$6-Inputs!$I$6)))/Inputs!$K$6)^2)</f>
        <v>402.05635599999999</v>
      </c>
      <c r="AA208" s="9">
        <f>(Inputs!$H$7+Inputs!$L$7*(((Inputs!$I$7+(((A208)+1)/2)*(Inputs!$J$7-Inputs!$I$7)))/Inputs!$K$7)^2)</f>
        <v>222.64248500000008</v>
      </c>
      <c r="AB208" s="9">
        <f>(Inputs!$H$8+Inputs!$L$8*(((Inputs!$I$8+(((A208)+1)/2)*(Inputs!$J$8-Inputs!$I$8)))/Inputs!$K$8)^2)</f>
        <v>531.09588500000018</v>
      </c>
      <c r="AC208" s="9">
        <f>(Inputs!$H$9+Inputs!$L$9*(((Inputs!$I$9+(((A208)+1)/2)*(Inputs!$J$9-Inputs!$I$9)))/Inputs!$K$9)^2)</f>
        <v>526.23677500000031</v>
      </c>
      <c r="AD208" s="10"/>
      <c r="AE208" s="9">
        <f t="shared" si="31"/>
        <v>0.71699999999999997</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2164.6768722505935</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88109.545731422622</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177972.75585280065</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178659.96083745718</v>
      </c>
      <c r="AJ208" s="10"/>
      <c r="AK208" s="9">
        <f t="shared" si="32"/>
        <v>0.71699999999999997</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-365.02732311765499</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-2748.3369418124944</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-3492.6174592185439</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-3509.8451355639663</v>
      </c>
      <c r="AP208" s="10"/>
      <c r="AQ208" s="9">
        <f t="shared" si="33"/>
        <v>0.71699999999999997</v>
      </c>
      <c r="AR208" s="9">
        <f>0</f>
        <v>0</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228.73323738958655</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132.01989806599863</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79.488081636699732</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79.488081636699732</v>
      </c>
      <c r="AW208" s="10"/>
      <c r="AX208" s="9">
        <f t="shared" si="34"/>
        <v>0.71699999999999997</v>
      </c>
      <c r="AY208" s="9">
        <f>0</f>
        <v>0</v>
      </c>
      <c r="AZ208" s="9">
        <f>IF(OR(Inputs!$F$6=TRUE,Inputs!$F$6="TRUE",Inputs!$F$6=1),(Inputs!$H$6+Inputs!$L$6*(((Inputs!$I$6+(((A208)+1)/2)*(Inputs!$J$6-Inputs!$I$6)))/Inputs!$K$6)^2),NA())</f>
        <v>402.05635599999999</v>
      </c>
      <c r="BA208" s="9">
        <f>IF(OR(Inputs!$F$7=TRUE,Inputs!$F$7="TRUE",Inputs!$F$7=1),(Inputs!$H$7+Inputs!$L$7*(((Inputs!$I$7+(((A208)+1)/2)*(Inputs!$J$7-Inputs!$I$7)))/Inputs!$K$7)^2),NA())</f>
        <v>222.64248500000008</v>
      </c>
      <c r="BB208" s="9">
        <f>IF(OR(Inputs!$F$8=TRUE,Inputs!$F$8="TRUE",Inputs!$F$8=1),(Inputs!$H$8+Inputs!$L$8*(((Inputs!$I$8+(((A208)+1)/2)*(Inputs!$J$8-Inputs!$I$8)))/Inputs!$K$8)^2),NA())</f>
        <v>531.09588500000018</v>
      </c>
      <c r="BC208" s="9">
        <f>IF(OR(Inputs!$F$9=TRUE,Inputs!$F$9="TRUE",Inputs!$F$9=1),(Inputs!$H$9+Inputs!$L$9*(((Inputs!$I$9+(((A208)+1)/2)*(Inputs!$J$9-Inputs!$I$9)))/Inputs!$K$9)^2),NA())</f>
        <v>526.23677500000031</v>
      </c>
      <c r="BD208" s="10"/>
      <c r="BE208" s="9">
        <f t="shared" si="35"/>
        <v>0.71699999999999997</v>
      </c>
      <c r="BF208" s="9">
        <f>0</f>
        <v>0</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row>
    <row r="209" spans="1:62">
      <c r="A209" s="9">
        <f>ROUND(-1+207*2/240,3)</f>
        <v>0.72499999999999998</v>
      </c>
      <c r="B209" s="9">
        <f>IF(OR(Inputs!$F$6=TRUE,Inputs!$F$6="TRUE",Inputs!$F$6=1),(Inputs!$H$6+Inputs!$L$6*(((Inputs!$I$6+(((A209)+1)/2)*(Inputs!$J$6-Inputs!$I$6)))/Inputs!$K$6)^2),NA())</f>
        <v>402.10250000000002</v>
      </c>
      <c r="C209" s="9">
        <f>IF(OR(Inputs!$F$7=TRUE,Inputs!$F$7="TRUE",Inputs!$F$7=1),(Inputs!$H$7+Inputs!$L$7*(((Inputs!$I$7+(((A209)+1)/2)*(Inputs!$J$7-Inputs!$I$7)))/Inputs!$K$7)^2),NA())</f>
        <v>226.85312500000001</v>
      </c>
      <c r="D209" s="9">
        <f>IF(OR(Inputs!$F$8=TRUE,Inputs!$F$8="TRUE",Inputs!$F$8=1),(Inputs!$H$8+Inputs!$L$8*(((Inputs!$I$8+(((A209)+1)/2)*(Inputs!$J$8-Inputs!$I$8)))/Inputs!$K$8)^2),NA())</f>
        <v>542.22812500000009</v>
      </c>
      <c r="E209" s="9">
        <f>IF(OR(Inputs!$F$9=TRUE,Inputs!$F$9="TRUE",Inputs!$F$9=1),(Inputs!$H$9+Inputs!$L$9*(((Inputs!$I$9+(((A209)+1)/2)*(Inputs!$J$9-Inputs!$I$9)))/Inputs!$K$9)^2),NA())</f>
        <v>537.484375</v>
      </c>
      <c r="F209" s="10"/>
      <c r="G209" s="9">
        <f t="shared" si="27"/>
        <v>0.72499999999999998</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c r="L209" s="10"/>
      <c r="M209" s="9">
        <f t="shared" si="28"/>
        <v>0.72499999999999998</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-369.02715579752299</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-2768.6242500880076</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-3524.5176065915875</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-3542.248200483351</v>
      </c>
      <c r="R209" s="10"/>
      <c r="S209" s="9">
        <f t="shared" si="29"/>
        <v>0.72499999999999998</v>
      </c>
      <c r="T209" s="9">
        <f>(Inputs!$I$6+(((A209)+1)/2)*(Inputs!$J$6-Inputs!$I$6))</f>
        <v>43.5</v>
      </c>
      <c r="U209" s="9">
        <f>(Inputs!$I$7+(((A209)+1)/2)*(Inputs!$J$7-Inputs!$I$7))</f>
        <v>290</v>
      </c>
      <c r="V209" s="9">
        <f>(Inputs!$I$8+(((A209)+1)/2)*(Inputs!$J$8-Inputs!$I$8))</f>
        <v>580</v>
      </c>
      <c r="W209" s="9">
        <f>(Inputs!$I$9+(((A209)+1)/2)*(Inputs!$J$9-Inputs!$I$9))</f>
        <v>580</v>
      </c>
      <c r="X209" s="10"/>
      <c r="Y209" s="9">
        <f t="shared" si="30"/>
        <v>0.72499999999999998</v>
      </c>
      <c r="Z209" s="9">
        <f>(Inputs!$H$6+Inputs!$L$6*(((Inputs!$I$6+(((A209)+1)/2)*(Inputs!$J$6-Inputs!$I$6)))/Inputs!$K$6)^2)</f>
        <v>402.10250000000002</v>
      </c>
      <c r="AA209" s="9">
        <f>(Inputs!$H$7+Inputs!$L$7*(((Inputs!$I$7+(((A209)+1)/2)*(Inputs!$J$7-Inputs!$I$7)))/Inputs!$K$7)^2)</f>
        <v>226.85312500000001</v>
      </c>
      <c r="AB209" s="9">
        <f>(Inputs!$H$8+Inputs!$L$8*(((Inputs!$I$8+(((A209)+1)/2)*(Inputs!$J$8-Inputs!$I$8)))/Inputs!$K$8)^2)</f>
        <v>542.22812500000009</v>
      </c>
      <c r="AC209" s="9">
        <f>(Inputs!$H$9+Inputs!$L$9*(((Inputs!$I$9+(((A209)+1)/2)*(Inputs!$J$9-Inputs!$I$9)))/Inputs!$K$9)^2)</f>
        <v>537.484375</v>
      </c>
      <c r="AD209" s="10"/>
      <c r="AE209" s="9">
        <f t="shared" si="31"/>
        <v>0.72499999999999998</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2200.6118333585869</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88843.424479678099</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179603.09096028359</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180264.76629421336</v>
      </c>
      <c r="AJ209" s="10"/>
      <c r="AK209" s="9">
        <f t="shared" si="32"/>
        <v>0.72499999999999998</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-369.02715579752299</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-2768.6242500880076</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-3524.5176065915875</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-3542.248200483351</v>
      </c>
      <c r="AP209" s="10"/>
      <c r="AQ209" s="9">
        <f t="shared" si="33"/>
        <v>0.72499999999999998</v>
      </c>
      <c r="AR209" s="9">
        <f>0</f>
        <v>0</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225.35528260314678</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196.05503611504167</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248.04878603022178</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248.04878603022178</v>
      </c>
      <c r="AW209" s="10"/>
      <c r="AX209" s="9">
        <f t="shared" si="34"/>
        <v>0.72499999999999998</v>
      </c>
      <c r="AY209" s="9">
        <f>0</f>
        <v>0</v>
      </c>
      <c r="AZ209" s="9">
        <f>IF(OR(Inputs!$F$6=TRUE,Inputs!$F$6="TRUE",Inputs!$F$6=1),(Inputs!$H$6+Inputs!$L$6*(((Inputs!$I$6+(((A209)+1)/2)*(Inputs!$J$6-Inputs!$I$6)))/Inputs!$K$6)^2),NA())</f>
        <v>402.10250000000002</v>
      </c>
      <c r="BA209" s="9">
        <f>IF(OR(Inputs!$F$7=TRUE,Inputs!$F$7="TRUE",Inputs!$F$7=1),(Inputs!$H$7+Inputs!$L$7*(((Inputs!$I$7+(((A209)+1)/2)*(Inputs!$J$7-Inputs!$I$7)))/Inputs!$K$7)^2),NA())</f>
        <v>226.85312500000001</v>
      </c>
      <c r="BB209" s="9">
        <f>IF(OR(Inputs!$F$8=TRUE,Inputs!$F$8="TRUE",Inputs!$F$8=1),(Inputs!$H$8+Inputs!$L$8*(((Inputs!$I$8+(((A209)+1)/2)*(Inputs!$J$8-Inputs!$I$8)))/Inputs!$K$8)^2),NA())</f>
        <v>542.22812500000009</v>
      </c>
      <c r="BC209" s="9">
        <f>IF(OR(Inputs!$F$9=TRUE,Inputs!$F$9="TRUE",Inputs!$F$9=1),(Inputs!$H$9+Inputs!$L$9*(((Inputs!$I$9+(((A209)+1)/2)*(Inputs!$J$9-Inputs!$I$9)))/Inputs!$K$9)^2),NA())</f>
        <v>537.484375</v>
      </c>
      <c r="BD209" s="10"/>
      <c r="BE209" s="9">
        <f t="shared" si="35"/>
        <v>0.72499999999999998</v>
      </c>
      <c r="BF209" s="9">
        <f>0</f>
        <v>0</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row>
    <row r="210" spans="1:62">
      <c r="A210" s="9">
        <f>ROUND(-1+208*2/240,3)</f>
        <v>0.73299999999999998</v>
      </c>
      <c r="B210" s="9">
        <f>IF(OR(Inputs!$F$6=TRUE,Inputs!$F$6="TRUE",Inputs!$F$6=1),(Inputs!$H$6+Inputs!$L$6*(((Inputs!$I$6+(((A210)+1)/2)*(Inputs!$J$6-Inputs!$I$6)))/Inputs!$K$6)^2),NA())</f>
        <v>402.149156</v>
      </c>
      <c r="C210" s="9">
        <f>IF(OR(Inputs!$F$7=TRUE,Inputs!$F$7="TRUE",Inputs!$F$7=1),(Inputs!$H$7+Inputs!$L$7*(((Inputs!$I$7+(((A210)+1)/2)*(Inputs!$J$7-Inputs!$I$7)))/Inputs!$K$7)^2),NA())</f>
        <v>231.11048500000004</v>
      </c>
      <c r="D210" s="9">
        <f>IF(OR(Inputs!$F$8=TRUE,Inputs!$F$8="TRUE",Inputs!$F$8=1),(Inputs!$H$8+Inputs!$L$8*(((Inputs!$I$8+(((A210)+1)/2)*(Inputs!$J$8-Inputs!$I$8)))/Inputs!$K$8)^2),NA())</f>
        <v>553.4838850000001</v>
      </c>
      <c r="E210" s="9">
        <f>IF(OR(Inputs!$F$9=TRUE,Inputs!$F$9="TRUE",Inputs!$F$9=1),(Inputs!$H$9+Inputs!$L$9*(((Inputs!$I$9+(((A210)+1)/2)*(Inputs!$J$9-Inputs!$I$9)))/Inputs!$K$9)^2),NA())</f>
        <v>548.85677500000008</v>
      </c>
      <c r="F210" s="10"/>
      <c r="G210" s="9">
        <f t="shared" si="27"/>
        <v>0.73299999999999998</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c r="L210" s="10"/>
      <c r="M210" s="9">
        <f t="shared" si="28"/>
        <v>0.73299999999999998</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-373.02461960418356</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-2789.0129068157057</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-3556.5171977561395</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-3574.7486485680465</v>
      </c>
      <c r="R210" s="10"/>
      <c r="S210" s="9">
        <f t="shared" si="29"/>
        <v>0.73299999999999998</v>
      </c>
      <c r="T210" s="9">
        <f>(Inputs!$I$6+(((A210)+1)/2)*(Inputs!$J$6-Inputs!$I$6))</f>
        <v>43.980000000000004</v>
      </c>
      <c r="U210" s="9">
        <f>(Inputs!$I$7+(((A210)+1)/2)*(Inputs!$J$7-Inputs!$I$7))</f>
        <v>293.20000000000005</v>
      </c>
      <c r="V210" s="9">
        <f>(Inputs!$I$8+(((A210)+1)/2)*(Inputs!$J$8-Inputs!$I$8))</f>
        <v>586.40000000000009</v>
      </c>
      <c r="W210" s="9">
        <f>(Inputs!$I$9+(((A210)+1)/2)*(Inputs!$J$9-Inputs!$I$9))</f>
        <v>586.40000000000009</v>
      </c>
      <c r="X210" s="10"/>
      <c r="Y210" s="9">
        <f t="shared" si="30"/>
        <v>0.73299999999999998</v>
      </c>
      <c r="Z210" s="9">
        <f>(Inputs!$H$6+Inputs!$L$6*(((Inputs!$I$6+(((A210)+1)/2)*(Inputs!$J$6-Inputs!$I$6)))/Inputs!$K$6)^2)</f>
        <v>402.149156</v>
      </c>
      <c r="AA210" s="9">
        <f>(Inputs!$H$7+Inputs!$L$7*(((Inputs!$I$7+(((A210)+1)/2)*(Inputs!$J$7-Inputs!$I$7)))/Inputs!$K$7)^2)</f>
        <v>231.11048500000004</v>
      </c>
      <c r="AB210" s="9">
        <f>(Inputs!$H$8+Inputs!$L$8*(((Inputs!$I$8+(((A210)+1)/2)*(Inputs!$J$8-Inputs!$I$8)))/Inputs!$K$8)^2)</f>
        <v>553.4838850000001</v>
      </c>
      <c r="AC210" s="9">
        <f>(Inputs!$H$9+Inputs!$L$9*(((Inputs!$I$9+(((A210)+1)/2)*(Inputs!$J$9-Inputs!$I$9)))/Inputs!$K$9)^2)</f>
        <v>548.85677500000008</v>
      </c>
      <c r="AD210" s="10"/>
      <c r="AE210" s="9">
        <f t="shared" si="31"/>
        <v>0.73299999999999998</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2236.9330838177084</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89573.907847124778</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181235.83081977055</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181872.38524454914</v>
      </c>
      <c r="AJ210" s="10"/>
      <c r="AK210" s="9">
        <f t="shared" si="32"/>
        <v>0.73299999999999998</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-373.02461960418356</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-2789.0129068157057</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-3556.5171977561395</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-3574.7486485680465</v>
      </c>
      <c r="AP210" s="10"/>
      <c r="AQ210" s="9">
        <f t="shared" si="33"/>
        <v>0.73299999999999998</v>
      </c>
      <c r="AR210" s="9">
        <f>0</f>
        <v>0</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206.43652162937582</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229.12595612818276</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105.67531739322312</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105.67531739322312</v>
      </c>
      <c r="AW210" s="10"/>
      <c r="AX210" s="9">
        <f t="shared" si="34"/>
        <v>0.73299999999999998</v>
      </c>
      <c r="AY210" s="9">
        <f>0</f>
        <v>0</v>
      </c>
      <c r="AZ210" s="9">
        <f>IF(OR(Inputs!$F$6=TRUE,Inputs!$F$6="TRUE",Inputs!$F$6=1),(Inputs!$H$6+Inputs!$L$6*(((Inputs!$I$6+(((A210)+1)/2)*(Inputs!$J$6-Inputs!$I$6)))/Inputs!$K$6)^2),NA())</f>
        <v>402.149156</v>
      </c>
      <c r="BA210" s="9">
        <f>IF(OR(Inputs!$F$7=TRUE,Inputs!$F$7="TRUE",Inputs!$F$7=1),(Inputs!$H$7+Inputs!$L$7*(((Inputs!$I$7+(((A210)+1)/2)*(Inputs!$J$7-Inputs!$I$7)))/Inputs!$K$7)^2),NA())</f>
        <v>231.11048500000004</v>
      </c>
      <c r="BB210" s="9">
        <f>IF(OR(Inputs!$F$8=TRUE,Inputs!$F$8="TRUE",Inputs!$F$8=1),(Inputs!$H$8+Inputs!$L$8*(((Inputs!$I$8+(((A210)+1)/2)*(Inputs!$J$8-Inputs!$I$8)))/Inputs!$K$8)^2),NA())</f>
        <v>553.4838850000001</v>
      </c>
      <c r="BC210" s="9">
        <f>IF(OR(Inputs!$F$9=TRUE,Inputs!$F$9="TRUE",Inputs!$F$9=1),(Inputs!$H$9+Inputs!$L$9*(((Inputs!$I$9+(((A210)+1)/2)*(Inputs!$J$9-Inputs!$I$9)))/Inputs!$K$9)^2),NA())</f>
        <v>548.85677500000008</v>
      </c>
      <c r="BD210" s="10"/>
      <c r="BE210" s="9">
        <f t="shared" si="35"/>
        <v>0.73299999999999998</v>
      </c>
      <c r="BF210" s="9">
        <f>0</f>
        <v>0</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row>
    <row r="211" spans="1:62">
      <c r="A211" s="9">
        <f>ROUND(-1+209*2/240,3)</f>
        <v>0.74199999999999999</v>
      </c>
      <c r="B211" s="9">
        <f>IF(OR(Inputs!$F$6=TRUE,Inputs!$F$6="TRUE",Inputs!$F$6=1),(Inputs!$H$6+Inputs!$L$6*(((Inputs!$I$6+(((A211)+1)/2)*(Inputs!$J$6-Inputs!$I$6)))/Inputs!$K$6)^2),NA())</f>
        <v>402.20225599999998</v>
      </c>
      <c r="C211" s="9">
        <f>IF(OR(Inputs!$F$7=TRUE,Inputs!$F$7="TRUE",Inputs!$F$7=1),(Inputs!$H$7+Inputs!$L$7*(((Inputs!$I$7+(((A211)+1)/2)*(Inputs!$J$7-Inputs!$I$7)))/Inputs!$K$7)^2),NA())</f>
        <v>235.95585999999994</v>
      </c>
      <c r="D211" s="9">
        <f>IF(OR(Inputs!$F$8=TRUE,Inputs!$F$8="TRUE",Inputs!$F$8=1),(Inputs!$H$8+Inputs!$L$8*(((Inputs!$I$8+(((A211)+1)/2)*(Inputs!$J$8-Inputs!$I$8)))/Inputs!$K$8)^2),NA())</f>
        <v>566.29425999999978</v>
      </c>
      <c r="E211" s="9">
        <f>IF(OR(Inputs!$F$9=TRUE,Inputs!$F$9="TRUE",Inputs!$F$9=1),(Inputs!$H$9+Inputs!$L$9*(((Inputs!$I$9+(((A211)+1)/2)*(Inputs!$J$9-Inputs!$I$9)))/Inputs!$K$9)^2),NA())</f>
        <v>561.79989999999987</v>
      </c>
      <c r="F211" s="10"/>
      <c r="G211" s="9">
        <f t="shared" si="27"/>
        <v>0.74199999999999999</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c r="L211" s="10"/>
      <c r="M211" s="9">
        <f t="shared" si="28"/>
        <v>0.74199999999999999</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-377.51890638728247</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-2812.0693690967632</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-3592.6319860099247</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-3611.4243995275597</v>
      </c>
      <c r="R211" s="10"/>
      <c r="S211" s="9">
        <f t="shared" si="29"/>
        <v>0.74199999999999999</v>
      </c>
      <c r="T211" s="9">
        <f>(Inputs!$I$6+(((A211)+1)/2)*(Inputs!$J$6-Inputs!$I$6))</f>
        <v>44.519999999999996</v>
      </c>
      <c r="U211" s="9">
        <f>(Inputs!$I$7+(((A211)+1)/2)*(Inputs!$J$7-Inputs!$I$7))</f>
        <v>296.79999999999995</v>
      </c>
      <c r="V211" s="9">
        <f>(Inputs!$I$8+(((A211)+1)/2)*(Inputs!$J$8-Inputs!$I$8))</f>
        <v>593.59999999999991</v>
      </c>
      <c r="W211" s="9">
        <f>(Inputs!$I$9+(((A211)+1)/2)*(Inputs!$J$9-Inputs!$I$9))</f>
        <v>593.59999999999991</v>
      </c>
      <c r="X211" s="10"/>
      <c r="Y211" s="9">
        <f t="shared" si="30"/>
        <v>0.74199999999999999</v>
      </c>
      <c r="Z211" s="9">
        <f>(Inputs!$H$6+Inputs!$L$6*(((Inputs!$I$6+(((A211)+1)/2)*(Inputs!$J$6-Inputs!$I$6)))/Inputs!$K$6)^2)</f>
        <v>402.20225599999998</v>
      </c>
      <c r="AA211" s="9">
        <f>(Inputs!$H$7+Inputs!$L$7*(((Inputs!$I$7+(((A211)+1)/2)*(Inputs!$J$7-Inputs!$I$7)))/Inputs!$K$7)^2)</f>
        <v>235.95585999999994</v>
      </c>
      <c r="AB211" s="9">
        <f>(Inputs!$H$8+Inputs!$L$8*(((Inputs!$I$8+(((A211)+1)/2)*(Inputs!$J$8-Inputs!$I$8)))/Inputs!$K$8)^2)</f>
        <v>566.29425999999978</v>
      </c>
      <c r="AC211" s="9">
        <f>(Inputs!$H$9+Inputs!$L$9*(((Inputs!$I$9+(((A211)+1)/2)*(Inputs!$J$9-Inputs!$I$9)))/Inputs!$K$9)^2)</f>
        <v>561.79989999999987</v>
      </c>
      <c r="AD211" s="10"/>
      <c r="AE211" s="9">
        <f t="shared" si="31"/>
        <v>0.74199999999999999</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2278.255727414682</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90391.783735525518</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183075.81149948062</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183684.58766289277</v>
      </c>
      <c r="AJ211" s="10"/>
      <c r="AK211" s="9">
        <f t="shared" si="32"/>
        <v>0.74199999999999999</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-377.51890638728247</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-2812.0693690967632</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-3592.6319860099247</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-3611.4243995275597</v>
      </c>
      <c r="AP211" s="10"/>
      <c r="AQ211" s="9">
        <f t="shared" si="33"/>
        <v>0.74199999999999999</v>
      </c>
      <c r="AR211" s="9">
        <f>0</f>
        <v>0</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194.72267766340866</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158.13113423490745</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156.12755644466156</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156.12755644466156</v>
      </c>
      <c r="AW211" s="10"/>
      <c r="AX211" s="9">
        <f t="shared" si="34"/>
        <v>0.74199999999999999</v>
      </c>
      <c r="AY211" s="9">
        <f>0</f>
        <v>0</v>
      </c>
      <c r="AZ211" s="9">
        <f>IF(OR(Inputs!$F$6=TRUE,Inputs!$F$6="TRUE",Inputs!$F$6=1),(Inputs!$H$6+Inputs!$L$6*(((Inputs!$I$6+(((A211)+1)/2)*(Inputs!$J$6-Inputs!$I$6)))/Inputs!$K$6)^2),NA())</f>
        <v>402.20225599999998</v>
      </c>
      <c r="BA211" s="9">
        <f>IF(OR(Inputs!$F$7=TRUE,Inputs!$F$7="TRUE",Inputs!$F$7=1),(Inputs!$H$7+Inputs!$L$7*(((Inputs!$I$7+(((A211)+1)/2)*(Inputs!$J$7-Inputs!$I$7)))/Inputs!$K$7)^2),NA())</f>
        <v>235.95585999999994</v>
      </c>
      <c r="BB211" s="9">
        <f>IF(OR(Inputs!$F$8=TRUE,Inputs!$F$8="TRUE",Inputs!$F$8=1),(Inputs!$H$8+Inputs!$L$8*(((Inputs!$I$8+(((A211)+1)/2)*(Inputs!$J$8-Inputs!$I$8)))/Inputs!$K$8)^2),NA())</f>
        <v>566.29425999999978</v>
      </c>
      <c r="BC211" s="9">
        <f>IF(OR(Inputs!$F$9=TRUE,Inputs!$F$9="TRUE",Inputs!$F$9=1),(Inputs!$H$9+Inputs!$L$9*(((Inputs!$I$9+(((A211)+1)/2)*(Inputs!$J$9-Inputs!$I$9)))/Inputs!$K$9)^2),NA())</f>
        <v>561.79989999999987</v>
      </c>
      <c r="BD211" s="10"/>
      <c r="BE211" s="9">
        <f t="shared" si="35"/>
        <v>0.74199999999999999</v>
      </c>
      <c r="BF211" s="9">
        <f>0</f>
        <v>0</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row>
    <row r="212" spans="1:62">
      <c r="A212" s="9">
        <f>ROUND(-1+210*2/240,3)</f>
        <v>0.75</v>
      </c>
      <c r="B212" s="9">
        <f>IF(OR(Inputs!$F$6=TRUE,Inputs!$F$6="TRUE",Inputs!$F$6=1),(Inputs!$H$6+Inputs!$L$6*(((Inputs!$I$6+(((A212)+1)/2)*(Inputs!$J$6-Inputs!$I$6)))/Inputs!$K$6)^2),NA())</f>
        <v>402.25</v>
      </c>
      <c r="C212" s="9">
        <f>IF(OR(Inputs!$F$7=TRUE,Inputs!$F$7="TRUE",Inputs!$F$7=1),(Inputs!$H$7+Inputs!$L$7*(((Inputs!$I$7+(((A212)+1)/2)*(Inputs!$J$7-Inputs!$I$7)))/Inputs!$K$7)^2),NA())</f>
        <v>240.3125</v>
      </c>
      <c r="D212" s="9">
        <f>IF(OR(Inputs!$F$8=TRUE,Inputs!$F$8="TRUE",Inputs!$F$8=1),(Inputs!$H$8+Inputs!$L$8*(((Inputs!$I$8+(((A212)+1)/2)*(Inputs!$J$8-Inputs!$I$8)))/Inputs!$K$8)^2),NA())</f>
        <v>577.8125</v>
      </c>
      <c r="E212" s="9">
        <f>IF(OR(Inputs!$F$9=TRUE,Inputs!$F$9="TRUE",Inputs!$F$9=1),(Inputs!$H$9+Inputs!$L$9*(((Inputs!$I$9+(((A212)+1)/2)*(Inputs!$J$9-Inputs!$I$9)))/Inputs!$K$9)^2),NA())</f>
        <v>573.4375</v>
      </c>
      <c r="F212" s="10"/>
      <c r="G212" s="9">
        <f t="shared" si="27"/>
        <v>0.75</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c r="L212" s="10"/>
      <c r="M212" s="9">
        <f t="shared" si="28"/>
        <v>0.75</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-381.51126057307653</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-2832.668276190082</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-3624.8333285150161</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-3644.1221232998905</v>
      </c>
      <c r="R212" s="10"/>
      <c r="S212" s="9">
        <f t="shared" si="29"/>
        <v>0.75</v>
      </c>
      <c r="T212" s="9">
        <f>(Inputs!$I$6+(((A212)+1)/2)*(Inputs!$J$6-Inputs!$I$6))</f>
        <v>45</v>
      </c>
      <c r="U212" s="9">
        <f>(Inputs!$I$7+(((A212)+1)/2)*(Inputs!$J$7-Inputs!$I$7))</f>
        <v>300</v>
      </c>
      <c r="V212" s="9">
        <f>(Inputs!$I$8+(((A212)+1)/2)*(Inputs!$J$8-Inputs!$I$8))</f>
        <v>600</v>
      </c>
      <c r="W212" s="9">
        <f>(Inputs!$I$9+(((A212)+1)/2)*(Inputs!$J$9-Inputs!$I$9))</f>
        <v>600</v>
      </c>
      <c r="X212" s="10"/>
      <c r="Y212" s="9">
        <f t="shared" si="30"/>
        <v>0.75</v>
      </c>
      <c r="Z212" s="9">
        <f>(Inputs!$H$6+Inputs!$L$6*(((Inputs!$I$6+(((A212)+1)/2)*(Inputs!$J$6-Inputs!$I$6)))/Inputs!$K$6)^2)</f>
        <v>402.25</v>
      </c>
      <c r="AA212" s="9">
        <f>(Inputs!$H$7+Inputs!$L$7*(((Inputs!$I$7+(((A212)+1)/2)*(Inputs!$J$7-Inputs!$I$7)))/Inputs!$K$7)^2)</f>
        <v>240.3125</v>
      </c>
      <c r="AB212" s="9">
        <f>(Inputs!$H$8+Inputs!$L$8*(((Inputs!$I$8+(((A212)+1)/2)*(Inputs!$J$8-Inputs!$I$8)))/Inputs!$K$8)^2)</f>
        <v>577.8125</v>
      </c>
      <c r="AC212" s="9">
        <f>(Inputs!$H$9+Inputs!$L$9*(((Inputs!$I$9+(((A212)+1)/2)*(Inputs!$J$9-Inputs!$I$9)))/Inputs!$K$9)^2)</f>
        <v>573.4375</v>
      </c>
      <c r="AD212" s="10"/>
      <c r="AE212" s="9">
        <f t="shared" si="31"/>
        <v>0.75</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2315.3965059322627</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91115.424986752609</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184714.38451986728</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185298.89277731589</v>
      </c>
      <c r="AJ212" s="10"/>
      <c r="AK212" s="9">
        <f t="shared" si="32"/>
        <v>0.75</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-381.51126057307653</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-2832.668276190082</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-3624.8333285150161</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-3644.1221232998905</v>
      </c>
      <c r="AP212" s="10"/>
      <c r="AQ212" s="9">
        <f t="shared" si="33"/>
        <v>0.75</v>
      </c>
      <c r="AR212" s="9">
        <f>0</f>
        <v>0</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165.26573251393552</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97.235377909493536</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164.31054513830082</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164.31054513830082</v>
      </c>
      <c r="AW212" s="10"/>
      <c r="AX212" s="9">
        <f t="shared" si="34"/>
        <v>0.75</v>
      </c>
      <c r="AY212" s="9">
        <f>0</f>
        <v>0</v>
      </c>
      <c r="AZ212" s="9">
        <f>IF(OR(Inputs!$F$6=TRUE,Inputs!$F$6="TRUE",Inputs!$F$6=1),(Inputs!$H$6+Inputs!$L$6*(((Inputs!$I$6+(((A212)+1)/2)*(Inputs!$J$6-Inputs!$I$6)))/Inputs!$K$6)^2),NA())</f>
        <v>402.25</v>
      </c>
      <c r="BA212" s="9">
        <f>IF(OR(Inputs!$F$7=TRUE,Inputs!$F$7="TRUE",Inputs!$F$7=1),(Inputs!$H$7+Inputs!$L$7*(((Inputs!$I$7+(((A212)+1)/2)*(Inputs!$J$7-Inputs!$I$7)))/Inputs!$K$7)^2),NA())</f>
        <v>240.3125</v>
      </c>
      <c r="BB212" s="9">
        <f>IF(OR(Inputs!$F$8=TRUE,Inputs!$F$8="TRUE",Inputs!$F$8=1),(Inputs!$H$8+Inputs!$L$8*(((Inputs!$I$8+(((A212)+1)/2)*(Inputs!$J$8-Inputs!$I$8)))/Inputs!$K$8)^2),NA())</f>
        <v>577.8125</v>
      </c>
      <c r="BC212" s="9">
        <f>IF(OR(Inputs!$F$9=TRUE,Inputs!$F$9="TRUE",Inputs!$F$9=1),(Inputs!$H$9+Inputs!$L$9*(((Inputs!$I$9+(((A212)+1)/2)*(Inputs!$J$9-Inputs!$I$9)))/Inputs!$K$9)^2),NA())</f>
        <v>573.4375</v>
      </c>
      <c r="BD212" s="10"/>
      <c r="BE212" s="9">
        <f t="shared" si="35"/>
        <v>0.75</v>
      </c>
      <c r="BF212" s="9">
        <f>0</f>
        <v>0</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row>
    <row r="213" spans="1:62">
      <c r="A213" s="9">
        <f>ROUND(-1+211*2/240,3)</f>
        <v>0.75800000000000001</v>
      </c>
      <c r="B213" s="9">
        <f>IF(OR(Inputs!$F$6=TRUE,Inputs!$F$6="TRUE",Inputs!$F$6=1),(Inputs!$H$6+Inputs!$L$6*(((Inputs!$I$6+(((A213)+1)/2)*(Inputs!$J$6-Inputs!$I$6)))/Inputs!$K$6)^2),NA())</f>
        <v>402.29825599999998</v>
      </c>
      <c r="C213" s="9">
        <f>IF(OR(Inputs!$F$7=TRUE,Inputs!$F$7="TRUE",Inputs!$F$7=1),(Inputs!$H$7+Inputs!$L$7*(((Inputs!$I$7+(((A213)+1)/2)*(Inputs!$J$7-Inputs!$I$7)))/Inputs!$K$7)^2),NA())</f>
        <v>244.71586000000008</v>
      </c>
      <c r="D213" s="9">
        <f>IF(OR(Inputs!$F$8=TRUE,Inputs!$F$8="TRUE",Inputs!$F$8=1),(Inputs!$H$8+Inputs!$L$8*(((Inputs!$I$8+(((A213)+1)/2)*(Inputs!$J$8-Inputs!$I$8)))/Inputs!$K$8)^2),NA())</f>
        <v>589.4542600000002</v>
      </c>
      <c r="E213" s="9">
        <f>IF(OR(Inputs!$F$9=TRUE,Inputs!$F$9="TRUE",Inputs!$F$9=1),(Inputs!$H$9+Inputs!$L$9*(((Inputs!$I$9+(((A213)+1)/2)*(Inputs!$J$9-Inputs!$I$9)))/Inputs!$K$9)^2),NA())</f>
        <v>585.19990000000018</v>
      </c>
      <c r="F213" s="10"/>
      <c r="G213" s="9">
        <f t="shared" si="27"/>
        <v>0.75800000000000001</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c r="L213" s="10"/>
      <c r="M213" s="9">
        <f t="shared" si="28"/>
        <v>0.75800000000000001</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-385.50117479712628</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-2853.3637264788636</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-3657.1252634559301</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-3676.908297109796</v>
      </c>
      <c r="R213" s="10"/>
      <c r="S213" s="9">
        <f t="shared" si="29"/>
        <v>0.75800000000000001</v>
      </c>
      <c r="T213" s="9">
        <f>(Inputs!$I$6+(((A213)+1)/2)*(Inputs!$J$6-Inputs!$I$6))</f>
        <v>45.480000000000004</v>
      </c>
      <c r="U213" s="9">
        <f>(Inputs!$I$7+(((A213)+1)/2)*(Inputs!$J$7-Inputs!$I$7))</f>
        <v>303.20000000000005</v>
      </c>
      <c r="V213" s="9">
        <f>(Inputs!$I$8+(((A213)+1)/2)*(Inputs!$J$8-Inputs!$I$8))</f>
        <v>606.40000000000009</v>
      </c>
      <c r="W213" s="9">
        <f>(Inputs!$I$9+(((A213)+1)/2)*(Inputs!$J$9-Inputs!$I$9))</f>
        <v>606.40000000000009</v>
      </c>
      <c r="X213" s="10"/>
      <c r="Y213" s="9">
        <f t="shared" si="30"/>
        <v>0.75800000000000001</v>
      </c>
      <c r="Z213" s="9">
        <f>(Inputs!$H$6+Inputs!$L$6*(((Inputs!$I$6+(((A213)+1)/2)*(Inputs!$J$6-Inputs!$I$6)))/Inputs!$K$6)^2)</f>
        <v>402.29825599999998</v>
      </c>
      <c r="AA213" s="9">
        <f>(Inputs!$H$7+Inputs!$L$7*(((Inputs!$I$7+(((A213)+1)/2)*(Inputs!$J$7-Inputs!$I$7)))/Inputs!$K$7)^2)</f>
        <v>244.71586000000008</v>
      </c>
      <c r="AB213" s="9">
        <f>(Inputs!$H$8+Inputs!$L$8*(((Inputs!$I$8+(((A213)+1)/2)*(Inputs!$J$8-Inputs!$I$8)))/Inputs!$K$8)^2)</f>
        <v>589.4542600000002</v>
      </c>
      <c r="AC213" s="9">
        <f>(Inputs!$H$9+Inputs!$L$9*(((Inputs!$I$9+(((A213)+1)/2)*(Inputs!$J$9-Inputs!$I$9)))/Inputs!$K$9)^2)</f>
        <v>585.19990000000018</v>
      </c>
      <c r="AD213" s="10"/>
      <c r="AE213" s="9">
        <f t="shared" si="31"/>
        <v>0.75800000000000001</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2352.9223073851977</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91836.018267406092</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186356.0291483406</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186916.66345870466</v>
      </c>
      <c r="AJ213" s="10"/>
      <c r="AK213" s="9">
        <f t="shared" si="32"/>
        <v>0.75800000000000001</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-385.50117479712628</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-2853.3637264788636</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-3657.1252634559301</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-3676.908297109796</v>
      </c>
      <c r="AP213" s="10"/>
      <c r="AQ213" s="9">
        <f t="shared" si="33"/>
        <v>0.75800000000000001</v>
      </c>
      <c r="AR213" s="9">
        <f>0</f>
        <v>0</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153.23237892532251</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108.92623427961139</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83.710018223550193</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83.710018223550193</v>
      </c>
      <c r="AW213" s="10"/>
      <c r="AX213" s="9">
        <f t="shared" si="34"/>
        <v>0.75800000000000001</v>
      </c>
      <c r="AY213" s="9">
        <f>0</f>
        <v>0</v>
      </c>
      <c r="AZ213" s="9">
        <f>IF(OR(Inputs!$F$6=TRUE,Inputs!$F$6="TRUE",Inputs!$F$6=1),(Inputs!$H$6+Inputs!$L$6*(((Inputs!$I$6+(((A213)+1)/2)*(Inputs!$J$6-Inputs!$I$6)))/Inputs!$K$6)^2),NA())</f>
        <v>402.29825599999998</v>
      </c>
      <c r="BA213" s="9">
        <f>IF(OR(Inputs!$F$7=TRUE,Inputs!$F$7="TRUE",Inputs!$F$7=1),(Inputs!$H$7+Inputs!$L$7*(((Inputs!$I$7+(((A213)+1)/2)*(Inputs!$J$7-Inputs!$I$7)))/Inputs!$K$7)^2),NA())</f>
        <v>244.71586000000008</v>
      </c>
      <c r="BB213" s="9">
        <f>IF(OR(Inputs!$F$8=TRUE,Inputs!$F$8="TRUE",Inputs!$F$8=1),(Inputs!$H$8+Inputs!$L$8*(((Inputs!$I$8+(((A213)+1)/2)*(Inputs!$J$8-Inputs!$I$8)))/Inputs!$K$8)^2),NA())</f>
        <v>589.4542600000002</v>
      </c>
      <c r="BC213" s="9">
        <f>IF(OR(Inputs!$F$9=TRUE,Inputs!$F$9="TRUE",Inputs!$F$9=1),(Inputs!$H$9+Inputs!$L$9*(((Inputs!$I$9+(((A213)+1)/2)*(Inputs!$J$9-Inputs!$I$9)))/Inputs!$K$9)^2),NA())</f>
        <v>585.19990000000018</v>
      </c>
      <c r="BD213" s="10"/>
      <c r="BE213" s="9">
        <f t="shared" si="35"/>
        <v>0.75800000000000001</v>
      </c>
      <c r="BF213" s="9">
        <f>0</f>
        <v>0</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row>
    <row r="214" spans="1:62">
      <c r="A214" s="9">
        <f>ROUND(-1+212*2/240,3)</f>
        <v>0.76700000000000002</v>
      </c>
      <c r="B214" s="9">
        <f>IF(OR(Inputs!$F$6=TRUE,Inputs!$F$6="TRUE",Inputs!$F$6=1),(Inputs!$H$6+Inputs!$L$6*(((Inputs!$I$6+(((A214)+1)/2)*(Inputs!$J$6-Inputs!$I$6)))/Inputs!$K$6)^2),NA())</f>
        <v>402.35315600000001</v>
      </c>
      <c r="C214" s="9">
        <f>IF(OR(Inputs!$F$7=TRUE,Inputs!$F$7="TRUE",Inputs!$F$7=1),(Inputs!$H$7+Inputs!$L$7*(((Inputs!$I$7+(((A214)+1)/2)*(Inputs!$J$7-Inputs!$I$7)))/Inputs!$K$7)^2),NA())</f>
        <v>249.72548499999994</v>
      </c>
      <c r="D214" s="9">
        <f>IF(OR(Inputs!$F$8=TRUE,Inputs!$F$8="TRUE",Inputs!$F$8=1),(Inputs!$H$8+Inputs!$L$8*(((Inputs!$I$8+(((A214)+1)/2)*(Inputs!$J$8-Inputs!$I$8)))/Inputs!$K$8)^2),NA())</f>
        <v>602.69888499999979</v>
      </c>
      <c r="E214" s="9">
        <f>IF(OR(Inputs!$F$9=TRUE,Inputs!$F$9="TRUE",Inputs!$F$9=1),(Inputs!$H$9+Inputs!$L$9*(((Inputs!$I$9+(((A214)+1)/2)*(Inputs!$J$9-Inputs!$I$9)))/Inputs!$K$9)^2),NA())</f>
        <v>598.58177499999988</v>
      </c>
      <c r="F214" s="10"/>
      <c r="G214" s="9">
        <f t="shared" si="27"/>
        <v>0.76700000000000002</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c r="L214" s="10"/>
      <c r="M214" s="9">
        <f t="shared" si="28"/>
        <v>0.76700000000000002</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-389.98688372679453</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-2876.7596069087685</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-3693.5586319404124</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-3713.8951016011933</v>
      </c>
      <c r="R214" s="10"/>
      <c r="S214" s="9">
        <f t="shared" si="29"/>
        <v>0.76700000000000002</v>
      </c>
      <c r="T214" s="9">
        <f>(Inputs!$I$6+(((A214)+1)/2)*(Inputs!$J$6-Inputs!$I$6))</f>
        <v>46.019999999999996</v>
      </c>
      <c r="U214" s="9">
        <f>(Inputs!$I$7+(((A214)+1)/2)*(Inputs!$J$7-Inputs!$I$7))</f>
        <v>306.79999999999995</v>
      </c>
      <c r="V214" s="9">
        <f>(Inputs!$I$8+(((A214)+1)/2)*(Inputs!$J$8-Inputs!$I$8))</f>
        <v>613.59999999999991</v>
      </c>
      <c r="W214" s="9">
        <f>(Inputs!$I$9+(((A214)+1)/2)*(Inputs!$J$9-Inputs!$I$9))</f>
        <v>613.59999999999991</v>
      </c>
      <c r="X214" s="10"/>
      <c r="Y214" s="9">
        <f t="shared" si="30"/>
        <v>0.76700000000000002</v>
      </c>
      <c r="Z214" s="9">
        <f>(Inputs!$H$6+Inputs!$L$6*(((Inputs!$I$6+(((A214)+1)/2)*(Inputs!$J$6-Inputs!$I$6)))/Inputs!$K$6)^2)</f>
        <v>402.35315600000001</v>
      </c>
      <c r="AA214" s="9">
        <f>(Inputs!$H$7+Inputs!$L$7*(((Inputs!$I$7+(((A214)+1)/2)*(Inputs!$J$7-Inputs!$I$7)))/Inputs!$K$7)^2)</f>
        <v>249.72548499999994</v>
      </c>
      <c r="AB214" s="9">
        <f>(Inputs!$H$8+Inputs!$L$8*(((Inputs!$I$8+(((A214)+1)/2)*(Inputs!$J$8-Inputs!$I$8)))/Inputs!$K$8)^2)</f>
        <v>602.69888499999979</v>
      </c>
      <c r="AC214" s="9">
        <f>(Inputs!$H$9+Inputs!$L$9*(((Inputs!$I$9+(((A214)+1)/2)*(Inputs!$J$9-Inputs!$I$9)))/Inputs!$K$9)^2)</f>
        <v>598.58177499999988</v>
      </c>
      <c r="AD214" s="10"/>
      <c r="AE214" s="9">
        <f t="shared" si="31"/>
        <v>0.76700000000000002</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2395.5985422056779</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92643.176360245328</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188206.80035603675</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188741.04135836614</v>
      </c>
      <c r="AJ214" s="10"/>
      <c r="AK214" s="9">
        <f t="shared" si="32"/>
        <v>0.76700000000000002</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-389.98688372679453</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-2876.7596069087685</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-3693.5586319404124</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-3713.8951016011933</v>
      </c>
      <c r="AP214" s="10"/>
      <c r="AQ214" s="9">
        <f t="shared" si="33"/>
        <v>0.76700000000000002</v>
      </c>
      <c r="AR214" s="9">
        <f>0</f>
        <v>0</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149.33446990288815</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174.30311756139261</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157.51448182830308</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157.51448182830308</v>
      </c>
      <c r="AW214" s="10"/>
      <c r="AX214" s="9">
        <f t="shared" si="34"/>
        <v>0.76700000000000002</v>
      </c>
      <c r="AY214" s="9">
        <f>0</f>
        <v>0</v>
      </c>
      <c r="AZ214" s="9">
        <f>IF(OR(Inputs!$F$6=TRUE,Inputs!$F$6="TRUE",Inputs!$F$6=1),(Inputs!$H$6+Inputs!$L$6*(((Inputs!$I$6+(((A214)+1)/2)*(Inputs!$J$6-Inputs!$I$6)))/Inputs!$K$6)^2),NA())</f>
        <v>402.35315600000001</v>
      </c>
      <c r="BA214" s="9">
        <f>IF(OR(Inputs!$F$7=TRUE,Inputs!$F$7="TRUE",Inputs!$F$7=1),(Inputs!$H$7+Inputs!$L$7*(((Inputs!$I$7+(((A214)+1)/2)*(Inputs!$J$7-Inputs!$I$7)))/Inputs!$K$7)^2),NA())</f>
        <v>249.72548499999994</v>
      </c>
      <c r="BB214" s="9">
        <f>IF(OR(Inputs!$F$8=TRUE,Inputs!$F$8="TRUE",Inputs!$F$8=1),(Inputs!$H$8+Inputs!$L$8*(((Inputs!$I$8+(((A214)+1)/2)*(Inputs!$J$8-Inputs!$I$8)))/Inputs!$K$8)^2),NA())</f>
        <v>602.69888499999979</v>
      </c>
      <c r="BC214" s="9">
        <f>IF(OR(Inputs!$F$9=TRUE,Inputs!$F$9="TRUE",Inputs!$F$9=1),(Inputs!$H$9+Inputs!$L$9*(((Inputs!$I$9+(((A214)+1)/2)*(Inputs!$J$9-Inputs!$I$9)))/Inputs!$K$9)^2),NA())</f>
        <v>598.58177499999988</v>
      </c>
      <c r="BD214" s="10"/>
      <c r="BE214" s="9">
        <f t="shared" si="35"/>
        <v>0.76700000000000002</v>
      </c>
      <c r="BF214" s="9">
        <f>0</f>
        <v>0</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row>
    <row r="215" spans="1:62">
      <c r="A215" s="9">
        <f>ROUND(-1+213*2/240,3)</f>
        <v>0.77500000000000002</v>
      </c>
      <c r="B215" s="9">
        <f>IF(OR(Inputs!$F$6=TRUE,Inputs!$F$6="TRUE",Inputs!$F$6=1),(Inputs!$H$6+Inputs!$L$6*(((Inputs!$I$6+(((A215)+1)/2)*(Inputs!$J$6-Inputs!$I$6)))/Inputs!$K$6)^2),NA())</f>
        <v>402.40249999999997</v>
      </c>
      <c r="C215" s="9">
        <f>IF(OR(Inputs!$F$7=TRUE,Inputs!$F$7="TRUE",Inputs!$F$7=1),(Inputs!$H$7+Inputs!$L$7*(((Inputs!$I$7+(((A215)+1)/2)*(Inputs!$J$7-Inputs!$I$7)))/Inputs!$K$7)^2),NA())</f>
        <v>254.22812500000003</v>
      </c>
      <c r="D215" s="9">
        <f>IF(OR(Inputs!$F$8=TRUE,Inputs!$F$8="TRUE",Inputs!$F$8=1),(Inputs!$H$8+Inputs!$L$8*(((Inputs!$I$8+(((A215)+1)/2)*(Inputs!$J$8-Inputs!$I$8)))/Inputs!$K$8)^2),NA())</f>
        <v>614.60312500000009</v>
      </c>
      <c r="E215" s="9">
        <f>IF(OR(Inputs!$F$9=TRUE,Inputs!$F$9="TRUE",Inputs!$F$9=1),(Inputs!$H$9+Inputs!$L$9*(((Inputs!$I$9+(((A215)+1)/2)*(Inputs!$J$9-Inputs!$I$9)))/Inputs!$K$9)^2),NA())</f>
        <v>610.60937500000011</v>
      </c>
      <c r="F215" s="10"/>
      <c r="G215" s="9">
        <f t="shared" si="27"/>
        <v>0.77500000000000002</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c r="L215" s="10"/>
      <c r="M215" s="9">
        <f t="shared" si="28"/>
        <v>0.77500000000000002</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-393.97153833635986</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-2897.6551524979286</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-3726.0342339321542</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-3746.8603356495087</v>
      </c>
      <c r="R215" s="10"/>
      <c r="S215" s="9">
        <f t="shared" si="29"/>
        <v>0.77500000000000002</v>
      </c>
      <c r="T215" s="9">
        <f>(Inputs!$I$6+(((A215)+1)/2)*(Inputs!$J$6-Inputs!$I$6))</f>
        <v>46.5</v>
      </c>
      <c r="U215" s="9">
        <f>(Inputs!$I$7+(((A215)+1)/2)*(Inputs!$J$7-Inputs!$I$7))</f>
        <v>310</v>
      </c>
      <c r="V215" s="9">
        <f>(Inputs!$I$8+(((A215)+1)/2)*(Inputs!$J$8-Inputs!$I$8))</f>
        <v>620</v>
      </c>
      <c r="W215" s="9">
        <f>(Inputs!$I$9+(((A215)+1)/2)*(Inputs!$J$9-Inputs!$I$9))</f>
        <v>620</v>
      </c>
      <c r="X215" s="10"/>
      <c r="Y215" s="9">
        <f t="shared" si="30"/>
        <v>0.77500000000000002</v>
      </c>
      <c r="Z215" s="9">
        <f>(Inputs!$H$6+Inputs!$L$6*(((Inputs!$I$6+(((A215)+1)/2)*(Inputs!$J$6-Inputs!$I$6)))/Inputs!$K$6)^2)</f>
        <v>402.40249999999997</v>
      </c>
      <c r="AA215" s="9">
        <f>(Inputs!$H$7+Inputs!$L$7*(((Inputs!$I$7+(((A215)+1)/2)*(Inputs!$J$7-Inputs!$I$7)))/Inputs!$K$7)^2)</f>
        <v>254.22812500000003</v>
      </c>
      <c r="AB215" s="9">
        <f>(Inputs!$H$8+Inputs!$L$8*(((Inputs!$I$8+(((A215)+1)/2)*(Inputs!$J$8-Inputs!$I$8)))/Inputs!$K$8)^2)</f>
        <v>614.60312500000009</v>
      </c>
      <c r="AC215" s="9">
        <f>(Inputs!$H$9+Inputs!$L$9*(((Inputs!$I$9+(((A215)+1)/2)*(Inputs!$J$9-Inputs!$I$9)))/Inputs!$K$9)^2)</f>
        <v>610.60937500000011</v>
      </c>
      <c r="AD215" s="10"/>
      <c r="AE215" s="9">
        <f t="shared" si="31"/>
        <v>0.77500000000000002</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2433.9411409597728</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93357.647896207302</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189855.63060320111</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190366.81872344072</v>
      </c>
      <c r="AJ215" s="10"/>
      <c r="AK215" s="9">
        <f t="shared" si="32"/>
        <v>0.77500000000000002</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-393.97153833635986</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-2897.6551524979286</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-3726.0342339321542</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-3746.8603356495087</v>
      </c>
      <c r="AP215" s="10"/>
      <c r="AQ215" s="9">
        <f t="shared" si="33"/>
        <v>0.77500000000000002</v>
      </c>
      <c r="AR215" s="9">
        <f>0</f>
        <v>0</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125.26409736726505</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191.20461946156129</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135.77357148089862</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135.77357148089862</v>
      </c>
      <c r="AW215" s="10"/>
      <c r="AX215" s="9">
        <f t="shared" si="34"/>
        <v>0.77500000000000002</v>
      </c>
      <c r="AY215" s="9">
        <f>0</f>
        <v>0</v>
      </c>
      <c r="AZ215" s="9">
        <f>IF(OR(Inputs!$F$6=TRUE,Inputs!$F$6="TRUE",Inputs!$F$6=1),(Inputs!$H$6+Inputs!$L$6*(((Inputs!$I$6+(((A215)+1)/2)*(Inputs!$J$6-Inputs!$I$6)))/Inputs!$K$6)^2),NA())</f>
        <v>402.40249999999997</v>
      </c>
      <c r="BA215" s="9">
        <f>IF(OR(Inputs!$F$7=TRUE,Inputs!$F$7="TRUE",Inputs!$F$7=1),(Inputs!$H$7+Inputs!$L$7*(((Inputs!$I$7+(((A215)+1)/2)*(Inputs!$J$7-Inputs!$I$7)))/Inputs!$K$7)^2),NA())</f>
        <v>254.22812500000003</v>
      </c>
      <c r="BB215" s="9">
        <f>IF(OR(Inputs!$F$8=TRUE,Inputs!$F$8="TRUE",Inputs!$F$8=1),(Inputs!$H$8+Inputs!$L$8*(((Inputs!$I$8+(((A215)+1)/2)*(Inputs!$J$8-Inputs!$I$8)))/Inputs!$K$8)^2),NA())</f>
        <v>614.60312500000009</v>
      </c>
      <c r="BC215" s="9">
        <f>IF(OR(Inputs!$F$9=TRUE,Inputs!$F$9="TRUE",Inputs!$F$9=1),(Inputs!$H$9+Inputs!$L$9*(((Inputs!$I$9+(((A215)+1)/2)*(Inputs!$J$9-Inputs!$I$9)))/Inputs!$K$9)^2),NA())</f>
        <v>610.60937500000011</v>
      </c>
      <c r="BD215" s="10"/>
      <c r="BE215" s="9">
        <f t="shared" si="35"/>
        <v>0.77500000000000002</v>
      </c>
      <c r="BF215" s="9">
        <f>0</f>
        <v>0</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row>
    <row r="216" spans="1:62">
      <c r="A216" s="9">
        <f>ROUND(-1+214*2/240,3)</f>
        <v>0.78300000000000003</v>
      </c>
      <c r="B216" s="9">
        <f>IF(OR(Inputs!$F$6=TRUE,Inputs!$F$6="TRUE",Inputs!$F$6=1),(Inputs!$H$6+Inputs!$L$6*(((Inputs!$I$6+(((A216)+1)/2)*(Inputs!$J$6-Inputs!$I$6)))/Inputs!$K$6)^2),NA())</f>
        <v>402.45235600000001</v>
      </c>
      <c r="C216" s="9">
        <f>IF(OR(Inputs!$F$7=TRUE,Inputs!$F$7="TRUE",Inputs!$F$7=1),(Inputs!$H$7+Inputs!$L$7*(((Inputs!$I$7+(((A216)+1)/2)*(Inputs!$J$7-Inputs!$I$7)))/Inputs!$K$7)^2),NA())</f>
        <v>258.77748499999984</v>
      </c>
      <c r="D216" s="9">
        <f>IF(OR(Inputs!$F$8=TRUE,Inputs!$F$8="TRUE",Inputs!$F$8=1),(Inputs!$H$8+Inputs!$L$8*(((Inputs!$I$8+(((A216)+1)/2)*(Inputs!$J$8-Inputs!$I$8)))/Inputs!$K$8)^2),NA())</f>
        <v>626.63088499999969</v>
      </c>
      <c r="E216" s="9">
        <f>IF(OR(Inputs!$F$9=TRUE,Inputs!$F$9="TRUE",Inputs!$F$9=1),(Inputs!$H$9+Inputs!$L$9*(((Inputs!$I$9+(((A216)+1)/2)*(Inputs!$J$9-Inputs!$I$9)))/Inputs!$K$9)^2),NA())</f>
        <v>622.76177499999972</v>
      </c>
      <c r="F216" s="10"/>
      <c r="G216" s="9">
        <f t="shared" si="27"/>
        <v>0.78300000000000003</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c r="L216" s="10"/>
      <c r="M216" s="9">
        <f t="shared" si="28"/>
        <v>0.78300000000000003</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-397.95368290747643</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-2918.6424977741412</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-3758.592250104381</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-3779.9057979816948</v>
      </c>
      <c r="R216" s="10"/>
      <c r="S216" s="9">
        <f t="shared" si="29"/>
        <v>0.78300000000000003</v>
      </c>
      <c r="T216" s="9">
        <f>(Inputs!$I$6+(((A216)+1)/2)*(Inputs!$J$6-Inputs!$I$6))</f>
        <v>46.97999999999999</v>
      </c>
      <c r="U216" s="9">
        <f>(Inputs!$I$7+(((A216)+1)/2)*(Inputs!$J$7-Inputs!$I$7))</f>
        <v>313.19999999999993</v>
      </c>
      <c r="V216" s="9">
        <f>(Inputs!$I$8+(((A216)+1)/2)*(Inputs!$J$8-Inputs!$I$8))</f>
        <v>626.39999999999986</v>
      </c>
      <c r="W216" s="9">
        <f>(Inputs!$I$9+(((A216)+1)/2)*(Inputs!$J$9-Inputs!$I$9))</f>
        <v>626.39999999999986</v>
      </c>
      <c r="X216" s="10"/>
      <c r="Y216" s="9">
        <f t="shared" si="30"/>
        <v>0.78300000000000003</v>
      </c>
      <c r="Z216" s="9">
        <f>(Inputs!$H$6+Inputs!$L$6*(((Inputs!$I$6+(((A216)+1)/2)*(Inputs!$J$6-Inputs!$I$6)))/Inputs!$K$6)^2)</f>
        <v>402.45235600000001</v>
      </c>
      <c r="AA216" s="9">
        <f>(Inputs!$H$7+Inputs!$L$7*(((Inputs!$I$7+(((A216)+1)/2)*(Inputs!$J$7-Inputs!$I$7)))/Inputs!$K$7)^2)</f>
        <v>258.77748499999984</v>
      </c>
      <c r="AB216" s="9">
        <f>(Inputs!$H$8+Inputs!$L$8*(((Inputs!$I$8+(((A216)+1)/2)*(Inputs!$J$8-Inputs!$I$8)))/Inputs!$K$8)^2)</f>
        <v>626.63088499999969</v>
      </c>
      <c r="AC216" s="9">
        <f>(Inputs!$H$9+Inputs!$L$9*(((Inputs!$I$9+(((A216)+1)/2)*(Inputs!$J$9-Inputs!$I$9)))/Inputs!$K$9)^2)</f>
        <v>622.76177499999972</v>
      </c>
      <c r="AD216" s="10"/>
      <c r="AE216" s="9">
        <f t="shared" si="31"/>
        <v>0.78300000000000003</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2472.667459059001</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94069.402095953177</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191508.13954376607</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191996.65352310185</v>
      </c>
      <c r="AJ216" s="10"/>
      <c r="AK216" s="9">
        <f t="shared" si="32"/>
        <v>0.78300000000000003</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-397.95368290747643</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-2918.6424977741412</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-3758.592250104381</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-3779.9057979816948</v>
      </c>
      <c r="AP216" s="10"/>
      <c r="AQ216" s="9">
        <f t="shared" si="33"/>
        <v>0.78300000000000003</v>
      </c>
      <c r="AR216" s="9">
        <f>0</f>
        <v>0</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126.51303136834576</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175.60924909846997</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99.997340188763488</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99.997340188763488</v>
      </c>
      <c r="AW216" s="10"/>
      <c r="AX216" s="9">
        <f t="shared" si="34"/>
        <v>0.78300000000000003</v>
      </c>
      <c r="AY216" s="9">
        <f>0</f>
        <v>0</v>
      </c>
      <c r="AZ216" s="9">
        <f>IF(OR(Inputs!$F$6=TRUE,Inputs!$F$6="TRUE",Inputs!$F$6=1),(Inputs!$H$6+Inputs!$L$6*(((Inputs!$I$6+(((A216)+1)/2)*(Inputs!$J$6-Inputs!$I$6)))/Inputs!$K$6)^2),NA())</f>
        <v>402.45235600000001</v>
      </c>
      <c r="BA216" s="9">
        <f>IF(OR(Inputs!$F$7=TRUE,Inputs!$F$7="TRUE",Inputs!$F$7=1),(Inputs!$H$7+Inputs!$L$7*(((Inputs!$I$7+(((A216)+1)/2)*(Inputs!$J$7-Inputs!$I$7)))/Inputs!$K$7)^2),NA())</f>
        <v>258.77748499999984</v>
      </c>
      <c r="BB216" s="9">
        <f>IF(OR(Inputs!$F$8=TRUE,Inputs!$F$8="TRUE",Inputs!$F$8=1),(Inputs!$H$8+Inputs!$L$8*(((Inputs!$I$8+(((A216)+1)/2)*(Inputs!$J$8-Inputs!$I$8)))/Inputs!$K$8)^2),NA())</f>
        <v>626.63088499999969</v>
      </c>
      <c r="BC216" s="9">
        <f>IF(OR(Inputs!$F$9=TRUE,Inputs!$F$9="TRUE",Inputs!$F$9=1),(Inputs!$H$9+Inputs!$L$9*(((Inputs!$I$9+(((A216)+1)/2)*(Inputs!$J$9-Inputs!$I$9)))/Inputs!$K$9)^2),NA())</f>
        <v>622.76177499999972</v>
      </c>
      <c r="BD216" s="10"/>
      <c r="BE216" s="9">
        <f t="shared" si="35"/>
        <v>0.78300000000000003</v>
      </c>
      <c r="BF216" s="9">
        <f>0</f>
        <v>0</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row>
    <row r="217" spans="1:62">
      <c r="A217" s="9">
        <f>ROUND(-1+215*2/240,3)</f>
        <v>0.79200000000000004</v>
      </c>
      <c r="B217" s="9">
        <f>IF(OR(Inputs!$F$6=TRUE,Inputs!$F$6="TRUE",Inputs!$F$6=1),(Inputs!$H$6+Inputs!$L$6*(((Inputs!$I$6+(((A217)+1)/2)*(Inputs!$J$6-Inputs!$I$6)))/Inputs!$K$6)^2),NA())</f>
        <v>402.50905599999999</v>
      </c>
      <c r="C217" s="9">
        <f>IF(OR(Inputs!$F$7=TRUE,Inputs!$F$7="TRUE",Inputs!$F$7=1),(Inputs!$H$7+Inputs!$L$7*(((Inputs!$I$7+(((A217)+1)/2)*(Inputs!$J$7-Inputs!$I$7)))/Inputs!$K$7)^2),NA())</f>
        <v>263.95136000000014</v>
      </c>
      <c r="D217" s="9">
        <f>IF(OR(Inputs!$F$8=TRUE,Inputs!$F$8="TRUE",Inputs!$F$8=1),(Inputs!$H$8+Inputs!$L$8*(((Inputs!$I$8+(((A217)+1)/2)*(Inputs!$J$8-Inputs!$I$8)))/Inputs!$K$8)^2),NA())</f>
        <v>640.30976000000021</v>
      </c>
      <c r="E217" s="9">
        <f>IF(OR(Inputs!$F$9=TRUE,Inputs!$F$9="TRUE",Inputs!$F$9=1),(Inputs!$H$9+Inputs!$L$9*(((Inputs!$I$9+(((A217)+1)/2)*(Inputs!$J$9-Inputs!$I$9)))/Inputs!$K$9)^2),NA())</f>
        <v>636.58240000000023</v>
      </c>
      <c r="F217" s="10"/>
      <c r="G217" s="9">
        <f t="shared" si="27"/>
        <v>0.79200000000000004</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c r="L217" s="10"/>
      <c r="M217" s="9">
        <f t="shared" si="28"/>
        <v>0.79200000000000004</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-402.43056762346816</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-2942.3611247321728</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-3795.3154414561345</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-3817.1747446909808</v>
      </c>
      <c r="R217" s="10"/>
      <c r="S217" s="9">
        <f t="shared" si="29"/>
        <v>0.79200000000000004</v>
      </c>
      <c r="T217" s="9">
        <f>(Inputs!$I$6+(((A217)+1)/2)*(Inputs!$J$6-Inputs!$I$6))</f>
        <v>47.519999999999996</v>
      </c>
      <c r="U217" s="9">
        <f>(Inputs!$I$7+(((A217)+1)/2)*(Inputs!$J$7-Inputs!$I$7))</f>
        <v>316.80000000000007</v>
      </c>
      <c r="V217" s="9">
        <f>(Inputs!$I$8+(((A217)+1)/2)*(Inputs!$J$8-Inputs!$I$8))</f>
        <v>633.60000000000014</v>
      </c>
      <c r="W217" s="9">
        <f>(Inputs!$I$9+(((A217)+1)/2)*(Inputs!$J$9-Inputs!$I$9))</f>
        <v>633.60000000000014</v>
      </c>
      <c r="X217" s="10"/>
      <c r="Y217" s="9">
        <f t="shared" si="30"/>
        <v>0.79200000000000004</v>
      </c>
      <c r="Z217" s="9">
        <f>(Inputs!$H$6+Inputs!$L$6*(((Inputs!$I$6+(((A217)+1)/2)*(Inputs!$J$6-Inputs!$I$6)))/Inputs!$K$6)^2)</f>
        <v>402.50905599999999</v>
      </c>
      <c r="AA217" s="9">
        <f>(Inputs!$H$7+Inputs!$L$7*(((Inputs!$I$7+(((A217)+1)/2)*(Inputs!$J$7-Inputs!$I$7)))/Inputs!$K$7)^2)</f>
        <v>263.95136000000014</v>
      </c>
      <c r="AB217" s="9">
        <f>(Inputs!$H$8+Inputs!$L$8*(((Inputs!$I$8+(((A217)+1)/2)*(Inputs!$J$8-Inputs!$I$8)))/Inputs!$K$8)^2)</f>
        <v>640.30976000000021</v>
      </c>
      <c r="AC217" s="9">
        <f>(Inputs!$H$9+Inputs!$L$9*(((Inputs!$I$9+(((A217)+1)/2)*(Inputs!$J$9-Inputs!$I$9)))/Inputs!$K$9)^2)</f>
        <v>636.58240000000023</v>
      </c>
      <c r="AD217" s="10"/>
      <c r="AE217" s="9">
        <f t="shared" si="31"/>
        <v>0.79200000000000004</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2516.6927022358927</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94867.004818189278</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193371.83618429533</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193835.28834182172</v>
      </c>
      <c r="AJ217" s="10"/>
      <c r="AK217" s="9">
        <f t="shared" si="32"/>
        <v>0.79200000000000004</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-402.43056762346816</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-2942.3611247321728</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-3795.3154414561345</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-3817.1747446909808</v>
      </c>
      <c r="AP217" s="10"/>
      <c r="AQ217" s="9">
        <f t="shared" si="33"/>
        <v>0.79200000000000004</v>
      </c>
      <c r="AR217" s="9">
        <f>0</f>
        <v>0</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107.35678929008077</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127.43900482892427</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194.38342074242865</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194.38342074242865</v>
      </c>
      <c r="AW217" s="10"/>
      <c r="AX217" s="9">
        <f t="shared" si="34"/>
        <v>0.79200000000000004</v>
      </c>
      <c r="AY217" s="9">
        <f>0</f>
        <v>0</v>
      </c>
      <c r="AZ217" s="9">
        <f>IF(OR(Inputs!$F$6=TRUE,Inputs!$F$6="TRUE",Inputs!$F$6=1),(Inputs!$H$6+Inputs!$L$6*(((Inputs!$I$6+(((A217)+1)/2)*(Inputs!$J$6-Inputs!$I$6)))/Inputs!$K$6)^2),NA())</f>
        <v>402.50905599999999</v>
      </c>
      <c r="BA217" s="9">
        <f>IF(OR(Inputs!$F$7=TRUE,Inputs!$F$7="TRUE",Inputs!$F$7=1),(Inputs!$H$7+Inputs!$L$7*(((Inputs!$I$7+(((A217)+1)/2)*(Inputs!$J$7-Inputs!$I$7)))/Inputs!$K$7)^2),NA())</f>
        <v>263.95136000000014</v>
      </c>
      <c r="BB217" s="9">
        <f>IF(OR(Inputs!$F$8=TRUE,Inputs!$F$8="TRUE",Inputs!$F$8=1),(Inputs!$H$8+Inputs!$L$8*(((Inputs!$I$8+(((A217)+1)/2)*(Inputs!$J$8-Inputs!$I$8)))/Inputs!$K$8)^2),NA())</f>
        <v>640.30976000000021</v>
      </c>
      <c r="BC217" s="9">
        <f>IF(OR(Inputs!$F$9=TRUE,Inputs!$F$9="TRUE",Inputs!$F$9=1),(Inputs!$H$9+Inputs!$L$9*(((Inputs!$I$9+(((A217)+1)/2)*(Inputs!$J$9-Inputs!$I$9)))/Inputs!$K$9)^2),NA())</f>
        <v>636.58240000000023</v>
      </c>
      <c r="BD217" s="10"/>
      <c r="BE217" s="9">
        <f t="shared" si="35"/>
        <v>0.79200000000000004</v>
      </c>
      <c r="BF217" s="9">
        <f>0</f>
        <v>0</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row>
    <row r="218" spans="1:62">
      <c r="A218" s="9">
        <f>ROUND(-1+216*2/240,3)</f>
        <v>0.8</v>
      </c>
      <c r="B218" s="9">
        <f>IF(OR(Inputs!$F$6=TRUE,Inputs!$F$6="TRUE",Inputs!$F$6=1),(Inputs!$H$6+Inputs!$L$6*(((Inputs!$I$6+(((A218)+1)/2)*(Inputs!$J$6-Inputs!$I$6)))/Inputs!$K$6)^2),NA())</f>
        <v>402.56</v>
      </c>
      <c r="C218" s="9">
        <f>IF(OR(Inputs!$F$7=TRUE,Inputs!$F$7="TRUE",Inputs!$F$7=1),(Inputs!$H$7+Inputs!$L$7*(((Inputs!$I$7+(((A218)+1)/2)*(Inputs!$J$7-Inputs!$I$7)))/Inputs!$K$7)^2),NA())</f>
        <v>268.60000000000002</v>
      </c>
      <c r="D218" s="9">
        <f>IF(OR(Inputs!$F$8=TRUE,Inputs!$F$8="TRUE",Inputs!$F$8=1),(Inputs!$H$8+Inputs!$L$8*(((Inputs!$I$8+(((A218)+1)/2)*(Inputs!$J$8-Inputs!$I$8)))/Inputs!$K$8)^2),NA())</f>
        <v>652.60000000000014</v>
      </c>
      <c r="E218" s="9">
        <f>IF(OR(Inputs!$F$9=TRUE,Inputs!$F$9="TRUE",Inputs!$F$9=1),(Inputs!$H$9+Inputs!$L$9*(((Inputs!$I$9+(((A218)+1)/2)*(Inputs!$J$9-Inputs!$I$9)))/Inputs!$K$9)^2),NA())</f>
        <v>649.00000000000011</v>
      </c>
      <c r="F218" s="10"/>
      <c r="G218" s="9">
        <f t="shared" si="27"/>
        <v>0.8</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c r="L218" s="10"/>
      <c r="M218" s="9">
        <f t="shared" si="28"/>
        <v>0.8</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-406.40730476160041</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-2963.5385814710517</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-3828.0404264321851</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-3850.3825107938042</v>
      </c>
      <c r="R218" s="10"/>
      <c r="S218" s="9">
        <f t="shared" si="29"/>
        <v>0.8</v>
      </c>
      <c r="T218" s="9">
        <f>(Inputs!$I$6+(((A218)+1)/2)*(Inputs!$J$6-Inputs!$I$6))</f>
        <v>48</v>
      </c>
      <c r="U218" s="9">
        <f>(Inputs!$I$7+(((A218)+1)/2)*(Inputs!$J$7-Inputs!$I$7))</f>
        <v>320</v>
      </c>
      <c r="V218" s="9">
        <f>(Inputs!$I$8+(((A218)+1)/2)*(Inputs!$J$8-Inputs!$I$8))</f>
        <v>640</v>
      </c>
      <c r="W218" s="9">
        <f>(Inputs!$I$9+(((A218)+1)/2)*(Inputs!$J$9-Inputs!$I$9))</f>
        <v>640</v>
      </c>
      <c r="X218" s="10"/>
      <c r="Y218" s="9">
        <f t="shared" si="30"/>
        <v>0.8</v>
      </c>
      <c r="Z218" s="9">
        <f>(Inputs!$H$6+Inputs!$L$6*(((Inputs!$I$6+(((A218)+1)/2)*(Inputs!$J$6-Inputs!$I$6)))/Inputs!$K$6)^2)</f>
        <v>402.56</v>
      </c>
      <c r="AA218" s="9">
        <f>(Inputs!$H$7+Inputs!$L$7*(((Inputs!$I$7+(((A218)+1)/2)*(Inputs!$J$7-Inputs!$I$7)))/Inputs!$K$7)^2)</f>
        <v>268.60000000000002</v>
      </c>
      <c r="AB218" s="9">
        <f>(Inputs!$H$8+Inputs!$L$8*(((Inputs!$I$8+(((A218)+1)/2)*(Inputs!$J$8-Inputs!$I$8)))/Inputs!$K$8)^2)</f>
        <v>652.60000000000014</v>
      </c>
      <c r="AC218" s="9">
        <f>(Inputs!$H$9+Inputs!$L$9*(((Inputs!$I$9+(((A218)+1)/2)*(Inputs!$J$9-Inputs!$I$9)))/Inputs!$K$9)^2)</f>
        <v>649.00000000000011</v>
      </c>
      <c r="AD218" s="10"/>
      <c r="AE218" s="9">
        <f t="shared" si="31"/>
        <v>0.8</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2556.2330084508071</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95573.322266586809</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195032.76112378715</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195474.32761168503</v>
      </c>
      <c r="AJ218" s="10"/>
      <c r="AK218" s="9">
        <f t="shared" si="32"/>
        <v>0.8</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-406.40730476160041</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-2963.5385814710517</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-3828.0404264321851</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-3850.3825107938042</v>
      </c>
      <c r="AP218" s="10"/>
      <c r="AQ218" s="9">
        <f t="shared" si="33"/>
        <v>0.8</v>
      </c>
      <c r="AR218" s="9">
        <f>0</f>
        <v>0</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124.99715373473305</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63.162985900579422</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163.61046202270148</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163.61046202270148</v>
      </c>
      <c r="AW218" s="10"/>
      <c r="AX218" s="9">
        <f t="shared" si="34"/>
        <v>0.8</v>
      </c>
      <c r="AY218" s="9">
        <f>0</f>
        <v>0</v>
      </c>
      <c r="AZ218" s="9">
        <f>IF(OR(Inputs!$F$6=TRUE,Inputs!$F$6="TRUE",Inputs!$F$6=1),(Inputs!$H$6+Inputs!$L$6*(((Inputs!$I$6+(((A218)+1)/2)*(Inputs!$J$6-Inputs!$I$6)))/Inputs!$K$6)^2),NA())</f>
        <v>402.56</v>
      </c>
      <c r="BA218" s="9">
        <f>IF(OR(Inputs!$F$7=TRUE,Inputs!$F$7="TRUE",Inputs!$F$7=1),(Inputs!$H$7+Inputs!$L$7*(((Inputs!$I$7+(((A218)+1)/2)*(Inputs!$J$7-Inputs!$I$7)))/Inputs!$K$7)^2),NA())</f>
        <v>268.60000000000002</v>
      </c>
      <c r="BB218" s="9">
        <f>IF(OR(Inputs!$F$8=TRUE,Inputs!$F$8="TRUE",Inputs!$F$8=1),(Inputs!$H$8+Inputs!$L$8*(((Inputs!$I$8+(((A218)+1)/2)*(Inputs!$J$8-Inputs!$I$8)))/Inputs!$K$8)^2),NA())</f>
        <v>652.60000000000014</v>
      </c>
      <c r="BC218" s="9">
        <f>IF(OR(Inputs!$F$9=TRUE,Inputs!$F$9="TRUE",Inputs!$F$9=1),(Inputs!$H$9+Inputs!$L$9*(((Inputs!$I$9+(((A218)+1)/2)*(Inputs!$J$9-Inputs!$I$9)))/Inputs!$K$9)^2),NA())</f>
        <v>649.00000000000011</v>
      </c>
      <c r="BD218" s="10"/>
      <c r="BE218" s="9">
        <f t="shared" si="35"/>
        <v>0.8</v>
      </c>
      <c r="BF218" s="9">
        <f>0</f>
        <v>0</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row>
    <row r="219" spans="1:62">
      <c r="A219" s="9">
        <f>ROUND(-1+217*2/240,3)</f>
        <v>0.80800000000000005</v>
      </c>
      <c r="B219" s="9">
        <f>IF(OR(Inputs!$F$6=TRUE,Inputs!$F$6="TRUE",Inputs!$F$6=1),(Inputs!$H$6+Inputs!$L$6*(((Inputs!$I$6+(((A219)+1)/2)*(Inputs!$J$6-Inputs!$I$6)))/Inputs!$K$6)^2),NA())</f>
        <v>402.61145599999998</v>
      </c>
      <c r="C219" s="9">
        <f>IF(OR(Inputs!$F$7=TRUE,Inputs!$F$7="TRUE",Inputs!$F$7=1),(Inputs!$H$7+Inputs!$L$7*(((Inputs!$I$7+(((A219)+1)/2)*(Inputs!$J$7-Inputs!$I$7)))/Inputs!$K$7)^2),NA())</f>
        <v>273.29536000000007</v>
      </c>
      <c r="D219" s="9">
        <f>IF(OR(Inputs!$F$8=TRUE,Inputs!$F$8="TRUE",Inputs!$F$8=1),(Inputs!$H$8+Inputs!$L$8*(((Inputs!$I$8+(((A219)+1)/2)*(Inputs!$J$8-Inputs!$I$8)))/Inputs!$K$8)^2),NA())</f>
        <v>665.01376000000016</v>
      </c>
      <c r="E219" s="9">
        <f>IF(OR(Inputs!$F$9=TRUE,Inputs!$F$9="TRUE",Inputs!$F$9=1),(Inputs!$H$9+Inputs!$L$9*(((Inputs!$I$9+(((A219)+1)/2)*(Inputs!$J$9-Inputs!$I$9)))/Inputs!$K$9)^2),NA())</f>
        <v>661.54240000000027</v>
      </c>
      <c r="F219" s="10"/>
      <c r="G219" s="9">
        <f t="shared" si="27"/>
        <v>0.80800000000000005</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c r="L219" s="10"/>
      <c r="M219" s="9">
        <f t="shared" si="28"/>
        <v>0.80800000000000005</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-410.38146281972439</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-2984.803191565089</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-3860.840278559846</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-3883.6629453311712</v>
      </c>
      <c r="R219" s="10"/>
      <c r="S219" s="9">
        <f t="shared" si="29"/>
        <v>0.80800000000000005</v>
      </c>
      <c r="T219" s="9">
        <f>(Inputs!$I$6+(((A219)+1)/2)*(Inputs!$J$6-Inputs!$I$6))</f>
        <v>48.480000000000004</v>
      </c>
      <c r="U219" s="9">
        <f>(Inputs!$I$7+(((A219)+1)/2)*(Inputs!$J$7-Inputs!$I$7))</f>
        <v>323.20000000000005</v>
      </c>
      <c r="V219" s="9">
        <f>(Inputs!$I$8+(((A219)+1)/2)*(Inputs!$J$8-Inputs!$I$8))</f>
        <v>646.40000000000009</v>
      </c>
      <c r="W219" s="9">
        <f>(Inputs!$I$9+(((A219)+1)/2)*(Inputs!$J$9-Inputs!$I$9))</f>
        <v>646.40000000000009</v>
      </c>
      <c r="X219" s="10"/>
      <c r="Y219" s="9">
        <f t="shared" si="30"/>
        <v>0.80800000000000005</v>
      </c>
      <c r="Z219" s="9">
        <f>(Inputs!$H$6+Inputs!$L$6*(((Inputs!$I$6+(((A219)+1)/2)*(Inputs!$J$6-Inputs!$I$6)))/Inputs!$K$6)^2)</f>
        <v>402.61145599999998</v>
      </c>
      <c r="AA219" s="9">
        <f>(Inputs!$H$7+Inputs!$L$7*(((Inputs!$I$7+(((A219)+1)/2)*(Inputs!$J$7-Inputs!$I$7)))/Inputs!$K$7)^2)</f>
        <v>273.29536000000007</v>
      </c>
      <c r="AB219" s="9">
        <f>(Inputs!$H$8+Inputs!$L$8*(((Inputs!$I$8+(((A219)+1)/2)*(Inputs!$J$8-Inputs!$I$8)))/Inputs!$K$8)^2)</f>
        <v>665.01376000000016</v>
      </c>
      <c r="AC219" s="9">
        <f>(Inputs!$H$9+Inputs!$L$9*(((Inputs!$I$9+(((A219)+1)/2)*(Inputs!$J$9-Inputs!$I$9)))/Inputs!$K$9)^2)</f>
        <v>661.54240000000027</v>
      </c>
      <c r="AD219" s="10"/>
      <c r="AE219" s="9">
        <f t="shared" si="31"/>
        <v>0.80800000000000005</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2596.1556937807718</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96277.23651922225</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196697.91665151139</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197117.96079957776</v>
      </c>
      <c r="AJ219" s="10"/>
      <c r="AK219" s="9">
        <f t="shared" si="32"/>
        <v>0.80800000000000005</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-410.38146281972439</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-2984.803191565089</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-3860.840278559846</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-3883.6629453311712</v>
      </c>
      <c r="AP219" s="10"/>
      <c r="AQ219" s="9">
        <f t="shared" si="33"/>
        <v>0.80800000000000005</v>
      </c>
      <c r="AR219" s="9">
        <f>0</f>
        <v>0</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111.72819704362361</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113.82227136763412</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97.099969834438923</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97.099969834438923</v>
      </c>
      <c r="AW219" s="10"/>
      <c r="AX219" s="9">
        <f t="shared" si="34"/>
        <v>0.80800000000000005</v>
      </c>
      <c r="AY219" s="9">
        <f>0</f>
        <v>0</v>
      </c>
      <c r="AZ219" s="9">
        <f>IF(OR(Inputs!$F$6=TRUE,Inputs!$F$6="TRUE",Inputs!$F$6=1),(Inputs!$H$6+Inputs!$L$6*(((Inputs!$I$6+(((A219)+1)/2)*(Inputs!$J$6-Inputs!$I$6)))/Inputs!$K$6)^2),NA())</f>
        <v>402.61145599999998</v>
      </c>
      <c r="BA219" s="9">
        <f>IF(OR(Inputs!$F$7=TRUE,Inputs!$F$7="TRUE",Inputs!$F$7=1),(Inputs!$H$7+Inputs!$L$7*(((Inputs!$I$7+(((A219)+1)/2)*(Inputs!$J$7-Inputs!$I$7)))/Inputs!$K$7)^2),NA())</f>
        <v>273.29536000000007</v>
      </c>
      <c r="BB219" s="9">
        <f>IF(OR(Inputs!$F$8=TRUE,Inputs!$F$8="TRUE",Inputs!$F$8=1),(Inputs!$H$8+Inputs!$L$8*(((Inputs!$I$8+(((A219)+1)/2)*(Inputs!$J$8-Inputs!$I$8)))/Inputs!$K$8)^2),NA())</f>
        <v>665.01376000000016</v>
      </c>
      <c r="BC219" s="9">
        <f>IF(OR(Inputs!$F$9=TRUE,Inputs!$F$9="TRUE",Inputs!$F$9=1),(Inputs!$H$9+Inputs!$L$9*(((Inputs!$I$9+(((A219)+1)/2)*(Inputs!$J$9-Inputs!$I$9)))/Inputs!$K$9)^2),NA())</f>
        <v>661.54240000000027</v>
      </c>
      <c r="BD219" s="10"/>
      <c r="BE219" s="9">
        <f t="shared" si="35"/>
        <v>0.80800000000000005</v>
      </c>
      <c r="BF219" s="9">
        <f>0</f>
        <v>0</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row>
    <row r="220" spans="1:62">
      <c r="A220" s="9">
        <f>ROUND(-1+218*2/240,3)</f>
        <v>0.81699999999999995</v>
      </c>
      <c r="B220" s="9">
        <f>IF(OR(Inputs!$F$6=TRUE,Inputs!$F$6="TRUE",Inputs!$F$6=1),(Inputs!$H$6+Inputs!$L$6*(((Inputs!$I$6+(((A220)+1)/2)*(Inputs!$J$6-Inputs!$I$6)))/Inputs!$K$6)^2),NA())</f>
        <v>402.66995600000001</v>
      </c>
      <c r="C220" s="9">
        <f>IF(OR(Inputs!$F$7=TRUE,Inputs!$F$7="TRUE",Inputs!$F$7=1),(Inputs!$H$7+Inputs!$L$7*(((Inputs!$I$7+(((A220)+1)/2)*(Inputs!$J$7-Inputs!$I$7)))/Inputs!$K$7)^2),NA())</f>
        <v>278.63348499999995</v>
      </c>
      <c r="D220" s="9">
        <f>IF(OR(Inputs!$F$8=TRUE,Inputs!$F$8="TRUE",Inputs!$F$8=1),(Inputs!$H$8+Inputs!$L$8*(((Inputs!$I$8+(((A220)+1)/2)*(Inputs!$J$8-Inputs!$I$8)))/Inputs!$K$8)^2),NA())</f>
        <v>679.12688499999979</v>
      </c>
      <c r="E220" s="9">
        <f>IF(OR(Inputs!$F$9=TRUE,Inputs!$F$9="TRUE",Inputs!$F$9=1),(Inputs!$H$9+Inputs!$L$9*(((Inputs!$I$9+(((A220)+1)/2)*(Inputs!$J$9-Inputs!$I$9)))/Inputs!$K$9)^2),NA())</f>
        <v>675.80177499999979</v>
      </c>
      <c r="F220" s="10"/>
      <c r="G220" s="9">
        <f t="shared" si="27"/>
        <v>0.81699999999999995</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c r="L220" s="10"/>
      <c r="M220" s="9">
        <f t="shared" si="28"/>
        <v>0.81699999999999995</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-414.84928060082058</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-3008.8282338451718</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-3897.8267545339731</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-3921.1874500861995</v>
      </c>
      <c r="R220" s="10"/>
      <c r="S220" s="9">
        <f t="shared" si="29"/>
        <v>0.81699999999999995</v>
      </c>
      <c r="T220" s="9">
        <f>(Inputs!$I$6+(((A220)+1)/2)*(Inputs!$J$6-Inputs!$I$6))</f>
        <v>49.019999999999996</v>
      </c>
      <c r="U220" s="9">
        <f>(Inputs!$I$7+(((A220)+1)/2)*(Inputs!$J$7-Inputs!$I$7))</f>
        <v>326.79999999999995</v>
      </c>
      <c r="V220" s="9">
        <f>(Inputs!$I$8+(((A220)+1)/2)*(Inputs!$J$8-Inputs!$I$8))</f>
        <v>653.59999999999991</v>
      </c>
      <c r="W220" s="9">
        <f>(Inputs!$I$9+(((A220)+1)/2)*(Inputs!$J$9-Inputs!$I$9))</f>
        <v>653.59999999999991</v>
      </c>
      <c r="X220" s="10"/>
      <c r="Y220" s="9">
        <f t="shared" si="30"/>
        <v>0.81699999999999995</v>
      </c>
      <c r="Z220" s="9">
        <f>(Inputs!$H$6+Inputs!$L$6*(((Inputs!$I$6+(((A220)+1)/2)*(Inputs!$J$6-Inputs!$I$6)))/Inputs!$K$6)^2)</f>
        <v>402.66995600000001</v>
      </c>
      <c r="AA220" s="9">
        <f>(Inputs!$H$7+Inputs!$L$7*(((Inputs!$I$7+(((A220)+1)/2)*(Inputs!$J$7-Inputs!$I$7)))/Inputs!$K$7)^2)</f>
        <v>278.63348499999995</v>
      </c>
      <c r="AB220" s="9">
        <f>(Inputs!$H$8+Inputs!$L$8*(((Inputs!$I$8+(((A220)+1)/2)*(Inputs!$J$8-Inputs!$I$8)))/Inputs!$K$8)^2)</f>
        <v>679.12688499999979</v>
      </c>
      <c r="AC220" s="9">
        <f>(Inputs!$H$9+Inputs!$L$9*(((Inputs!$I$9+(((A220)+1)/2)*(Inputs!$J$9-Inputs!$I$9)))/Inputs!$K$9)^2)</f>
        <v>675.80177499999979</v>
      </c>
      <c r="AD220" s="10"/>
      <c r="AE220" s="9">
        <f t="shared" si="31"/>
        <v>0.81699999999999995</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2641.5252336529179</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97066.388323986146</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198576.47956055554</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198972.73921837151</v>
      </c>
      <c r="AJ220" s="10"/>
      <c r="AK220" s="9">
        <f t="shared" si="32"/>
        <v>0.81699999999999995</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-414.84928060082058</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-3008.8282338451718</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-3897.8267545339731</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-3921.1874500861995</v>
      </c>
      <c r="AP220" s="10"/>
      <c r="AQ220" s="9">
        <f t="shared" si="33"/>
        <v>0.81699999999999995</v>
      </c>
      <c r="AR220" s="9">
        <f>0</f>
        <v>0</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105.08309482657172</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201.8506198506885</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222.56009919456585</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222.56009919456585</v>
      </c>
      <c r="AW220" s="10"/>
      <c r="AX220" s="9">
        <f t="shared" si="34"/>
        <v>0.81699999999999995</v>
      </c>
      <c r="AY220" s="9">
        <f>0</f>
        <v>0</v>
      </c>
      <c r="AZ220" s="9">
        <f>IF(OR(Inputs!$F$6=TRUE,Inputs!$F$6="TRUE",Inputs!$F$6=1),(Inputs!$H$6+Inputs!$L$6*(((Inputs!$I$6+(((A220)+1)/2)*(Inputs!$J$6-Inputs!$I$6)))/Inputs!$K$6)^2),NA())</f>
        <v>402.66995600000001</v>
      </c>
      <c r="BA220" s="9">
        <f>IF(OR(Inputs!$F$7=TRUE,Inputs!$F$7="TRUE",Inputs!$F$7=1),(Inputs!$H$7+Inputs!$L$7*(((Inputs!$I$7+(((A220)+1)/2)*(Inputs!$J$7-Inputs!$I$7)))/Inputs!$K$7)^2),NA())</f>
        <v>278.63348499999995</v>
      </c>
      <c r="BB220" s="9">
        <f>IF(OR(Inputs!$F$8=TRUE,Inputs!$F$8="TRUE",Inputs!$F$8=1),(Inputs!$H$8+Inputs!$L$8*(((Inputs!$I$8+(((A220)+1)/2)*(Inputs!$J$8-Inputs!$I$8)))/Inputs!$K$8)^2),NA())</f>
        <v>679.12688499999979</v>
      </c>
      <c r="BC220" s="9">
        <f>IF(OR(Inputs!$F$9=TRUE,Inputs!$F$9="TRUE",Inputs!$F$9=1),(Inputs!$H$9+Inputs!$L$9*(((Inputs!$I$9+(((A220)+1)/2)*(Inputs!$J$9-Inputs!$I$9)))/Inputs!$K$9)^2),NA())</f>
        <v>675.80177499999979</v>
      </c>
      <c r="BD220" s="10"/>
      <c r="BE220" s="9">
        <f t="shared" si="35"/>
        <v>0.81699999999999995</v>
      </c>
      <c r="BF220" s="9">
        <f>0</f>
        <v>0</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row>
    <row r="221" spans="1:62">
      <c r="A221" s="9">
        <f>ROUND(-1+219*2/240,3)</f>
        <v>0.82499999999999996</v>
      </c>
      <c r="B221" s="9">
        <f>IF(OR(Inputs!$F$6=TRUE,Inputs!$F$6="TRUE",Inputs!$F$6=1),(Inputs!$H$6+Inputs!$L$6*(((Inputs!$I$6+(((A221)+1)/2)*(Inputs!$J$6-Inputs!$I$6)))/Inputs!$K$6)^2),NA())</f>
        <v>402.72250000000003</v>
      </c>
      <c r="C221" s="9">
        <f>IF(OR(Inputs!$F$7=TRUE,Inputs!$F$7="TRUE",Inputs!$F$7=1),(Inputs!$H$7+Inputs!$L$7*(((Inputs!$I$7+(((A221)+1)/2)*(Inputs!$J$7-Inputs!$I$7)))/Inputs!$K$7)^2),NA())</f>
        <v>283.42812499999997</v>
      </c>
      <c r="D221" s="9">
        <f>IF(OR(Inputs!$F$8=TRUE,Inputs!$F$8="TRUE",Inputs!$F$8=1),(Inputs!$H$8+Inputs!$L$8*(((Inputs!$I$8+(((A221)+1)/2)*(Inputs!$J$8-Inputs!$I$8)))/Inputs!$K$8)^2),NA())</f>
        <v>691.80312499999991</v>
      </c>
      <c r="E221" s="9">
        <f>IF(OR(Inputs!$F$9=TRUE,Inputs!$F$9="TRUE",Inputs!$F$9=1),(Inputs!$H$9+Inputs!$L$9*(((Inputs!$I$9+(((A221)+1)/2)*(Inputs!$J$9-Inputs!$I$9)))/Inputs!$K$9)^2),NA())</f>
        <v>688.60937499999989</v>
      </c>
      <c r="F221" s="10"/>
      <c r="G221" s="9">
        <f t="shared" si="27"/>
        <v>0.82499999999999996</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c r="L221" s="10"/>
      <c r="M221" s="9">
        <f t="shared" si="28"/>
        <v>0.82499999999999996</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-418.81788563114361</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-3030.2732079652687</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-3930.778173721541</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-3954.6147866246988</v>
      </c>
      <c r="R221" s="10"/>
      <c r="S221" s="9">
        <f t="shared" si="29"/>
        <v>0.82499999999999996</v>
      </c>
      <c r="T221" s="9">
        <f>(Inputs!$I$6+(((A221)+1)/2)*(Inputs!$J$6-Inputs!$I$6))</f>
        <v>49.5</v>
      </c>
      <c r="U221" s="9">
        <f>(Inputs!$I$7+(((A221)+1)/2)*(Inputs!$J$7-Inputs!$I$7))</f>
        <v>330</v>
      </c>
      <c r="V221" s="9">
        <f>(Inputs!$I$8+(((A221)+1)/2)*(Inputs!$J$8-Inputs!$I$8))</f>
        <v>660</v>
      </c>
      <c r="W221" s="9">
        <f>(Inputs!$I$9+(((A221)+1)/2)*(Inputs!$J$9-Inputs!$I$9))</f>
        <v>660</v>
      </c>
      <c r="X221" s="10"/>
      <c r="Y221" s="9">
        <f t="shared" si="30"/>
        <v>0.82499999999999996</v>
      </c>
      <c r="Z221" s="9">
        <f>(Inputs!$H$6+Inputs!$L$6*(((Inputs!$I$6+(((A221)+1)/2)*(Inputs!$J$6-Inputs!$I$6)))/Inputs!$K$6)^2)</f>
        <v>402.72250000000003</v>
      </c>
      <c r="AA221" s="9">
        <f>(Inputs!$H$7+Inputs!$L$7*(((Inputs!$I$7+(((A221)+1)/2)*(Inputs!$J$7-Inputs!$I$7)))/Inputs!$K$7)^2)</f>
        <v>283.42812499999997</v>
      </c>
      <c r="AB221" s="9">
        <f>(Inputs!$H$8+Inputs!$L$8*(((Inputs!$I$8+(((A221)+1)/2)*(Inputs!$J$8-Inputs!$I$8)))/Inputs!$K$8)^2)</f>
        <v>691.80312499999991</v>
      </c>
      <c r="AC221" s="9">
        <f>(Inputs!$H$9+Inputs!$L$9*(((Inputs!$I$9+(((A221)+1)/2)*(Inputs!$J$9-Inputs!$I$9)))/Inputs!$K$9)^2)</f>
        <v>688.60937499999989</v>
      </c>
      <c r="AD221" s="10"/>
      <c r="AE221" s="9">
        <f t="shared" si="31"/>
        <v>0.82499999999999996</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2682.2590206416526</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97765.51616168725</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200251.16880929066</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200626.66180817271</v>
      </c>
      <c r="AJ221" s="10"/>
      <c r="AK221" s="9">
        <f t="shared" si="32"/>
        <v>0.82499999999999996</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-418.81788563114361</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-3030.2732079652687</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-3930.778173721541</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-3954.6147866246988</v>
      </c>
      <c r="AP221" s="10"/>
      <c r="AQ221" s="9">
        <f t="shared" si="33"/>
        <v>0.82499999999999996</v>
      </c>
      <c r="AR221" s="9">
        <f>0</f>
        <v>0</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115.81874031490976</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171.35444597705043</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90.384538385448707</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90.384538385448707</v>
      </c>
      <c r="AW221" s="10"/>
      <c r="AX221" s="9">
        <f t="shared" si="34"/>
        <v>0.82499999999999996</v>
      </c>
      <c r="AY221" s="9">
        <f>0</f>
        <v>0</v>
      </c>
      <c r="AZ221" s="9">
        <f>IF(OR(Inputs!$F$6=TRUE,Inputs!$F$6="TRUE",Inputs!$F$6=1),(Inputs!$H$6+Inputs!$L$6*(((Inputs!$I$6+(((A221)+1)/2)*(Inputs!$J$6-Inputs!$I$6)))/Inputs!$K$6)^2),NA())</f>
        <v>402.72250000000003</v>
      </c>
      <c r="BA221" s="9">
        <f>IF(OR(Inputs!$F$7=TRUE,Inputs!$F$7="TRUE",Inputs!$F$7=1),(Inputs!$H$7+Inputs!$L$7*(((Inputs!$I$7+(((A221)+1)/2)*(Inputs!$J$7-Inputs!$I$7)))/Inputs!$K$7)^2),NA())</f>
        <v>283.42812499999997</v>
      </c>
      <c r="BB221" s="9">
        <f>IF(OR(Inputs!$F$8=TRUE,Inputs!$F$8="TRUE",Inputs!$F$8=1),(Inputs!$H$8+Inputs!$L$8*(((Inputs!$I$8+(((A221)+1)/2)*(Inputs!$J$8-Inputs!$I$8)))/Inputs!$K$8)^2),NA())</f>
        <v>691.80312499999991</v>
      </c>
      <c r="BC221" s="9">
        <f>IF(OR(Inputs!$F$9=TRUE,Inputs!$F$9="TRUE",Inputs!$F$9=1),(Inputs!$H$9+Inputs!$L$9*(((Inputs!$I$9+(((A221)+1)/2)*(Inputs!$J$9-Inputs!$I$9)))/Inputs!$K$9)^2),NA())</f>
        <v>688.60937499999989</v>
      </c>
      <c r="BD221" s="10"/>
      <c r="BE221" s="9">
        <f t="shared" si="35"/>
        <v>0.82499999999999996</v>
      </c>
      <c r="BF221" s="9">
        <f>0</f>
        <v>0</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row>
    <row r="222" spans="1:62">
      <c r="A222" s="9">
        <f>ROUND(-1+220*2/240,3)</f>
        <v>0.83299999999999996</v>
      </c>
      <c r="B222" s="9">
        <f>IF(OR(Inputs!$F$6=TRUE,Inputs!$F$6="TRUE",Inputs!$F$6=1),(Inputs!$H$6+Inputs!$L$6*(((Inputs!$I$6+(((A222)+1)/2)*(Inputs!$J$6-Inputs!$I$6)))/Inputs!$K$6)^2),NA())</f>
        <v>402.77555599999999</v>
      </c>
      <c r="C222" s="9">
        <f>IF(OR(Inputs!$F$7=TRUE,Inputs!$F$7="TRUE",Inputs!$F$7=1),(Inputs!$H$7+Inputs!$L$7*(((Inputs!$I$7+(((A222)+1)/2)*(Inputs!$J$7-Inputs!$I$7)))/Inputs!$K$7)^2),NA())</f>
        <v>288.26948499999992</v>
      </c>
      <c r="D222" s="9">
        <f>IF(OR(Inputs!$F$8=TRUE,Inputs!$F$8="TRUE",Inputs!$F$8=1),(Inputs!$H$8+Inputs!$L$8*(((Inputs!$I$8+(((A222)+1)/2)*(Inputs!$J$8-Inputs!$I$8)))/Inputs!$K$8)^2),NA())</f>
        <v>704.60288499999979</v>
      </c>
      <c r="E222" s="9">
        <f>IF(OR(Inputs!$F$9=TRUE,Inputs!$F$9="TRUE",Inputs!$F$9=1),(Inputs!$H$9+Inputs!$L$9*(((Inputs!$I$9+(((A222)+1)/2)*(Inputs!$J$9-Inputs!$I$9)))/Inputs!$K$9)^2),NA())</f>
        <v>701.5417749999998</v>
      </c>
      <c r="F222" s="10"/>
      <c r="G222" s="9">
        <f t="shared" si="27"/>
        <v>0.83299999999999996</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c r="L222" s="10"/>
      <c r="M222" s="9">
        <f t="shared" si="28"/>
        <v>0.83299999999999996</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-422.78384359742614</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-3051.8008126588584</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-3963.7975020877902</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-3988.107845153746</v>
      </c>
      <c r="R222" s="10"/>
      <c r="S222" s="9">
        <f t="shared" si="29"/>
        <v>0.83299999999999996</v>
      </c>
      <c r="T222" s="9">
        <f>(Inputs!$I$6+(((A222)+1)/2)*(Inputs!$J$6-Inputs!$I$6))</f>
        <v>49.980000000000004</v>
      </c>
      <c r="U222" s="9">
        <f>(Inputs!$I$7+(((A222)+1)/2)*(Inputs!$J$7-Inputs!$I$7))</f>
        <v>333.19999999999993</v>
      </c>
      <c r="V222" s="9">
        <f>(Inputs!$I$8+(((A222)+1)/2)*(Inputs!$J$8-Inputs!$I$8))</f>
        <v>666.39999999999986</v>
      </c>
      <c r="W222" s="9">
        <f>(Inputs!$I$9+(((A222)+1)/2)*(Inputs!$J$9-Inputs!$I$9))</f>
        <v>666.39999999999986</v>
      </c>
      <c r="X222" s="10"/>
      <c r="Y222" s="9">
        <f t="shared" si="30"/>
        <v>0.83299999999999996</v>
      </c>
      <c r="Z222" s="9">
        <f>(Inputs!$H$6+Inputs!$L$6*(((Inputs!$I$6+(((A222)+1)/2)*(Inputs!$J$6-Inputs!$I$6)))/Inputs!$K$6)^2)</f>
        <v>402.77555599999999</v>
      </c>
      <c r="AA222" s="9">
        <f>(Inputs!$H$7+Inputs!$L$7*(((Inputs!$I$7+(((A222)+1)/2)*(Inputs!$J$7-Inputs!$I$7)))/Inputs!$K$7)^2)</f>
        <v>288.26948499999992</v>
      </c>
      <c r="AB222" s="9">
        <f>(Inputs!$H$8+Inputs!$L$8*(((Inputs!$I$8+(((A222)+1)/2)*(Inputs!$J$8-Inputs!$I$8)))/Inputs!$K$8)^2)</f>
        <v>704.60288499999979</v>
      </c>
      <c r="AC222" s="9">
        <f>(Inputs!$H$9+Inputs!$L$9*(((Inputs!$I$9+(((A222)+1)/2)*(Inputs!$J$9-Inputs!$I$9)))/Inputs!$K$9)^2)</f>
        <v>701.5417749999998</v>
      </c>
      <c r="AD222" s="10"/>
      <c r="AE222" s="9">
        <f t="shared" si="31"/>
        <v>0.83299999999999996</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2723.3738104346016</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98462.538840044261</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201930.58963519189</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202285.66389238299</v>
      </c>
      <c r="AJ222" s="10"/>
      <c r="AK222" s="9">
        <f t="shared" si="32"/>
        <v>0.83299999999999996</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-422.78384359742614</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-3051.8008126588584</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-3963.7975020877902</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-3988.107845153746</v>
      </c>
      <c r="AP222" s="10"/>
      <c r="AQ222" s="9">
        <f t="shared" si="33"/>
        <v>0.83299999999999996</v>
      </c>
      <c r="AR222" s="9">
        <f>0</f>
        <v>0</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122.74501683382238</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103.09034505364662</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156.81951761928724</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156.81951761928724</v>
      </c>
      <c r="AW222" s="10"/>
      <c r="AX222" s="9">
        <f t="shared" si="34"/>
        <v>0.83299999999999996</v>
      </c>
      <c r="AY222" s="9">
        <f>0</f>
        <v>0</v>
      </c>
      <c r="AZ222" s="9">
        <f>IF(OR(Inputs!$F$6=TRUE,Inputs!$F$6="TRUE",Inputs!$F$6=1),(Inputs!$H$6+Inputs!$L$6*(((Inputs!$I$6+(((A222)+1)/2)*(Inputs!$J$6-Inputs!$I$6)))/Inputs!$K$6)^2),NA())</f>
        <v>402.77555599999999</v>
      </c>
      <c r="BA222" s="9">
        <f>IF(OR(Inputs!$F$7=TRUE,Inputs!$F$7="TRUE",Inputs!$F$7=1),(Inputs!$H$7+Inputs!$L$7*(((Inputs!$I$7+(((A222)+1)/2)*(Inputs!$J$7-Inputs!$I$7)))/Inputs!$K$7)^2),NA())</f>
        <v>288.26948499999992</v>
      </c>
      <c r="BB222" s="9">
        <f>IF(OR(Inputs!$F$8=TRUE,Inputs!$F$8="TRUE",Inputs!$F$8=1),(Inputs!$H$8+Inputs!$L$8*(((Inputs!$I$8+(((A222)+1)/2)*(Inputs!$J$8-Inputs!$I$8)))/Inputs!$K$8)^2),NA())</f>
        <v>704.60288499999979</v>
      </c>
      <c r="BC222" s="9">
        <f>IF(OR(Inputs!$F$9=TRUE,Inputs!$F$9="TRUE",Inputs!$F$9=1),(Inputs!$H$9+Inputs!$L$9*(((Inputs!$I$9+(((A222)+1)/2)*(Inputs!$J$9-Inputs!$I$9)))/Inputs!$K$9)^2),NA())</f>
        <v>701.5417749999998</v>
      </c>
      <c r="BD222" s="10"/>
      <c r="BE222" s="9">
        <f t="shared" si="35"/>
        <v>0.83299999999999996</v>
      </c>
      <c r="BF222" s="9">
        <f>0</f>
        <v>0</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row>
    <row r="223" spans="1:62">
      <c r="A223" s="9">
        <f>ROUND(-1+221*2/240,3)</f>
        <v>0.84199999999999997</v>
      </c>
      <c r="B223" s="9">
        <f>IF(OR(Inputs!$F$6=TRUE,Inputs!$F$6="TRUE",Inputs!$F$6=1),(Inputs!$H$6+Inputs!$L$6*(((Inputs!$I$6+(((A223)+1)/2)*(Inputs!$J$6-Inputs!$I$6)))/Inputs!$K$6)^2),NA())</f>
        <v>402.83585599999998</v>
      </c>
      <c r="C223" s="9">
        <f>IF(OR(Inputs!$F$7=TRUE,Inputs!$F$7="TRUE",Inputs!$F$7=1),(Inputs!$H$7+Inputs!$L$7*(((Inputs!$I$7+(((A223)+1)/2)*(Inputs!$J$7-Inputs!$I$7)))/Inputs!$K$7)^2),NA())</f>
        <v>293.77186000000012</v>
      </c>
      <c r="D223" s="9">
        <f>IF(OR(Inputs!$F$8=TRUE,Inputs!$F$8="TRUE",Inputs!$F$8=1),(Inputs!$H$8+Inputs!$L$8*(((Inputs!$I$8+(((A223)+1)/2)*(Inputs!$J$8-Inputs!$I$8)))/Inputs!$K$8)^2),NA())</f>
        <v>719.15026000000034</v>
      </c>
      <c r="E223" s="9">
        <f>IF(OR(Inputs!$F$9=TRUE,Inputs!$F$9="TRUE",Inputs!$F$9=1),(Inputs!$H$9+Inputs!$L$9*(((Inputs!$I$9+(((A223)+1)/2)*(Inputs!$J$9-Inputs!$I$9)))/Inputs!$K$9)^2),NA())</f>
        <v>716.23990000000038</v>
      </c>
      <c r="F223" s="10"/>
      <c r="G223" s="9">
        <f t="shared" si="27"/>
        <v>0.84199999999999997</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c r="L223" s="10"/>
      <c r="M223" s="9">
        <f t="shared" si="28"/>
        <v>0.84199999999999997</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-427.24235544019803</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-3076.1163724410872</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-4001.0227954219699</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-4025.8634805125453</v>
      </c>
      <c r="R223" s="10"/>
      <c r="S223" s="9">
        <f t="shared" si="29"/>
        <v>0.84199999999999997</v>
      </c>
      <c r="T223" s="9">
        <f>(Inputs!$I$6+(((A223)+1)/2)*(Inputs!$J$6-Inputs!$I$6))</f>
        <v>50.52000000000001</v>
      </c>
      <c r="U223" s="9">
        <f>(Inputs!$I$7+(((A223)+1)/2)*(Inputs!$J$7-Inputs!$I$7))</f>
        <v>336.80000000000007</v>
      </c>
      <c r="V223" s="9">
        <f>(Inputs!$I$8+(((A223)+1)/2)*(Inputs!$J$8-Inputs!$I$8))</f>
        <v>673.60000000000014</v>
      </c>
      <c r="W223" s="9">
        <f>(Inputs!$I$9+(((A223)+1)/2)*(Inputs!$J$9-Inputs!$I$9))</f>
        <v>673.60000000000014</v>
      </c>
      <c r="X223" s="10"/>
      <c r="Y223" s="9">
        <f t="shared" si="30"/>
        <v>0.84199999999999997</v>
      </c>
      <c r="Z223" s="9">
        <f>(Inputs!$H$6+Inputs!$L$6*(((Inputs!$I$6+(((A223)+1)/2)*(Inputs!$J$6-Inputs!$I$6)))/Inputs!$K$6)^2)</f>
        <v>402.83585599999998</v>
      </c>
      <c r="AA223" s="9">
        <f>(Inputs!$H$7+Inputs!$L$7*(((Inputs!$I$7+(((A223)+1)/2)*(Inputs!$J$7-Inputs!$I$7)))/Inputs!$K$7)^2)</f>
        <v>293.77186000000012</v>
      </c>
      <c r="AB223" s="9">
        <f>(Inputs!$H$8+Inputs!$L$8*(((Inputs!$I$8+(((A223)+1)/2)*(Inputs!$J$8-Inputs!$I$8)))/Inputs!$K$8)^2)</f>
        <v>719.15026000000034</v>
      </c>
      <c r="AC223" s="9">
        <f>(Inputs!$H$9+Inputs!$L$9*(((Inputs!$I$9+(((A223)+1)/2)*(Inputs!$J$9-Inputs!$I$9)))/Inputs!$K$9)^2)</f>
        <v>716.23990000000038</v>
      </c>
      <c r="AD223" s="10"/>
      <c r="AE223" s="9">
        <f t="shared" si="31"/>
        <v>0.84199999999999997</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2770.0828084719847</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99244.28757542008</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203825.78064243632</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204158.29357669636</v>
      </c>
      <c r="AJ223" s="10"/>
      <c r="AK223" s="9">
        <f t="shared" si="32"/>
        <v>0.84199999999999997</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-427.24235544019803</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-3076.1163724410872</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-4001.0227954219699</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-4025.8634805125453</v>
      </c>
      <c r="AP223" s="10"/>
      <c r="AQ223" s="9">
        <f t="shared" si="33"/>
        <v>0.84199999999999997</v>
      </c>
      <c r="AR223" s="9">
        <f>0</f>
        <v>0</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131.80942878641432</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99.075938677833676</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163.75185610659778</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163.75185610659778</v>
      </c>
      <c r="AW223" s="10"/>
      <c r="AX223" s="9">
        <f t="shared" si="34"/>
        <v>0.84199999999999997</v>
      </c>
      <c r="AY223" s="9">
        <f>0</f>
        <v>0</v>
      </c>
      <c r="AZ223" s="9">
        <f>IF(OR(Inputs!$F$6=TRUE,Inputs!$F$6="TRUE",Inputs!$F$6=1),(Inputs!$H$6+Inputs!$L$6*(((Inputs!$I$6+(((A223)+1)/2)*(Inputs!$J$6-Inputs!$I$6)))/Inputs!$K$6)^2),NA())</f>
        <v>402.83585599999998</v>
      </c>
      <c r="BA223" s="9">
        <f>IF(OR(Inputs!$F$7=TRUE,Inputs!$F$7="TRUE",Inputs!$F$7=1),(Inputs!$H$7+Inputs!$L$7*(((Inputs!$I$7+(((A223)+1)/2)*(Inputs!$J$7-Inputs!$I$7)))/Inputs!$K$7)^2),NA())</f>
        <v>293.77186000000012</v>
      </c>
      <c r="BB223" s="9">
        <f>IF(OR(Inputs!$F$8=TRUE,Inputs!$F$8="TRUE",Inputs!$F$8=1),(Inputs!$H$8+Inputs!$L$8*(((Inputs!$I$8+(((A223)+1)/2)*(Inputs!$J$8-Inputs!$I$8)))/Inputs!$K$8)^2),NA())</f>
        <v>719.15026000000034</v>
      </c>
      <c r="BC223" s="9">
        <f>IF(OR(Inputs!$F$9=TRUE,Inputs!$F$9="TRUE",Inputs!$F$9=1),(Inputs!$H$9+Inputs!$L$9*(((Inputs!$I$9+(((A223)+1)/2)*(Inputs!$J$9-Inputs!$I$9)))/Inputs!$K$9)^2),NA())</f>
        <v>716.23990000000038</v>
      </c>
      <c r="BD223" s="10"/>
      <c r="BE223" s="9">
        <f t="shared" si="35"/>
        <v>0.84199999999999997</v>
      </c>
      <c r="BF223" s="9">
        <f>0</f>
        <v>0</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row>
    <row r="224" spans="1:62">
      <c r="A224" s="9">
        <f>ROUND(-1+222*2/240,3)</f>
        <v>0.85</v>
      </c>
      <c r="B224" s="9">
        <f>IF(OR(Inputs!$F$6=TRUE,Inputs!$F$6="TRUE",Inputs!$F$6=1),(Inputs!$H$6+Inputs!$L$6*(((Inputs!$I$6+(((A224)+1)/2)*(Inputs!$J$6-Inputs!$I$6)))/Inputs!$K$6)^2),NA())</f>
        <v>402.89</v>
      </c>
      <c r="C224" s="9">
        <f>IF(OR(Inputs!$F$7=TRUE,Inputs!$F$7="TRUE",Inputs!$F$7=1),(Inputs!$H$7+Inputs!$L$7*(((Inputs!$I$7+(((A224)+1)/2)*(Inputs!$J$7-Inputs!$I$7)))/Inputs!$K$7)^2),NA())</f>
        <v>298.71249999999998</v>
      </c>
      <c r="D224" s="9">
        <f>IF(OR(Inputs!$F$8=TRUE,Inputs!$F$8="TRUE",Inputs!$F$8=1),(Inputs!$H$8+Inputs!$L$8*(((Inputs!$I$8+(((A224)+1)/2)*(Inputs!$J$8-Inputs!$I$8)))/Inputs!$K$8)^2),NA())</f>
        <v>732.21249999999998</v>
      </c>
      <c r="E224" s="9">
        <f>IF(OR(Inputs!$F$9=TRUE,Inputs!$F$9="TRUE",Inputs!$F$9=1),(Inputs!$H$9+Inputs!$L$9*(((Inputs!$I$9+(((A224)+1)/2)*(Inputs!$J$9-Inputs!$I$9)))/Inputs!$K$9)^2),NA())</f>
        <v>729.43749999999989</v>
      </c>
      <c r="F224" s="10"/>
      <c r="G224" s="9">
        <f t="shared" si="27"/>
        <v>0.85</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c r="L224" s="10"/>
      <c r="M224" s="9">
        <f t="shared" si="28"/>
        <v>0.85</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-431.20261705416385</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-3097.8148781451569</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-4034.1794964489941</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-4059.4892925419713</v>
      </c>
      <c r="R224" s="10"/>
      <c r="S224" s="9">
        <f t="shared" si="29"/>
        <v>0.85</v>
      </c>
      <c r="T224" s="9">
        <f>(Inputs!$I$6+(((A224)+1)/2)*(Inputs!$J$6-Inputs!$I$6))</f>
        <v>51</v>
      </c>
      <c r="U224" s="9">
        <f>(Inputs!$I$7+(((A224)+1)/2)*(Inputs!$J$7-Inputs!$I$7))</f>
        <v>340</v>
      </c>
      <c r="V224" s="9">
        <f>(Inputs!$I$8+(((A224)+1)/2)*(Inputs!$J$8-Inputs!$I$8))</f>
        <v>680</v>
      </c>
      <c r="W224" s="9">
        <f>(Inputs!$I$9+(((A224)+1)/2)*(Inputs!$J$9-Inputs!$I$9))</f>
        <v>680</v>
      </c>
      <c r="X224" s="10"/>
      <c r="Y224" s="9">
        <f t="shared" si="30"/>
        <v>0.85</v>
      </c>
      <c r="Z224" s="9">
        <f>(Inputs!$H$6+Inputs!$L$6*(((Inputs!$I$6+(((A224)+1)/2)*(Inputs!$J$6-Inputs!$I$6)))/Inputs!$K$6)^2)</f>
        <v>402.89</v>
      </c>
      <c r="AA224" s="9">
        <f>(Inputs!$H$7+Inputs!$L$7*(((Inputs!$I$7+(((A224)+1)/2)*(Inputs!$J$7-Inputs!$I$7)))/Inputs!$K$7)^2)</f>
        <v>298.71249999999998</v>
      </c>
      <c r="AB224" s="9">
        <f>(Inputs!$H$8+Inputs!$L$8*(((Inputs!$I$8+(((A224)+1)/2)*(Inputs!$J$8-Inputs!$I$8)))/Inputs!$K$8)^2)</f>
        <v>732.21249999999998</v>
      </c>
      <c r="AC224" s="9">
        <f>(Inputs!$H$9+Inputs!$L$9*(((Inputs!$I$9+(((A224)+1)/2)*(Inputs!$J$9-Inputs!$I$9)))/Inputs!$K$9)^2)</f>
        <v>729.43749999999989</v>
      </c>
      <c r="AD224" s="10"/>
      <c r="AE224" s="9">
        <f t="shared" si="31"/>
        <v>0.85</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2812.0057373812642</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99937.140437154303</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205515.74904412893</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205828.56629482246</v>
      </c>
      <c r="AJ224" s="10"/>
      <c r="AK224" s="9">
        <f t="shared" si="32"/>
        <v>0.85</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-431.20261705416385</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-3097.8148781451569</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-4034.1794964489941</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-4059.4892925419713</v>
      </c>
      <c r="AP224" s="10"/>
      <c r="AQ224" s="9">
        <f t="shared" si="33"/>
        <v>0.85</v>
      </c>
      <c r="AR224" s="9">
        <f>0</f>
        <v>0</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137.08289632779307</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124.64043868220405</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51.488930519027591</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51.488930519027591</v>
      </c>
      <c r="AW224" s="10"/>
      <c r="AX224" s="9">
        <f t="shared" si="34"/>
        <v>0.85</v>
      </c>
      <c r="AY224" s="9">
        <f>0</f>
        <v>0</v>
      </c>
      <c r="AZ224" s="9">
        <f>IF(OR(Inputs!$F$6=TRUE,Inputs!$F$6="TRUE",Inputs!$F$6=1),(Inputs!$H$6+Inputs!$L$6*(((Inputs!$I$6+(((A224)+1)/2)*(Inputs!$J$6-Inputs!$I$6)))/Inputs!$K$6)^2),NA())</f>
        <v>402.89</v>
      </c>
      <c r="BA224" s="9">
        <f>IF(OR(Inputs!$F$7=TRUE,Inputs!$F$7="TRUE",Inputs!$F$7=1),(Inputs!$H$7+Inputs!$L$7*(((Inputs!$I$7+(((A224)+1)/2)*(Inputs!$J$7-Inputs!$I$7)))/Inputs!$K$7)^2),NA())</f>
        <v>298.71249999999998</v>
      </c>
      <c r="BB224" s="9">
        <f>IF(OR(Inputs!$F$8=TRUE,Inputs!$F$8="TRUE",Inputs!$F$8=1),(Inputs!$H$8+Inputs!$L$8*(((Inputs!$I$8+(((A224)+1)/2)*(Inputs!$J$8-Inputs!$I$8)))/Inputs!$K$8)^2),NA())</f>
        <v>732.21249999999998</v>
      </c>
      <c r="BC224" s="9">
        <f>IF(OR(Inputs!$F$9=TRUE,Inputs!$F$9="TRUE",Inputs!$F$9=1),(Inputs!$H$9+Inputs!$L$9*(((Inputs!$I$9+(((A224)+1)/2)*(Inputs!$J$9-Inputs!$I$9)))/Inputs!$K$9)^2),NA())</f>
        <v>729.43749999999989</v>
      </c>
      <c r="BD224" s="10"/>
      <c r="BE224" s="9">
        <f t="shared" si="35"/>
        <v>0.85</v>
      </c>
      <c r="BF224" s="9">
        <f>0</f>
        <v>0</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row>
    <row r="225" spans="1:62">
      <c r="A225" s="9">
        <f>ROUND(-1+223*2/240,3)</f>
        <v>0.85799999999999998</v>
      </c>
      <c r="B225" s="9">
        <f>IF(OR(Inputs!$F$6=TRUE,Inputs!$F$6="TRUE",Inputs!$F$6=1),(Inputs!$H$6+Inputs!$L$6*(((Inputs!$I$6+(((A225)+1)/2)*(Inputs!$J$6-Inputs!$I$6)))/Inputs!$K$6)^2),NA())</f>
        <v>402.94465600000001</v>
      </c>
      <c r="C225" s="9">
        <f>IF(OR(Inputs!$F$7=TRUE,Inputs!$F$7="TRUE",Inputs!$F$7=1),(Inputs!$H$7+Inputs!$L$7*(((Inputs!$I$7+(((A225)+1)/2)*(Inputs!$J$7-Inputs!$I$7)))/Inputs!$K$7)^2),NA())</f>
        <v>303.69986000000006</v>
      </c>
      <c r="D225" s="9">
        <f>IF(OR(Inputs!$F$8=TRUE,Inputs!$F$8="TRUE",Inputs!$F$8=1),(Inputs!$H$8+Inputs!$L$8*(((Inputs!$I$8+(((A225)+1)/2)*(Inputs!$J$8-Inputs!$I$8)))/Inputs!$K$8)^2),NA())</f>
        <v>745.39826000000016</v>
      </c>
      <c r="E225" s="9">
        <f>IF(OR(Inputs!$F$9=TRUE,Inputs!$F$9="TRUE",Inputs!$F$9=1),(Inputs!$H$9+Inputs!$L$9*(((Inputs!$I$9+(((A225)+1)/2)*(Inputs!$J$9-Inputs!$I$9)))/Inputs!$K$9)^2),NA())</f>
        <v>742.75990000000013</v>
      </c>
      <c r="F225" s="10"/>
      <c r="G225" s="9">
        <f t="shared" si="27"/>
        <v>0.85799999999999998</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c r="L225" s="10"/>
      <c r="M225" s="9">
        <f t="shared" si="28"/>
        <v>0.85799999999999998</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-435.16016469908237</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-3119.5916343745648</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-4067.3976961595195</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-4093.1744466842042</v>
      </c>
      <c r="R225" s="10"/>
      <c r="S225" s="9">
        <f t="shared" si="29"/>
        <v>0.85799999999999998</v>
      </c>
      <c r="T225" s="9">
        <f>(Inputs!$I$6+(((A225)+1)/2)*(Inputs!$J$6-Inputs!$I$6))</f>
        <v>51.480000000000004</v>
      </c>
      <c r="U225" s="9">
        <f>(Inputs!$I$7+(((A225)+1)/2)*(Inputs!$J$7-Inputs!$I$7))</f>
        <v>343.20000000000005</v>
      </c>
      <c r="V225" s="9">
        <f>(Inputs!$I$8+(((A225)+1)/2)*(Inputs!$J$8-Inputs!$I$8))</f>
        <v>686.40000000000009</v>
      </c>
      <c r="W225" s="9">
        <f>(Inputs!$I$9+(((A225)+1)/2)*(Inputs!$J$9-Inputs!$I$9))</f>
        <v>686.40000000000009</v>
      </c>
      <c r="X225" s="10"/>
      <c r="Y225" s="9">
        <f t="shared" si="30"/>
        <v>0.85799999999999998</v>
      </c>
      <c r="Z225" s="9">
        <f>(Inputs!$H$6+Inputs!$L$6*(((Inputs!$I$6+(((A225)+1)/2)*(Inputs!$J$6-Inputs!$I$6)))/Inputs!$K$6)^2)</f>
        <v>402.94465600000001</v>
      </c>
      <c r="AA225" s="9">
        <f>(Inputs!$H$7+Inputs!$L$7*(((Inputs!$I$7+(((A225)+1)/2)*(Inputs!$J$7-Inputs!$I$7)))/Inputs!$K$7)^2)</f>
        <v>303.69986000000006</v>
      </c>
      <c r="AB225" s="9">
        <f>(Inputs!$H$8+Inputs!$L$8*(((Inputs!$I$8+(((A225)+1)/2)*(Inputs!$J$8-Inputs!$I$8)))/Inputs!$K$8)^2)</f>
        <v>745.39826000000016</v>
      </c>
      <c r="AC225" s="9">
        <f>(Inputs!$H$9+Inputs!$L$9*(((Inputs!$I$9+(((A225)+1)/2)*(Inputs!$J$9-Inputs!$I$9)))/Inputs!$K$9)^2)</f>
        <v>742.75990000000013</v>
      </c>
      <c r="AD225" s="10"/>
      <c r="AE225" s="9">
        <f t="shared" si="31"/>
        <v>0.85799999999999998</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2854.3082572559856</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100628.17054128621</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207210.90309610436</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207504.35731870713</v>
      </c>
      <c r="AJ225" s="10"/>
      <c r="AK225" s="9">
        <f t="shared" si="32"/>
        <v>0.85799999999999998</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-435.16016469908237</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-3119.5916343745648</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-4067.3976961595195</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-4093.1744466842042</v>
      </c>
      <c r="AP225" s="10"/>
      <c r="AQ225" s="9">
        <f t="shared" si="33"/>
        <v>0.85799999999999998</v>
      </c>
      <c r="AR225" s="9">
        <f>0</f>
        <v>0</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139.38284808697506</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151.34081083012887</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185.73986359394797</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185.73986359394797</v>
      </c>
      <c r="AW225" s="10"/>
      <c r="AX225" s="9">
        <f t="shared" si="34"/>
        <v>0.85799999999999998</v>
      </c>
      <c r="AY225" s="9">
        <f>0</f>
        <v>0</v>
      </c>
      <c r="AZ225" s="9">
        <f>IF(OR(Inputs!$F$6=TRUE,Inputs!$F$6="TRUE",Inputs!$F$6=1),(Inputs!$H$6+Inputs!$L$6*(((Inputs!$I$6+(((A225)+1)/2)*(Inputs!$J$6-Inputs!$I$6)))/Inputs!$K$6)^2),NA())</f>
        <v>402.94465600000001</v>
      </c>
      <c r="BA225" s="9">
        <f>IF(OR(Inputs!$F$7=TRUE,Inputs!$F$7="TRUE",Inputs!$F$7=1),(Inputs!$H$7+Inputs!$L$7*(((Inputs!$I$7+(((A225)+1)/2)*(Inputs!$J$7-Inputs!$I$7)))/Inputs!$K$7)^2),NA())</f>
        <v>303.69986000000006</v>
      </c>
      <c r="BB225" s="9">
        <f>IF(OR(Inputs!$F$8=TRUE,Inputs!$F$8="TRUE",Inputs!$F$8=1),(Inputs!$H$8+Inputs!$L$8*(((Inputs!$I$8+(((A225)+1)/2)*(Inputs!$J$8-Inputs!$I$8)))/Inputs!$K$8)^2),NA())</f>
        <v>745.39826000000016</v>
      </c>
      <c r="BC225" s="9">
        <f>IF(OR(Inputs!$F$9=TRUE,Inputs!$F$9="TRUE",Inputs!$F$9=1),(Inputs!$H$9+Inputs!$L$9*(((Inputs!$I$9+(((A225)+1)/2)*(Inputs!$J$9-Inputs!$I$9)))/Inputs!$K$9)^2),NA())</f>
        <v>742.75990000000013</v>
      </c>
      <c r="BD225" s="10"/>
      <c r="BE225" s="9">
        <f t="shared" si="35"/>
        <v>0.85799999999999998</v>
      </c>
      <c r="BF225" s="9">
        <f>0</f>
        <v>0</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row>
    <row r="226" spans="1:62">
      <c r="A226" s="9">
        <f>ROUND(-1+224*2/240,3)</f>
        <v>0.86699999999999999</v>
      </c>
      <c r="B226" s="9">
        <f>IF(OR(Inputs!$F$6=TRUE,Inputs!$F$6="TRUE",Inputs!$F$6=1),(Inputs!$H$6+Inputs!$L$6*(((Inputs!$I$6+(((A226)+1)/2)*(Inputs!$J$6-Inputs!$I$6)))/Inputs!$K$6)^2),NA())</f>
        <v>403.006756</v>
      </c>
      <c r="C226" s="9">
        <f>IF(OR(Inputs!$F$7=TRUE,Inputs!$F$7="TRUE",Inputs!$F$7=1),(Inputs!$H$7+Inputs!$L$7*(((Inputs!$I$7+(((A226)+1)/2)*(Inputs!$J$7-Inputs!$I$7)))/Inputs!$K$7)^2),NA())</f>
        <v>309.36648499999995</v>
      </c>
      <c r="D226" s="9">
        <f>IF(OR(Inputs!$F$8=TRUE,Inputs!$F$8="TRUE",Inputs!$F$8=1),(Inputs!$H$8+Inputs!$L$8*(((Inputs!$I$8+(((A226)+1)/2)*(Inputs!$J$8-Inputs!$I$8)))/Inputs!$K$8)^2),NA())</f>
        <v>760.37988499999983</v>
      </c>
      <c r="E226" s="9">
        <f>IF(OR(Inputs!$F$9=TRUE,Inputs!$F$9="TRUE",Inputs!$F$9=1),(Inputs!$H$9+Inputs!$L$9*(((Inputs!$I$9+(((A226)+1)/2)*(Inputs!$J$9-Inputs!$I$9)))/Inputs!$K$9)^2),NA())</f>
        <v>757.89677499999982</v>
      </c>
      <c r="F226" s="10"/>
      <c r="G226" s="9">
        <f t="shared" si="27"/>
        <v>0.86699999999999999</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c r="L226" s="10"/>
      <c r="M226" s="9">
        <f t="shared" si="28"/>
        <v>0.86699999999999999</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-439.60913539338361</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-3144.1823148638841</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-4104.8392644860023</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-4131.1387773292117</v>
      </c>
      <c r="R226" s="10"/>
      <c r="S226" s="9">
        <f t="shared" si="29"/>
        <v>0.86699999999999999</v>
      </c>
      <c r="T226" s="9">
        <f>(Inputs!$I$6+(((A226)+1)/2)*(Inputs!$J$6-Inputs!$I$6))</f>
        <v>52.019999999999996</v>
      </c>
      <c r="U226" s="9">
        <f>(Inputs!$I$7+(((A226)+1)/2)*(Inputs!$J$7-Inputs!$I$7))</f>
        <v>346.79999999999995</v>
      </c>
      <c r="V226" s="9">
        <f>(Inputs!$I$8+(((A226)+1)/2)*(Inputs!$J$8-Inputs!$I$8))</f>
        <v>693.59999999999991</v>
      </c>
      <c r="W226" s="9">
        <f>(Inputs!$I$9+(((A226)+1)/2)*(Inputs!$J$9-Inputs!$I$9))</f>
        <v>693.59999999999991</v>
      </c>
      <c r="X226" s="10"/>
      <c r="Y226" s="9">
        <f t="shared" si="30"/>
        <v>0.86699999999999999</v>
      </c>
      <c r="Z226" s="9">
        <f>(Inputs!$H$6+Inputs!$L$6*(((Inputs!$I$6+(((A226)+1)/2)*(Inputs!$J$6-Inputs!$I$6)))/Inputs!$K$6)^2)</f>
        <v>403.006756</v>
      </c>
      <c r="AA226" s="9">
        <f>(Inputs!$H$7+Inputs!$L$7*(((Inputs!$I$7+(((A226)+1)/2)*(Inputs!$J$7-Inputs!$I$7)))/Inputs!$K$7)^2)</f>
        <v>309.36648499999995</v>
      </c>
      <c r="AB226" s="9">
        <f>(Inputs!$H$8+Inputs!$L$8*(((Inputs!$I$8+(((A226)+1)/2)*(Inputs!$J$8-Inputs!$I$8)))/Inputs!$K$8)^2)</f>
        <v>760.37988499999983</v>
      </c>
      <c r="AC226" s="9">
        <f>(Inputs!$H$9+Inputs!$L$9*(((Inputs!$I$9+(((A226)+1)/2)*(Inputs!$J$9-Inputs!$I$9)))/Inputs!$K$9)^2)</f>
        <v>757.89677499999982</v>
      </c>
      <c r="AD226" s="10"/>
      <c r="AE226" s="9">
        <f t="shared" si="31"/>
        <v>0.86699999999999999</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2902.351750049444</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101403.50909737479</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209124.31905376751</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209396.38148206481</v>
      </c>
      <c r="AJ226" s="10"/>
      <c r="AK226" s="9">
        <f t="shared" si="32"/>
        <v>0.86699999999999999</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-439.60913539338361</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-3144.1823148638841</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-4104.8392644860023</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-4131.1387773292117</v>
      </c>
      <c r="AP226" s="10"/>
      <c r="AQ226" s="9">
        <f t="shared" si="33"/>
        <v>0.86699999999999999</v>
      </c>
      <c r="AR226" s="9">
        <f>0</f>
        <v>0</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155.46870582364224</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178.30958863794606</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95.885255833545244</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95.885255833545244</v>
      </c>
      <c r="AW226" s="10"/>
      <c r="AX226" s="9">
        <f t="shared" si="34"/>
        <v>0.86699999999999999</v>
      </c>
      <c r="AY226" s="9">
        <f>0</f>
        <v>0</v>
      </c>
      <c r="AZ226" s="9">
        <f>IF(OR(Inputs!$F$6=TRUE,Inputs!$F$6="TRUE",Inputs!$F$6=1),(Inputs!$H$6+Inputs!$L$6*(((Inputs!$I$6+(((A226)+1)/2)*(Inputs!$J$6-Inputs!$I$6)))/Inputs!$K$6)^2),NA())</f>
        <v>403.006756</v>
      </c>
      <c r="BA226" s="9">
        <f>IF(OR(Inputs!$F$7=TRUE,Inputs!$F$7="TRUE",Inputs!$F$7=1),(Inputs!$H$7+Inputs!$L$7*(((Inputs!$I$7+(((A226)+1)/2)*(Inputs!$J$7-Inputs!$I$7)))/Inputs!$K$7)^2),NA())</f>
        <v>309.36648499999995</v>
      </c>
      <c r="BB226" s="9">
        <f>IF(OR(Inputs!$F$8=TRUE,Inputs!$F$8="TRUE",Inputs!$F$8=1),(Inputs!$H$8+Inputs!$L$8*(((Inputs!$I$8+(((A226)+1)/2)*(Inputs!$J$8-Inputs!$I$8)))/Inputs!$K$8)^2),NA())</f>
        <v>760.37988499999983</v>
      </c>
      <c r="BC226" s="9">
        <f>IF(OR(Inputs!$F$9=TRUE,Inputs!$F$9="TRUE",Inputs!$F$9=1),(Inputs!$H$9+Inputs!$L$9*(((Inputs!$I$9+(((A226)+1)/2)*(Inputs!$J$9-Inputs!$I$9)))/Inputs!$K$9)^2),NA())</f>
        <v>757.89677499999982</v>
      </c>
      <c r="BD226" s="10"/>
      <c r="BE226" s="9">
        <f t="shared" si="35"/>
        <v>0.86699999999999999</v>
      </c>
      <c r="BF226" s="9">
        <f>0</f>
        <v>0</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row>
    <row r="227" spans="1:62">
      <c r="A227" s="9">
        <f>ROUND(-1+225*2/240,3)</f>
        <v>0.875</v>
      </c>
      <c r="B227" s="9">
        <f>IF(OR(Inputs!$F$6=TRUE,Inputs!$F$6="TRUE",Inputs!$F$6=1),(Inputs!$H$6+Inputs!$L$6*(((Inputs!$I$6+(((A227)+1)/2)*(Inputs!$J$6-Inputs!$I$6)))/Inputs!$K$6)^2),NA())</f>
        <v>403.0625</v>
      </c>
      <c r="C227" s="9">
        <f>IF(OR(Inputs!$F$7=TRUE,Inputs!$F$7="TRUE",Inputs!$F$7=1),(Inputs!$H$7+Inputs!$L$7*(((Inputs!$I$7+(((A227)+1)/2)*(Inputs!$J$7-Inputs!$I$7)))/Inputs!$K$7)^2),NA())</f>
        <v>314.453125</v>
      </c>
      <c r="D227" s="9">
        <f>IF(OR(Inputs!$F$8=TRUE,Inputs!$F$8="TRUE",Inputs!$F$8=1),(Inputs!$H$8+Inputs!$L$8*(((Inputs!$I$8+(((A227)+1)/2)*(Inputs!$J$8-Inputs!$I$8)))/Inputs!$K$8)^2),NA())</f>
        <v>773.828125</v>
      </c>
      <c r="E227" s="9">
        <f>IF(OR(Inputs!$F$9=TRUE,Inputs!$F$9="TRUE",Inputs!$F$9=1),(Inputs!$H$9+Inputs!$L$9*(((Inputs!$I$9+(((A227)+1)/2)*(Inputs!$J$9-Inputs!$I$9)))/Inputs!$K$9)^2),NA())</f>
        <v>771.484375</v>
      </c>
      <c r="F227" s="10"/>
      <c r="G227" s="9">
        <f t="shared" si="27"/>
        <v>0.875</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c r="L227" s="10"/>
      <c r="M227" s="9">
        <f t="shared" si="28"/>
        <v>0.875</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-443.5608456764333</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-3166.120827887401</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-4138.1817626298189</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-4164.9436923800185</v>
      </c>
      <c r="R227" s="10"/>
      <c r="S227" s="9">
        <f t="shared" si="29"/>
        <v>0.875</v>
      </c>
      <c r="T227" s="9">
        <f>(Inputs!$I$6+(((A227)+1)/2)*(Inputs!$J$6-Inputs!$I$6))</f>
        <v>52.5</v>
      </c>
      <c r="U227" s="9">
        <f>(Inputs!$I$7+(((A227)+1)/2)*(Inputs!$J$7-Inputs!$I$7))</f>
        <v>350</v>
      </c>
      <c r="V227" s="9">
        <f>(Inputs!$I$8+(((A227)+1)/2)*(Inputs!$J$8-Inputs!$I$8))</f>
        <v>700</v>
      </c>
      <c r="W227" s="9">
        <f>(Inputs!$I$9+(((A227)+1)/2)*(Inputs!$J$9-Inputs!$I$9))</f>
        <v>700</v>
      </c>
      <c r="X227" s="10"/>
      <c r="Y227" s="9">
        <f t="shared" si="30"/>
        <v>0.875</v>
      </c>
      <c r="Z227" s="9">
        <f>(Inputs!$H$6+Inputs!$L$6*(((Inputs!$I$6+(((A227)+1)/2)*(Inputs!$J$6-Inputs!$I$6)))/Inputs!$K$6)^2)</f>
        <v>403.0625</v>
      </c>
      <c r="AA227" s="9">
        <f>(Inputs!$H$7+Inputs!$L$7*(((Inputs!$I$7+(((A227)+1)/2)*(Inputs!$J$7-Inputs!$I$7)))/Inputs!$K$7)^2)</f>
        <v>314.453125</v>
      </c>
      <c r="AB227" s="9">
        <f>(Inputs!$H$8+Inputs!$L$8*(((Inputs!$I$8+(((A227)+1)/2)*(Inputs!$J$8-Inputs!$I$8)))/Inputs!$K$8)^2)</f>
        <v>773.828125</v>
      </c>
      <c r="AC227" s="9">
        <f>(Inputs!$H$9+Inputs!$L$9*(((Inputs!$I$9+(((A227)+1)/2)*(Inputs!$J$9-Inputs!$I$9)))/Inputs!$K$9)^2)</f>
        <v>771.484375</v>
      </c>
      <c r="AD227" s="10"/>
      <c r="AE227" s="9">
        <f t="shared" si="31"/>
        <v>0.875</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2945.4593716191162</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102090.95330766609</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210830.93883993546</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211084.32912870904</v>
      </c>
      <c r="AJ227" s="10"/>
      <c r="AK227" s="9">
        <f t="shared" si="32"/>
        <v>0.875</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-443.5608456764333</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-3166.120827887401</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-4138.1817626298189</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-4164.9436923800185</v>
      </c>
      <c r="AP227" s="10"/>
      <c r="AQ227" s="9">
        <f t="shared" si="33"/>
        <v>0.875</v>
      </c>
      <c r="AR227" s="9">
        <f>0</f>
        <v>0</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164.06842387185546</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184.81425362758165</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121.16457924606213</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121.16457924606213</v>
      </c>
      <c r="AW227" s="10"/>
      <c r="AX227" s="9">
        <f t="shared" si="34"/>
        <v>0.875</v>
      </c>
      <c r="AY227" s="9">
        <f>0</f>
        <v>0</v>
      </c>
      <c r="AZ227" s="9">
        <f>IF(OR(Inputs!$F$6=TRUE,Inputs!$F$6="TRUE",Inputs!$F$6=1),(Inputs!$H$6+Inputs!$L$6*(((Inputs!$I$6+(((A227)+1)/2)*(Inputs!$J$6-Inputs!$I$6)))/Inputs!$K$6)^2),NA())</f>
        <v>403.0625</v>
      </c>
      <c r="BA227" s="9">
        <f>IF(OR(Inputs!$F$7=TRUE,Inputs!$F$7="TRUE",Inputs!$F$7=1),(Inputs!$H$7+Inputs!$L$7*(((Inputs!$I$7+(((A227)+1)/2)*(Inputs!$J$7-Inputs!$I$7)))/Inputs!$K$7)^2),NA())</f>
        <v>314.453125</v>
      </c>
      <c r="BB227" s="9">
        <f>IF(OR(Inputs!$F$8=TRUE,Inputs!$F$8="TRUE",Inputs!$F$8=1),(Inputs!$H$8+Inputs!$L$8*(((Inputs!$I$8+(((A227)+1)/2)*(Inputs!$J$8-Inputs!$I$8)))/Inputs!$K$8)^2),NA())</f>
        <v>773.828125</v>
      </c>
      <c r="BC227" s="9">
        <f>IF(OR(Inputs!$F$9=TRUE,Inputs!$F$9="TRUE",Inputs!$F$9=1),(Inputs!$H$9+Inputs!$L$9*(((Inputs!$I$9+(((A227)+1)/2)*(Inputs!$J$9-Inputs!$I$9)))/Inputs!$K$9)^2),NA())</f>
        <v>771.484375</v>
      </c>
      <c r="BD227" s="10"/>
      <c r="BE227" s="9">
        <f t="shared" si="35"/>
        <v>0.875</v>
      </c>
      <c r="BF227" s="9">
        <f>0</f>
        <v>0</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row>
    <row r="228" spans="1:62">
      <c r="A228" s="9">
        <f>ROUND(-1+226*2/240,3)</f>
        <v>0.88300000000000001</v>
      </c>
      <c r="B228" s="9">
        <f>IF(OR(Inputs!$F$6=TRUE,Inputs!$F$6="TRUE",Inputs!$F$6=1),(Inputs!$H$6+Inputs!$L$6*(((Inputs!$I$6+(((A228)+1)/2)*(Inputs!$J$6-Inputs!$I$6)))/Inputs!$K$6)^2),NA())</f>
        <v>403.11875600000002</v>
      </c>
      <c r="C228" s="9">
        <f>IF(OR(Inputs!$F$7=TRUE,Inputs!$F$7="TRUE",Inputs!$F$7=1),(Inputs!$H$7+Inputs!$L$7*(((Inputs!$I$7+(((A228)+1)/2)*(Inputs!$J$7-Inputs!$I$7)))/Inputs!$K$7)^2),NA())</f>
        <v>319.5864850000001</v>
      </c>
      <c r="D228" s="9">
        <f>IF(OR(Inputs!$F$8=TRUE,Inputs!$F$8="TRUE",Inputs!$F$8=1),(Inputs!$H$8+Inputs!$L$8*(((Inputs!$I$8+(((A228)+1)/2)*(Inputs!$J$8-Inputs!$I$8)))/Inputs!$K$8)^2),NA())</f>
        <v>787.39988500000015</v>
      </c>
      <c r="E228" s="9">
        <f>IF(OR(Inputs!$F$9=TRUE,Inputs!$F$9="TRUE",Inputs!$F$9=1),(Inputs!$H$9+Inputs!$L$9*(((Inputs!$I$9+(((A228)+1)/2)*(Inputs!$J$9-Inputs!$I$9)))/Inputs!$K$9)^2),NA())</f>
        <v>785.19677500000023</v>
      </c>
      <c r="F228" s="10"/>
      <c r="G228" s="9">
        <f t="shared" si="27"/>
        <v>0.88300000000000001</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c r="L228" s="10"/>
      <c r="M228" s="9">
        <f t="shared" si="28"/>
        <v>0.88300000000000001</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-447.50977618499189</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-3188.1333675801288</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-4171.5798560885287</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-4198.8020915207262</v>
      </c>
      <c r="R228" s="10"/>
      <c r="S228" s="9">
        <f t="shared" si="29"/>
        <v>0.88300000000000001</v>
      </c>
      <c r="T228" s="9">
        <f>(Inputs!$I$6+(((A228)+1)/2)*(Inputs!$J$6-Inputs!$I$6))</f>
        <v>52.980000000000004</v>
      </c>
      <c r="U228" s="9">
        <f>(Inputs!$I$7+(((A228)+1)/2)*(Inputs!$J$7-Inputs!$I$7))</f>
        <v>353.20000000000005</v>
      </c>
      <c r="V228" s="9">
        <f>(Inputs!$I$8+(((A228)+1)/2)*(Inputs!$J$8-Inputs!$I$8))</f>
        <v>706.40000000000009</v>
      </c>
      <c r="W228" s="9">
        <f>(Inputs!$I$9+(((A228)+1)/2)*(Inputs!$J$9-Inputs!$I$9))</f>
        <v>706.40000000000009</v>
      </c>
      <c r="X228" s="10"/>
      <c r="Y228" s="9">
        <f t="shared" si="30"/>
        <v>0.88300000000000001</v>
      </c>
      <c r="Z228" s="9">
        <f>(Inputs!$H$6+Inputs!$L$6*(((Inputs!$I$6+(((A228)+1)/2)*(Inputs!$J$6-Inputs!$I$6)))/Inputs!$K$6)^2)</f>
        <v>403.11875600000002</v>
      </c>
      <c r="AA228" s="9">
        <f>(Inputs!$H$7+Inputs!$L$7*(((Inputs!$I$7+(((A228)+1)/2)*(Inputs!$J$7-Inputs!$I$7)))/Inputs!$K$7)^2)</f>
        <v>319.5864850000001</v>
      </c>
      <c r="AB228" s="9">
        <f>(Inputs!$H$8+Inputs!$L$8*(((Inputs!$I$8+(((A228)+1)/2)*(Inputs!$J$8-Inputs!$I$8)))/Inputs!$K$8)^2)</f>
        <v>787.39988500000015</v>
      </c>
      <c r="AC228" s="9">
        <f>(Inputs!$H$9+Inputs!$L$9*(((Inputs!$I$9+(((A228)+1)/2)*(Inputs!$J$9-Inputs!$I$9)))/Inputs!$K$9)^2)</f>
        <v>785.19677500000023</v>
      </c>
      <c r="AD228" s="10"/>
      <c r="AE228" s="9">
        <f t="shared" si="31"/>
        <v>0.88300000000000001</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2988.9451373688594</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102776.84205371488</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212543.15513578657</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212778.19094778312</v>
      </c>
      <c r="AJ228" s="10"/>
      <c r="AK228" s="9">
        <f t="shared" si="32"/>
        <v>0.88300000000000001</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-447.50977618499189</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-3188.1333675801288</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-4171.5798560885287</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-4198.8020915207262</v>
      </c>
      <c r="AP228" s="10"/>
      <c r="AQ228" s="9">
        <f t="shared" si="33"/>
        <v>0.88300000000000001</v>
      </c>
      <c r="AR228" s="9">
        <f>0</f>
        <v>0</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161.34757660211056</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124.77149015079216</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183.41616368852235</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183.41616368852235</v>
      </c>
      <c r="AW228" s="10"/>
      <c r="AX228" s="9">
        <f t="shared" si="34"/>
        <v>0.88300000000000001</v>
      </c>
      <c r="AY228" s="9">
        <f>0</f>
        <v>0</v>
      </c>
      <c r="AZ228" s="9">
        <f>IF(OR(Inputs!$F$6=TRUE,Inputs!$F$6="TRUE",Inputs!$F$6=1),(Inputs!$H$6+Inputs!$L$6*(((Inputs!$I$6+(((A228)+1)/2)*(Inputs!$J$6-Inputs!$I$6)))/Inputs!$K$6)^2),NA())</f>
        <v>403.11875600000002</v>
      </c>
      <c r="BA228" s="9">
        <f>IF(OR(Inputs!$F$7=TRUE,Inputs!$F$7="TRUE",Inputs!$F$7=1),(Inputs!$H$7+Inputs!$L$7*(((Inputs!$I$7+(((A228)+1)/2)*(Inputs!$J$7-Inputs!$I$7)))/Inputs!$K$7)^2),NA())</f>
        <v>319.5864850000001</v>
      </c>
      <c r="BB228" s="9">
        <f>IF(OR(Inputs!$F$8=TRUE,Inputs!$F$8="TRUE",Inputs!$F$8=1),(Inputs!$H$8+Inputs!$L$8*(((Inputs!$I$8+(((A228)+1)/2)*(Inputs!$J$8-Inputs!$I$8)))/Inputs!$K$8)^2),NA())</f>
        <v>787.39988500000015</v>
      </c>
      <c r="BC228" s="9">
        <f>IF(OR(Inputs!$F$9=TRUE,Inputs!$F$9="TRUE",Inputs!$F$9=1),(Inputs!$H$9+Inputs!$L$9*(((Inputs!$I$9+(((A228)+1)/2)*(Inputs!$J$9-Inputs!$I$9)))/Inputs!$K$9)^2),NA())</f>
        <v>785.19677500000023</v>
      </c>
      <c r="BD228" s="10"/>
      <c r="BE228" s="9">
        <f t="shared" si="35"/>
        <v>0.88300000000000001</v>
      </c>
      <c r="BF228" s="9">
        <f>0</f>
        <v>0</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row>
    <row r="229" spans="1:62">
      <c r="A229" s="9">
        <f>ROUND(-1+227*2/240,3)</f>
        <v>0.89200000000000002</v>
      </c>
      <c r="B229" s="9">
        <f>IF(OR(Inputs!$F$6=TRUE,Inputs!$F$6="TRUE",Inputs!$F$6=1),(Inputs!$H$6+Inputs!$L$6*(((Inputs!$I$6+(((A229)+1)/2)*(Inputs!$J$6-Inputs!$I$6)))/Inputs!$K$6)^2),NA())</f>
        <v>403.18265600000001</v>
      </c>
      <c r="C229" s="9">
        <f>IF(OR(Inputs!$F$7=TRUE,Inputs!$F$7="TRUE",Inputs!$F$7=1),(Inputs!$H$7+Inputs!$L$7*(((Inputs!$I$7+(((A229)+1)/2)*(Inputs!$J$7-Inputs!$I$7)))/Inputs!$K$7)^2),NA())</f>
        <v>325.41735999999992</v>
      </c>
      <c r="D229" s="9">
        <f>IF(OR(Inputs!$F$8=TRUE,Inputs!$F$8="TRUE",Inputs!$F$8=1),(Inputs!$H$8+Inputs!$L$8*(((Inputs!$I$8+(((A229)+1)/2)*(Inputs!$J$8-Inputs!$I$8)))/Inputs!$K$8)^2),NA())</f>
        <v>802.81575999999984</v>
      </c>
      <c r="E229" s="9">
        <f>IF(OR(Inputs!$F$9=TRUE,Inputs!$F$9="TRUE",Inputs!$F$9=1),(Inputs!$H$9+Inputs!$L$9*(((Inputs!$I$9+(((A229)+1)/2)*(Inputs!$J$9-Inputs!$I$9)))/Inputs!$K$9)^2),NA())</f>
        <v>800.77239999999983</v>
      </c>
      <c r="F229" s="10"/>
      <c r="G229" s="9">
        <f t="shared" si="27"/>
        <v>0.89200000000000002</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c r="L229" s="10"/>
      <c r="M229" s="9">
        <f t="shared" si="28"/>
        <v>0.89200000000000002</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-451.94897438622047</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-3212.9843204784929</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-4209.2169401335141</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-4236.954517109988</v>
      </c>
      <c r="R229" s="10"/>
      <c r="S229" s="9">
        <f t="shared" si="29"/>
        <v>0.89200000000000002</v>
      </c>
      <c r="T229" s="9">
        <f>(Inputs!$I$6+(((A229)+1)/2)*(Inputs!$J$6-Inputs!$I$6))</f>
        <v>53.519999999999996</v>
      </c>
      <c r="U229" s="9">
        <f>(Inputs!$I$7+(((A229)+1)/2)*(Inputs!$J$7-Inputs!$I$7))</f>
        <v>356.79999999999995</v>
      </c>
      <c r="V229" s="9">
        <f>(Inputs!$I$8+(((A229)+1)/2)*(Inputs!$J$8-Inputs!$I$8))</f>
        <v>713.59999999999991</v>
      </c>
      <c r="W229" s="9">
        <f>(Inputs!$I$9+(((A229)+1)/2)*(Inputs!$J$9-Inputs!$I$9))</f>
        <v>713.59999999999991</v>
      </c>
      <c r="X229" s="10"/>
      <c r="Y229" s="9">
        <f t="shared" si="30"/>
        <v>0.89200000000000002</v>
      </c>
      <c r="Z229" s="9">
        <f>(Inputs!$H$6+Inputs!$L$6*(((Inputs!$I$6+(((A229)+1)/2)*(Inputs!$J$6-Inputs!$I$6)))/Inputs!$K$6)^2)</f>
        <v>403.18265600000001</v>
      </c>
      <c r="AA229" s="9">
        <f>(Inputs!$H$7+Inputs!$L$7*(((Inputs!$I$7+(((A229)+1)/2)*(Inputs!$J$7-Inputs!$I$7)))/Inputs!$K$7)^2)</f>
        <v>325.41735999999992</v>
      </c>
      <c r="AB229" s="9">
        <f>(Inputs!$H$8+Inputs!$L$8*(((Inputs!$I$8+(((A229)+1)/2)*(Inputs!$J$8-Inputs!$I$8)))/Inputs!$K$8)^2)</f>
        <v>802.81575999999984</v>
      </c>
      <c r="AC229" s="9">
        <f>(Inputs!$H$9+Inputs!$L$9*(((Inputs!$I$9+(((A229)+1)/2)*(Inputs!$J$9-Inputs!$I$9)))/Inputs!$K$9)^2)</f>
        <v>800.77239999999983</v>
      </c>
      <c r="AD229" s="10"/>
      <c r="AE229" s="9">
        <f t="shared" si="31"/>
        <v>0.89200000000000002</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3038.3180386405807</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103546.71021044374</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214476.24093521526</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214691.00178491729</v>
      </c>
      <c r="AJ229" s="10"/>
      <c r="AK229" s="9">
        <f t="shared" si="32"/>
        <v>0.89200000000000002</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-451.94897438622047</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-3212.9843204784929</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-4209.2169401335141</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-4236.954517109988</v>
      </c>
      <c r="AP229" s="10"/>
      <c r="AQ229" s="9">
        <f t="shared" si="33"/>
        <v>0.89200000000000002</v>
      </c>
      <c r="AR229" s="9">
        <f>0</f>
        <v>0</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183.74266048734717</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93.916174047480027</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144.71243811691815</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144.71243811691815</v>
      </c>
      <c r="AW229" s="10"/>
      <c r="AX229" s="9">
        <f t="shared" si="34"/>
        <v>0.89200000000000002</v>
      </c>
      <c r="AY229" s="9">
        <f>0</f>
        <v>0</v>
      </c>
      <c r="AZ229" s="9">
        <f>IF(OR(Inputs!$F$6=TRUE,Inputs!$F$6="TRUE",Inputs!$F$6=1),(Inputs!$H$6+Inputs!$L$6*(((Inputs!$I$6+(((A229)+1)/2)*(Inputs!$J$6-Inputs!$I$6)))/Inputs!$K$6)^2),NA())</f>
        <v>403.18265600000001</v>
      </c>
      <c r="BA229" s="9">
        <f>IF(OR(Inputs!$F$7=TRUE,Inputs!$F$7="TRUE",Inputs!$F$7=1),(Inputs!$H$7+Inputs!$L$7*(((Inputs!$I$7+(((A229)+1)/2)*(Inputs!$J$7-Inputs!$I$7)))/Inputs!$K$7)^2),NA())</f>
        <v>325.41735999999992</v>
      </c>
      <c r="BB229" s="9">
        <f>IF(OR(Inputs!$F$8=TRUE,Inputs!$F$8="TRUE",Inputs!$F$8=1),(Inputs!$H$8+Inputs!$L$8*(((Inputs!$I$8+(((A229)+1)/2)*(Inputs!$J$8-Inputs!$I$8)))/Inputs!$K$8)^2),NA())</f>
        <v>802.81575999999984</v>
      </c>
      <c r="BC229" s="9">
        <f>IF(OR(Inputs!$F$9=TRUE,Inputs!$F$9="TRUE",Inputs!$F$9=1),(Inputs!$H$9+Inputs!$L$9*(((Inputs!$I$9+(((A229)+1)/2)*(Inputs!$J$9-Inputs!$I$9)))/Inputs!$K$9)^2),NA())</f>
        <v>800.77239999999983</v>
      </c>
      <c r="BD229" s="10"/>
      <c r="BE229" s="9">
        <f t="shared" si="35"/>
        <v>0.89200000000000002</v>
      </c>
      <c r="BF229" s="9">
        <f>0</f>
        <v>0</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row>
    <row r="230" spans="1:62">
      <c r="A230" s="9">
        <f>ROUND(-1+228*2/240,3)</f>
        <v>0.9</v>
      </c>
      <c r="B230" s="9">
        <f>IF(OR(Inputs!$F$6=TRUE,Inputs!$F$6="TRUE",Inputs!$F$6=1),(Inputs!$H$6+Inputs!$L$6*(((Inputs!$I$6+(((A230)+1)/2)*(Inputs!$J$6-Inputs!$I$6)))/Inputs!$K$6)^2),NA())</f>
        <v>403.24</v>
      </c>
      <c r="C230" s="9">
        <f>IF(OR(Inputs!$F$7=TRUE,Inputs!$F$7="TRUE",Inputs!$F$7=1),(Inputs!$H$7+Inputs!$L$7*(((Inputs!$I$7+(((A230)+1)/2)*(Inputs!$J$7-Inputs!$I$7)))/Inputs!$K$7)^2),NA())</f>
        <v>330.65000000000003</v>
      </c>
      <c r="D230" s="9">
        <f>IF(OR(Inputs!$F$8=TRUE,Inputs!$F$8="TRUE",Inputs!$F$8=1),(Inputs!$H$8+Inputs!$L$8*(((Inputs!$I$8+(((A230)+1)/2)*(Inputs!$J$8-Inputs!$I$8)))/Inputs!$K$8)^2),NA())</f>
        <v>816.65000000000009</v>
      </c>
      <c r="E230" s="9">
        <f>IF(OR(Inputs!$F$9=TRUE,Inputs!$F$9="TRUE",Inputs!$F$9=1),(Inputs!$H$9+Inputs!$L$9*(((Inputs!$I$9+(((A230)+1)/2)*(Inputs!$J$9-Inputs!$I$9)))/Inputs!$K$9)^2),NA())</f>
        <v>814.75</v>
      </c>
      <c r="F230" s="10"/>
      <c r="G230" s="9">
        <f t="shared" si="27"/>
        <v>0.9</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c r="L230" s="10"/>
      <c r="M230" s="9">
        <f t="shared" si="28"/>
        <v>0.9</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-455.8919288810024</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-3235.1498150588423</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-4242.7272939095474</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-4270.920747988047</v>
      </c>
      <c r="R230" s="10"/>
      <c r="S230" s="9">
        <f t="shared" si="29"/>
        <v>0.9</v>
      </c>
      <c r="T230" s="9">
        <f>(Inputs!$I$6+(((A230)+1)/2)*(Inputs!$J$6-Inputs!$I$6))</f>
        <v>54</v>
      </c>
      <c r="U230" s="9">
        <f>(Inputs!$I$7+(((A230)+1)/2)*(Inputs!$J$7-Inputs!$I$7))</f>
        <v>360</v>
      </c>
      <c r="V230" s="9">
        <f>(Inputs!$I$8+(((A230)+1)/2)*(Inputs!$J$8-Inputs!$I$8))</f>
        <v>720</v>
      </c>
      <c r="W230" s="9">
        <f>(Inputs!$I$9+(((A230)+1)/2)*(Inputs!$J$9-Inputs!$I$9))</f>
        <v>720</v>
      </c>
      <c r="X230" s="10"/>
      <c r="Y230" s="9">
        <f t="shared" si="30"/>
        <v>0.9</v>
      </c>
      <c r="Z230" s="9">
        <f>(Inputs!$H$6+Inputs!$L$6*(((Inputs!$I$6+(((A230)+1)/2)*(Inputs!$J$6-Inputs!$I$6)))/Inputs!$K$6)^2)</f>
        <v>403.24</v>
      </c>
      <c r="AA230" s="9">
        <f>(Inputs!$H$7+Inputs!$L$7*(((Inputs!$I$7+(((A230)+1)/2)*(Inputs!$J$7-Inputs!$I$7)))/Inputs!$K$7)^2)</f>
        <v>330.65000000000003</v>
      </c>
      <c r="AB230" s="9">
        <f>(Inputs!$H$8+Inputs!$L$8*(((Inputs!$I$8+(((A230)+1)/2)*(Inputs!$J$8-Inputs!$I$8)))/Inputs!$K$8)^2)</f>
        <v>816.65000000000009</v>
      </c>
      <c r="AC230" s="9">
        <f>(Inputs!$H$9+Inputs!$L$9*(((Inputs!$I$9+(((A230)+1)/2)*(Inputs!$J$9-Inputs!$I$9)))/Inputs!$K$9)^2)</f>
        <v>814.75</v>
      </c>
      <c r="AD230" s="10"/>
      <c r="AE230" s="9">
        <f t="shared" si="31"/>
        <v>0.9</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3082.6057950139202</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104229.56547339146</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216200.75299642081</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216397.8187620005</v>
      </c>
      <c r="AJ230" s="10"/>
      <c r="AK230" s="9">
        <f t="shared" si="32"/>
        <v>0.9</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-455.8919288810024</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-3235.1498150588423</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-4242.7272939095474</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-4270.920747988047</v>
      </c>
      <c r="AP230" s="10"/>
      <c r="AQ230" s="9">
        <f t="shared" si="33"/>
        <v>0.9</v>
      </c>
      <c r="AR230" s="9">
        <f>0</f>
        <v>0</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181.54184215615243</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147.40890122903744</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155.84247419615929</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155.84247419615929</v>
      </c>
      <c r="AW230" s="10"/>
      <c r="AX230" s="9">
        <f t="shared" si="34"/>
        <v>0.9</v>
      </c>
      <c r="AY230" s="9">
        <f>0</f>
        <v>0</v>
      </c>
      <c r="AZ230" s="9">
        <f>IF(OR(Inputs!$F$6=TRUE,Inputs!$F$6="TRUE",Inputs!$F$6=1),(Inputs!$H$6+Inputs!$L$6*(((Inputs!$I$6+(((A230)+1)/2)*(Inputs!$J$6-Inputs!$I$6)))/Inputs!$K$6)^2),NA())</f>
        <v>403.24</v>
      </c>
      <c r="BA230" s="9">
        <f>IF(OR(Inputs!$F$7=TRUE,Inputs!$F$7="TRUE",Inputs!$F$7=1),(Inputs!$H$7+Inputs!$L$7*(((Inputs!$I$7+(((A230)+1)/2)*(Inputs!$J$7-Inputs!$I$7)))/Inputs!$K$7)^2),NA())</f>
        <v>330.65000000000003</v>
      </c>
      <c r="BB230" s="9">
        <f>IF(OR(Inputs!$F$8=TRUE,Inputs!$F$8="TRUE",Inputs!$F$8=1),(Inputs!$H$8+Inputs!$L$8*(((Inputs!$I$8+(((A230)+1)/2)*(Inputs!$J$8-Inputs!$I$8)))/Inputs!$K$8)^2),NA())</f>
        <v>816.65000000000009</v>
      </c>
      <c r="BC230" s="9">
        <f>IF(OR(Inputs!$F$9=TRUE,Inputs!$F$9="TRUE",Inputs!$F$9=1),(Inputs!$H$9+Inputs!$L$9*(((Inputs!$I$9+(((A230)+1)/2)*(Inputs!$J$9-Inputs!$I$9)))/Inputs!$K$9)^2),NA())</f>
        <v>814.75</v>
      </c>
      <c r="BD230" s="10"/>
      <c r="BE230" s="9">
        <f t="shared" si="35"/>
        <v>0.9</v>
      </c>
      <c r="BF230" s="9">
        <f>0</f>
        <v>0</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row>
    <row r="231" spans="1:62">
      <c r="A231" s="9">
        <f>ROUND(-1+229*2/240,3)</f>
        <v>0.90800000000000003</v>
      </c>
      <c r="B231" s="9">
        <f>IF(OR(Inputs!$F$6=TRUE,Inputs!$F$6="TRUE",Inputs!$F$6=1),(Inputs!$H$6+Inputs!$L$6*(((Inputs!$I$6+(((A231)+1)/2)*(Inputs!$J$6-Inputs!$I$6)))/Inputs!$K$6)^2),NA())</f>
        <v>403.29785600000002</v>
      </c>
      <c r="C231" s="9">
        <f>IF(OR(Inputs!$F$7=TRUE,Inputs!$F$7="TRUE",Inputs!$F$7=1),(Inputs!$H$7+Inputs!$L$7*(((Inputs!$I$7+(((A231)+1)/2)*(Inputs!$J$7-Inputs!$I$7)))/Inputs!$K$7)^2),NA())</f>
        <v>335.92935999999986</v>
      </c>
      <c r="D231" s="9">
        <f>IF(OR(Inputs!$F$8=TRUE,Inputs!$F$8="TRUE",Inputs!$F$8=1),(Inputs!$H$8+Inputs!$L$8*(((Inputs!$I$8+(((A231)+1)/2)*(Inputs!$J$8-Inputs!$I$8)))/Inputs!$K$8)^2),NA())</f>
        <v>830.60775999999964</v>
      </c>
      <c r="E231" s="9">
        <f>IF(OR(Inputs!$F$9=TRUE,Inputs!$F$9="TRUE",Inputs!$F$9=1),(Inputs!$H$9+Inputs!$L$9*(((Inputs!$I$9+(((A231)+1)/2)*(Inputs!$J$9-Inputs!$I$9)))/Inputs!$K$9)^2),NA())</f>
        <v>828.85239999999965</v>
      </c>
      <c r="F231" s="10"/>
      <c r="G231" s="9">
        <f t="shared" si="27"/>
        <v>0.90800000000000003</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c r="L231" s="10"/>
      <c r="M231" s="9">
        <f t="shared" si="28"/>
        <v>0.90800000000000003</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-459.83203891503143</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-3257.3852775412934</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-4276.2878080721885</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-4304.9350845009958</v>
      </c>
      <c r="R231" s="10"/>
      <c r="S231" s="9">
        <f t="shared" si="29"/>
        <v>0.90800000000000003</v>
      </c>
      <c r="T231" s="9">
        <f>(Inputs!$I$6+(((A231)+1)/2)*(Inputs!$J$6-Inputs!$I$6))</f>
        <v>54.47999999999999</v>
      </c>
      <c r="U231" s="9">
        <f>(Inputs!$I$7+(((A231)+1)/2)*(Inputs!$J$7-Inputs!$I$7))</f>
        <v>363.19999999999993</v>
      </c>
      <c r="V231" s="9">
        <f>(Inputs!$I$8+(((A231)+1)/2)*(Inputs!$J$8-Inputs!$I$8))</f>
        <v>726.39999999999986</v>
      </c>
      <c r="W231" s="9">
        <f>(Inputs!$I$9+(((A231)+1)/2)*(Inputs!$J$9-Inputs!$I$9))</f>
        <v>726.39999999999986</v>
      </c>
      <c r="X231" s="10"/>
      <c r="Y231" s="9">
        <f t="shared" si="30"/>
        <v>0.90800000000000003</v>
      </c>
      <c r="Z231" s="9">
        <f>(Inputs!$H$6+Inputs!$L$6*(((Inputs!$I$6+(((A231)+1)/2)*(Inputs!$J$6-Inputs!$I$6)))/Inputs!$K$6)^2)</f>
        <v>403.29785600000002</v>
      </c>
      <c r="AA231" s="9">
        <f>(Inputs!$H$7+Inputs!$L$7*(((Inputs!$I$7+(((A231)+1)/2)*(Inputs!$J$7-Inputs!$I$7)))/Inputs!$K$7)^2)</f>
        <v>335.92935999999986</v>
      </c>
      <c r="AB231" s="9">
        <f>(Inputs!$H$8+Inputs!$L$8*(((Inputs!$I$8+(((A231)+1)/2)*(Inputs!$J$8-Inputs!$I$8)))/Inputs!$K$8)^2)</f>
        <v>830.60775999999964</v>
      </c>
      <c r="AC231" s="9">
        <f>(Inputs!$H$9+Inputs!$L$9*(((Inputs!$I$9+(((A231)+1)/2)*(Inputs!$J$9-Inputs!$I$9)))/Inputs!$K$9)^2)</f>
        <v>828.85239999999965</v>
      </c>
      <c r="AD231" s="10"/>
      <c r="AE231" s="9">
        <f t="shared" si="31"/>
        <v>0.90800000000000003</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3127.2702144169825</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104911.11802230604</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217931.23263736602</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218110.90634825992</v>
      </c>
      <c r="AJ231" s="10"/>
      <c r="AK231" s="9">
        <f t="shared" si="32"/>
        <v>0.90800000000000003</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-459.83203891503143</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-3257.3852775412934</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-4276.2878080721885</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-4304.9350845009958</v>
      </c>
      <c r="AP231" s="10"/>
      <c r="AQ231" s="9">
        <f t="shared" si="33"/>
        <v>0.90800000000000003</v>
      </c>
      <c r="AR231" s="9">
        <f>0</f>
        <v>0</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176.7818564465648</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210.25335355823955</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228.36919814429467</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228.36919814429467</v>
      </c>
      <c r="AW231" s="10"/>
      <c r="AX231" s="9">
        <f t="shared" si="34"/>
        <v>0.90800000000000003</v>
      </c>
      <c r="AY231" s="9">
        <f>0</f>
        <v>0</v>
      </c>
      <c r="AZ231" s="9">
        <f>IF(OR(Inputs!$F$6=TRUE,Inputs!$F$6="TRUE",Inputs!$F$6=1),(Inputs!$H$6+Inputs!$L$6*(((Inputs!$I$6+(((A231)+1)/2)*(Inputs!$J$6-Inputs!$I$6)))/Inputs!$K$6)^2),NA())</f>
        <v>403.29785600000002</v>
      </c>
      <c r="BA231" s="9">
        <f>IF(OR(Inputs!$F$7=TRUE,Inputs!$F$7="TRUE",Inputs!$F$7=1),(Inputs!$H$7+Inputs!$L$7*(((Inputs!$I$7+(((A231)+1)/2)*(Inputs!$J$7-Inputs!$I$7)))/Inputs!$K$7)^2),NA())</f>
        <v>335.92935999999986</v>
      </c>
      <c r="BB231" s="9">
        <f>IF(OR(Inputs!$F$8=TRUE,Inputs!$F$8="TRUE",Inputs!$F$8=1),(Inputs!$H$8+Inputs!$L$8*(((Inputs!$I$8+(((A231)+1)/2)*(Inputs!$J$8-Inputs!$I$8)))/Inputs!$K$8)^2),NA())</f>
        <v>830.60775999999964</v>
      </c>
      <c r="BC231" s="9">
        <f>IF(OR(Inputs!$F$9=TRUE,Inputs!$F$9="TRUE",Inputs!$F$9=1),(Inputs!$H$9+Inputs!$L$9*(((Inputs!$I$9+(((A231)+1)/2)*(Inputs!$J$9-Inputs!$I$9)))/Inputs!$K$9)^2),NA())</f>
        <v>828.85239999999965</v>
      </c>
      <c r="BD231" s="10"/>
      <c r="BE231" s="9">
        <f t="shared" si="35"/>
        <v>0.90800000000000003</v>
      </c>
      <c r="BF231" s="9">
        <f>0</f>
        <v>0</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row>
    <row r="232" spans="1:62">
      <c r="A232" s="9">
        <f>ROUND(-1+230*2/240,3)</f>
        <v>0.91700000000000004</v>
      </c>
      <c r="B232" s="9">
        <f>IF(OR(Inputs!$F$6=TRUE,Inputs!$F$6="TRUE",Inputs!$F$6=1),(Inputs!$H$6+Inputs!$L$6*(((Inputs!$I$6+(((A232)+1)/2)*(Inputs!$J$6-Inputs!$I$6)))/Inputs!$K$6)^2),NA())</f>
        <v>403.36355600000002</v>
      </c>
      <c r="C232" s="9">
        <f>IF(OR(Inputs!$F$7=TRUE,Inputs!$F$7="TRUE",Inputs!$F$7=1),(Inputs!$H$7+Inputs!$L$7*(((Inputs!$I$7+(((A232)+1)/2)*(Inputs!$J$7-Inputs!$I$7)))/Inputs!$K$7)^2),NA())</f>
        <v>341.92448500000006</v>
      </c>
      <c r="D232" s="9">
        <f>IF(OR(Inputs!$F$8=TRUE,Inputs!$F$8="TRUE",Inputs!$F$8=1),(Inputs!$H$8+Inputs!$L$8*(((Inputs!$I$8+(((A232)+1)/2)*(Inputs!$J$8-Inputs!$I$8)))/Inputs!$K$8)^2),NA())</f>
        <v>846.45788500000026</v>
      </c>
      <c r="E232" s="9">
        <f>IF(OR(Inputs!$F$9=TRUE,Inputs!$F$9="TRUE",Inputs!$F$9=1),(Inputs!$H$9+Inputs!$L$9*(((Inputs!$I$9+(((A232)+1)/2)*(Inputs!$J$9-Inputs!$I$9)))/Inputs!$K$9)^2),NA())</f>
        <v>844.86677500000019</v>
      </c>
      <c r="F232" s="10"/>
      <c r="G232" s="9">
        <f t="shared" si="27"/>
        <v>0.91700000000000004</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c r="L232" s="10"/>
      <c r="M232" s="9">
        <f t="shared" si="28"/>
        <v>0.91700000000000004</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-464.26123721308295</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-3282.4822344515369</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-4314.1012956877594</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-4343.2566910254191</v>
      </c>
      <c r="R232" s="10"/>
      <c r="S232" s="9">
        <f t="shared" si="29"/>
        <v>0.91700000000000004</v>
      </c>
      <c r="T232" s="9">
        <f>(Inputs!$I$6+(((A232)+1)/2)*(Inputs!$J$6-Inputs!$I$6))</f>
        <v>55.019999999999996</v>
      </c>
      <c r="U232" s="9">
        <f>(Inputs!$I$7+(((A232)+1)/2)*(Inputs!$J$7-Inputs!$I$7))</f>
        <v>366.80000000000007</v>
      </c>
      <c r="V232" s="9">
        <f>(Inputs!$I$8+(((A232)+1)/2)*(Inputs!$J$8-Inputs!$I$8))</f>
        <v>733.60000000000014</v>
      </c>
      <c r="W232" s="9">
        <f>(Inputs!$I$9+(((A232)+1)/2)*(Inputs!$J$9-Inputs!$I$9))</f>
        <v>733.60000000000014</v>
      </c>
      <c r="X232" s="10"/>
      <c r="Y232" s="9">
        <f t="shared" si="30"/>
        <v>0.91700000000000004</v>
      </c>
      <c r="Z232" s="9">
        <f>(Inputs!$H$6+Inputs!$L$6*(((Inputs!$I$6+(((A232)+1)/2)*(Inputs!$J$6-Inputs!$I$6)))/Inputs!$K$6)^2)</f>
        <v>403.36355600000002</v>
      </c>
      <c r="AA232" s="9">
        <f>(Inputs!$H$7+Inputs!$L$7*(((Inputs!$I$7+(((A232)+1)/2)*(Inputs!$J$7-Inputs!$I$7)))/Inputs!$K$7)^2)</f>
        <v>341.92448500000006</v>
      </c>
      <c r="AB232" s="9">
        <f>(Inputs!$H$8+Inputs!$L$8*(((Inputs!$I$8+(((A232)+1)/2)*(Inputs!$J$8-Inputs!$I$8)))/Inputs!$K$8)^2)</f>
        <v>846.45788500000026</v>
      </c>
      <c r="AC232" s="9">
        <f>(Inputs!$H$9+Inputs!$L$9*(((Inputs!$I$9+(((A232)+1)/2)*(Inputs!$J$9-Inputs!$I$9)))/Inputs!$K$9)^2)</f>
        <v>844.86677500000019</v>
      </c>
      <c r="AD232" s="10"/>
      <c r="AE232" s="9">
        <f t="shared" si="31"/>
        <v>0.91700000000000004</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3177.9673170762962</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105676.40443464833</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219885.29324959015</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220045.75739405944</v>
      </c>
      <c r="AJ232" s="10"/>
      <c r="AK232" s="9">
        <f t="shared" si="32"/>
        <v>0.91700000000000004</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-464.26123721308295</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-3282.4822344515369</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-4314.1012956877594</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-4343.2566910254191</v>
      </c>
      <c r="AP232" s="10"/>
      <c r="AQ232" s="9">
        <f t="shared" si="33"/>
        <v>0.91700000000000004</v>
      </c>
      <c r="AR232" s="9">
        <f>0</f>
        <v>0</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201.97091731662786</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206.57355529666475</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97.720071477444861</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97.720071477444861</v>
      </c>
      <c r="AW232" s="10"/>
      <c r="AX232" s="9">
        <f t="shared" si="34"/>
        <v>0.91700000000000004</v>
      </c>
      <c r="AY232" s="9">
        <f>0</f>
        <v>0</v>
      </c>
      <c r="AZ232" s="9">
        <f>IF(OR(Inputs!$F$6=TRUE,Inputs!$F$6="TRUE",Inputs!$F$6=1),(Inputs!$H$6+Inputs!$L$6*(((Inputs!$I$6+(((A232)+1)/2)*(Inputs!$J$6-Inputs!$I$6)))/Inputs!$K$6)^2),NA())</f>
        <v>403.36355600000002</v>
      </c>
      <c r="BA232" s="9">
        <f>IF(OR(Inputs!$F$7=TRUE,Inputs!$F$7="TRUE",Inputs!$F$7=1),(Inputs!$H$7+Inputs!$L$7*(((Inputs!$I$7+(((A232)+1)/2)*(Inputs!$J$7-Inputs!$I$7)))/Inputs!$K$7)^2),NA())</f>
        <v>341.92448500000006</v>
      </c>
      <c r="BB232" s="9">
        <f>IF(OR(Inputs!$F$8=TRUE,Inputs!$F$8="TRUE",Inputs!$F$8=1),(Inputs!$H$8+Inputs!$L$8*(((Inputs!$I$8+(((A232)+1)/2)*(Inputs!$J$8-Inputs!$I$8)))/Inputs!$K$8)^2),NA())</f>
        <v>846.45788500000026</v>
      </c>
      <c r="BC232" s="9">
        <f>IF(OR(Inputs!$F$9=TRUE,Inputs!$F$9="TRUE",Inputs!$F$9=1),(Inputs!$H$9+Inputs!$L$9*(((Inputs!$I$9+(((A232)+1)/2)*(Inputs!$J$9-Inputs!$I$9)))/Inputs!$K$9)^2),NA())</f>
        <v>844.86677500000019</v>
      </c>
      <c r="BD232" s="10"/>
      <c r="BE232" s="9">
        <f t="shared" si="35"/>
        <v>0.91700000000000004</v>
      </c>
      <c r="BF232" s="9">
        <f>0</f>
        <v>0</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row>
    <row r="233" spans="1:62">
      <c r="A233" s="9">
        <f>ROUND(-1+231*2/240,3)</f>
        <v>0.92500000000000004</v>
      </c>
      <c r="B233" s="9">
        <f>IF(OR(Inputs!$F$6=TRUE,Inputs!$F$6="TRUE",Inputs!$F$6=1),(Inputs!$H$6+Inputs!$L$6*(((Inputs!$I$6+(((A233)+1)/2)*(Inputs!$J$6-Inputs!$I$6)))/Inputs!$K$6)^2),NA())</f>
        <v>403.42250000000001</v>
      </c>
      <c r="C233" s="9">
        <f>IF(OR(Inputs!$F$7=TRUE,Inputs!$F$7="TRUE",Inputs!$F$7=1),(Inputs!$H$7+Inputs!$L$7*(((Inputs!$I$7+(((A233)+1)/2)*(Inputs!$J$7-Inputs!$I$7)))/Inputs!$K$7)^2),NA())</f>
        <v>347.30312500000002</v>
      </c>
      <c r="D233" s="9">
        <f>IF(OR(Inputs!$F$8=TRUE,Inputs!$F$8="TRUE",Inputs!$F$8=1),(Inputs!$H$8+Inputs!$L$8*(((Inputs!$I$8+(((A233)+1)/2)*(Inputs!$J$8-Inputs!$I$8)))/Inputs!$K$8)^2),NA())</f>
        <v>860.67812500000002</v>
      </c>
      <c r="E233" s="9">
        <f>IF(OR(Inputs!$F$9=TRUE,Inputs!$F$9="TRUE",Inputs!$F$9=1),(Inputs!$H$9+Inputs!$L$9*(((Inputs!$I$9+(((A233)+1)/2)*(Inputs!$J$9-Inputs!$I$9)))/Inputs!$K$9)^2),NA())</f>
        <v>859.23437500000011</v>
      </c>
      <c r="F233" s="10"/>
      <c r="G233" s="9">
        <f t="shared" si="27"/>
        <v>0.92500000000000004</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c r="L233" s="10"/>
      <c r="M233" s="9">
        <f t="shared" si="28"/>
        <v>0.92500000000000004</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-468.19523497974569</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-3304.8622070781798</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-4347.762987975836</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-4377.367906392089</v>
      </c>
      <c r="R233" s="10"/>
      <c r="S233" s="9">
        <f t="shared" si="29"/>
        <v>0.92500000000000004</v>
      </c>
      <c r="T233" s="9">
        <f>(Inputs!$I$6+(((A233)+1)/2)*(Inputs!$J$6-Inputs!$I$6))</f>
        <v>55.5</v>
      </c>
      <c r="U233" s="9">
        <f>(Inputs!$I$7+(((A233)+1)/2)*(Inputs!$J$7-Inputs!$I$7))</f>
        <v>370</v>
      </c>
      <c r="V233" s="9">
        <f>(Inputs!$I$8+(((A233)+1)/2)*(Inputs!$J$8-Inputs!$I$8))</f>
        <v>740</v>
      </c>
      <c r="W233" s="9">
        <f>(Inputs!$I$9+(((A233)+1)/2)*(Inputs!$J$9-Inputs!$I$9))</f>
        <v>740</v>
      </c>
      <c r="X233" s="10"/>
      <c r="Y233" s="9">
        <f t="shared" si="30"/>
        <v>0.92500000000000004</v>
      </c>
      <c r="Z233" s="9">
        <f>(Inputs!$H$6+Inputs!$L$6*(((Inputs!$I$6+(((A233)+1)/2)*(Inputs!$J$6-Inputs!$I$6)))/Inputs!$K$6)^2)</f>
        <v>403.42250000000001</v>
      </c>
      <c r="AA233" s="9">
        <f>(Inputs!$H$7+Inputs!$L$7*(((Inputs!$I$7+(((A233)+1)/2)*(Inputs!$J$7-Inputs!$I$7)))/Inputs!$K$7)^2)</f>
        <v>347.30312500000002</v>
      </c>
      <c r="AB233" s="9">
        <f>(Inputs!$H$8+Inputs!$L$8*(((Inputs!$I$8+(((A233)+1)/2)*(Inputs!$J$8-Inputs!$I$8)))/Inputs!$K$8)^2)</f>
        <v>860.67812500000002</v>
      </c>
      <c r="AC233" s="9">
        <f>(Inputs!$H$9+Inputs!$L$9*(((Inputs!$I$9+(((A233)+1)/2)*(Inputs!$J$9-Inputs!$I$9)))/Inputs!$K$9)^2)</f>
        <v>859.23437500000011</v>
      </c>
      <c r="AD233" s="10"/>
      <c r="AE233" s="9">
        <f t="shared" si="31"/>
        <v>0.92500000000000004</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3223.4305436364602</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106355.44562941928</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221628.81755188678</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221772.51837865092</v>
      </c>
      <c r="AJ233" s="10"/>
      <c r="AK233" s="9">
        <f t="shared" si="32"/>
        <v>0.92500000000000004</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-468.19523497974569</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-3304.8622070781798</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-4347.762987975836</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-4377.367906392089</v>
      </c>
      <c r="AP233" s="10"/>
      <c r="AQ233" s="9">
        <f t="shared" si="33"/>
        <v>0.92500000000000004</v>
      </c>
      <c r="AR233" s="9">
        <f>0</f>
        <v>0</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182.552269274569</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145.39340173065168</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160.06440461151226</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160.06440461151226</v>
      </c>
      <c r="AW233" s="10"/>
      <c r="AX233" s="9">
        <f t="shared" si="34"/>
        <v>0.92500000000000004</v>
      </c>
      <c r="AY233" s="9">
        <f>0</f>
        <v>0</v>
      </c>
      <c r="AZ233" s="9">
        <f>IF(OR(Inputs!$F$6=TRUE,Inputs!$F$6="TRUE",Inputs!$F$6=1),(Inputs!$H$6+Inputs!$L$6*(((Inputs!$I$6+(((A233)+1)/2)*(Inputs!$J$6-Inputs!$I$6)))/Inputs!$K$6)^2),NA())</f>
        <v>403.42250000000001</v>
      </c>
      <c r="BA233" s="9">
        <f>IF(OR(Inputs!$F$7=TRUE,Inputs!$F$7="TRUE",Inputs!$F$7=1),(Inputs!$H$7+Inputs!$L$7*(((Inputs!$I$7+(((A233)+1)/2)*(Inputs!$J$7-Inputs!$I$7)))/Inputs!$K$7)^2),NA())</f>
        <v>347.30312500000002</v>
      </c>
      <c r="BB233" s="9">
        <f>IF(OR(Inputs!$F$8=TRUE,Inputs!$F$8="TRUE",Inputs!$F$8=1),(Inputs!$H$8+Inputs!$L$8*(((Inputs!$I$8+(((A233)+1)/2)*(Inputs!$J$8-Inputs!$I$8)))/Inputs!$K$8)^2),NA())</f>
        <v>860.67812500000002</v>
      </c>
      <c r="BC233" s="9">
        <f>IF(OR(Inputs!$F$9=TRUE,Inputs!$F$9="TRUE",Inputs!$F$9=1),(Inputs!$H$9+Inputs!$L$9*(((Inputs!$I$9+(((A233)+1)/2)*(Inputs!$J$9-Inputs!$I$9)))/Inputs!$K$9)^2),NA())</f>
        <v>859.23437500000011</v>
      </c>
      <c r="BD233" s="10"/>
      <c r="BE233" s="9">
        <f t="shared" si="35"/>
        <v>0.92500000000000004</v>
      </c>
      <c r="BF233" s="9">
        <f>0</f>
        <v>0</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row>
    <row r="234" spans="1:62">
      <c r="A234" s="9">
        <f>ROUND(-1+232*2/240,3)</f>
        <v>0.93300000000000005</v>
      </c>
      <c r="B234" s="9">
        <f>IF(OR(Inputs!$F$6=TRUE,Inputs!$F$6="TRUE",Inputs!$F$6=1),(Inputs!$H$6+Inputs!$L$6*(((Inputs!$I$6+(((A234)+1)/2)*(Inputs!$J$6-Inputs!$I$6)))/Inputs!$K$6)^2),NA())</f>
        <v>403.48195600000003</v>
      </c>
      <c r="C234" s="9">
        <f>IF(OR(Inputs!$F$7=TRUE,Inputs!$F$7="TRUE",Inputs!$F$7=1),(Inputs!$H$7+Inputs!$L$7*(((Inputs!$I$7+(((A234)+1)/2)*(Inputs!$J$7-Inputs!$I$7)))/Inputs!$K$7)^2),NA())</f>
        <v>352.72848500000009</v>
      </c>
      <c r="D234" s="9">
        <f>IF(OR(Inputs!$F$8=TRUE,Inputs!$F$8="TRUE",Inputs!$F$8=1),(Inputs!$H$8+Inputs!$L$8*(((Inputs!$I$8+(((A234)+1)/2)*(Inputs!$J$8-Inputs!$I$8)))/Inputs!$K$8)^2),NA())</f>
        <v>875.02188500000022</v>
      </c>
      <c r="E234" s="9">
        <f>IF(OR(Inputs!$F$9=TRUE,Inputs!$F$9="TRUE",Inputs!$F$9=1),(Inputs!$H$9+Inputs!$L$9*(((Inputs!$I$9+(((A234)+1)/2)*(Inputs!$J$9-Inputs!$I$9)))/Inputs!$K$9)^2),NA())</f>
        <v>873.72677500000032</v>
      </c>
      <c r="F234" s="10"/>
      <c r="G234" s="9">
        <f t="shared" si="27"/>
        <v>0.93300000000000005</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c r="L234" s="10"/>
      <c r="M234" s="9">
        <f t="shared" si="28"/>
        <v>0.93300000000000005</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-472.12632473724898</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-3327.308259194152</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-4381.4698374271329</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-4411.5222888106046</v>
      </c>
      <c r="R234" s="10"/>
      <c r="S234" s="9">
        <f t="shared" si="29"/>
        <v>0.93300000000000005</v>
      </c>
      <c r="T234" s="9">
        <f>(Inputs!$I$6+(((A234)+1)/2)*(Inputs!$J$6-Inputs!$I$6))</f>
        <v>55.980000000000004</v>
      </c>
      <c r="U234" s="9">
        <f>(Inputs!$I$7+(((A234)+1)/2)*(Inputs!$J$7-Inputs!$I$7))</f>
        <v>373.20000000000005</v>
      </c>
      <c r="V234" s="9">
        <f>(Inputs!$I$8+(((A234)+1)/2)*(Inputs!$J$8-Inputs!$I$8))</f>
        <v>746.40000000000009</v>
      </c>
      <c r="W234" s="9">
        <f>(Inputs!$I$9+(((A234)+1)/2)*(Inputs!$J$9-Inputs!$I$9))</f>
        <v>746.40000000000009</v>
      </c>
      <c r="X234" s="10"/>
      <c r="Y234" s="9">
        <f t="shared" si="30"/>
        <v>0.93300000000000005</v>
      </c>
      <c r="Z234" s="9">
        <f>(Inputs!$H$6+Inputs!$L$6*(((Inputs!$I$6+(((A234)+1)/2)*(Inputs!$J$6-Inputs!$I$6)))/Inputs!$K$6)^2)</f>
        <v>403.48195600000003</v>
      </c>
      <c r="AA234" s="9">
        <f>(Inputs!$H$7+Inputs!$L$7*(((Inputs!$I$7+(((A234)+1)/2)*(Inputs!$J$7-Inputs!$I$7)))/Inputs!$K$7)^2)</f>
        <v>352.72848500000009</v>
      </c>
      <c r="AB234" s="9">
        <f>(Inputs!$H$8+Inputs!$L$8*(((Inputs!$I$8+(((A234)+1)/2)*(Inputs!$J$8-Inputs!$I$8)))/Inputs!$K$8)^2)</f>
        <v>875.02188500000022</v>
      </c>
      <c r="AC234" s="9">
        <f>(Inputs!$H$9+Inputs!$L$9*(((Inputs!$I$9+(((A234)+1)/2)*(Inputs!$J$9-Inputs!$I$9)))/Inputs!$K$9)^2)</f>
        <v>873.72677500000032</v>
      </c>
      <c r="AD234" s="10"/>
      <c r="AE234" s="9">
        <f t="shared" si="31"/>
        <v>0.93300000000000005</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3269.2689183040475</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107033.4229070712</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223378.64387405742</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223505.87020606681</v>
      </c>
      <c r="AJ234" s="10"/>
      <c r="AK234" s="9">
        <f t="shared" si="32"/>
        <v>0.93300000000000005</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-472.12632473724898</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-3327.308259194152</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-4381.4698374271329</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-4411.5222888106046</v>
      </c>
      <c r="AP234" s="10"/>
      <c r="AQ234" s="9">
        <f t="shared" si="33"/>
        <v>0.93300000000000005</v>
      </c>
      <c r="AR234" s="9">
        <f>0</f>
        <v>0</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185.94476125945113</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98.113524032142593</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160.61002511451861</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160.61002511451861</v>
      </c>
      <c r="AW234" s="10"/>
      <c r="AX234" s="9">
        <f t="shared" si="34"/>
        <v>0.93300000000000005</v>
      </c>
      <c r="AY234" s="9">
        <f>0</f>
        <v>0</v>
      </c>
      <c r="AZ234" s="9">
        <f>IF(OR(Inputs!$F$6=TRUE,Inputs!$F$6="TRUE",Inputs!$F$6=1),(Inputs!$H$6+Inputs!$L$6*(((Inputs!$I$6+(((A234)+1)/2)*(Inputs!$J$6-Inputs!$I$6)))/Inputs!$K$6)^2),NA())</f>
        <v>403.48195600000003</v>
      </c>
      <c r="BA234" s="9">
        <f>IF(OR(Inputs!$F$7=TRUE,Inputs!$F$7="TRUE",Inputs!$F$7=1),(Inputs!$H$7+Inputs!$L$7*(((Inputs!$I$7+(((A234)+1)/2)*(Inputs!$J$7-Inputs!$I$7)))/Inputs!$K$7)^2),NA())</f>
        <v>352.72848500000009</v>
      </c>
      <c r="BB234" s="9">
        <f>IF(OR(Inputs!$F$8=TRUE,Inputs!$F$8="TRUE",Inputs!$F$8=1),(Inputs!$H$8+Inputs!$L$8*(((Inputs!$I$8+(((A234)+1)/2)*(Inputs!$J$8-Inputs!$I$8)))/Inputs!$K$8)^2),NA())</f>
        <v>875.02188500000022</v>
      </c>
      <c r="BC234" s="9">
        <f>IF(OR(Inputs!$F$9=TRUE,Inputs!$F$9="TRUE",Inputs!$F$9=1),(Inputs!$H$9+Inputs!$L$9*(((Inputs!$I$9+(((A234)+1)/2)*(Inputs!$J$9-Inputs!$I$9)))/Inputs!$K$9)^2),NA())</f>
        <v>873.72677500000032</v>
      </c>
      <c r="BD234" s="10"/>
      <c r="BE234" s="9">
        <f t="shared" si="35"/>
        <v>0.93300000000000005</v>
      </c>
      <c r="BF234" s="9">
        <f>0</f>
        <v>0</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row>
    <row r="235" spans="1:62">
      <c r="A235" s="9">
        <f>ROUND(-1+233*2/240,3)</f>
        <v>0.94199999999999995</v>
      </c>
      <c r="B235" s="9">
        <f>IF(OR(Inputs!$F$6=TRUE,Inputs!$F$6="TRUE",Inputs!$F$6=1),(Inputs!$H$6+Inputs!$L$6*(((Inputs!$I$6+(((A235)+1)/2)*(Inputs!$J$6-Inputs!$I$6)))/Inputs!$K$6)^2),NA())</f>
        <v>403.54945600000002</v>
      </c>
      <c r="C235" s="9">
        <f>IF(OR(Inputs!$F$7=TRUE,Inputs!$F$7="TRUE",Inputs!$F$7=1),(Inputs!$H$7+Inputs!$L$7*(((Inputs!$I$7+(((A235)+1)/2)*(Inputs!$J$7-Inputs!$I$7)))/Inputs!$K$7)^2),NA())</f>
        <v>358.88785999999988</v>
      </c>
      <c r="D235" s="9">
        <f>IF(OR(Inputs!$F$8=TRUE,Inputs!$F$8="TRUE",Inputs!$F$8=1),(Inputs!$H$8+Inputs!$L$8*(((Inputs!$I$8+(((A235)+1)/2)*(Inputs!$J$8-Inputs!$I$8)))/Inputs!$K$8)^2),NA())</f>
        <v>891.30625999999972</v>
      </c>
      <c r="E235" s="9">
        <f>IF(OR(Inputs!$F$9=TRUE,Inputs!$F$9="TRUE",Inputs!$F$9=1),(Inputs!$H$9+Inputs!$L$9*(((Inputs!$I$9+(((A235)+1)/2)*(Inputs!$J$9-Inputs!$I$9)))/Inputs!$K$9)^2),NA())</f>
        <v>890.17989999999975</v>
      </c>
      <c r="F235" s="10"/>
      <c r="G235" s="9">
        <f t="shared" si="27"/>
        <v>0.94199999999999995</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c r="L235" s="10"/>
      <c r="M235" s="9">
        <f t="shared" si="28"/>
        <v>0.94199999999999995</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-476.54529972214686</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-3352.6375502318347</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-4419.4421344660823</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-4449.9957090469306</v>
      </c>
      <c r="R235" s="10"/>
      <c r="S235" s="9">
        <f t="shared" si="29"/>
        <v>0.94199999999999995</v>
      </c>
      <c r="T235" s="9">
        <f>(Inputs!$I$6+(((A235)+1)/2)*(Inputs!$J$6-Inputs!$I$6))</f>
        <v>56.519999999999996</v>
      </c>
      <c r="U235" s="9">
        <f>(Inputs!$I$7+(((A235)+1)/2)*(Inputs!$J$7-Inputs!$I$7))</f>
        <v>376.79999999999995</v>
      </c>
      <c r="V235" s="9">
        <f>(Inputs!$I$8+(((A235)+1)/2)*(Inputs!$J$8-Inputs!$I$8))</f>
        <v>753.59999999999991</v>
      </c>
      <c r="W235" s="9">
        <f>(Inputs!$I$9+(((A235)+1)/2)*(Inputs!$J$9-Inputs!$I$9))</f>
        <v>753.59999999999991</v>
      </c>
      <c r="X235" s="10"/>
      <c r="Y235" s="9">
        <f t="shared" si="30"/>
        <v>0.94199999999999995</v>
      </c>
      <c r="Z235" s="9">
        <f>(Inputs!$H$6+Inputs!$L$6*(((Inputs!$I$6+(((A235)+1)/2)*(Inputs!$J$6-Inputs!$I$6)))/Inputs!$K$6)^2)</f>
        <v>403.54945600000002</v>
      </c>
      <c r="AA235" s="9">
        <f>(Inputs!$H$7+Inputs!$L$7*(((Inputs!$I$7+(((A235)+1)/2)*(Inputs!$J$7-Inputs!$I$7)))/Inputs!$K$7)^2)</f>
        <v>358.88785999999988</v>
      </c>
      <c r="AB235" s="9">
        <f>(Inputs!$H$8+Inputs!$L$8*(((Inputs!$I$8+(((A235)+1)/2)*(Inputs!$J$8-Inputs!$I$8)))/Inputs!$K$8)^2)</f>
        <v>891.30625999999972</v>
      </c>
      <c r="AC235" s="9">
        <f>(Inputs!$H$9+Inputs!$L$9*(((Inputs!$I$9+(((A235)+1)/2)*(Inputs!$J$9-Inputs!$I$9)))/Inputs!$K$9)^2)</f>
        <v>890.17989999999975</v>
      </c>
      <c r="AD235" s="10"/>
      <c r="AE235" s="9">
        <f t="shared" si="31"/>
        <v>0.94199999999999995</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3321.28489653817</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107794.96717721704</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225354.85545907478</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225463.88768239436</v>
      </c>
      <c r="AJ235" s="10"/>
      <c r="AK235" s="9">
        <f t="shared" si="32"/>
        <v>0.94199999999999995</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-476.54529972214686</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-3352.6375502318347</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-4419.4421344660823</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-4449.9957090469306</v>
      </c>
      <c r="AP235" s="10"/>
      <c r="AQ235" s="9">
        <f t="shared" si="33"/>
        <v>0.94199999999999995</v>
      </c>
      <c r="AR235" s="9">
        <f>0</f>
        <v>0</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199.19208848085862</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136.80312199804771</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61.340417017011191</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61.340417017011191</v>
      </c>
      <c r="AW235" s="10"/>
      <c r="AX235" s="9">
        <f t="shared" si="34"/>
        <v>0.94199999999999995</v>
      </c>
      <c r="AY235" s="9">
        <f>0</f>
        <v>0</v>
      </c>
      <c r="AZ235" s="9">
        <f>IF(OR(Inputs!$F$6=TRUE,Inputs!$F$6="TRUE",Inputs!$F$6=1),(Inputs!$H$6+Inputs!$L$6*(((Inputs!$I$6+(((A235)+1)/2)*(Inputs!$J$6-Inputs!$I$6)))/Inputs!$K$6)^2),NA())</f>
        <v>403.54945600000002</v>
      </c>
      <c r="BA235" s="9">
        <f>IF(OR(Inputs!$F$7=TRUE,Inputs!$F$7="TRUE",Inputs!$F$7=1),(Inputs!$H$7+Inputs!$L$7*(((Inputs!$I$7+(((A235)+1)/2)*(Inputs!$J$7-Inputs!$I$7)))/Inputs!$K$7)^2),NA())</f>
        <v>358.88785999999988</v>
      </c>
      <c r="BB235" s="9">
        <f>IF(OR(Inputs!$F$8=TRUE,Inputs!$F$8="TRUE",Inputs!$F$8=1),(Inputs!$H$8+Inputs!$L$8*(((Inputs!$I$8+(((A235)+1)/2)*(Inputs!$J$8-Inputs!$I$8)))/Inputs!$K$8)^2),NA())</f>
        <v>891.30625999999972</v>
      </c>
      <c r="BC235" s="9">
        <f>IF(OR(Inputs!$F$9=TRUE,Inputs!$F$9="TRUE",Inputs!$F$9=1),(Inputs!$H$9+Inputs!$L$9*(((Inputs!$I$9+(((A235)+1)/2)*(Inputs!$J$9-Inputs!$I$9)))/Inputs!$K$9)^2),NA())</f>
        <v>890.17989999999975</v>
      </c>
      <c r="BD235" s="10"/>
      <c r="BE235" s="9">
        <f t="shared" si="35"/>
        <v>0.94199999999999995</v>
      </c>
      <c r="BF235" s="9">
        <f>0</f>
        <v>0</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row>
    <row r="236" spans="1:62">
      <c r="A236" s="9">
        <f>ROUND(-1+234*2/240,3)</f>
        <v>0.95</v>
      </c>
      <c r="B236" s="9">
        <f>IF(OR(Inputs!$F$6=TRUE,Inputs!$F$6="TRUE",Inputs!$F$6=1),(Inputs!$H$6+Inputs!$L$6*(((Inputs!$I$6+(((A236)+1)/2)*(Inputs!$J$6-Inputs!$I$6)))/Inputs!$K$6)^2),NA())</f>
        <v>403.61</v>
      </c>
      <c r="C236" s="9">
        <f>IF(OR(Inputs!$F$7=TRUE,Inputs!$F$7="TRUE",Inputs!$F$7=1),(Inputs!$H$7+Inputs!$L$7*(((Inputs!$I$7+(((A236)+1)/2)*(Inputs!$J$7-Inputs!$I$7)))/Inputs!$K$7)^2),NA())</f>
        <v>364.41249999999997</v>
      </c>
      <c r="D236" s="9">
        <f>IF(OR(Inputs!$F$8=TRUE,Inputs!$F$8="TRUE",Inputs!$F$8=1),(Inputs!$H$8+Inputs!$L$8*(((Inputs!$I$8+(((A236)+1)/2)*(Inputs!$J$8-Inputs!$I$8)))/Inputs!$K$8)^2),NA())</f>
        <v>905.91250000000002</v>
      </c>
      <c r="E236" s="9">
        <f>IF(OR(Inputs!$F$9=TRUE,Inputs!$F$9="TRUE",Inputs!$F$9=1),(Inputs!$H$9+Inputs!$L$9*(((Inputs!$I$9+(((A236)+1)/2)*(Inputs!$J$9-Inputs!$I$9)))/Inputs!$K$9)^2),NA())</f>
        <v>904.9375</v>
      </c>
      <c r="F236" s="10"/>
      <c r="G236" s="9">
        <f t="shared" si="27"/>
        <v>0.95</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c r="L236" s="10"/>
      <c r="M236" s="9">
        <f t="shared" si="28"/>
        <v>0.95</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-480.47014339567539</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-3375.2200328801591</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-4453.2399599371656</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-4484.2369121882757</v>
      </c>
      <c r="R236" s="10"/>
      <c r="S236" s="9">
        <f t="shared" si="29"/>
        <v>0.95</v>
      </c>
      <c r="T236" s="9">
        <f>(Inputs!$I$6+(((A236)+1)/2)*(Inputs!$J$6-Inputs!$I$6))</f>
        <v>57</v>
      </c>
      <c r="U236" s="9">
        <f>(Inputs!$I$7+(((A236)+1)/2)*(Inputs!$J$7-Inputs!$I$7))</f>
        <v>380</v>
      </c>
      <c r="V236" s="9">
        <f>(Inputs!$I$8+(((A236)+1)/2)*(Inputs!$J$8-Inputs!$I$8))</f>
        <v>760</v>
      </c>
      <c r="W236" s="9">
        <f>(Inputs!$I$9+(((A236)+1)/2)*(Inputs!$J$9-Inputs!$I$9))</f>
        <v>760</v>
      </c>
      <c r="X236" s="10"/>
      <c r="Y236" s="9">
        <f t="shared" si="30"/>
        <v>0.95</v>
      </c>
      <c r="Z236" s="9">
        <f>(Inputs!$H$6+Inputs!$L$6*(((Inputs!$I$6+(((A236)+1)/2)*(Inputs!$J$6-Inputs!$I$6)))/Inputs!$K$6)^2)</f>
        <v>403.61</v>
      </c>
      <c r="AA236" s="9">
        <f>(Inputs!$H$7+Inputs!$L$7*(((Inputs!$I$7+(((A236)+1)/2)*(Inputs!$J$7-Inputs!$I$7)))/Inputs!$K$7)^2)</f>
        <v>364.41249999999997</v>
      </c>
      <c r="AB236" s="9">
        <f>(Inputs!$H$8+Inputs!$L$8*(((Inputs!$I$8+(((A236)+1)/2)*(Inputs!$J$8-Inputs!$I$8)))/Inputs!$K$8)^2)</f>
        <v>905.91250000000002</v>
      </c>
      <c r="AC236" s="9">
        <f>(Inputs!$H$9+Inputs!$L$9*(((Inputs!$I$9+(((A236)+1)/2)*(Inputs!$J$9-Inputs!$I$9)))/Inputs!$K$9)^2)</f>
        <v>904.9375</v>
      </c>
      <c r="AD236" s="10"/>
      <c r="AE236" s="9">
        <f t="shared" si="31"/>
        <v>0.95</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3367.9188237744538</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108470.92621776105</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227118.40064745268</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227211.55741989255</v>
      </c>
      <c r="AJ236" s="10"/>
      <c r="AK236" s="9">
        <f t="shared" si="32"/>
        <v>0.95</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-480.47014339567539</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-3375.2200328801591</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-4453.2399599371656</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-4484.2369121882757</v>
      </c>
      <c r="AP236" s="10"/>
      <c r="AQ236" s="9">
        <f t="shared" si="33"/>
        <v>0.95</v>
      </c>
      <c r="AR236" s="9">
        <f>0</f>
        <v>0</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200.68454527158707</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190.60775900654997</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218.36377764563176</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218.36377764563176</v>
      </c>
      <c r="AW236" s="10"/>
      <c r="AX236" s="9">
        <f t="shared" si="34"/>
        <v>0.95</v>
      </c>
      <c r="AY236" s="9">
        <f>0</f>
        <v>0</v>
      </c>
      <c r="AZ236" s="9">
        <f>IF(OR(Inputs!$F$6=TRUE,Inputs!$F$6="TRUE",Inputs!$F$6=1),(Inputs!$H$6+Inputs!$L$6*(((Inputs!$I$6+(((A236)+1)/2)*(Inputs!$J$6-Inputs!$I$6)))/Inputs!$K$6)^2),NA())</f>
        <v>403.61</v>
      </c>
      <c r="BA236" s="9">
        <f>IF(OR(Inputs!$F$7=TRUE,Inputs!$F$7="TRUE",Inputs!$F$7=1),(Inputs!$H$7+Inputs!$L$7*(((Inputs!$I$7+(((A236)+1)/2)*(Inputs!$J$7-Inputs!$I$7)))/Inputs!$K$7)^2),NA())</f>
        <v>364.41249999999997</v>
      </c>
      <c r="BB236" s="9">
        <f>IF(OR(Inputs!$F$8=TRUE,Inputs!$F$8="TRUE",Inputs!$F$8=1),(Inputs!$H$8+Inputs!$L$8*(((Inputs!$I$8+(((A236)+1)/2)*(Inputs!$J$8-Inputs!$I$8)))/Inputs!$K$8)^2),NA())</f>
        <v>905.91250000000002</v>
      </c>
      <c r="BC236" s="9">
        <f>IF(OR(Inputs!$F$9=TRUE,Inputs!$F$9="TRUE",Inputs!$F$9=1),(Inputs!$H$9+Inputs!$L$9*(((Inputs!$I$9+(((A236)+1)/2)*(Inputs!$J$9-Inputs!$I$9)))/Inputs!$K$9)^2),NA())</f>
        <v>904.9375</v>
      </c>
      <c r="BD236" s="10"/>
      <c r="BE236" s="9">
        <f t="shared" si="35"/>
        <v>0.95</v>
      </c>
      <c r="BF236" s="9">
        <f>0</f>
        <v>0</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row>
    <row r="237" spans="1:62">
      <c r="A237" s="9">
        <f>ROUND(-1+235*2/240,3)</f>
        <v>0.95799999999999996</v>
      </c>
      <c r="B237" s="9">
        <f>IF(OR(Inputs!$F$6=TRUE,Inputs!$F$6="TRUE",Inputs!$F$6=1),(Inputs!$H$6+Inputs!$L$6*(((Inputs!$I$6+(((A237)+1)/2)*(Inputs!$J$6-Inputs!$I$6)))/Inputs!$K$6)^2),NA())</f>
        <v>403.67105600000002</v>
      </c>
      <c r="C237" s="9">
        <f>IF(OR(Inputs!$F$7=TRUE,Inputs!$F$7="TRUE",Inputs!$F$7=1),(Inputs!$H$7+Inputs!$L$7*(((Inputs!$I$7+(((A237)+1)/2)*(Inputs!$J$7-Inputs!$I$7)))/Inputs!$K$7)^2),NA())</f>
        <v>369.98385999999988</v>
      </c>
      <c r="D237" s="9">
        <f>IF(OR(Inputs!$F$8=TRUE,Inputs!$F$8="TRUE",Inputs!$F$8=1),(Inputs!$H$8+Inputs!$L$8*(((Inputs!$I$8+(((A237)+1)/2)*(Inputs!$J$8-Inputs!$I$8)))/Inputs!$K$8)^2),NA())</f>
        <v>920.64225999999974</v>
      </c>
      <c r="E237" s="9">
        <f>IF(OR(Inputs!$F$9=TRUE,Inputs!$F$9="TRUE",Inputs!$F$9=1),(Inputs!$H$9+Inputs!$L$9*(((Inputs!$I$9+(((A237)+1)/2)*(Inputs!$J$9-Inputs!$I$9)))/Inputs!$K$9)^2),NA())</f>
        <v>919.81989999999973</v>
      </c>
      <c r="F237" s="10"/>
      <c r="G237" s="9">
        <f t="shared" si="27"/>
        <v>0.95799999999999996</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c r="L237" s="10"/>
      <c r="M237" s="9">
        <f t="shared" si="28"/>
        <v>0.95799999999999996</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-484.39201666720464</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-3397.8648793413604</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-4487.0783364382769</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-4518.5167466337525</v>
      </c>
      <c r="R237" s="10"/>
      <c r="S237" s="9">
        <f t="shared" si="29"/>
        <v>0.95799999999999996</v>
      </c>
      <c r="T237" s="9">
        <f>(Inputs!$I$6+(((A237)+1)/2)*(Inputs!$J$6-Inputs!$I$6))</f>
        <v>57.480000000000004</v>
      </c>
      <c r="U237" s="9">
        <f>(Inputs!$I$7+(((A237)+1)/2)*(Inputs!$J$7-Inputs!$I$7))</f>
        <v>383.19999999999993</v>
      </c>
      <c r="V237" s="9">
        <f>(Inputs!$I$8+(((A237)+1)/2)*(Inputs!$J$8-Inputs!$I$8))</f>
        <v>766.39999999999986</v>
      </c>
      <c r="W237" s="9">
        <f>(Inputs!$I$9+(((A237)+1)/2)*(Inputs!$J$9-Inputs!$I$9))</f>
        <v>766.39999999999986</v>
      </c>
      <c r="X237" s="10"/>
      <c r="Y237" s="9">
        <f t="shared" si="30"/>
        <v>0.95799999999999996</v>
      </c>
      <c r="Z237" s="9">
        <f>(Inputs!$H$6+Inputs!$L$6*(((Inputs!$I$6+(((A237)+1)/2)*(Inputs!$J$6-Inputs!$I$6)))/Inputs!$K$6)^2)</f>
        <v>403.67105600000002</v>
      </c>
      <c r="AA237" s="9">
        <f>(Inputs!$H$7+Inputs!$L$7*(((Inputs!$I$7+(((A237)+1)/2)*(Inputs!$J$7-Inputs!$I$7)))/Inputs!$K$7)^2)</f>
        <v>369.98385999999988</v>
      </c>
      <c r="AB237" s="9">
        <f>(Inputs!$H$8+Inputs!$L$8*(((Inputs!$I$8+(((A237)+1)/2)*(Inputs!$J$8-Inputs!$I$8)))/Inputs!$K$8)^2)</f>
        <v>920.64225999999974</v>
      </c>
      <c r="AC237" s="9">
        <f>(Inputs!$H$9+Inputs!$L$9*(((Inputs!$I$9+(((A237)+1)/2)*(Inputs!$J$9-Inputs!$I$9)))/Inputs!$K$9)^2)</f>
        <v>919.81989999999973</v>
      </c>
      <c r="AD237" s="10"/>
      <c r="AE237" s="9">
        <f t="shared" si="31"/>
        <v>0.95799999999999996</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3414.9263510308238</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109146.04678789226</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228888.54857473701</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228966.10498814471</v>
      </c>
      <c r="AJ237" s="10"/>
      <c r="AK237" s="9">
        <f t="shared" si="32"/>
        <v>0.95799999999999996</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-484.39201666720464</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-3397.8648793413604</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-4487.0783364382769</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-4518.5167466337525</v>
      </c>
      <c r="AP237" s="10"/>
      <c r="AQ237" s="9">
        <f t="shared" si="33"/>
        <v>0.95799999999999996</v>
      </c>
      <c r="AR237" s="9">
        <f>0</f>
        <v>0</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174.79143562791538</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217.37686422234734</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90.427022630534054</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90.427022630534054</v>
      </c>
      <c r="AW237" s="10"/>
      <c r="AX237" s="9">
        <f t="shared" si="34"/>
        <v>0.95799999999999996</v>
      </c>
      <c r="AY237" s="9">
        <f>0</f>
        <v>0</v>
      </c>
      <c r="AZ237" s="9">
        <f>IF(OR(Inputs!$F$6=TRUE,Inputs!$F$6="TRUE",Inputs!$F$6=1),(Inputs!$H$6+Inputs!$L$6*(((Inputs!$I$6+(((A237)+1)/2)*(Inputs!$J$6-Inputs!$I$6)))/Inputs!$K$6)^2),NA())</f>
        <v>403.67105600000002</v>
      </c>
      <c r="BA237" s="9">
        <f>IF(OR(Inputs!$F$7=TRUE,Inputs!$F$7="TRUE",Inputs!$F$7=1),(Inputs!$H$7+Inputs!$L$7*(((Inputs!$I$7+(((A237)+1)/2)*(Inputs!$J$7-Inputs!$I$7)))/Inputs!$K$7)^2),NA())</f>
        <v>369.98385999999988</v>
      </c>
      <c r="BB237" s="9">
        <f>IF(OR(Inputs!$F$8=TRUE,Inputs!$F$8="TRUE",Inputs!$F$8=1),(Inputs!$H$8+Inputs!$L$8*(((Inputs!$I$8+(((A237)+1)/2)*(Inputs!$J$8-Inputs!$I$8)))/Inputs!$K$8)^2),NA())</f>
        <v>920.64225999999974</v>
      </c>
      <c r="BC237" s="9">
        <f>IF(OR(Inputs!$F$9=TRUE,Inputs!$F$9="TRUE",Inputs!$F$9=1),(Inputs!$H$9+Inputs!$L$9*(((Inputs!$I$9+(((A237)+1)/2)*(Inputs!$J$9-Inputs!$I$9)))/Inputs!$K$9)^2),NA())</f>
        <v>919.81989999999973</v>
      </c>
      <c r="BD237" s="10"/>
      <c r="BE237" s="9">
        <f t="shared" si="35"/>
        <v>0.95799999999999996</v>
      </c>
      <c r="BF237" s="9">
        <f>0</f>
        <v>0</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row>
    <row r="238" spans="1:62">
      <c r="A238" s="9">
        <f>ROUND(-1+236*2/240,3)</f>
        <v>0.96699999999999997</v>
      </c>
      <c r="B238" s="9">
        <f>IF(OR(Inputs!$F$6=TRUE,Inputs!$F$6="TRUE",Inputs!$F$6=1),(Inputs!$H$6+Inputs!$L$6*(((Inputs!$I$6+(((A238)+1)/2)*(Inputs!$J$6-Inputs!$I$6)))/Inputs!$K$6)^2),NA())</f>
        <v>403.74035600000002</v>
      </c>
      <c r="C238" s="9">
        <f>IF(OR(Inputs!$F$7=TRUE,Inputs!$F$7="TRUE",Inputs!$F$7=1),(Inputs!$H$7+Inputs!$L$7*(((Inputs!$I$7+(((A238)+1)/2)*(Inputs!$J$7-Inputs!$I$7)))/Inputs!$K$7)^2),NA())</f>
        <v>376.30748500000016</v>
      </c>
      <c r="D238" s="9">
        <f>IF(OR(Inputs!$F$8=TRUE,Inputs!$F$8="TRUE",Inputs!$F$8=1),(Inputs!$H$8+Inputs!$L$8*(((Inputs!$I$8+(((A238)+1)/2)*(Inputs!$J$8-Inputs!$I$8)))/Inputs!$K$8)^2),NA())</f>
        <v>937.36088500000039</v>
      </c>
      <c r="E238" s="9">
        <f>IF(OR(Inputs!$F$9=TRUE,Inputs!$F$9="TRUE",Inputs!$F$9=1),(Inputs!$H$9+Inputs!$L$9*(((Inputs!$I$9+(((A238)+1)/2)*(Inputs!$J$9-Inputs!$I$9)))/Inputs!$K$9)^2),NA())</f>
        <v>936.71177500000033</v>
      </c>
      <c r="F238" s="10"/>
      <c r="G238" s="9">
        <f t="shared" si="27"/>
        <v>0.96699999999999997</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c r="L238" s="10"/>
      <c r="M238" s="9">
        <f t="shared" si="28"/>
        <v>0.96699999999999997</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-488.80054899139805</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-3423.4134415908129</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-4525.1932450726636</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-4557.1260299368751</v>
      </c>
      <c r="R238" s="10"/>
      <c r="S238" s="9">
        <f t="shared" si="29"/>
        <v>0.96699999999999997</v>
      </c>
      <c r="T238" s="9">
        <f>(Inputs!$I$6+(((A238)+1)/2)*(Inputs!$J$6-Inputs!$I$6))</f>
        <v>58.02000000000001</v>
      </c>
      <c r="U238" s="9">
        <f>(Inputs!$I$7+(((A238)+1)/2)*(Inputs!$J$7-Inputs!$I$7))</f>
        <v>386.80000000000007</v>
      </c>
      <c r="V238" s="9">
        <f>(Inputs!$I$8+(((A238)+1)/2)*(Inputs!$J$8-Inputs!$I$8))</f>
        <v>773.60000000000014</v>
      </c>
      <c r="W238" s="9">
        <f>(Inputs!$I$9+(((A238)+1)/2)*(Inputs!$J$9-Inputs!$I$9))</f>
        <v>773.60000000000014</v>
      </c>
      <c r="X238" s="10"/>
      <c r="Y238" s="9">
        <f t="shared" si="30"/>
        <v>0.96699999999999997</v>
      </c>
      <c r="Z238" s="9">
        <f>(Inputs!$H$6+Inputs!$L$6*(((Inputs!$I$6+(((A238)+1)/2)*(Inputs!$J$6-Inputs!$I$6)))/Inputs!$K$6)^2)</f>
        <v>403.74035600000002</v>
      </c>
      <c r="AA238" s="9">
        <f>(Inputs!$H$7+Inputs!$L$7*(((Inputs!$I$7+(((A238)+1)/2)*(Inputs!$J$7-Inputs!$I$7)))/Inputs!$K$7)^2)</f>
        <v>376.30748500000016</v>
      </c>
      <c r="AB238" s="9">
        <f>(Inputs!$H$8+Inputs!$L$8*(((Inputs!$I$8+(((A238)+1)/2)*(Inputs!$J$8-Inputs!$I$8)))/Inputs!$K$8)^2)</f>
        <v>937.36088500000039</v>
      </c>
      <c r="AC238" s="9">
        <f>(Inputs!$H$9+Inputs!$L$9*(((Inputs!$I$9+(((A238)+1)/2)*(Inputs!$J$9-Inputs!$I$9)))/Inputs!$K$9)^2)</f>
        <v>936.71177500000033</v>
      </c>
      <c r="AD238" s="10"/>
      <c r="AE238" s="9">
        <f t="shared" si="31"/>
        <v>0.96699999999999997</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3468.2557624255983</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109904.64158424943</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230887.9687099104</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230948.29820342336</v>
      </c>
      <c r="AJ238" s="10"/>
      <c r="AK238" s="9">
        <f t="shared" si="32"/>
        <v>0.96699999999999997</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-488.80054899139805</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-3423.4134415908129</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-4525.1932450726636</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-4557.1260299368751</v>
      </c>
      <c r="AP238" s="10"/>
      <c r="AQ238" s="9">
        <f t="shared" si="33"/>
        <v>0.96699999999999997</v>
      </c>
      <c r="AR238" s="9">
        <f>0</f>
        <v>0</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195.1462906729702</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168.61305675587934</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163.25393411298126</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163.25393411298126</v>
      </c>
      <c r="AW238" s="10"/>
      <c r="AX238" s="9">
        <f t="shared" si="34"/>
        <v>0.96699999999999997</v>
      </c>
      <c r="AY238" s="9">
        <f>0</f>
        <v>0</v>
      </c>
      <c r="AZ238" s="9">
        <f>IF(OR(Inputs!$F$6=TRUE,Inputs!$F$6="TRUE",Inputs!$F$6=1),(Inputs!$H$6+Inputs!$L$6*(((Inputs!$I$6+(((A238)+1)/2)*(Inputs!$J$6-Inputs!$I$6)))/Inputs!$K$6)^2),NA())</f>
        <v>403.74035600000002</v>
      </c>
      <c r="BA238" s="9">
        <f>IF(OR(Inputs!$F$7=TRUE,Inputs!$F$7="TRUE",Inputs!$F$7=1),(Inputs!$H$7+Inputs!$L$7*(((Inputs!$I$7+(((A238)+1)/2)*(Inputs!$J$7-Inputs!$I$7)))/Inputs!$K$7)^2),NA())</f>
        <v>376.30748500000016</v>
      </c>
      <c r="BB238" s="9">
        <f>IF(OR(Inputs!$F$8=TRUE,Inputs!$F$8="TRUE",Inputs!$F$8=1),(Inputs!$H$8+Inputs!$L$8*(((Inputs!$I$8+(((A238)+1)/2)*(Inputs!$J$8-Inputs!$I$8)))/Inputs!$K$8)^2),NA())</f>
        <v>937.36088500000039</v>
      </c>
      <c r="BC238" s="9">
        <f>IF(OR(Inputs!$F$9=TRUE,Inputs!$F$9="TRUE",Inputs!$F$9=1),(Inputs!$H$9+Inputs!$L$9*(((Inputs!$I$9+(((A238)+1)/2)*(Inputs!$J$9-Inputs!$I$9)))/Inputs!$K$9)^2),NA())</f>
        <v>936.71177500000033</v>
      </c>
      <c r="BD238" s="10"/>
      <c r="BE238" s="9">
        <f t="shared" si="35"/>
        <v>0.96699999999999997</v>
      </c>
      <c r="BF238" s="9">
        <f>0</f>
        <v>0</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row>
    <row r="239" spans="1:62">
      <c r="A239" s="9">
        <f>ROUND(-1+237*2/240,3)</f>
        <v>0.97499999999999998</v>
      </c>
      <c r="B239" s="9">
        <f>IF(OR(Inputs!$F$6=TRUE,Inputs!$F$6="TRUE",Inputs!$F$6=1),(Inputs!$H$6+Inputs!$L$6*(((Inputs!$I$6+(((A239)+1)/2)*(Inputs!$J$6-Inputs!$I$6)))/Inputs!$K$6)^2),NA())</f>
        <v>403.80250000000001</v>
      </c>
      <c r="C239" s="9">
        <f>IF(OR(Inputs!$F$7=TRUE,Inputs!$F$7="TRUE",Inputs!$F$7=1),(Inputs!$H$7+Inputs!$L$7*(((Inputs!$I$7+(((A239)+1)/2)*(Inputs!$J$7-Inputs!$I$7)))/Inputs!$K$7)^2),NA())</f>
        <v>381.97812499999998</v>
      </c>
      <c r="D239" s="9">
        <f>IF(OR(Inputs!$F$8=TRUE,Inputs!$F$8="TRUE",Inputs!$F$8=1),(Inputs!$H$8+Inputs!$L$8*(((Inputs!$I$8+(((A239)+1)/2)*(Inputs!$J$8-Inputs!$I$8)))/Inputs!$K$8)^2),NA())</f>
        <v>952.35312499999998</v>
      </c>
      <c r="E239" s="9">
        <f>IF(OR(Inputs!$F$9=TRUE,Inputs!$F$9="TRUE",Inputs!$F$9=1),(Inputs!$H$9+Inputs!$L$9*(((Inputs!$I$9+(((A239)+1)/2)*(Inputs!$J$9-Inputs!$I$9)))/Inputs!$K$9)^2),NA())</f>
        <v>951.859375</v>
      </c>
      <c r="F239" s="10"/>
      <c r="G239" s="9">
        <f t="shared" si="27"/>
        <v>0.97499999999999998</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c r="L239" s="10"/>
      <c r="M239" s="9">
        <f t="shared" si="28"/>
        <v>0.97499999999999998</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-492.71604483596866</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-3446.1870066184929</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-4559.1132043475427</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-4591.4834458529422</v>
      </c>
      <c r="R239" s="10"/>
      <c r="S239" s="9">
        <f t="shared" si="29"/>
        <v>0.97499999999999998</v>
      </c>
      <c r="T239" s="9">
        <f>(Inputs!$I$6+(((A239)+1)/2)*(Inputs!$J$6-Inputs!$I$6))</f>
        <v>58.5</v>
      </c>
      <c r="U239" s="9">
        <f>(Inputs!$I$7+(((A239)+1)/2)*(Inputs!$J$7-Inputs!$I$7))</f>
        <v>390</v>
      </c>
      <c r="V239" s="9">
        <f>(Inputs!$I$8+(((A239)+1)/2)*(Inputs!$J$8-Inputs!$I$8))</f>
        <v>780</v>
      </c>
      <c r="W239" s="9">
        <f>(Inputs!$I$9+(((A239)+1)/2)*(Inputs!$J$9-Inputs!$I$9))</f>
        <v>780</v>
      </c>
      <c r="X239" s="10"/>
      <c r="Y239" s="9">
        <f t="shared" si="30"/>
        <v>0.97499999999999998</v>
      </c>
      <c r="Z239" s="9">
        <f>(Inputs!$H$6+Inputs!$L$6*(((Inputs!$I$6+(((A239)+1)/2)*(Inputs!$J$6-Inputs!$I$6)))/Inputs!$K$6)^2)</f>
        <v>403.80250000000001</v>
      </c>
      <c r="AA239" s="9">
        <f>(Inputs!$H$7+Inputs!$L$7*(((Inputs!$I$7+(((A239)+1)/2)*(Inputs!$J$7-Inputs!$I$7)))/Inputs!$K$7)^2)</f>
        <v>381.97812499999998</v>
      </c>
      <c r="AB239" s="9">
        <f>(Inputs!$H$8+Inputs!$L$8*(((Inputs!$I$8+(((A239)+1)/2)*(Inputs!$J$8-Inputs!$I$8)))/Inputs!$K$8)^2)</f>
        <v>952.35312499999998</v>
      </c>
      <c r="AC239" s="9">
        <f>(Inputs!$H$9+Inputs!$L$9*(((Inputs!$I$9+(((A239)+1)/2)*(Inputs!$J$9-Inputs!$I$9)))/Inputs!$K$9)^2)</f>
        <v>951.859375</v>
      </c>
      <c r="AD239" s="10"/>
      <c r="AE239" s="9">
        <f t="shared" si="31"/>
        <v>0.97499999999999998</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3516.055517830855</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110578.20931028113</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232672.44094466226</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232717.74047859581</v>
      </c>
      <c r="AJ239" s="10"/>
      <c r="AK239" s="9">
        <f t="shared" si="32"/>
        <v>0.97499999999999998</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-492.71604483596866</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-3446.1870066184929</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-4559.1132043475427</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-4591.4834458529422</v>
      </c>
      <c r="AP239" s="10"/>
      <c r="AQ239" s="9">
        <f t="shared" si="33"/>
        <v>0.97499999999999998</v>
      </c>
      <c r="AR239" s="9">
        <f>0</f>
        <v>0</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188.33221875951745</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99.719130619821527</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188.38921394245017</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188.38921394245017</v>
      </c>
      <c r="AW239" s="10"/>
      <c r="AX239" s="9">
        <f t="shared" si="34"/>
        <v>0.97499999999999998</v>
      </c>
      <c r="AY239" s="9">
        <f>0</f>
        <v>0</v>
      </c>
      <c r="AZ239" s="9">
        <f>IF(OR(Inputs!$F$6=TRUE,Inputs!$F$6="TRUE",Inputs!$F$6=1),(Inputs!$H$6+Inputs!$L$6*(((Inputs!$I$6+(((A239)+1)/2)*(Inputs!$J$6-Inputs!$I$6)))/Inputs!$K$6)^2),NA())</f>
        <v>403.80250000000001</v>
      </c>
      <c r="BA239" s="9">
        <f>IF(OR(Inputs!$F$7=TRUE,Inputs!$F$7="TRUE",Inputs!$F$7=1),(Inputs!$H$7+Inputs!$L$7*(((Inputs!$I$7+(((A239)+1)/2)*(Inputs!$J$7-Inputs!$I$7)))/Inputs!$K$7)^2),NA())</f>
        <v>381.97812499999998</v>
      </c>
      <c r="BB239" s="9">
        <f>IF(OR(Inputs!$F$8=TRUE,Inputs!$F$8="TRUE",Inputs!$F$8=1),(Inputs!$H$8+Inputs!$L$8*(((Inputs!$I$8+(((A239)+1)/2)*(Inputs!$J$8-Inputs!$I$8)))/Inputs!$K$8)^2),NA())</f>
        <v>952.35312499999998</v>
      </c>
      <c r="BC239" s="9">
        <f>IF(OR(Inputs!$F$9=TRUE,Inputs!$F$9="TRUE",Inputs!$F$9=1),(Inputs!$H$9+Inputs!$L$9*(((Inputs!$I$9+(((A239)+1)/2)*(Inputs!$J$9-Inputs!$I$9)))/Inputs!$K$9)^2),NA())</f>
        <v>951.859375</v>
      </c>
      <c r="BD239" s="10"/>
      <c r="BE239" s="9">
        <f t="shared" si="35"/>
        <v>0.97499999999999998</v>
      </c>
      <c r="BF239" s="9">
        <f>0</f>
        <v>0</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row>
    <row r="240" spans="1:62">
      <c r="A240" s="9">
        <f>ROUND(-1+238*2/240,3)</f>
        <v>0.98299999999999998</v>
      </c>
      <c r="B240" s="9">
        <f>IF(OR(Inputs!$F$6=TRUE,Inputs!$F$6="TRUE",Inputs!$F$6=1),(Inputs!$H$6+Inputs!$L$6*(((Inputs!$I$6+(((A240)+1)/2)*(Inputs!$J$6-Inputs!$I$6)))/Inputs!$K$6)^2),NA())</f>
        <v>403.86515600000001</v>
      </c>
      <c r="C240" s="9">
        <f>IF(OR(Inputs!$F$7=TRUE,Inputs!$F$7="TRUE",Inputs!$F$7=1),(Inputs!$H$7+Inputs!$L$7*(((Inputs!$I$7+(((A240)+1)/2)*(Inputs!$J$7-Inputs!$I$7)))/Inputs!$K$7)^2),NA())</f>
        <v>387.69548500000008</v>
      </c>
      <c r="D240" s="9">
        <f>IF(OR(Inputs!$F$8=TRUE,Inputs!$F$8="TRUE",Inputs!$F$8=1),(Inputs!$H$8+Inputs!$L$8*(((Inputs!$I$8+(((A240)+1)/2)*(Inputs!$J$8-Inputs!$I$8)))/Inputs!$K$8)^2),NA())</f>
        <v>967.46888500000011</v>
      </c>
      <c r="E240" s="9">
        <f>IF(OR(Inputs!$F$9=TRUE,Inputs!$F$9="TRUE",Inputs!$F$9=1),(Inputs!$H$9+Inputs!$L$9*(((Inputs!$I$9+(((A240)+1)/2)*(Inputs!$J$9-Inputs!$I$9)))/Inputs!$K$9)^2),NA())</f>
        <v>967.13177500000018</v>
      </c>
      <c r="F240" s="10"/>
      <c r="G240" s="9">
        <f t="shared" si="27"/>
        <v>0.98299999999999998</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c r="L240" s="10"/>
      <c r="M240" s="9">
        <f t="shared" si="28"/>
        <v>0.98299999999999998</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-496.62850905803106</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-3469.0193926231232</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-4593.0694731973817</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-4625.8753257790004</v>
      </c>
      <c r="R240" s="10"/>
      <c r="S240" s="9">
        <f t="shared" si="29"/>
        <v>0.98299999999999998</v>
      </c>
      <c r="T240" s="9">
        <f>(Inputs!$I$6+(((A240)+1)/2)*(Inputs!$J$6-Inputs!$I$6))</f>
        <v>58.980000000000004</v>
      </c>
      <c r="U240" s="9">
        <f>(Inputs!$I$7+(((A240)+1)/2)*(Inputs!$J$7-Inputs!$I$7))</f>
        <v>393.20000000000005</v>
      </c>
      <c r="V240" s="9">
        <f>(Inputs!$I$8+(((A240)+1)/2)*(Inputs!$J$8-Inputs!$I$8))</f>
        <v>786.40000000000009</v>
      </c>
      <c r="W240" s="9">
        <f>(Inputs!$I$9+(((A240)+1)/2)*(Inputs!$J$9-Inputs!$I$9))</f>
        <v>786.40000000000009</v>
      </c>
      <c r="X240" s="10"/>
      <c r="Y240" s="9">
        <f t="shared" si="30"/>
        <v>0.98299999999999998</v>
      </c>
      <c r="Z240" s="9">
        <f>(Inputs!$H$6+Inputs!$L$6*(((Inputs!$I$6+(((A240)+1)/2)*(Inputs!$J$6-Inputs!$I$6)))/Inputs!$K$6)^2)</f>
        <v>403.86515600000001</v>
      </c>
      <c r="AA240" s="9">
        <f>(Inputs!$H$7+Inputs!$L$7*(((Inputs!$I$7+(((A240)+1)/2)*(Inputs!$J$7-Inputs!$I$7)))/Inputs!$K$7)^2)</f>
        <v>387.69548500000008</v>
      </c>
      <c r="AB240" s="9">
        <f>(Inputs!$H$8+Inputs!$L$8*(((Inputs!$I$8+(((A240)+1)/2)*(Inputs!$J$8-Inputs!$I$8)))/Inputs!$K$8)^2)</f>
        <v>967.46888500000011</v>
      </c>
      <c r="AC240" s="9">
        <f>(Inputs!$H$9+Inputs!$L$9*(((Inputs!$I$9+(((A240)+1)/2)*(Inputs!$J$9-Inputs!$I$9)))/Inputs!$K$9)^2)</f>
        <v>967.13177500000018</v>
      </c>
      <c r="AD240" s="10"/>
      <c r="AE240" s="9">
        <f t="shared" si="31"/>
        <v>0.98299999999999998</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3564.2272926162314</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111251.15126968145</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234463.78558970054</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234494.31703337043</v>
      </c>
      <c r="AJ240" s="10"/>
      <c r="AK240" s="9">
        <f t="shared" si="32"/>
        <v>0.98299999999999998</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-496.62850905803106</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-3469.0193926231232</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-4593.0694731973817</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-4625.8753257790004</v>
      </c>
      <c r="AP240" s="10"/>
      <c r="AQ240" s="9">
        <f t="shared" si="33"/>
        <v>0.98299999999999998</v>
      </c>
      <c r="AR240" s="9">
        <f>0</f>
        <v>0</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179.72692406715734</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66.816441585803389</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109.34943270661603</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109.34943270661603</v>
      </c>
      <c r="AW240" s="10"/>
      <c r="AX240" s="9">
        <f t="shared" si="34"/>
        <v>0.98299999999999998</v>
      </c>
      <c r="AY240" s="9">
        <f>0</f>
        <v>0</v>
      </c>
      <c r="AZ240" s="9">
        <f>IF(OR(Inputs!$F$6=TRUE,Inputs!$F$6="TRUE",Inputs!$F$6=1),(Inputs!$H$6+Inputs!$L$6*(((Inputs!$I$6+(((A240)+1)/2)*(Inputs!$J$6-Inputs!$I$6)))/Inputs!$K$6)^2),NA())</f>
        <v>403.86515600000001</v>
      </c>
      <c r="BA240" s="9">
        <f>IF(OR(Inputs!$F$7=TRUE,Inputs!$F$7="TRUE",Inputs!$F$7=1),(Inputs!$H$7+Inputs!$L$7*(((Inputs!$I$7+(((A240)+1)/2)*(Inputs!$J$7-Inputs!$I$7)))/Inputs!$K$7)^2),NA())</f>
        <v>387.69548500000008</v>
      </c>
      <c r="BB240" s="9">
        <f>IF(OR(Inputs!$F$8=TRUE,Inputs!$F$8="TRUE",Inputs!$F$8=1),(Inputs!$H$8+Inputs!$L$8*(((Inputs!$I$8+(((A240)+1)/2)*(Inputs!$J$8-Inputs!$I$8)))/Inputs!$K$8)^2),NA())</f>
        <v>967.46888500000011</v>
      </c>
      <c r="BC240" s="9">
        <f>IF(OR(Inputs!$F$9=TRUE,Inputs!$F$9="TRUE",Inputs!$F$9=1),(Inputs!$H$9+Inputs!$L$9*(((Inputs!$I$9+(((A240)+1)/2)*(Inputs!$J$9-Inputs!$I$9)))/Inputs!$K$9)^2),NA())</f>
        <v>967.13177500000018</v>
      </c>
      <c r="BD240" s="10"/>
      <c r="BE240" s="9">
        <f t="shared" si="35"/>
        <v>0.98299999999999998</v>
      </c>
      <c r="BF240" s="9">
        <f>0</f>
        <v>0</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row>
    <row r="241" spans="1:62">
      <c r="A241" s="9">
        <f>ROUND(-1+239*2/240,3)</f>
        <v>0.99199999999999999</v>
      </c>
      <c r="B241" s="9">
        <f>IF(OR(Inputs!$F$6=TRUE,Inputs!$F$6="TRUE",Inputs!$F$6=1),(Inputs!$H$6+Inputs!$L$6*(((Inputs!$I$6+(((A241)+1)/2)*(Inputs!$J$6-Inputs!$I$6)))/Inputs!$K$6)^2),NA())</f>
        <v>403.93625600000001</v>
      </c>
      <c r="C241" s="9">
        <f>IF(OR(Inputs!$F$7=TRUE,Inputs!$F$7="TRUE",Inputs!$F$7=1),(Inputs!$H$7+Inputs!$L$7*(((Inputs!$I$7+(((A241)+1)/2)*(Inputs!$J$7-Inputs!$I$7)))/Inputs!$K$7)^2),NA())</f>
        <v>394.18335999999988</v>
      </c>
      <c r="D241" s="9">
        <f>IF(OR(Inputs!$F$8=TRUE,Inputs!$F$8="TRUE",Inputs!$F$8=1),(Inputs!$H$8+Inputs!$L$8*(((Inputs!$I$8+(((A241)+1)/2)*(Inputs!$J$8-Inputs!$I$8)))/Inputs!$K$8)^2),NA())</f>
        <v>984.62175999999977</v>
      </c>
      <c r="E241" s="9">
        <f>IF(OR(Inputs!$F$9=TRUE,Inputs!$F$9="TRUE",Inputs!$F$9=1),(Inputs!$H$9+Inputs!$L$9*(((Inputs!$I$9+(((A241)+1)/2)*(Inputs!$J$9-Inputs!$I$9)))/Inputs!$K$9)^2),NA())</f>
        <v>984.46239999999977</v>
      </c>
      <c r="F241" s="10"/>
      <c r="G241" s="9">
        <f t="shared" si="27"/>
        <v>0.99199999999999999</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c r="L241" s="10"/>
      <c r="M241" s="9">
        <f t="shared" si="28"/>
        <v>0.99199999999999999</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-501.02638349531236</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-3494.7747705698566</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-4631.3120779717956</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-4664.6058172006396</v>
      </c>
      <c r="R241" s="10"/>
      <c r="S241" s="9">
        <f t="shared" si="29"/>
        <v>0.99199999999999999</v>
      </c>
      <c r="T241" s="9">
        <f>(Inputs!$I$6+(((A241)+1)/2)*(Inputs!$J$6-Inputs!$I$6))</f>
        <v>59.519999999999996</v>
      </c>
      <c r="U241" s="9">
        <f>(Inputs!$I$7+(((A241)+1)/2)*(Inputs!$J$7-Inputs!$I$7))</f>
        <v>396.79999999999995</v>
      </c>
      <c r="V241" s="9">
        <f>(Inputs!$I$8+(((A241)+1)/2)*(Inputs!$J$8-Inputs!$I$8))</f>
        <v>793.59999999999991</v>
      </c>
      <c r="W241" s="9">
        <f>(Inputs!$I$9+(((A241)+1)/2)*(Inputs!$J$9-Inputs!$I$9))</f>
        <v>793.59999999999991</v>
      </c>
      <c r="X241" s="10"/>
      <c r="Y241" s="9">
        <f t="shared" si="30"/>
        <v>0.99199999999999999</v>
      </c>
      <c r="Z241" s="9">
        <f>(Inputs!$H$6+Inputs!$L$6*(((Inputs!$I$6+(((A241)+1)/2)*(Inputs!$J$6-Inputs!$I$6)))/Inputs!$K$6)^2)</f>
        <v>403.93625600000001</v>
      </c>
      <c r="AA241" s="9">
        <f>(Inputs!$H$7+Inputs!$L$7*(((Inputs!$I$7+(((A241)+1)/2)*(Inputs!$J$7-Inputs!$I$7)))/Inputs!$K$7)^2)</f>
        <v>394.18335999999988</v>
      </c>
      <c r="AB241" s="9">
        <f>(Inputs!$H$8+Inputs!$L$8*(((Inputs!$I$8+(((A241)+1)/2)*(Inputs!$J$8-Inputs!$I$8)))/Inputs!$K$8)^2)</f>
        <v>984.62175999999977</v>
      </c>
      <c r="AC241" s="9">
        <f>(Inputs!$H$9+Inputs!$L$9*(((Inputs!$I$9+(((A241)+1)/2)*(Inputs!$J$9-Inputs!$I$9)))/Inputs!$K$9)^2)</f>
        <v>984.46239999999977</v>
      </c>
      <c r="AD241" s="10"/>
      <c r="AE241" s="9">
        <f t="shared" si="31"/>
        <v>0.99199999999999999</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3618.8645803163076</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112007.54446092209</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236487.36267071214</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236501.58790060173</v>
      </c>
      <c r="AJ241" s="10"/>
      <c r="AK241" s="9">
        <f t="shared" si="32"/>
        <v>0.99199999999999999</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-501.02638349531236</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-3494.7747705698566</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-4631.3120779717956</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-4664.6058172006396</v>
      </c>
      <c r="AP241" s="10"/>
      <c r="AQ241" s="9">
        <f t="shared" si="33"/>
        <v>0.99199999999999999</v>
      </c>
      <c r="AR241" s="9">
        <f>0</f>
        <v>0</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178.74691984017164</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160.4703736350076</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184.93589384982045</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184.93589384982045</v>
      </c>
      <c r="AW241" s="10"/>
      <c r="AX241" s="9">
        <f t="shared" si="34"/>
        <v>0.99199999999999999</v>
      </c>
      <c r="AY241" s="9">
        <f>0</f>
        <v>0</v>
      </c>
      <c r="AZ241" s="9">
        <f>IF(OR(Inputs!$F$6=TRUE,Inputs!$F$6="TRUE",Inputs!$F$6=1),(Inputs!$H$6+Inputs!$L$6*(((Inputs!$I$6+(((A241)+1)/2)*(Inputs!$J$6-Inputs!$I$6)))/Inputs!$K$6)^2),NA())</f>
        <v>403.93625600000001</v>
      </c>
      <c r="BA241" s="9">
        <f>IF(OR(Inputs!$F$7=TRUE,Inputs!$F$7="TRUE",Inputs!$F$7=1),(Inputs!$H$7+Inputs!$L$7*(((Inputs!$I$7+(((A241)+1)/2)*(Inputs!$J$7-Inputs!$I$7)))/Inputs!$K$7)^2),NA())</f>
        <v>394.18335999999988</v>
      </c>
      <c r="BB241" s="9">
        <f>IF(OR(Inputs!$F$8=TRUE,Inputs!$F$8="TRUE",Inputs!$F$8=1),(Inputs!$H$8+Inputs!$L$8*(((Inputs!$I$8+(((A241)+1)/2)*(Inputs!$J$8-Inputs!$I$8)))/Inputs!$K$8)^2),NA())</f>
        <v>984.62175999999977</v>
      </c>
      <c r="BC241" s="9">
        <f>IF(OR(Inputs!$F$9=TRUE,Inputs!$F$9="TRUE",Inputs!$F$9=1),(Inputs!$H$9+Inputs!$L$9*(((Inputs!$I$9+(((A241)+1)/2)*(Inputs!$J$9-Inputs!$I$9)))/Inputs!$K$9)^2),NA())</f>
        <v>984.46239999999977</v>
      </c>
      <c r="BD241" s="10"/>
      <c r="BE241" s="9">
        <f t="shared" si="35"/>
        <v>0.99199999999999999</v>
      </c>
      <c r="BF241" s="9">
        <f>0</f>
        <v>0</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row>
    <row r="242" spans="1:62">
      <c r="A242" s="9">
        <f>ROUND(-1+240*2/240,3)</f>
        <v>1</v>
      </c>
      <c r="B242" s="9">
        <f>IF(OR(Inputs!$F$6=TRUE,Inputs!$F$6="TRUE",Inputs!$F$6=1),(Inputs!$H$6+Inputs!$L$6*(((Inputs!$I$6+(((A242)+1)/2)*(Inputs!$J$6-Inputs!$I$6)))/Inputs!$K$6)^2),NA())</f>
        <v>404</v>
      </c>
      <c r="C242" s="9">
        <f>IF(OR(Inputs!$F$7=TRUE,Inputs!$F$7="TRUE",Inputs!$F$7=1),(Inputs!$H$7+Inputs!$L$7*(((Inputs!$I$7+(((A242)+1)/2)*(Inputs!$J$7-Inputs!$I$7)))/Inputs!$K$7)^2),NA())</f>
        <v>400</v>
      </c>
      <c r="D242" s="9">
        <f>IF(OR(Inputs!$F$8=TRUE,Inputs!$F$8="TRUE",Inputs!$F$8=1),(Inputs!$H$8+Inputs!$L$8*(((Inputs!$I$8+(((A242)+1)/2)*(Inputs!$J$8-Inputs!$I$8)))/Inputs!$K$8)^2),NA())</f>
        <v>1000</v>
      </c>
      <c r="E242" s="9">
        <f>IF(OR(Inputs!$F$9=TRUE,Inputs!$F$9="TRUE",Inputs!$F$9=1),(Inputs!$H$9+Inputs!$L$9*(((Inputs!$I$9+(((A242)+1)/2)*(Inputs!$J$9-Inputs!$I$9)))/Inputs!$K$9)^2),NA())</f>
        <v>1000</v>
      </c>
      <c r="F242" s="10"/>
      <c r="G242" s="9">
        <f t="shared" si="27"/>
        <v>1</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c r="L242" s="10"/>
      <c r="M242" s="9">
        <f t="shared" si="28"/>
        <v>1</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-504.93234145565276</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-3517.7285290410668</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-4665.3412786934377</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-4699.0667879408138</v>
      </c>
      <c r="R242" s="10"/>
      <c r="S242" s="9">
        <f t="shared" si="29"/>
        <v>1</v>
      </c>
      <c r="T242" s="9">
        <f>(Inputs!$I$6+(((A242)+1)/2)*(Inputs!$J$6-Inputs!$I$6))</f>
        <v>60</v>
      </c>
      <c r="U242" s="9">
        <f>(Inputs!$I$7+(((A242)+1)/2)*(Inputs!$J$7-Inputs!$I$7))</f>
        <v>400</v>
      </c>
      <c r="V242" s="9">
        <f>(Inputs!$I$8+(((A242)+1)/2)*(Inputs!$J$8-Inputs!$I$8))</f>
        <v>800</v>
      </c>
      <c r="W242" s="9">
        <f>(Inputs!$I$9+(((A242)+1)/2)*(Inputs!$J$9-Inputs!$I$9))</f>
        <v>800</v>
      </c>
      <c r="X242" s="10"/>
      <c r="Y242" s="9">
        <f t="shared" si="30"/>
        <v>1</v>
      </c>
      <c r="Z242" s="9">
        <f>(Inputs!$H$6+Inputs!$L$6*(((Inputs!$I$6+(((A242)+1)/2)*(Inputs!$J$6-Inputs!$I$6)))/Inputs!$K$6)^2)</f>
        <v>404</v>
      </c>
      <c r="AA242" s="9">
        <f>(Inputs!$H$7+Inputs!$L$7*(((Inputs!$I$7+(((A242)+1)/2)*(Inputs!$J$7-Inputs!$I$7)))/Inputs!$K$7)^2)</f>
        <v>400</v>
      </c>
      <c r="AB242" s="9">
        <f>(Inputs!$H$8+Inputs!$L$8*(((Inputs!$I$8+(((A242)+1)/2)*(Inputs!$J$8-Inputs!$I$8)))/Inputs!$K$8)^2)</f>
        <v>1000</v>
      </c>
      <c r="AC242" s="9">
        <f>(Inputs!$H$9+Inputs!$L$9*(((Inputs!$I$9+(((A242)+1)/2)*(Inputs!$J$9-Inputs!$I$9)))/Inputs!$K$9)^2)</f>
        <v>1000</v>
      </c>
      <c r="AD242" s="10"/>
      <c r="AE242" s="9">
        <f t="shared" si="31"/>
        <v>1</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3667.825190313778</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112679.37253407703</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238293.57374476179</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238293.57374476179</v>
      </c>
      <c r="AJ242" s="10"/>
      <c r="AK242" s="9">
        <f t="shared" si="32"/>
        <v>1</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-504.93234145565276</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-3517.7285290410668</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-4665.3412786934377</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-4699.0667879408138</v>
      </c>
      <c r="AP242" s="10"/>
      <c r="AQ242" s="9">
        <f t="shared" si="33"/>
        <v>1</v>
      </c>
      <c r="AR242" s="9">
        <f>0</f>
        <v>0</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179.34901119414707</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200.74184530236539</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169.0266650218729</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169.0266650218729</v>
      </c>
      <c r="AW242" s="10"/>
      <c r="AX242" s="9">
        <f t="shared" si="34"/>
        <v>1</v>
      </c>
      <c r="AY242" s="9">
        <f>0</f>
        <v>0</v>
      </c>
      <c r="AZ242" s="9">
        <f>IF(OR(Inputs!$F$6=TRUE,Inputs!$F$6="TRUE",Inputs!$F$6=1),(Inputs!$H$6+Inputs!$L$6*(((Inputs!$I$6+(((A242)+1)/2)*(Inputs!$J$6-Inputs!$I$6)))/Inputs!$K$6)^2),NA())</f>
        <v>404</v>
      </c>
      <c r="BA242" s="9">
        <f>IF(OR(Inputs!$F$7=TRUE,Inputs!$F$7="TRUE",Inputs!$F$7=1),(Inputs!$H$7+Inputs!$L$7*(((Inputs!$I$7+(((A242)+1)/2)*(Inputs!$J$7-Inputs!$I$7)))/Inputs!$K$7)^2),NA())</f>
        <v>400</v>
      </c>
      <c r="BB242" s="9">
        <f>IF(OR(Inputs!$F$8=TRUE,Inputs!$F$8="TRUE",Inputs!$F$8=1),(Inputs!$H$8+Inputs!$L$8*(((Inputs!$I$8+(((A242)+1)/2)*(Inputs!$J$8-Inputs!$I$8)))/Inputs!$K$8)^2),NA())</f>
        <v>1000</v>
      </c>
      <c r="BC242" s="9">
        <f>IF(OR(Inputs!$F$9=TRUE,Inputs!$F$9="TRUE",Inputs!$F$9=1),(Inputs!$H$9+Inputs!$L$9*(((Inputs!$I$9+(((A242)+1)/2)*(Inputs!$J$9-Inputs!$I$9)))/Inputs!$K$9)^2),NA())</f>
        <v>1000</v>
      </c>
      <c r="BD242" s="10"/>
      <c r="BE242" s="9">
        <f t="shared" si="35"/>
        <v>1</v>
      </c>
      <c r="BF242" s="9">
        <f>0</f>
        <v>0</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
  <sheetViews>
    <sheetView showGridLines="0" workbookViewId="0"/>
  </sheetViews>
  <sheetFormatPr defaultRowHeight="13.8"/>
  <cols>
    <col min="1" max="1" width="12" customWidth="1"/>
    <col min="2" max="2" width="18" customWidth="1"/>
    <col min="3" max="4" width="22" customWidth="1"/>
    <col min="5" max="5" width="20" customWidth="1"/>
    <col min="6" max="6" width="30" customWidth="1"/>
  </cols>
  <sheetData>
    <row r="1" spans="1:6" ht="21" customHeight="1">
      <c r="A1" s="39" t="s">
        <v>575</v>
      </c>
      <c r="B1" s="40"/>
      <c r="C1" s="40"/>
      <c r="D1" s="40"/>
      <c r="E1" s="40"/>
      <c r="F1" s="40"/>
    </row>
    <row r="3" spans="1:6">
      <c r="A3" s="2" t="s">
        <v>36</v>
      </c>
      <c r="B3" s="2" t="s">
        <v>37</v>
      </c>
      <c r="C3" s="2" t="s">
        <v>38</v>
      </c>
      <c r="D3" s="2" t="s">
        <v>39</v>
      </c>
      <c r="E3" s="2" t="s">
        <v>40</v>
      </c>
      <c r="F3" s="2" t="s">
        <v>576</v>
      </c>
    </row>
    <row r="4" spans="1:6">
      <c r="A4" s="9">
        <f>Inputs!$C$18</f>
        <v>50</v>
      </c>
      <c r="B4" s="9">
        <f>1000/A4</f>
        <v>20</v>
      </c>
      <c r="C4" s="9">
        <f>Inputs!$C$11*1000/A4</f>
        <v>80</v>
      </c>
      <c r="D4" s="9">
        <f>Inputs!$C$21/(2*A4)/1000</f>
        <v>2997.9245799999999</v>
      </c>
      <c r="E4" s="9">
        <f>A4*(2*Inputs!$C$5*1000/Inputs!$C$21)</f>
        <v>0.13342563807926083</v>
      </c>
      <c r="F4" s="1" t="str">
        <f>IF(A4&gt;=Dashboard!$B$16,"OK for modeled topo VHF Doppler","Below simple Doppler floor")</f>
        <v>Below simple Doppler floor</v>
      </c>
    </row>
    <row r="5" spans="1:6">
      <c r="A5" s="9">
        <f>Inputs!$C$19</f>
        <v>500</v>
      </c>
      <c r="B5" s="9">
        <f>1000/A5</f>
        <v>2</v>
      </c>
      <c r="C5" s="9">
        <f>Inputs!$C$11*1000/A5</f>
        <v>8</v>
      </c>
      <c r="D5" s="9">
        <f>Inputs!$C$21/(2*A5)/1000</f>
        <v>299.79245800000001</v>
      </c>
      <c r="E5" s="9">
        <f>A5*(2*Inputs!$C$5*1000/Inputs!$C$21)</f>
        <v>1.3342563807926082</v>
      </c>
      <c r="F5" s="1" t="str">
        <f>IF(A5&gt;=Dashboard!$B$16,"OK for modeled topo VHF Doppler","Below simple Doppler floor")</f>
        <v>Below simple Doppler floor</v>
      </c>
    </row>
    <row r="6" spans="1:6">
      <c r="A6" s="9">
        <f>Inputs!$C$20</f>
        <v>3000</v>
      </c>
      <c r="B6" s="9">
        <f>1000/A6</f>
        <v>0.33333333333333331</v>
      </c>
      <c r="C6" s="9">
        <f>Inputs!$C$11*1000/A6</f>
        <v>1.3333333333333333</v>
      </c>
      <c r="D6" s="9">
        <f>Inputs!$C$21/(2*A6)/1000</f>
        <v>49.965409666666666</v>
      </c>
      <c r="E6" s="9">
        <f>A6*(2*Inputs!$C$5*1000/Inputs!$C$21)</f>
        <v>8.0055382847556498</v>
      </c>
      <c r="F6" s="1" t="str">
        <f>IF(A6&gt;=Dashboard!$B$16,"OK for modeled topo VHF Doppler","Below simple Doppler floor")</f>
        <v>OK for modeled topo VHF Doppler</v>
      </c>
    </row>
  </sheetData>
  <mergeCells count="1">
    <mergeCell ref="A1:F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9"/>
  <sheetViews>
    <sheetView showGridLines="0" workbookViewId="0"/>
  </sheetViews>
  <sheetFormatPr defaultRowHeight="13.8"/>
  <cols>
    <col min="1" max="1" width="45" customWidth="1"/>
    <col min="2" max="2" width="55" customWidth="1"/>
    <col min="3" max="3" width="36" customWidth="1"/>
    <col min="4" max="4" width="24" customWidth="1"/>
  </cols>
  <sheetData>
    <row r="1" spans="1:4" ht="21" customHeight="1">
      <c r="A1" s="39" t="s">
        <v>577</v>
      </c>
      <c r="B1" s="40"/>
      <c r="C1" s="40"/>
      <c r="D1" s="40"/>
    </row>
    <row r="3" spans="1:4">
      <c r="A3" s="2" t="s">
        <v>578</v>
      </c>
      <c r="B3" s="2" t="s">
        <v>84</v>
      </c>
      <c r="C3" s="2" t="s">
        <v>579</v>
      </c>
      <c r="D3" s="2" t="s">
        <v>580</v>
      </c>
    </row>
    <row r="4" spans="1:4">
      <c r="A4" s="1" t="s">
        <v>581</v>
      </c>
      <c r="B4" s="1" t="s">
        <v>582</v>
      </c>
      <c r="C4" s="1" t="s">
        <v>583</v>
      </c>
      <c r="D4" s="1" t="s">
        <v>584</v>
      </c>
    </row>
    <row r="5" spans="1:4" ht="26.25" customHeight="1">
      <c r="A5" s="1" t="s">
        <v>585</v>
      </c>
      <c r="B5" s="1" t="s">
        <v>586</v>
      </c>
      <c r="C5" s="1" t="s">
        <v>587</v>
      </c>
      <c r="D5" s="1" t="s">
        <v>588</v>
      </c>
    </row>
    <row r="6" spans="1:4" ht="26.25" customHeight="1">
      <c r="A6" s="1" t="s">
        <v>589</v>
      </c>
      <c r="B6" s="1" t="s">
        <v>590</v>
      </c>
      <c r="C6" s="1" t="s">
        <v>591</v>
      </c>
      <c r="D6" s="1" t="s">
        <v>592</v>
      </c>
    </row>
    <row r="7" spans="1:4">
      <c r="A7" s="1" t="s">
        <v>593</v>
      </c>
      <c r="B7" s="1" t="s">
        <v>594</v>
      </c>
      <c r="C7" s="1" t="s">
        <v>595</v>
      </c>
      <c r="D7" s="1" t="s">
        <v>596</v>
      </c>
    </row>
    <row r="8" spans="1:4">
      <c r="A8" s="1" t="s">
        <v>597</v>
      </c>
      <c r="B8" s="1" t="s">
        <v>598</v>
      </c>
      <c r="C8" s="1" t="s">
        <v>599</v>
      </c>
      <c r="D8" s="1" t="s">
        <v>600</v>
      </c>
    </row>
    <row r="9" spans="1:4">
      <c r="A9" s="1" t="s">
        <v>601</v>
      </c>
      <c r="B9" s="1" t="s">
        <v>602</v>
      </c>
      <c r="C9" s="1" t="s">
        <v>603</v>
      </c>
      <c r="D9" s="1" t="s">
        <v>604</v>
      </c>
    </row>
    <row r="10" spans="1:4">
      <c r="A10" s="1" t="s">
        <v>605</v>
      </c>
      <c r="B10" s="1" t="s">
        <v>606</v>
      </c>
      <c r="C10" s="1" t="s">
        <v>607</v>
      </c>
      <c r="D10" s="1" t="s">
        <v>608</v>
      </c>
    </row>
    <row r="11" spans="1:4">
      <c r="A11" s="1" t="s">
        <v>609</v>
      </c>
      <c r="B11" s="1" t="s">
        <v>610</v>
      </c>
      <c r="C11" s="1" t="s">
        <v>611</v>
      </c>
      <c r="D11" s="1" t="s">
        <v>612</v>
      </c>
    </row>
    <row r="12" spans="1:4">
      <c r="A12" s="1" t="s">
        <v>613</v>
      </c>
      <c r="B12" s="1" t="s">
        <v>614</v>
      </c>
      <c r="C12" s="1" t="s">
        <v>615</v>
      </c>
      <c r="D12" s="1" t="s">
        <v>616</v>
      </c>
    </row>
    <row r="13" spans="1:4">
      <c r="A13" s="1" t="s">
        <v>617</v>
      </c>
      <c r="B13" s="1" t="s">
        <v>618</v>
      </c>
      <c r="C13" s="1" t="s">
        <v>619</v>
      </c>
      <c r="D13" s="1" t="s">
        <v>620</v>
      </c>
    </row>
    <row r="14" spans="1:4">
      <c r="A14" s="1" t="s">
        <v>621</v>
      </c>
      <c r="B14" s="1" t="s">
        <v>622</v>
      </c>
      <c r="C14" s="1" t="s">
        <v>623</v>
      </c>
      <c r="D14" s="1" t="s">
        <v>624</v>
      </c>
    </row>
    <row r="15" spans="1:4">
      <c r="A15" s="1" t="s">
        <v>625</v>
      </c>
      <c r="B15" s="1" t="s">
        <v>626</v>
      </c>
      <c r="C15" s="1" t="s">
        <v>627</v>
      </c>
      <c r="D15" s="1" t="s">
        <v>628</v>
      </c>
    </row>
    <row r="16" spans="1:4">
      <c r="A16" s="1" t="s">
        <v>629</v>
      </c>
      <c r="B16" s="1" t="s">
        <v>630</v>
      </c>
      <c r="C16" s="1" t="s">
        <v>631</v>
      </c>
      <c r="D16" s="1" t="s">
        <v>632</v>
      </c>
    </row>
    <row r="17" spans="1:4">
      <c r="A17" s="1" t="s">
        <v>633</v>
      </c>
      <c r="B17" s="1" t="s">
        <v>634</v>
      </c>
      <c r="C17" s="1" t="s">
        <v>635</v>
      </c>
      <c r="D17" s="1" t="s">
        <v>636</v>
      </c>
    </row>
    <row r="18" spans="1:4">
      <c r="A18" s="1" t="s">
        <v>637</v>
      </c>
      <c r="B18" s="1" t="s">
        <v>638</v>
      </c>
      <c r="C18" s="1" t="s">
        <v>639</v>
      </c>
      <c r="D18" s="1" t="s">
        <v>640</v>
      </c>
    </row>
    <row r="19" spans="1:4">
      <c r="A19" s="1" t="s">
        <v>641</v>
      </c>
      <c r="B19" s="1" t="s">
        <v>642</v>
      </c>
      <c r="C19" s="1" t="s">
        <v>643</v>
      </c>
      <c r="D19" s="1" t="s">
        <v>70</v>
      </c>
    </row>
    <row r="20" spans="1:4">
      <c r="A20" s="1" t="s">
        <v>644</v>
      </c>
      <c r="B20" s="1" t="s">
        <v>645</v>
      </c>
      <c r="C20" s="1" t="s">
        <v>70</v>
      </c>
      <c r="D20" s="1" t="s">
        <v>646</v>
      </c>
    </row>
    <row r="21" spans="1:4" ht="26.25" customHeight="1">
      <c r="A21" s="1" t="s">
        <v>647</v>
      </c>
      <c r="B21" s="1" t="s">
        <v>648</v>
      </c>
      <c r="C21" s="1" t="s">
        <v>649</v>
      </c>
      <c r="D21" s="1" t="s">
        <v>650</v>
      </c>
    </row>
    <row r="22" spans="1:4" ht="26.25" customHeight="1">
      <c r="A22" s="1" t="s">
        <v>651</v>
      </c>
      <c r="B22" s="1" t="s">
        <v>652</v>
      </c>
      <c r="C22" s="1" t="s">
        <v>653</v>
      </c>
      <c r="D22" s="1" t="s">
        <v>654</v>
      </c>
    </row>
    <row r="23" spans="1:4" ht="26.25" customHeight="1">
      <c r="A23" s="1" t="s">
        <v>655</v>
      </c>
      <c r="B23" s="1" t="s">
        <v>656</v>
      </c>
      <c r="C23" s="1" t="s">
        <v>657</v>
      </c>
      <c r="D23" s="1" t="s">
        <v>658</v>
      </c>
    </row>
    <row r="24" spans="1:4">
      <c r="A24" s="1" t="s">
        <v>659</v>
      </c>
      <c r="B24" s="1" t="s">
        <v>660</v>
      </c>
      <c r="C24" s="1" t="s">
        <v>661</v>
      </c>
      <c r="D24" s="1" t="s">
        <v>662</v>
      </c>
    </row>
    <row r="25" spans="1:4">
      <c r="A25" s="1" t="s">
        <v>663</v>
      </c>
      <c r="B25" s="1" t="s">
        <v>664</v>
      </c>
      <c r="C25" s="1" t="s">
        <v>665</v>
      </c>
      <c r="D25" s="1" t="s">
        <v>666</v>
      </c>
    </row>
    <row r="26" spans="1:4">
      <c r="A26" s="1" t="s">
        <v>667</v>
      </c>
      <c r="B26" s="1" t="s">
        <v>668</v>
      </c>
      <c r="C26" s="1" t="s">
        <v>669</v>
      </c>
      <c r="D26" s="1" t="s">
        <v>670</v>
      </c>
    </row>
    <row r="27" spans="1:4" ht="26.25" customHeight="1">
      <c r="A27" s="1" t="s">
        <v>671</v>
      </c>
      <c r="B27" s="1" t="s">
        <v>672</v>
      </c>
      <c r="C27" s="1" t="s">
        <v>673</v>
      </c>
      <c r="D27" s="1" t="s">
        <v>674</v>
      </c>
    </row>
    <row r="28" spans="1:4">
      <c r="A28" s="1" t="s">
        <v>675</v>
      </c>
      <c r="B28" s="1" t="s">
        <v>676</v>
      </c>
      <c r="C28" s="1" t="s">
        <v>677</v>
      </c>
      <c r="D28" s="1" t="s">
        <v>678</v>
      </c>
    </row>
    <row r="29" spans="1:4">
      <c r="A29" s="1" t="s">
        <v>679</v>
      </c>
      <c r="B29" s="1" t="s">
        <v>680</v>
      </c>
      <c r="C29" s="1" t="s">
        <v>681</v>
      </c>
      <c r="D29" s="1" t="s">
        <v>682</v>
      </c>
    </row>
    <row r="30" spans="1:4" ht="26.25" customHeight="1">
      <c r="A30" s="1" t="s">
        <v>683</v>
      </c>
      <c r="B30" s="1" t="s">
        <v>684</v>
      </c>
      <c r="C30" s="1" t="s">
        <v>685</v>
      </c>
      <c r="D30" s="1" t="s">
        <v>686</v>
      </c>
    </row>
    <row r="31" spans="1:4" ht="26.25" customHeight="1">
      <c r="A31" s="1" t="s">
        <v>687</v>
      </c>
      <c r="B31" s="1" t="s">
        <v>688</v>
      </c>
      <c r="C31" s="1" t="s">
        <v>689</v>
      </c>
      <c r="D31" s="1" t="s">
        <v>690</v>
      </c>
    </row>
    <row r="32" spans="1:4" ht="26.25" customHeight="1">
      <c r="A32" s="1" t="s">
        <v>691</v>
      </c>
      <c r="B32" s="1" t="s">
        <v>692</v>
      </c>
      <c r="C32" s="1" t="s">
        <v>693</v>
      </c>
      <c r="D32" s="1" t="s">
        <v>694</v>
      </c>
    </row>
    <row r="34" spans="1:4" ht="16.8">
      <c r="A34" s="28" t="s">
        <v>695</v>
      </c>
    </row>
    <row r="35" spans="1:4" ht="27.6">
      <c r="A35" s="23" t="s">
        <v>696</v>
      </c>
      <c r="B35" s="23" t="s">
        <v>697</v>
      </c>
      <c r="C35" s="23" t="s">
        <v>698</v>
      </c>
      <c r="D35" s="23" t="s">
        <v>453</v>
      </c>
    </row>
    <row r="36" spans="1:4" ht="27.6">
      <c r="A36" s="25" t="s">
        <v>699</v>
      </c>
      <c r="B36" s="25" t="s">
        <v>700</v>
      </c>
      <c r="C36" s="25" t="s">
        <v>701</v>
      </c>
      <c r="D36" s="25" t="s">
        <v>455</v>
      </c>
    </row>
    <row r="37" spans="1:4">
      <c r="A37" s="25" t="s">
        <v>702</v>
      </c>
      <c r="B37" s="25" t="s">
        <v>703</v>
      </c>
      <c r="C37" s="25" t="s">
        <v>704</v>
      </c>
      <c r="D37" s="25" t="s">
        <v>456</v>
      </c>
    </row>
    <row r="38" spans="1:4" ht="27.6">
      <c r="A38" s="25" t="s">
        <v>705</v>
      </c>
      <c r="B38" s="25" t="s">
        <v>706</v>
      </c>
      <c r="C38" s="25" t="s">
        <v>707</v>
      </c>
      <c r="D38" s="25" t="s">
        <v>458</v>
      </c>
    </row>
    <row r="39" spans="1:4">
      <c r="A39" s="25" t="s">
        <v>708</v>
      </c>
      <c r="B39" s="25" t="s">
        <v>709</v>
      </c>
      <c r="C39" s="25" t="s">
        <v>710</v>
      </c>
      <c r="D39" s="25" t="s">
        <v>711</v>
      </c>
    </row>
    <row r="40" spans="1:4" ht="27.6">
      <c r="A40" s="25" t="s">
        <v>712</v>
      </c>
      <c r="B40" s="25" t="s">
        <v>713</v>
      </c>
      <c r="C40" s="25" t="s">
        <v>714</v>
      </c>
      <c r="D40" s="25" t="s">
        <v>715</v>
      </c>
    </row>
    <row r="42" spans="1:4" ht="27.6">
      <c r="A42" s="25" t="s">
        <v>716</v>
      </c>
      <c r="B42" s="25" t="s">
        <v>717</v>
      </c>
      <c r="C42" s="25" t="s">
        <v>718</v>
      </c>
      <c r="D42" s="25" t="s">
        <v>719</v>
      </c>
    </row>
    <row r="43" spans="1:4" ht="27.6">
      <c r="A43" s="25" t="s">
        <v>720</v>
      </c>
      <c r="B43" s="25" t="s">
        <v>721</v>
      </c>
      <c r="C43" s="25" t="s">
        <v>722</v>
      </c>
      <c r="D43" s="25" t="s">
        <v>723</v>
      </c>
    </row>
    <row r="45" spans="1:4">
      <c r="A45" s="25" t="s">
        <v>724</v>
      </c>
      <c r="B45" s="25" t="s">
        <v>725</v>
      </c>
      <c r="C45" s="25" t="s">
        <v>726</v>
      </c>
      <c r="D45" s="25" t="s">
        <v>727</v>
      </c>
    </row>
    <row r="46" spans="1:4">
      <c r="A46" s="25" t="s">
        <v>728</v>
      </c>
      <c r="B46" s="25" t="s">
        <v>729</v>
      </c>
      <c r="C46" s="25" t="s">
        <v>730</v>
      </c>
      <c r="D46" s="25" t="s">
        <v>731</v>
      </c>
    </row>
    <row r="47" spans="1:4" ht="27.6">
      <c r="A47" s="25" t="s">
        <v>732</v>
      </c>
      <c r="B47" s="25" t="s">
        <v>733</v>
      </c>
      <c r="C47" s="25" t="s">
        <v>734</v>
      </c>
      <c r="D47" s="25" t="s">
        <v>735</v>
      </c>
    </row>
    <row r="48" spans="1:4" ht="27.6">
      <c r="A48" s="25" t="s">
        <v>736</v>
      </c>
      <c r="B48" s="25" t="s">
        <v>737</v>
      </c>
      <c r="C48" s="25" t="s">
        <v>738</v>
      </c>
      <c r="D48" s="25" t="s">
        <v>739</v>
      </c>
    </row>
    <row r="49" spans="1:4" ht="27.6">
      <c r="A49" s="25" t="s">
        <v>740</v>
      </c>
      <c r="B49" s="25" t="s">
        <v>741</v>
      </c>
      <c r="C49" s="25" t="s">
        <v>742</v>
      </c>
      <c r="D49" s="25" t="s">
        <v>743</v>
      </c>
    </row>
  </sheetData>
  <mergeCells count="1">
    <mergeCell ref="A1: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9"/>
  <sheetViews>
    <sheetView showGridLines="0" workbookViewId="0"/>
  </sheetViews>
  <sheetFormatPr defaultRowHeight="13.8"/>
  <cols>
    <col min="1" max="1" width="24" customWidth="1"/>
    <col min="2" max="2" width="74" customWidth="1"/>
    <col min="3" max="3" width="44" customWidth="1"/>
    <col min="4" max="4" width="40" customWidth="1"/>
    <col min="5" max="5" width="48" customWidth="1"/>
  </cols>
  <sheetData>
    <row r="1" spans="1:5" ht="21" customHeight="1">
      <c r="A1" s="39" t="s">
        <v>744</v>
      </c>
      <c r="B1" s="40"/>
      <c r="C1" s="40"/>
      <c r="D1" s="40"/>
      <c r="E1" s="40"/>
    </row>
    <row r="2" spans="1:5" ht="13.95" customHeight="1">
      <c r="A2" s="44" t="s">
        <v>745</v>
      </c>
      <c r="B2" s="40"/>
      <c r="C2" s="40"/>
      <c r="D2" s="40"/>
      <c r="E2" s="40"/>
    </row>
    <row r="4" spans="1:5">
      <c r="A4" s="2" t="s">
        <v>746</v>
      </c>
      <c r="B4" s="2" t="s">
        <v>578</v>
      </c>
      <c r="C4" s="2" t="s">
        <v>747</v>
      </c>
      <c r="D4" s="2" t="s">
        <v>748</v>
      </c>
      <c r="E4" s="2" t="s">
        <v>749</v>
      </c>
    </row>
    <row r="5" spans="1:5">
      <c r="A5" s="1" t="s">
        <v>750</v>
      </c>
      <c r="B5" s="12" t="s">
        <v>751</v>
      </c>
      <c r="C5" s="1" t="s">
        <v>752</v>
      </c>
      <c r="D5" s="1" t="s">
        <v>753</v>
      </c>
      <c r="E5" s="1" t="s">
        <v>754</v>
      </c>
    </row>
    <row r="6" spans="1:5" ht="39.450000000000003" customHeight="1">
      <c r="A6" s="1" t="s">
        <v>755</v>
      </c>
      <c r="B6" s="12" t="s">
        <v>756</v>
      </c>
      <c r="C6" s="1" t="s">
        <v>757</v>
      </c>
      <c r="D6" s="1" t="s">
        <v>649</v>
      </c>
      <c r="E6" s="1" t="s">
        <v>758</v>
      </c>
    </row>
    <row r="7" spans="1:5" ht="39.450000000000003" customHeight="1">
      <c r="A7" s="1" t="s">
        <v>759</v>
      </c>
      <c r="B7" s="12" t="s">
        <v>760</v>
      </c>
      <c r="C7" s="1" t="s">
        <v>761</v>
      </c>
      <c r="D7" s="1" t="s">
        <v>653</v>
      </c>
      <c r="E7" s="1" t="s">
        <v>762</v>
      </c>
    </row>
    <row r="8" spans="1:5" ht="26.25" customHeight="1">
      <c r="A8" s="1" t="s">
        <v>763</v>
      </c>
      <c r="B8" s="12" t="s">
        <v>764</v>
      </c>
      <c r="C8" s="1" t="s">
        <v>765</v>
      </c>
      <c r="D8" s="1" t="s">
        <v>766</v>
      </c>
      <c r="E8" s="1" t="s">
        <v>767</v>
      </c>
    </row>
    <row r="9" spans="1:5" ht="26.25" customHeight="1">
      <c r="A9" s="1" t="s">
        <v>768</v>
      </c>
      <c r="B9" s="12" t="s">
        <v>769</v>
      </c>
      <c r="C9" s="1" t="s">
        <v>770</v>
      </c>
      <c r="D9" s="1" t="s">
        <v>771</v>
      </c>
      <c r="E9" s="1" t="s">
        <v>772</v>
      </c>
    </row>
    <row r="10" spans="1:5" ht="26.25" customHeight="1">
      <c r="A10" s="1" t="s">
        <v>773</v>
      </c>
      <c r="B10" s="12" t="s">
        <v>774</v>
      </c>
      <c r="C10" s="1" t="s">
        <v>775</v>
      </c>
      <c r="D10" s="1" t="s">
        <v>776</v>
      </c>
      <c r="E10" s="1" t="s">
        <v>777</v>
      </c>
    </row>
    <row r="11" spans="1:5" ht="26.25" customHeight="1">
      <c r="A11" s="1" t="s">
        <v>778</v>
      </c>
      <c r="B11" s="12" t="s">
        <v>779</v>
      </c>
      <c r="C11" s="1" t="s">
        <v>780</v>
      </c>
      <c r="D11" s="1" t="s">
        <v>781</v>
      </c>
      <c r="E11" s="1" t="s">
        <v>782</v>
      </c>
    </row>
    <row r="12" spans="1:5" ht="26.25" customHeight="1">
      <c r="A12" s="1" t="s">
        <v>783</v>
      </c>
      <c r="B12" s="12" t="s">
        <v>784</v>
      </c>
      <c r="C12" s="1" t="s">
        <v>785</v>
      </c>
      <c r="D12" s="1" t="s">
        <v>786</v>
      </c>
      <c r="E12" s="1" t="s">
        <v>787</v>
      </c>
    </row>
    <row r="13" spans="1:5" ht="26.25" customHeight="1">
      <c r="A13" s="1" t="s">
        <v>788</v>
      </c>
      <c r="B13" s="12" t="s">
        <v>789</v>
      </c>
      <c r="C13" s="1" t="s">
        <v>790</v>
      </c>
      <c r="D13" s="1" t="s">
        <v>791</v>
      </c>
      <c r="E13" s="1" t="s">
        <v>792</v>
      </c>
    </row>
    <row r="14" spans="1:5">
      <c r="A14" s="1" t="s">
        <v>793</v>
      </c>
      <c r="B14" s="12" t="s">
        <v>794</v>
      </c>
      <c r="C14" s="1" t="s">
        <v>795</v>
      </c>
      <c r="D14" s="1" t="s">
        <v>796</v>
      </c>
      <c r="E14" s="1" t="s">
        <v>797</v>
      </c>
    </row>
    <row r="15" spans="1:5">
      <c r="A15" s="1" t="s">
        <v>798</v>
      </c>
      <c r="B15" s="12" t="s">
        <v>799</v>
      </c>
      <c r="C15" s="1" t="s">
        <v>800</v>
      </c>
      <c r="D15" s="1" t="s">
        <v>801</v>
      </c>
      <c r="E15" s="1" t="s">
        <v>802</v>
      </c>
    </row>
    <row r="16" spans="1:5" ht="27.6">
      <c r="A16" s="1" t="s">
        <v>803</v>
      </c>
      <c r="B16" s="12" t="s">
        <v>804</v>
      </c>
      <c r="C16" s="1" t="s">
        <v>805</v>
      </c>
      <c r="D16" s="1" t="s">
        <v>806</v>
      </c>
      <c r="E16" s="1" t="s">
        <v>807</v>
      </c>
    </row>
    <row r="17" spans="1:5" ht="26.25" customHeight="1">
      <c r="A17" s="1" t="s">
        <v>808</v>
      </c>
      <c r="B17" s="12" t="s">
        <v>809</v>
      </c>
      <c r="C17" s="1" t="s">
        <v>810</v>
      </c>
      <c r="D17" s="1" t="s">
        <v>811</v>
      </c>
      <c r="E17" s="1" t="s">
        <v>812</v>
      </c>
    </row>
    <row r="18" spans="1:5" ht="26.25" customHeight="1">
      <c r="A18" s="1" t="s">
        <v>813</v>
      </c>
      <c r="B18" s="12" t="s">
        <v>814</v>
      </c>
      <c r="C18" s="1" t="s">
        <v>815</v>
      </c>
      <c r="D18" s="1" t="s">
        <v>816</v>
      </c>
      <c r="E18" s="1" t="s">
        <v>817</v>
      </c>
    </row>
    <row r="19" spans="1:5" ht="26.25" customHeight="1">
      <c r="A19" s="1" t="s">
        <v>818</v>
      </c>
      <c r="B19" s="12" t="s">
        <v>819</v>
      </c>
      <c r="C19" s="1" t="s">
        <v>820</v>
      </c>
      <c r="D19" s="1" t="s">
        <v>821</v>
      </c>
      <c r="E19" s="1" t="s">
        <v>822</v>
      </c>
    </row>
  </sheetData>
  <mergeCells count="2">
    <mergeCell ref="A2:E2"/>
    <mergeCell ref="A1:E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7"/>
  <sheetViews>
    <sheetView showGridLines="0" workbookViewId="0"/>
  </sheetViews>
  <sheetFormatPr defaultRowHeight="13.8"/>
  <cols>
    <col min="1" max="1" width="34" customWidth="1"/>
    <col min="2" max="2" width="28" customWidth="1"/>
    <col min="3" max="3" width="56" customWidth="1"/>
  </cols>
  <sheetData>
    <row r="1" spans="1:3" ht="21" customHeight="1">
      <c r="A1" s="39" t="s">
        <v>823</v>
      </c>
      <c r="B1" s="40"/>
      <c r="C1" s="40"/>
    </row>
    <row r="3" spans="1:3">
      <c r="A3" s="2" t="s">
        <v>824</v>
      </c>
      <c r="B3" s="2" t="s">
        <v>41</v>
      </c>
      <c r="C3" s="2" t="s">
        <v>578</v>
      </c>
    </row>
    <row r="4" spans="1:3">
      <c r="A4" s="1" t="s">
        <v>825</v>
      </c>
      <c r="B4" s="1" t="str">
        <f>IF(Inputs!C7&lt;Inputs!C8,"OK","Fix x_min/x_max")</f>
        <v>OK</v>
      </c>
      <c r="C4" s="1" t="s">
        <v>826</v>
      </c>
    </row>
    <row r="5" spans="1:3">
      <c r="A5" s="1" t="s">
        <v>827</v>
      </c>
      <c r="B5" s="1" t="str">
        <f>IF(Inputs!C5&gt;0,"OK","Fix z0")</f>
        <v>OK</v>
      </c>
      <c r="C5" s="1" t="s">
        <v>828</v>
      </c>
    </row>
    <row r="6" spans="1:3">
      <c r="A6" s="1" t="s">
        <v>829</v>
      </c>
      <c r="B6" s="1" t="str">
        <f>IF(Inputs!C10&gt;0,"OK","Fix x_edge")</f>
        <v>OK</v>
      </c>
      <c r="C6" s="1" t="s">
        <v>830</v>
      </c>
    </row>
    <row r="7" spans="1:3">
      <c r="A7" s="1" t="s">
        <v>831</v>
      </c>
      <c r="B7" s="1" t="str">
        <f>IF(Inputs!C12&gt;0,"OK","Fix n")</f>
        <v>OK</v>
      </c>
      <c r="C7" s="1" t="s">
        <v>832</v>
      </c>
    </row>
    <row r="8" spans="1:3">
      <c r="A8" s="1" t="s">
        <v>833</v>
      </c>
      <c r="B8" s="1" t="str">
        <f>IF(AND(Inputs!C13&gt;0,Inputs!C14&gt;0),"OK","Fix wavelengths")</f>
        <v>OK</v>
      </c>
      <c r="C8" s="1" t="s">
        <v>834</v>
      </c>
    </row>
    <row r="9" spans="1:3">
      <c r="A9" s="1" t="s">
        <v>835</v>
      </c>
      <c r="B9" s="1" t="str">
        <f>IF(Inputs!C15&gt;0,"OK","Fix baseline")</f>
        <v>OK</v>
      </c>
      <c r="C9" s="1" t="s">
        <v>836</v>
      </c>
    </row>
    <row r="10" spans="1:3">
      <c r="A10" s="1" t="s">
        <v>837</v>
      </c>
      <c r="B10" s="1" t="str">
        <f>IF(OR(Inputs!C27=TRUE,Inputs!C27=FALSE,Inputs!C27="TRUE",Inputs!C27="FALSE",Inputs!C27=1,Inputs!C27=0),"OK","Fix topography toggle")</f>
        <v>OK</v>
      </c>
      <c r="C10" s="1" t="s">
        <v>838</v>
      </c>
    </row>
    <row r="11" spans="1:3">
      <c r="A11" s="1" t="s">
        <v>839</v>
      </c>
      <c r="B11" s="1" t="str">
        <f>IF(AND(Inputs!C31&gt;0,Inputs!C32&gt;0,Inputs!C36&gt;0,Inputs!C39&gt;0,Inputs!C40&gt;0,Inputs!C44&gt;0,Inputs!C45&gt;0),"OK","Fix topography width")</f>
        <v>OK</v>
      </c>
      <c r="C11" s="1" t="s">
        <v>840</v>
      </c>
    </row>
    <row r="12" spans="1:3">
      <c r="A12" s="1" t="s">
        <v>841</v>
      </c>
      <c r="B12" s="1" t="str">
        <f>IF(Inputs!C46&gt;=0,"OK","Fix terrain uncertainty")</f>
        <v>OK</v>
      </c>
      <c r="C12" s="1" t="s">
        <v>842</v>
      </c>
    </row>
    <row r="13" spans="1:3">
      <c r="A13" s="1" t="s">
        <v>843</v>
      </c>
      <c r="B13" s="1" t="str">
        <f>IF(AND(Inputs!C49&gt;0,Inputs!C50&gt;0),"OK","Fix seeded terrain scale")</f>
        <v>OK</v>
      </c>
      <c r="C13" s="1" t="s">
        <v>844</v>
      </c>
    </row>
    <row r="14" spans="1:3">
      <c r="A14" s="1" t="s">
        <v>845</v>
      </c>
      <c r="B14" s="1" t="str">
        <f>IF(Inputs!C48&gt;=0,"OK","Fix seeded amplitude")</f>
        <v>OK</v>
      </c>
      <c r="C14" s="1" t="s">
        <v>846</v>
      </c>
    </row>
    <row r="15" spans="1:3">
      <c r="A15" s="1" t="s">
        <v>847</v>
      </c>
      <c r="B15" s="1" t="str">
        <f>IF(Inputs!C51&gt;=0,"OK","Fix DEM scale")</f>
        <v>OK</v>
      </c>
      <c r="C15" s="1" t="s">
        <v>848</v>
      </c>
    </row>
    <row r="16" spans="1:3">
      <c r="A16" s="1" t="s">
        <v>849</v>
      </c>
      <c r="B16" s="1" t="str">
        <f>IF(Inputs!C52&gt;0,"OK","Fix Europa radius")</f>
        <v>OK</v>
      </c>
      <c r="C16" s="1" t="s">
        <v>850</v>
      </c>
    </row>
    <row r="17" spans="1:3">
      <c r="A17" s="1" t="s">
        <v>851</v>
      </c>
      <c r="B17" s="1" t="str">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OK</v>
      </c>
      <c r="C17" s="1" t="s">
        <v>852</v>
      </c>
    </row>
    <row r="18" spans="1:3">
      <c r="A18" s="1" t="s">
        <v>853</v>
      </c>
      <c r="B18" s="1" t="str">
        <f>IF(AND(Inputs!I6&lt;Inputs!J6,Inputs!K6&gt;0,Inputs!I7&lt;Inputs!J7,Inputs!K7&gt;0,Inputs!I8&lt;Inputs!J8,Inputs!K8&gt;0,Inputs!I9&lt;Inputs!J9,Inputs!K9&gt;0),"OK","Fix scenario length")</f>
        <v>OK</v>
      </c>
      <c r="C18" s="1" t="s">
        <v>854</v>
      </c>
    </row>
    <row r="19" spans="1:3">
      <c r="A19" s="1" t="s">
        <v>855</v>
      </c>
      <c r="B19" s="1" t="str">
        <f>IF(Inputs!C20&gt;=Dashboard!B16,"OK","High PRF below simple floor")</f>
        <v>OK</v>
      </c>
      <c r="C19" s="1" t="s">
        <v>856</v>
      </c>
    </row>
    <row r="20" spans="1:3">
      <c r="A20" s="1" t="s">
        <v>857</v>
      </c>
      <c r="B20" s="1" t="str">
        <f>IF(COUNTA(Model_Data!A2:A242)=241,"OK","Missing rows")</f>
        <v>OK</v>
      </c>
      <c r="C20" s="1" t="s">
        <v>858</v>
      </c>
    </row>
    <row r="21" spans="1:3">
      <c r="A21" s="1" t="s">
        <v>859</v>
      </c>
      <c r="B21" s="1" t="str">
        <f>IF(Chart_Data!L122=Model_Data!Y122,"OK","Fix off-nadir chart link")</f>
        <v>OK</v>
      </c>
      <c r="C21" s="1" t="s">
        <v>860</v>
      </c>
    </row>
    <row r="22" spans="1:3">
      <c r="A22" s="1" t="s">
        <v>861</v>
      </c>
      <c r="B22" s="1" t="str">
        <f>IF(Chart_Data!M122=Model_Data!X122,"OK","Fix nadir chart link")</f>
        <v>OK</v>
      </c>
      <c r="C22" s="1" t="s">
        <v>862</v>
      </c>
    </row>
    <row r="23" spans="1:3">
      <c r="A23" s="1" t="s">
        <v>863</v>
      </c>
      <c r="B23" s="1" t="str">
        <f>IF(ABS(Chart_Data!N122+Model_Data!AI122*Inputs!C12)&lt;0.001,"OK","Fix apparent-height conversion")</f>
        <v>OK</v>
      </c>
      <c r="C23" s="1" t="s">
        <v>864</v>
      </c>
    </row>
    <row r="25" spans="1:3" ht="13.95" customHeight="1">
      <c r="A25" s="13" t="s">
        <v>865</v>
      </c>
      <c r="B25" s="13"/>
      <c r="C25" s="13"/>
    </row>
    <row r="26" spans="1:3" ht="27" customHeight="1">
      <c r="A26" s="16" t="s">
        <v>866</v>
      </c>
      <c r="B26" s="15" t="s">
        <v>867</v>
      </c>
      <c r="C26" s="15" t="s">
        <v>868</v>
      </c>
    </row>
    <row r="27" spans="1:3" ht="27" customHeight="1">
      <c r="A27" s="16" t="s">
        <v>869</v>
      </c>
      <c r="B27" s="15" t="s">
        <v>867</v>
      </c>
      <c r="C27" s="15" t="s">
        <v>870</v>
      </c>
    </row>
  </sheetData>
  <mergeCells count="1">
    <mergeCell ref="A1:C1"/>
  </mergeCells>
  <conditionalFormatting sqref="B4:B23">
    <cfRule type="containsText" dxfId="1" priority="1" operator="containsText" text="OK"/>
    <cfRule type="notContainsText" dxfId="0" priority="2" operator="notContains" text="OK"/>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37"/>
  <sheetViews>
    <sheetView showGridLines="0" workbookViewId="0"/>
  </sheetViews>
  <sheetFormatPr defaultRowHeight="13.8"/>
  <cols>
    <col min="1" max="1" width="25.59765625" customWidth="1"/>
    <col min="2" max="2" width="45" customWidth="1"/>
    <col min="3" max="3" width="35" customWidth="1"/>
    <col min="4" max="4" width="31.19921875" customWidth="1"/>
    <col min="5" max="5" width="22.5" customWidth="1"/>
    <col min="6" max="6" width="45" customWidth="1"/>
    <col min="7" max="7" width="22.5" customWidth="1"/>
  </cols>
  <sheetData>
    <row r="1" spans="1:7" ht="22.5" customHeight="1">
      <c r="A1" s="49" t="s">
        <v>871</v>
      </c>
      <c r="B1" s="40"/>
      <c r="C1" s="40"/>
      <c r="D1" s="40"/>
      <c r="E1" s="40"/>
      <c r="F1" s="40"/>
      <c r="G1" s="40"/>
    </row>
    <row r="2" spans="1:7" ht="25.5" customHeight="1">
      <c r="A2" s="50" t="s">
        <v>872</v>
      </c>
      <c r="B2" s="33"/>
      <c r="C2" s="33"/>
      <c r="D2" s="33"/>
      <c r="E2" s="33"/>
      <c r="F2" s="33"/>
      <c r="G2" s="34"/>
    </row>
    <row r="3" spans="1:7" ht="31.5" customHeight="1">
      <c r="A3" s="17"/>
      <c r="B3" s="17"/>
      <c r="C3" s="17"/>
      <c r="D3" s="17"/>
      <c r="E3" s="17"/>
      <c r="F3" s="17"/>
      <c r="G3" s="17"/>
    </row>
    <row r="4" spans="1:7" ht="31.5" customHeight="1">
      <c r="A4" s="22" t="s">
        <v>61</v>
      </c>
      <c r="B4" s="22" t="s">
        <v>111</v>
      </c>
      <c r="C4" s="22" t="s">
        <v>486</v>
      </c>
      <c r="D4" s="22" t="s">
        <v>63</v>
      </c>
      <c r="E4" s="22" t="s">
        <v>873</v>
      </c>
      <c r="F4" s="22" t="s">
        <v>874</v>
      </c>
      <c r="G4" s="22" t="s">
        <v>875</v>
      </c>
    </row>
    <row r="5" spans="1:7" ht="43.5" customHeight="1">
      <c r="A5" s="18" t="s">
        <v>876</v>
      </c>
      <c r="B5" s="19" t="s">
        <v>877</v>
      </c>
      <c r="C5" s="19" t="s">
        <v>878</v>
      </c>
      <c r="D5" s="19" t="s">
        <v>879</v>
      </c>
      <c r="E5" s="19" t="s">
        <v>880</v>
      </c>
      <c r="F5" s="19" t="s">
        <v>881</v>
      </c>
      <c r="G5" s="19" t="s">
        <v>882</v>
      </c>
    </row>
    <row r="6" spans="1:7" ht="43.5" customHeight="1">
      <c r="A6" s="18" t="s">
        <v>883</v>
      </c>
      <c r="B6" s="19" t="s">
        <v>884</v>
      </c>
      <c r="C6" s="19" t="s">
        <v>885</v>
      </c>
      <c r="D6" s="19" t="s">
        <v>886</v>
      </c>
      <c r="E6" s="19" t="s">
        <v>887</v>
      </c>
      <c r="F6" s="19" t="s">
        <v>888</v>
      </c>
      <c r="G6" s="19" t="s">
        <v>889</v>
      </c>
    </row>
    <row r="7" spans="1:7" ht="43.5" customHeight="1">
      <c r="A7" s="18" t="s">
        <v>890</v>
      </c>
      <c r="B7" s="19" t="s">
        <v>891</v>
      </c>
      <c r="C7" s="19" t="s">
        <v>892</v>
      </c>
      <c r="D7" s="19" t="s">
        <v>893</v>
      </c>
      <c r="E7" s="19" t="s">
        <v>894</v>
      </c>
      <c r="F7" s="19" t="s">
        <v>895</v>
      </c>
      <c r="G7" s="19" t="s">
        <v>896</v>
      </c>
    </row>
    <row r="8" spans="1:7" ht="43.5" customHeight="1">
      <c r="A8" s="18" t="s">
        <v>897</v>
      </c>
      <c r="B8" s="19" t="s">
        <v>898</v>
      </c>
      <c r="C8" s="19" t="s">
        <v>899</v>
      </c>
      <c r="D8" s="19" t="s">
        <v>900</v>
      </c>
      <c r="E8" s="19" t="s">
        <v>901</v>
      </c>
      <c r="F8" s="19" t="s">
        <v>902</v>
      </c>
      <c r="G8" s="19" t="s">
        <v>903</v>
      </c>
    </row>
    <row r="9" spans="1:7" ht="43.5" customHeight="1">
      <c r="A9" s="18" t="s">
        <v>904</v>
      </c>
      <c r="B9" s="19" t="s">
        <v>905</v>
      </c>
      <c r="C9" s="19" t="s">
        <v>906</v>
      </c>
      <c r="D9" s="19" t="s">
        <v>907</v>
      </c>
      <c r="E9" s="19" t="s">
        <v>908</v>
      </c>
      <c r="F9" s="19" t="s">
        <v>909</v>
      </c>
      <c r="G9" s="19" t="s">
        <v>910</v>
      </c>
    </row>
    <row r="10" spans="1:7" ht="43.5" customHeight="1">
      <c r="A10" s="18" t="s">
        <v>911</v>
      </c>
      <c r="B10" s="19" t="s">
        <v>912</v>
      </c>
      <c r="C10" s="19" t="s">
        <v>913</v>
      </c>
      <c r="D10" s="19" t="s">
        <v>914</v>
      </c>
      <c r="E10" s="19" t="s">
        <v>915</v>
      </c>
      <c r="F10" s="19" t="s">
        <v>916</v>
      </c>
      <c r="G10" s="19" t="s">
        <v>910</v>
      </c>
    </row>
    <row r="11" spans="1:7" ht="43.5" customHeight="1">
      <c r="A11" s="18" t="s">
        <v>917</v>
      </c>
      <c r="B11" s="19" t="s">
        <v>918</v>
      </c>
      <c r="C11" s="19" t="s">
        <v>919</v>
      </c>
      <c r="D11" s="19" t="s">
        <v>920</v>
      </c>
      <c r="E11" s="19" t="s">
        <v>921</v>
      </c>
      <c r="F11" s="19" t="s">
        <v>922</v>
      </c>
      <c r="G11" s="19" t="s">
        <v>910</v>
      </c>
    </row>
    <row r="12" spans="1:7" ht="31.5" customHeight="1">
      <c r="A12" s="17"/>
      <c r="B12" s="17"/>
      <c r="C12" s="17"/>
      <c r="D12" s="17"/>
      <c r="E12" s="17"/>
      <c r="F12" s="17"/>
      <c r="G12" s="17"/>
    </row>
    <row r="13" spans="1:7" ht="31.5" customHeight="1">
      <c r="A13" s="49" t="s">
        <v>923</v>
      </c>
      <c r="B13" s="40"/>
      <c r="C13" s="40"/>
      <c r="D13" s="40"/>
      <c r="E13" s="40"/>
      <c r="F13" s="40"/>
      <c r="G13" s="40"/>
    </row>
    <row r="14" spans="1:7" ht="31.5" customHeight="1">
      <c r="A14" s="22" t="s">
        <v>924</v>
      </c>
      <c r="B14" s="22" t="s">
        <v>925</v>
      </c>
      <c r="C14" s="22" t="s">
        <v>5</v>
      </c>
      <c r="D14" s="22" t="s">
        <v>926</v>
      </c>
      <c r="E14" s="22" t="s">
        <v>486</v>
      </c>
      <c r="F14" s="17"/>
      <c r="G14" s="17"/>
    </row>
    <row r="15" spans="1:7" ht="40.5" customHeight="1">
      <c r="A15" s="18" t="s">
        <v>927</v>
      </c>
      <c r="B15" s="20" t="str">
        <f>IF(COUNTIF(Checks!B4:B23,"OK")=ROWS(Checks!B4:B23),"OK","Review Checks")</f>
        <v>OK</v>
      </c>
      <c r="C15" s="19"/>
      <c r="D15" s="19" t="s">
        <v>928</v>
      </c>
      <c r="E15" s="19" t="s">
        <v>929</v>
      </c>
      <c r="F15" s="17"/>
      <c r="G15" s="17"/>
    </row>
    <row r="16" spans="1:7" ht="40.5" customHeight="1">
      <c r="A16" s="18" t="s">
        <v>9</v>
      </c>
      <c r="B16" s="21">
        <f>Dashboard!B7</f>
        <v>550.69986033905366</v>
      </c>
      <c r="C16" s="19" t="s">
        <v>10</v>
      </c>
      <c r="D16" s="19" t="s">
        <v>930</v>
      </c>
      <c r="E16" s="19" t="s">
        <v>931</v>
      </c>
      <c r="F16" s="17"/>
      <c r="G16" s="17"/>
    </row>
    <row r="17" spans="1:7" ht="40.5" customHeight="1">
      <c r="A17" s="18" t="s">
        <v>932</v>
      </c>
      <c r="B17" s="21">
        <f>Dashboard!B8</f>
        <v>278.8355336025972</v>
      </c>
      <c r="C17" s="19" t="s">
        <v>10</v>
      </c>
      <c r="D17" s="19" t="s">
        <v>933</v>
      </c>
      <c r="E17" s="19" t="s">
        <v>934</v>
      </c>
      <c r="F17" s="17"/>
      <c r="G17" s="17"/>
    </row>
    <row r="18" spans="1:7" ht="40.5" customHeight="1">
      <c r="A18" s="18" t="s">
        <v>14</v>
      </c>
      <c r="B18" s="21">
        <f>Dashboard!B9</f>
        <v>-271.86432673645646</v>
      </c>
      <c r="C18" s="19" t="s">
        <v>10</v>
      </c>
      <c r="D18" s="19" t="s">
        <v>935</v>
      </c>
      <c r="E18" s="19" t="s">
        <v>936</v>
      </c>
      <c r="F18" s="17"/>
      <c r="G18" s="17"/>
    </row>
    <row r="19" spans="1:7" ht="40.5" customHeight="1">
      <c r="A19" s="18" t="s">
        <v>31</v>
      </c>
      <c r="B19" s="21">
        <f>Dashboard!B16</f>
        <v>1068.1204298898592</v>
      </c>
      <c r="C19" s="19" t="s">
        <v>29</v>
      </c>
      <c r="D19" s="19" t="s">
        <v>937</v>
      </c>
      <c r="E19" s="19" t="s">
        <v>938</v>
      </c>
      <c r="F19" s="17"/>
      <c r="G19" s="17"/>
    </row>
    <row r="20" spans="1:7" ht="40.5" customHeight="1">
      <c r="A20" s="18" t="s">
        <v>939</v>
      </c>
      <c r="B20" s="20" t="s">
        <v>867</v>
      </c>
      <c r="C20" s="19"/>
      <c r="D20" s="19" t="s">
        <v>940</v>
      </c>
      <c r="E20" s="19" t="s">
        <v>941</v>
      </c>
      <c r="F20" s="17"/>
      <c r="G20" s="17"/>
    </row>
    <row r="22" spans="1:7" ht="16.8">
      <c r="A22" s="28" t="s">
        <v>942</v>
      </c>
    </row>
    <row r="23" spans="1:7">
      <c r="A23" s="23" t="s">
        <v>61</v>
      </c>
      <c r="B23" s="23" t="s">
        <v>111</v>
      </c>
      <c r="C23" s="23" t="s">
        <v>486</v>
      </c>
      <c r="D23" s="23" t="s">
        <v>63</v>
      </c>
      <c r="E23" s="23" t="s">
        <v>873</v>
      </c>
      <c r="F23" s="23" t="s">
        <v>874</v>
      </c>
      <c r="G23" s="23" t="s">
        <v>875</v>
      </c>
    </row>
    <row r="24" spans="1:7" ht="27.6">
      <c r="A24" s="25" t="s">
        <v>943</v>
      </c>
      <c r="B24" s="25" t="s">
        <v>944</v>
      </c>
      <c r="C24" s="25" t="s">
        <v>945</v>
      </c>
      <c r="D24" s="25" t="s">
        <v>946</v>
      </c>
      <c r="E24" s="25" t="s">
        <v>947</v>
      </c>
      <c r="F24" s="25" t="s">
        <v>948</v>
      </c>
      <c r="G24" s="25" t="s">
        <v>949</v>
      </c>
    </row>
    <row r="25" spans="1:7" ht="27.6">
      <c r="A25" s="25" t="s">
        <v>950</v>
      </c>
      <c r="B25" s="25" t="s">
        <v>951</v>
      </c>
      <c r="C25" s="25" t="s">
        <v>952</v>
      </c>
      <c r="D25" s="25" t="s">
        <v>953</v>
      </c>
      <c r="E25" s="25" t="s">
        <v>954</v>
      </c>
      <c r="F25" s="25" t="s">
        <v>708</v>
      </c>
      <c r="G25" s="25" t="s">
        <v>949</v>
      </c>
    </row>
    <row r="26" spans="1:7" ht="27.6">
      <c r="A26" s="25" t="s">
        <v>955</v>
      </c>
      <c r="B26" s="25" t="s">
        <v>956</v>
      </c>
      <c r="C26" s="25" t="s">
        <v>957</v>
      </c>
      <c r="D26" s="25" t="s">
        <v>958</v>
      </c>
      <c r="E26" s="25" t="s">
        <v>959</v>
      </c>
      <c r="F26" s="25" t="s">
        <v>960</v>
      </c>
      <c r="G26" s="25" t="s">
        <v>949</v>
      </c>
    </row>
    <row r="27" spans="1:7" ht="27.6">
      <c r="A27" s="25" t="s">
        <v>961</v>
      </c>
      <c r="B27" s="25" t="s">
        <v>962</v>
      </c>
      <c r="C27" s="25" t="s">
        <v>963</v>
      </c>
      <c r="D27" s="25" t="s">
        <v>964</v>
      </c>
      <c r="E27" s="25" t="s">
        <v>965</v>
      </c>
      <c r="F27" s="25" t="s">
        <v>966</v>
      </c>
      <c r="G27" s="25" t="s">
        <v>949</v>
      </c>
    </row>
    <row r="29" spans="1:7" ht="27.6">
      <c r="A29" s="25" t="s">
        <v>967</v>
      </c>
      <c r="B29" s="25" t="s">
        <v>968</v>
      </c>
      <c r="C29" s="25" t="s">
        <v>969</v>
      </c>
      <c r="D29" s="25" t="s">
        <v>970</v>
      </c>
      <c r="E29" s="25" t="s">
        <v>971</v>
      </c>
      <c r="F29" s="25" t="s">
        <v>972</v>
      </c>
      <c r="G29" s="25" t="s">
        <v>949</v>
      </c>
    </row>
    <row r="30" spans="1:7" ht="27.6">
      <c r="A30" s="25" t="s">
        <v>973</v>
      </c>
      <c r="B30" s="25" t="s">
        <v>974</v>
      </c>
      <c r="C30" s="25" t="s">
        <v>975</v>
      </c>
      <c r="D30" s="25" t="s">
        <v>976</v>
      </c>
      <c r="E30" s="25" t="s">
        <v>977</v>
      </c>
      <c r="F30" s="25" t="s">
        <v>978</v>
      </c>
      <c r="G30" s="25" t="s">
        <v>949</v>
      </c>
    </row>
    <row r="32" spans="1:7" ht="27.6">
      <c r="A32" s="25" t="s">
        <v>979</v>
      </c>
      <c r="B32" s="25" t="s">
        <v>980</v>
      </c>
      <c r="C32" s="25" t="s">
        <v>981</v>
      </c>
      <c r="D32" s="25" t="s">
        <v>982</v>
      </c>
      <c r="E32" s="25" t="s">
        <v>983</v>
      </c>
      <c r="F32" s="25" t="s">
        <v>984</v>
      </c>
      <c r="G32" s="25" t="s">
        <v>985</v>
      </c>
    </row>
    <row r="33" spans="1:7" ht="27.6">
      <c r="A33" s="25" t="s">
        <v>986</v>
      </c>
      <c r="B33" s="25" t="s">
        <v>987</v>
      </c>
      <c r="C33" s="25" t="s">
        <v>988</v>
      </c>
      <c r="D33" s="25" t="s">
        <v>989</v>
      </c>
      <c r="E33" s="25" t="s">
        <v>990</v>
      </c>
      <c r="F33" s="25" t="s">
        <v>991</v>
      </c>
      <c r="G33" s="25" t="s">
        <v>985</v>
      </c>
    </row>
    <row r="34" spans="1:7" ht="27.6">
      <c r="A34" s="25" t="s">
        <v>992</v>
      </c>
      <c r="B34" s="25" t="s">
        <v>993</v>
      </c>
      <c r="C34" s="25" t="s">
        <v>994</v>
      </c>
      <c r="D34" s="25" t="s">
        <v>995</v>
      </c>
      <c r="E34" s="25" t="s">
        <v>996</v>
      </c>
      <c r="F34" s="25" t="s">
        <v>972</v>
      </c>
      <c r="G34" s="25" t="s">
        <v>985</v>
      </c>
    </row>
    <row r="35" spans="1:7" ht="27.6">
      <c r="A35" s="25" t="s">
        <v>997</v>
      </c>
      <c r="B35" s="25" t="s">
        <v>998</v>
      </c>
      <c r="C35" s="25" t="s">
        <v>999</v>
      </c>
      <c r="D35" s="25" t="s">
        <v>1000</v>
      </c>
      <c r="E35" s="25" t="s">
        <v>1001</v>
      </c>
      <c r="F35" s="25" t="s">
        <v>1002</v>
      </c>
      <c r="G35" s="25" t="s">
        <v>985</v>
      </c>
    </row>
    <row r="36" spans="1:7" ht="27.6">
      <c r="A36" s="25" t="s">
        <v>1003</v>
      </c>
      <c r="B36" s="25" t="s">
        <v>1004</v>
      </c>
      <c r="C36" s="25" t="s">
        <v>1005</v>
      </c>
      <c r="D36" s="25" t="s">
        <v>133</v>
      </c>
      <c r="E36" s="25" t="s">
        <v>1006</v>
      </c>
      <c r="F36" s="25" t="s">
        <v>1007</v>
      </c>
      <c r="G36" s="25" t="s">
        <v>1008</v>
      </c>
    </row>
    <row r="37" spans="1:7" ht="27.6">
      <c r="A37" s="25" t="s">
        <v>1009</v>
      </c>
      <c r="B37" s="25" t="s">
        <v>1010</v>
      </c>
      <c r="C37" s="25" t="s">
        <v>1011</v>
      </c>
      <c r="D37" s="25" t="s">
        <v>136</v>
      </c>
      <c r="E37" s="25" t="s">
        <v>1006</v>
      </c>
      <c r="F37" s="25" t="s">
        <v>1012</v>
      </c>
      <c r="G37" s="25" t="s">
        <v>985</v>
      </c>
    </row>
  </sheetData>
  <mergeCells count="3">
    <mergeCell ref="A13:G13"/>
    <mergeCell ref="A2:G2"/>
    <mergeCell ref="A1:G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1465"/>
  <sheetViews>
    <sheetView workbookViewId="0"/>
  </sheetViews>
  <sheetFormatPr defaultRowHeight="13.8"/>
  <sheetData>
    <row r="1" spans="1:49">
      <c r="A1" t="s">
        <v>1013</v>
      </c>
      <c r="B1" t="s">
        <v>1014</v>
      </c>
      <c r="D1" t="s">
        <v>1015</v>
      </c>
      <c r="E1" t="s">
        <v>1016</v>
      </c>
      <c r="F1" t="s">
        <v>1017</v>
      </c>
      <c r="G1" t="s">
        <v>1018</v>
      </c>
      <c r="I1" t="s">
        <v>1019</v>
      </c>
      <c r="J1" t="s">
        <v>1020</v>
      </c>
      <c r="K1" t="s">
        <v>1021</v>
      </c>
      <c r="L1" t="s">
        <v>1022</v>
      </c>
      <c r="M1" t="s">
        <v>1023</v>
      </c>
      <c r="O1" t="s">
        <v>1024</v>
      </c>
      <c r="P1" t="s">
        <v>1025</v>
      </c>
      <c r="Q1" t="s">
        <v>1026</v>
      </c>
      <c r="R1" t="s">
        <v>1027</v>
      </c>
      <c r="S1" t="s">
        <v>1028</v>
      </c>
      <c r="T1" t="s">
        <v>1029</v>
      </c>
      <c r="U1" t="s">
        <v>1030</v>
      </c>
      <c r="V1" t="s">
        <v>1031</v>
      </c>
      <c r="X1" t="s">
        <v>1032</v>
      </c>
      <c r="Y1" t="s">
        <v>1033</v>
      </c>
      <c r="Z1" t="s">
        <v>1034</v>
      </c>
      <c r="AA1" t="s">
        <v>1035</v>
      </c>
      <c r="AB1" t="s">
        <v>1036</v>
      </c>
      <c r="AC1" t="s">
        <v>1037</v>
      </c>
      <c r="AD1" t="s">
        <v>1038</v>
      </c>
      <c r="AE1" t="s">
        <v>1039</v>
      </c>
      <c r="AG1" t="s">
        <v>1040</v>
      </c>
      <c r="AH1" t="s">
        <v>1041</v>
      </c>
      <c r="AI1" t="s">
        <v>1042</v>
      </c>
      <c r="AJ1" t="s">
        <v>1043</v>
      </c>
      <c r="AK1" t="s">
        <v>1044</v>
      </c>
      <c r="AL1" t="s">
        <v>1045</v>
      </c>
      <c r="AM1" t="s">
        <v>1046</v>
      </c>
      <c r="AN1" t="s">
        <v>1047</v>
      </c>
      <c r="AP1" t="s">
        <v>1048</v>
      </c>
      <c r="AQ1" t="s">
        <v>1049</v>
      </c>
      <c r="AR1" t="s">
        <v>1050</v>
      </c>
      <c r="AS1" t="s">
        <v>1051</v>
      </c>
      <c r="AT1" t="s">
        <v>1052</v>
      </c>
      <c r="AU1" t="s">
        <v>1053</v>
      </c>
      <c r="AV1" t="s">
        <v>1054</v>
      </c>
      <c r="AW1" t="s">
        <v>1055</v>
      </c>
    </row>
    <row r="2" spans="1:49">
      <c r="A2">
        <f>Chart_Data!K2</f>
        <v>-60</v>
      </c>
      <c r="B2">
        <f>Chart_Data!N2-Chart_Data!L2</f>
        <v>-5.1598139147735083</v>
      </c>
      <c r="D2">
        <f>Chart_Data!G2</f>
        <v>-60</v>
      </c>
      <c r="E2">
        <f>Chart_Data!H2</f>
        <v>119.42638570504096</v>
      </c>
      <c r="F2">
        <f>Chart_Data!I2</f>
        <v>119.42638570504096</v>
      </c>
      <c r="G2">
        <f>Chart_Data!J2</f>
        <v>2.7642790376893132</v>
      </c>
      <c r="I2">
        <f>Scenario_Data!A2</f>
        <v>-1</v>
      </c>
      <c r="J2">
        <f>Scenario_Data!H2-(((SQRT((Inputs!$C$52+(Inputs!$H$6))^2+Inputs!$C$52^2-2*(Inputs!$C$52+(Inputs!$H$6))*Inputs!$C$52*COS(SQRT((Scenario_Data!T2)^2+Inputs!$C$6^2)/Inputs!$C$52)))-(Inputs!$H$6))*1000/Inputs!$C$12)</f>
        <v>-28.606835752051211</v>
      </c>
      <c r="K2">
        <f>Scenario_Data!I2-(((SQRT((Inputs!$C$52+(Inputs!$H$7))^2+Inputs!$C$52^2-2*(Inputs!$C$52+(Inputs!$H$7))*Inputs!$C$52*COS(SQRT((Scenario_Data!U2)^2+Inputs!$C$6^2)/Inputs!$C$52)))-(Inputs!$H$7))*1000/Inputs!$C$12)</f>
        <v>-95550.696824635204</v>
      </c>
      <c r="L2">
        <f>Scenario_Data!J2-(((SQRT((Inputs!$C$52+(Inputs!$H$8))^2+Inputs!$C$52^2-2*(Inputs!$C$52+(Inputs!$H$8))*Inputs!$C$52*COS(SQRT((Scenario_Data!V2)^2+Inputs!$C$6^2)/Inputs!$C$52)))-(Inputs!$H$8))*1000/Inputs!$C$12)</f>
        <v>-192178.91313344726</v>
      </c>
      <c r="M2">
        <f>Scenario_Data!K2-(((SQRT((Inputs!$C$52+(Inputs!$H$9))^2+Inputs!$C$52^2-2*(Inputs!$C$52+(Inputs!$H$9))*Inputs!$C$52*COS(SQRT((Scenario_Data!W2)^2+Inputs!$C$6^2)/Inputs!$C$52)))-(Inputs!$H$9))*1000/Inputs!$C$12)</f>
        <v>-196175.94007289349</v>
      </c>
      <c r="O2">
        <f>Scenario_Data!T2</f>
        <v>-60</v>
      </c>
      <c r="P2">
        <f>2*(Scenario_Data!B2*1000)/Inputs!$C$21*1000000</f>
        <v>2695.1978892010684</v>
      </c>
      <c r="Q2">
        <f>Scenario_Data!U2</f>
        <v>-400</v>
      </c>
      <c r="R2">
        <f>2*(Scenario_Data!C2*1000)/Inputs!$C$21*1000000</f>
        <v>2668.5127615852166</v>
      </c>
      <c r="S2">
        <f>Scenario_Data!V2</f>
        <v>-800</v>
      </c>
      <c r="T2">
        <f>2*(Scenario_Data!D2*1000)/Inputs!$C$21*1000000</f>
        <v>6671.2819039630413</v>
      </c>
      <c r="U2">
        <f>Scenario_Data!W2</f>
        <v>-800</v>
      </c>
      <c r="V2">
        <f>2*(Scenario_Data!E2*1000)/Inputs!$C$21*1000000</f>
        <v>6671.2819039630413</v>
      </c>
      <c r="X2">
        <f>Scenario_Data!T2</f>
        <v>-60</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2695.1794479163468</v>
      </c>
      <c r="Z2">
        <f>Scenario_Data!U2</f>
        <v>-400</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2668.428145382044</v>
      </c>
      <c r="AB2">
        <f>Scenario_Data!V2</f>
        <v>-800</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6671.2479839550178</v>
      </c>
      <c r="AD2">
        <f>Scenario_Data!W2</f>
        <v>-800</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6671.2479839550178</v>
      </c>
      <c r="AG2">
        <f>Scenario_Data!T2</f>
        <v>-60</v>
      </c>
      <c r="AH2">
        <f>2*(SQRT((Inputs!$C$52+(Scenario_Data!B2))^2+Inputs!$C$52^2-2*(Inputs!$C$52+(Scenario_Data!B2))*Inputs!$C$52*COS(SQRT((Scenario_Data!T2)^2+Inputs!$C$6^2)/Inputs!$C$52))*1000)/Inputs!$C$21*1000000</f>
        <v>2738.7528797589603</v>
      </c>
      <c r="AI2">
        <f>Scenario_Data!U2</f>
        <v>-400</v>
      </c>
      <c r="AJ2">
        <f>2*(SQRT((Inputs!$C$52+(Scenario_Data!C2))^2+Inputs!$C$52^2-2*(Inputs!$C$52+(Scenario_Data!C2))*Inputs!$C$52*COS(SQRT((Scenario_Data!U2)^2+Inputs!$C$6^2)/Inputs!$C$52))*1000)/Inputs!$C$21*1000000</f>
        <v>4006.5669904921833</v>
      </c>
      <c r="AK2">
        <f>Scenario_Data!V2</f>
        <v>-800</v>
      </c>
      <c r="AL2">
        <f>2*(SQRT((Inputs!$C$52+(Scenario_Data!D2))^2+Inputs!$C$52^2-2*(Inputs!$C$52+(Scenario_Data!D2))*Inputs!$C$52*COS(SQRT((Scenario_Data!V2)^2+Inputs!$C$6^2)/Inputs!$C$52))*1000)/Inputs!$C$21*1000000</f>
        <v>9500.9899232733605</v>
      </c>
      <c r="AM2">
        <f>Scenario_Data!W2</f>
        <v>-800</v>
      </c>
      <c r="AN2">
        <f>2*(SQRT((Inputs!$C$52+(Scenario_Data!E2))^2+Inputs!$C$52^2-2*(Inputs!$C$52+(Scenario_Data!E2))*Inputs!$C$52*COS(SQRT((Scenario_Data!W2)^2+Inputs!$C$6^2)/Inputs!$C$52))*1000)/Inputs!$C$21*1000000</f>
        <v>9500.9899232733605</v>
      </c>
      <c r="AP2">
        <f>Scenario_Data!T2</f>
        <v>-60</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2737.9721339616262</v>
      </c>
      <c r="AR2">
        <f>Scenario_Data!U2</f>
        <v>-400</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4006.1845220388846</v>
      </c>
      <c r="AT2">
        <f>Scenario_Data!V2</f>
        <v>-800</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9500.5563713434549</v>
      </c>
      <c r="AV2">
        <f>Scenario_Data!W2</f>
        <v>-800</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9500.5563713434549</v>
      </c>
    </row>
    <row r="3" spans="1:49">
      <c r="A3">
        <f>Chart_Data!K3</f>
        <v>-59.5</v>
      </c>
      <c r="B3">
        <f>Chart_Data!N3-Chart_Data!L3</f>
        <v>-21.835331789793656</v>
      </c>
      <c r="D3">
        <f>Chart_Data!G3</f>
        <v>-59.5</v>
      </c>
      <c r="E3">
        <f>Chart_Data!H3</f>
        <v>110.69606493723512</v>
      </c>
      <c r="F3">
        <f>Chart_Data!I3</f>
        <v>110.69606493723512</v>
      </c>
      <c r="G3">
        <f>Chart_Data!J3</f>
        <v>19.645117006409471</v>
      </c>
      <c r="I3">
        <f>Scenario_Data!A3</f>
        <v>-0.99199999999999999</v>
      </c>
      <c r="J3">
        <f>Scenario_Data!H3-(((SQRT((Inputs!$C$52+(Inputs!$H$6))^2+Inputs!$C$52^2-2*(Inputs!$C$52+(Inputs!$H$6))*Inputs!$C$52*COS(SQRT((Scenario_Data!T3)^2+Inputs!$C$6^2)/Inputs!$C$52)))-(Inputs!$H$6))*1000/Inputs!$C$12)</f>
        <v>-27.782863149590867</v>
      </c>
      <c r="K3">
        <f>Scenario_Data!I3-(((SQRT((Inputs!$C$52+(Inputs!$H$7))^2+Inputs!$C$52^2-2*(Inputs!$C$52+(Inputs!$H$7))*Inputs!$C$52*COS(SQRT((Scenario_Data!U3)^2+Inputs!$C$6^2)/Inputs!$C$52)))-(Inputs!$H$7))*1000/Inputs!$C$12)</f>
        <v>-94429.872930648315</v>
      </c>
      <c r="L3">
        <f>Scenario_Data!J3-(((SQRT((Inputs!$C$52+(Inputs!$H$8))^2+Inputs!$C$52^2-2*(Inputs!$C$52+(Inputs!$H$8))*Inputs!$C$52*COS(SQRT((Scenario_Data!V3)^2+Inputs!$C$6^2)/Inputs!$C$52)))-(Inputs!$H$8))*1000/Inputs!$C$12)</f>
        <v>-190472.55314770035</v>
      </c>
      <c r="M3">
        <f>Scenario_Data!K3-(((SQRT((Inputs!$C$52+(Inputs!$H$9))^2+Inputs!$C$52^2-2*(Inputs!$C$52+(Inputs!$H$9))*Inputs!$C$52*COS(SQRT((Scenario_Data!W3)^2+Inputs!$C$6^2)/Inputs!$C$52)))-(Inputs!$H$9))*1000/Inputs!$C$12)</f>
        <v>-194464.73837065243</v>
      </c>
      <c r="O3">
        <f>Scenario_Data!T3</f>
        <v>-59.519999999999996</v>
      </c>
      <c r="P3">
        <f>2*(Scenario_Data!B3*1000)/Inputs!$C$21*1000000</f>
        <v>2694.7726350073826</v>
      </c>
      <c r="Q3">
        <f>Scenario_Data!U3</f>
        <v>-396.8</v>
      </c>
      <c r="R3">
        <f>2*(Scenario_Data!C3*1000)/Inputs!$C$21*1000000</f>
        <v>2629.7083164113487</v>
      </c>
      <c r="S3">
        <f>Scenario_Data!V3</f>
        <v>-793.6</v>
      </c>
      <c r="T3">
        <f>2*(Scenario_Data!D3*1000)/Inputs!$C$21*1000000</f>
        <v>6568.6893297362412</v>
      </c>
      <c r="U3">
        <f>Scenario_Data!W3</f>
        <v>-793.6</v>
      </c>
      <c r="V3">
        <f>2*(Scenario_Data!E3*1000)/Inputs!$C$21*1000000</f>
        <v>6567.6261942520241</v>
      </c>
      <c r="X3">
        <f>Scenario_Data!T3</f>
        <v>-59.519999999999996</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2694.649504247689</v>
      </c>
      <c r="Z3">
        <f>Scenario_Data!U3</f>
        <v>-396.8</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2629.6394627152467</v>
      </c>
      <c r="AB3">
        <f>Scenario_Data!V3</f>
        <v>-793.6</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6568.698547910094</v>
      </c>
      <c r="AD3">
        <f>Scenario_Data!W3</f>
        <v>-793.6</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6567.6354124258787</v>
      </c>
      <c r="AG3">
        <f>Scenario_Data!T3</f>
        <v>-59.519999999999996</v>
      </c>
      <c r="AH3">
        <f>2*(SQRT((Inputs!$C$52+(Scenario_Data!B3))^2+Inputs!$C$52^2-2*(Inputs!$C$52+(Scenario_Data!B3))*Inputs!$C$52*COS(SQRT((Scenario_Data!T3)^2+Inputs!$C$6^2)/Inputs!$C$52))*1000)/Inputs!$C$21*1000000</f>
        <v>2737.7462241092339</v>
      </c>
      <c r="AI3">
        <f>Scenario_Data!U3</f>
        <v>-396.8</v>
      </c>
      <c r="AJ3">
        <f>2*(SQRT((Inputs!$C$52+(Scenario_Data!C3))^2+Inputs!$C$52^2-2*(Inputs!$C$52+(Scenario_Data!C3))*Inputs!$C$52*COS(SQRT((Scenario_Data!U3)^2+Inputs!$C$6^2)/Inputs!$C$52))*1000)/Inputs!$C$21*1000000</f>
        <v>3959.7846663670321</v>
      </c>
      <c r="AK3">
        <f>Scenario_Data!V3</f>
        <v>-793.6</v>
      </c>
      <c r="AL3">
        <f>2*(SQRT((Inputs!$C$52+(Scenario_Data!D3))^2+Inputs!$C$52^2-2*(Inputs!$C$52+(Scenario_Data!D3))*Inputs!$C$52*COS(SQRT((Scenario_Data!V3)^2+Inputs!$C$6^2)/Inputs!$C$52))*1000)/Inputs!$C$21*1000000</f>
        <v>9376.9488060561434</v>
      </c>
      <c r="AM3">
        <f>Scenario_Data!W3</f>
        <v>-793.6</v>
      </c>
      <c r="AN3">
        <f>2*(SQRT((Inputs!$C$52+(Scenario_Data!E3))^2+Inputs!$C$52^2-2*(Inputs!$C$52+(Scenario_Data!E3))*Inputs!$C$52*COS(SQRT((Scenario_Data!W3)^2+Inputs!$C$6^2)/Inputs!$C$52))*1000)/Inputs!$C$21*1000000</f>
        <v>9376.0545934952825</v>
      </c>
      <c r="AP3">
        <f>Scenario_Data!T3</f>
        <v>-59.519999999999996</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2736.9528201395592</v>
      </c>
      <c r="AR3">
        <f>Scenario_Data!U3</f>
        <v>-396.8</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3959.1477374020114</v>
      </c>
      <c r="AT3">
        <f>Scenario_Data!V3</f>
        <v>-793.6</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9376.6806348938517</v>
      </c>
      <c r="AV3">
        <f>Scenario_Data!W3</f>
        <v>-793.6</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9375.7864531212308</v>
      </c>
    </row>
    <row r="4" spans="1:49">
      <c r="A4">
        <f>Chart_Data!K4</f>
        <v>-59</v>
      </c>
      <c r="B4">
        <f>Chart_Data!N4-Chart_Data!L4</f>
        <v>-10.175549094884801</v>
      </c>
      <c r="D4">
        <f>Chart_Data!G4</f>
        <v>-59</v>
      </c>
      <c r="E4">
        <f>Chart_Data!H4</f>
        <v>112.99219424849355</v>
      </c>
      <c r="F4">
        <f>Chart_Data!I4</f>
        <v>112.99219424849355</v>
      </c>
      <c r="G4">
        <f>Chart_Data!J4</f>
        <v>7.9704483537677238</v>
      </c>
      <c r="I4">
        <f>Scenario_Data!A4</f>
        <v>-0.98299999999999998</v>
      </c>
      <c r="J4">
        <f>Scenario_Data!H4-(((SQRT((Inputs!$C$52+(Inputs!$H$6))^2+Inputs!$C$52^2-2*(Inputs!$C$52+(Inputs!$H$6))*Inputs!$C$52*COS(SQRT((Scenario_Data!T4)^2+Inputs!$C$6^2)/Inputs!$C$52)))-(Inputs!$H$6))*1000/Inputs!$C$12)</f>
        <v>-26.877434485224512</v>
      </c>
      <c r="K4">
        <f>Scenario_Data!I4-(((SQRT((Inputs!$C$52+(Inputs!$H$7))^2+Inputs!$C$52^2-2*(Inputs!$C$52+(Inputs!$H$7))*Inputs!$C$52*COS(SQRT((Scenario_Data!U4)^2+Inputs!$C$6^2)/Inputs!$C$52)))-(Inputs!$H$7))*1000/Inputs!$C$12)</f>
        <v>-93169.450020823468</v>
      </c>
      <c r="L4">
        <f>Scenario_Data!J4-(((SQRT((Inputs!$C$52+(Inputs!$H$8))^2+Inputs!$C$52^2-2*(Inputs!$C$52+(Inputs!$H$8))*Inputs!$C$52*COS(SQRT((Scenario_Data!V4)^2+Inputs!$C$6^2)/Inputs!$C$52)))-(Inputs!$H$8))*1000/Inputs!$C$12)</f>
        <v>-188542.34891493866</v>
      </c>
      <c r="M4">
        <f>Scenario_Data!K4-(((SQRT((Inputs!$C$52+(Inputs!$H$9))^2+Inputs!$C$52^2-2*(Inputs!$C$52+(Inputs!$H$9))*Inputs!$C$52*COS(SQRT((Scenario_Data!W4)^2+Inputs!$C$6^2)/Inputs!$C$52)))-(Inputs!$H$9))*1000/Inputs!$C$12)</f>
        <v>-192528.7589427015</v>
      </c>
      <c r="O4">
        <f>Scenario_Data!T4</f>
        <v>-58.98</v>
      </c>
      <c r="P4">
        <f>2*(Scenario_Data!B4*1000)/Inputs!$C$21*1000000</f>
        <v>2694.2983068640106</v>
      </c>
      <c r="Q4">
        <f>Scenario_Data!U4</f>
        <v>-393.2</v>
      </c>
      <c r="R4">
        <f>2*(Scenario_Data!C4*1000)/Inputs!$C$21*1000000</f>
        <v>2586.4258733286742</v>
      </c>
      <c r="S4">
        <f>Scenario_Data!V4</f>
        <v>-786.4</v>
      </c>
      <c r="T4">
        <f>2*(Scenario_Data!D4*1000)/Inputs!$C$21*1000000</f>
        <v>6454.2576651478003</v>
      </c>
      <c r="U4">
        <f>Scenario_Data!W4</f>
        <v>-786.4</v>
      </c>
      <c r="V4">
        <f>2*(Scenario_Data!E4*1000)/Inputs!$C$21*1000000</f>
        <v>6452.0087093051552</v>
      </c>
      <c r="X4">
        <f>Scenario_Data!T4</f>
        <v>-58.98</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2694.1888252313724</v>
      </c>
      <c r="Z4">
        <f>Scenario_Data!U4</f>
        <v>-393.2</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2585.9914136189823</v>
      </c>
      <c r="AB4">
        <f>Scenario_Data!V4</f>
        <v>-786.4</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6453.9451764081532</v>
      </c>
      <c r="AD4">
        <f>Scenario_Data!W4</f>
        <v>-786.4</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6451.6962205655063</v>
      </c>
      <c r="AG4">
        <f>Scenario_Data!T4</f>
        <v>-58.98</v>
      </c>
      <c r="AH4">
        <f>2*(SQRT((Inputs!$C$52+(Scenario_Data!B4))^2+Inputs!$C$52^2-2*(Inputs!$C$52+(Scenario_Data!B4))*Inputs!$C$52*COS(SQRT((Scenario_Data!T4)^2+Inputs!$C$6^2)/Inputs!$C$52))*1000)/Inputs!$C$21*1000000</f>
        <v>2736.6230846331491</v>
      </c>
      <c r="AI4">
        <f>Scenario_Data!U4</f>
        <v>-393.2</v>
      </c>
      <c r="AJ4">
        <f>2*(SQRT((Inputs!$C$52+(Scenario_Data!C4))^2+Inputs!$C$52^2-2*(Inputs!$C$52+(Scenario_Data!C4))*Inputs!$C$52*COS(SQRT((Scenario_Data!U4)^2+Inputs!$C$6^2)/Inputs!$C$52))*1000)/Inputs!$C$21*1000000</f>
        <v>3907.5201435523309</v>
      </c>
      <c r="AK4">
        <f>Scenario_Data!V4</f>
        <v>-786.4</v>
      </c>
      <c r="AL4">
        <f>2*(SQRT((Inputs!$C$52+(Scenario_Data!D4))^2+Inputs!$C$52^2-2*(Inputs!$C$52+(Scenario_Data!D4))*Inputs!$C$52*COS(SQRT((Scenario_Data!V4)^2+Inputs!$C$6^2)/Inputs!$C$52))*1000)/Inputs!$C$21*1000000</f>
        <v>9238.4874028396462</v>
      </c>
      <c r="AM4">
        <f>Scenario_Data!W4</f>
        <v>-786.4</v>
      </c>
      <c r="AN4">
        <f>2*(SQRT((Inputs!$C$52+(Scenario_Data!E4))^2+Inputs!$C$52^2-2*(Inputs!$C$52+(Scenario_Data!E4))*Inputs!$C$52*COS(SQRT((Scenario_Data!W4)^2+Inputs!$C$6^2)/Inputs!$C$52))*1000)/Inputs!$C$21*1000000</f>
        <v>9236.6010042814323</v>
      </c>
      <c r="AP4">
        <f>Scenario_Data!T4</f>
        <v>-58.98</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2735.8693928822458</v>
      </c>
      <c r="AR4">
        <f>Scenario_Data!U4</f>
        <v>-393.2</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3906.6899803154161</v>
      </c>
      <c r="AT4">
        <f>Scenario_Data!V4</f>
        <v>-786.4</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9237.8669365752503</v>
      </c>
      <c r="AV4">
        <f>Scenario_Data!W4</f>
        <v>-786.4</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9235.9806918794056</v>
      </c>
    </row>
    <row r="5" spans="1:49">
      <c r="A5">
        <f>Chart_Data!K5</f>
        <v>-58.5</v>
      </c>
      <c r="B5">
        <f>Chart_Data!N5-Chart_Data!L5</f>
        <v>-24.333979146785921</v>
      </c>
      <c r="D5">
        <f>Chart_Data!G5</f>
        <v>-58.5</v>
      </c>
      <c r="E5">
        <f>Chart_Data!H5</f>
        <v>134.38583105711319</v>
      </c>
      <c r="F5">
        <f>Chart_Data!I5</f>
        <v>134.38583105711319</v>
      </c>
      <c r="G5">
        <f>Chart_Data!J5</f>
        <v>21.747313566648423</v>
      </c>
      <c r="I5">
        <f>Scenario_Data!A5</f>
        <v>-0.97499999999999998</v>
      </c>
      <c r="J5">
        <f>Scenario_Data!H5-(((SQRT((Inputs!$C$52+(Inputs!$H$6))^2+Inputs!$C$52^2-2*(Inputs!$C$52+(Inputs!$H$6))*Inputs!$C$52*COS(SQRT((Scenario_Data!T5)^2+Inputs!$C$6^2)/Inputs!$C$52)))-(Inputs!$H$6))*1000/Inputs!$C$12)</f>
        <v>-26.091469511469313</v>
      </c>
      <c r="K5">
        <f>Scenario_Data!I5-(((SQRT((Inputs!$C$52+(Inputs!$H$7))^2+Inputs!$C$52^2-2*(Inputs!$C$52+(Inputs!$H$7))*Inputs!$C$52*COS(SQRT((Scenario_Data!U5)^2+Inputs!$C$6^2)/Inputs!$C$52)))-(Inputs!$H$7))*1000/Inputs!$C$12)</f>
        <v>-92049.599695208031</v>
      </c>
      <c r="L5">
        <f>Scenario_Data!J5-(((SQRT((Inputs!$C$52+(Inputs!$H$8))^2+Inputs!$C$52^2-2*(Inputs!$C$52+(Inputs!$H$8))*Inputs!$C$52*COS(SQRT((Scenario_Data!V5)^2+Inputs!$C$6^2)/Inputs!$C$52)))-(Inputs!$H$8))*1000/Inputs!$C$12)</f>
        <v>-186817.33873453335</v>
      </c>
      <c r="M5">
        <f>Scenario_Data!K5-(((SQRT((Inputs!$C$52+(Inputs!$H$9))^2+Inputs!$C$52^2-2*(Inputs!$C$52+(Inputs!$H$9))*Inputs!$C$52*COS(SQRT((Scenario_Data!W5)^2+Inputs!$C$6^2)/Inputs!$C$52)))-(Inputs!$H$9))*1000/Inputs!$C$12)</f>
        <v>-190798.31818207764</v>
      </c>
      <c r="O5">
        <f>Scenario_Data!T5</f>
        <v>-58.5</v>
      </c>
      <c r="P5">
        <f>2*(Scenario_Data!B5*1000)/Inputs!$C$21*1000000</f>
        <v>2693.8803110250356</v>
      </c>
      <c r="Q5">
        <f>Scenario_Data!U5</f>
        <v>-390</v>
      </c>
      <c r="R5">
        <f>2*(Scenario_Data!C5*1000)/Inputs!$C$21*1000000</f>
        <v>2548.2837530222323</v>
      </c>
      <c r="S5">
        <f>Scenario_Data!V5</f>
        <v>-780</v>
      </c>
      <c r="T5">
        <f>2*(Scenario_Data!D5*1000)/Inputs!$C$21*1000000</f>
        <v>6353.4161689951516</v>
      </c>
      <c r="U5">
        <f>Scenario_Data!W5</f>
        <v>-780</v>
      </c>
      <c r="V5">
        <f>2*(Scenario_Data!E5*1000)/Inputs!$C$21*1000000</f>
        <v>6350.1222235550704</v>
      </c>
      <c r="X5">
        <f>Scenario_Data!T5</f>
        <v>-58.5</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2693.7352285655788</v>
      </c>
      <c r="Z5">
        <f>Scenario_Data!U5</f>
        <v>-390</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2547.8333970113854</v>
      </c>
      <c r="AB5">
        <f>Scenario_Data!V5</f>
        <v>-780</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6353.4611546852802</v>
      </c>
      <c r="AD5">
        <f>Scenario_Data!W5</f>
        <v>-780</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6350.167209245199</v>
      </c>
      <c r="AG5">
        <f>Scenario_Data!T5</f>
        <v>-58.5</v>
      </c>
      <c r="AH5">
        <f>2*(SQRT((Inputs!$C$52+(Scenario_Data!B5))^2+Inputs!$C$52^2-2*(Inputs!$C$52+(Scenario_Data!B5))*Inputs!$C$52*COS(SQRT((Scenario_Data!T5)^2+Inputs!$C$6^2)/Inputs!$C$52))*1000)/Inputs!$C$21*1000000</f>
        <v>2735.6330546630293</v>
      </c>
      <c r="AI5">
        <f>Scenario_Data!U5</f>
        <v>-390</v>
      </c>
      <c r="AJ5">
        <f>2*(SQRT((Inputs!$C$52+(Scenario_Data!C5))^2+Inputs!$C$52^2-2*(Inputs!$C$52+(Scenario_Data!C5))*Inputs!$C$52*COS(SQRT((Scenario_Data!U5)^2+Inputs!$C$6^2)/Inputs!$C$52))*1000)/Inputs!$C$21*1000000</f>
        <v>3861.3869170271155</v>
      </c>
      <c r="AK5">
        <f>Scenario_Data!V5</f>
        <v>-780</v>
      </c>
      <c r="AL5">
        <f>2*(SQRT((Inputs!$C$52+(Scenario_Data!D5))^2+Inputs!$C$52^2-2*(Inputs!$C$52+(Scenario_Data!D5))*Inputs!$C$52*COS(SQRT((Scenario_Data!V5)^2+Inputs!$C$6^2)/Inputs!$C$52))*1000)/Inputs!$C$21*1000000</f>
        <v>9116.3739007837139</v>
      </c>
      <c r="AM5">
        <f>Scenario_Data!W5</f>
        <v>-780</v>
      </c>
      <c r="AN5">
        <f>2*(SQRT((Inputs!$C$52+(Scenario_Data!E5))^2+Inputs!$C$52^2-2*(Inputs!$C$52+(Scenario_Data!E5))*Inputs!$C$52*COS(SQRT((Scenario_Data!W5)^2+Inputs!$C$6^2)/Inputs!$C$52))*1000)/Inputs!$C$21*1000000</f>
        <v>9113.617881954191</v>
      </c>
      <c r="AP5">
        <f>Scenario_Data!T5</f>
        <v>-58.5</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2734.7537852754253</v>
      </c>
      <c r="AR5">
        <f>Scenario_Data!U5</f>
        <v>-390</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3860.6694546054136</v>
      </c>
      <c r="AT5">
        <f>Scenario_Data!V5</f>
        <v>-780</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9116.2154348858567</v>
      </c>
      <c r="AV5">
        <f>Scenario_Data!W5</f>
        <v>-780</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9113.459474677602</v>
      </c>
    </row>
    <row r="6" spans="1:49">
      <c r="A6">
        <f>Chart_Data!K6</f>
        <v>-58</v>
      </c>
      <c r="B6">
        <f>Chart_Data!N6-Chart_Data!L6</f>
        <v>-34.145943095855884</v>
      </c>
      <c r="D6">
        <f>Chart_Data!G6</f>
        <v>-58</v>
      </c>
      <c r="E6">
        <f>Chart_Data!H6</f>
        <v>120.06952906780961</v>
      </c>
      <c r="F6">
        <f>Chart_Data!I6</f>
        <v>120.06952906780961</v>
      </c>
      <c r="G6">
        <f>Chart_Data!J6</f>
        <v>31.866913549015347</v>
      </c>
      <c r="I6">
        <f>Scenario_Data!A6</f>
        <v>-0.96699999999999997</v>
      </c>
      <c r="J6">
        <f>Scenario_Data!H6-(((SQRT((Inputs!$C$52+(Inputs!$H$6))^2+Inputs!$C$52^2-2*(Inputs!$C$52+(Inputs!$H$6))*Inputs!$C$52*COS(SQRT((Scenario_Data!T6)^2+Inputs!$C$6^2)/Inputs!$C$52)))-(Inputs!$H$6))*1000/Inputs!$C$12)</f>
        <v>-25.322987391846254</v>
      </c>
      <c r="K6">
        <f>Scenario_Data!I6-(((SQRT((Inputs!$C$52+(Inputs!$H$7))^2+Inputs!$C$52^2-2*(Inputs!$C$52+(Inputs!$H$7))*Inputs!$C$52*COS(SQRT((Scenario_Data!U6)^2+Inputs!$C$6^2)/Inputs!$C$52)))-(Inputs!$H$7))*1000/Inputs!$C$12)</f>
        <v>-90930.318556275248</v>
      </c>
      <c r="L6">
        <f>Scenario_Data!J6-(((SQRT((Inputs!$C$52+(Inputs!$H$8))^2+Inputs!$C$52^2-2*(Inputs!$C$52+(Inputs!$H$8))*Inputs!$C$52*COS(SQRT((Scenario_Data!V6)^2+Inputs!$C$6^2)/Inputs!$C$52)))-(Inputs!$H$8))*1000/Inputs!$C$12)</f>
        <v>-185083.70199145679</v>
      </c>
      <c r="M6">
        <f>Scenario_Data!K6-(((SQRT((Inputs!$C$52+(Inputs!$H$9))^2+Inputs!$C$52^2-2*(Inputs!$C$52+(Inputs!$H$9))*Inputs!$C$52*COS(SQRT((Scenario_Data!W6)^2+Inputs!$C$6^2)/Inputs!$C$52)))-(Inputs!$H$9))*1000/Inputs!$C$12)</f>
        <v>-189058.96620570074</v>
      </c>
      <c r="O6">
        <f>Scenario_Data!T6</f>
        <v>-58.019999999999996</v>
      </c>
      <c r="P6">
        <f>2*(Scenario_Data!B6*1000)/Inputs!$C$21*1000000</f>
        <v>2693.4657308823962</v>
      </c>
      <c r="Q6">
        <f>Scenario_Data!U6</f>
        <v>-386.8</v>
      </c>
      <c r="R6">
        <f>2*(Scenario_Data!C6*1000)/Inputs!$C$21*1000000</f>
        <v>2510.4533150063435</v>
      </c>
      <c r="S6">
        <f>Scenario_Data!V6</f>
        <v>-773.6</v>
      </c>
      <c r="T6">
        <f>2*(Scenario_Data!D6*1000)/Inputs!$C$21*1000000</f>
        <v>6253.3987095832817</v>
      </c>
      <c r="U6">
        <f>Scenario_Data!W6</f>
        <v>-773.6</v>
      </c>
      <c r="V6">
        <f>2*(Scenario_Data!E6*1000)/Inputs!$C$21*1000000</f>
        <v>6249.0683137866017</v>
      </c>
      <c r="X6">
        <f>Scenario_Data!T6</f>
        <v>-58.019999999999996</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2693.2153299918791</v>
      </c>
      <c r="Z6">
        <f>Scenario_Data!U6</f>
        <v>-386.8</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2510.4039491819062</v>
      </c>
      <c r="AB6">
        <f>Scenario_Data!V6</f>
        <v>-773.6</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6253.0707671760938</v>
      </c>
      <c r="AD6">
        <f>Scenario_Data!W6</f>
        <v>-773.6</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6248.7403713794138</v>
      </c>
      <c r="AG6">
        <f>Scenario_Data!T6</f>
        <v>-58.019999999999996</v>
      </c>
      <c r="AH6">
        <f>2*(SQRT((Inputs!$C$52+(Scenario_Data!B6))^2+Inputs!$C$52^2-2*(Inputs!$C$52+(Scenario_Data!B6))*Inputs!$C$52*COS(SQRT((Scenario_Data!T6)^2+Inputs!$C$6^2)/Inputs!$C$52))*1000)/Inputs!$C$21*1000000</f>
        <v>2734.6508580754062</v>
      </c>
      <c r="AI6">
        <f>Scenario_Data!U6</f>
        <v>-386.8</v>
      </c>
      <c r="AJ6">
        <f>2*(SQRT((Inputs!$C$52+(Scenario_Data!C6))^2+Inputs!$C$52^2-2*(Inputs!$C$52+(Scenario_Data!C6))*Inputs!$C$52*COS(SQRT((Scenario_Data!U6)^2+Inputs!$C$6^2)/Inputs!$C$52))*1000)/Inputs!$C$21*1000000</f>
        <v>3815.5579418876782</v>
      </c>
      <c r="AK6">
        <f>Scenario_Data!V6</f>
        <v>-773.6</v>
      </c>
      <c r="AL6">
        <f>2*(SQRT((Inputs!$C$52+(Scenario_Data!D6))^2+Inputs!$C$52^2-2*(Inputs!$C$52+(Scenario_Data!D6))*Inputs!$C$52*COS(SQRT((Scenario_Data!V6)^2+Inputs!$C$6^2)/Inputs!$C$52))*1000)/Inputs!$C$21*1000000</f>
        <v>8995.1660445283178</v>
      </c>
      <c r="AM6">
        <f>Scenario_Data!W6</f>
        <v>-773.6</v>
      </c>
      <c r="AN6">
        <f>2*(SQRT((Inputs!$C$52+(Scenario_Data!E6))^2+Inputs!$C$52^2-2*(Inputs!$C$52+(Scenario_Data!E6))*Inputs!$C$52*COS(SQRT((Scenario_Data!W6)^2+Inputs!$C$6^2)/Inputs!$C$52))*1000)/Inputs!$C$21*1000000</f>
        <v>8991.5520543354905</v>
      </c>
      <c r="AP6">
        <f>Scenario_Data!T6</f>
        <v>-58.019999999999996</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2733.8712853195143</v>
      </c>
      <c r="AR6">
        <f>Scenario_Data!U6</f>
        <v>-386.8</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3815.0773000226741</v>
      </c>
      <c r="AT6">
        <f>Scenario_Data!V6</f>
        <v>-773.6</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8994.6970197989122</v>
      </c>
      <c r="AV6">
        <f>Scenario_Data!W6</f>
        <v>-773.6</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8991.083262053251</v>
      </c>
    </row>
    <row r="7" spans="1:49">
      <c r="A7">
        <f>Chart_Data!K7</f>
        <v>-57.5</v>
      </c>
      <c r="B7">
        <f>Chart_Data!N7-Chart_Data!L7</f>
        <v>-37.186207563963677</v>
      </c>
      <c r="D7">
        <f>Chart_Data!G7</f>
        <v>-57.5</v>
      </c>
      <c r="E7">
        <f>Chart_Data!H7</f>
        <v>138.90151425445745</v>
      </c>
      <c r="F7">
        <f>Chart_Data!I7</f>
        <v>138.90151425445745</v>
      </c>
      <c r="G7">
        <f>Chart_Data!J7</f>
        <v>34.586347487973264</v>
      </c>
      <c r="I7">
        <f>Scenario_Data!A7</f>
        <v>-0.95799999999999996</v>
      </c>
      <c r="J7">
        <f>Scenario_Data!H7-(((SQRT((Inputs!$C$52+(Inputs!$H$6))^2+Inputs!$C$52^2-2*(Inputs!$C$52+(Inputs!$H$6))*Inputs!$C$52*COS(SQRT((Scenario_Data!T7)^2+Inputs!$C$6^2)/Inputs!$C$52)))-(Inputs!$H$6))*1000/Inputs!$C$12)</f>
        <v>-24.47902381513677</v>
      </c>
      <c r="K7">
        <f>Scenario_Data!I7-(((SQRT((Inputs!$C$52+(Inputs!$H$7))^2+Inputs!$C$52^2-2*(Inputs!$C$52+(Inputs!$H$7))*Inputs!$C$52*COS(SQRT((Scenario_Data!U7)^2+Inputs!$C$6^2)/Inputs!$C$52)))-(Inputs!$H$7))*1000/Inputs!$C$12)</f>
        <v>-89671.898520797025</v>
      </c>
      <c r="L7">
        <f>Scenario_Data!J7-(((SQRT((Inputs!$C$52+(Inputs!$H$8))^2+Inputs!$C$52^2-2*(Inputs!$C$52+(Inputs!$H$8))*Inputs!$C$52*COS(SQRT((Scenario_Data!V7)^2+Inputs!$C$6^2)/Inputs!$C$52)))-(Inputs!$H$8))*1000/Inputs!$C$12)</f>
        <v>-183123.17397563407</v>
      </c>
      <c r="M7">
        <f>Scenario_Data!K7-(((SQRT((Inputs!$C$52+(Inputs!$H$9))^2+Inputs!$C$52^2-2*(Inputs!$C$52+(Inputs!$H$9))*Inputs!$C$52*COS(SQRT((Scenario_Data!W7)^2+Inputs!$C$6^2)/Inputs!$C$52)))-(Inputs!$H$9))*1000/Inputs!$C$12)</f>
        <v>-187091.66215917454</v>
      </c>
      <c r="O7">
        <f>Scenario_Data!T7</f>
        <v>-57.48</v>
      </c>
      <c r="P7">
        <f>2*(Scenario_Data!B7*1000)/Inputs!$C$21*1000000</f>
        <v>2693.0034110464517</v>
      </c>
      <c r="Q7">
        <f>Scenario_Data!U7</f>
        <v>-383.2</v>
      </c>
      <c r="R7">
        <f>2*(Scenario_Data!C7*1000)/Inputs!$C$21*1000000</f>
        <v>2468.2666299763951</v>
      </c>
      <c r="S7">
        <f>Scenario_Data!V7</f>
        <v>-766.4</v>
      </c>
      <c r="T7">
        <f>2*(Scenario_Data!D7*1000)/Inputs!$C$21*1000000</f>
        <v>6141.864049161637</v>
      </c>
      <c r="U7">
        <f>Scenario_Data!W7</f>
        <v>-766.4</v>
      </c>
      <c r="V7">
        <f>2*(Scenario_Data!E7*1000)/Inputs!$C$21*1000000</f>
        <v>6136.3778537750932</v>
      </c>
      <c r="X7">
        <f>Scenario_Data!T7</f>
        <v>-57.48</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2692.8270450627988</v>
      </c>
      <c r="Z7">
        <f>Scenario_Data!U7</f>
        <v>-383.2</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2468.416414407845</v>
      </c>
      <c r="AB7">
        <f>Scenario_Data!V7</f>
        <v>-766.4</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6141.3739805987534</v>
      </c>
      <c r="AD7">
        <f>Scenario_Data!W7</f>
        <v>-766.4</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6135.8877852122096</v>
      </c>
      <c r="AG7">
        <f>Scenario_Data!T7</f>
        <v>-57.48</v>
      </c>
      <c r="AH7">
        <f>2*(SQRT((Inputs!$C$52+(Scenario_Data!B7))^2+Inputs!$C$52^2-2*(Inputs!$C$52+(Scenario_Data!B7))*Inputs!$C$52*COS(SQRT((Scenario_Data!T7)^2+Inputs!$C$6^2)/Inputs!$C$52))*1000)/Inputs!$C$21*1000000</f>
        <v>2733.5552577832691</v>
      </c>
      <c r="AI7">
        <f>Scenario_Data!U7</f>
        <v>-383.2</v>
      </c>
      <c r="AJ7">
        <f>2*(SQRT((Inputs!$C$52+(Scenario_Data!C7))^2+Inputs!$C$52^2-2*(Inputs!$C$52+(Scenario_Data!C7))*Inputs!$C$52*COS(SQRT((Scenario_Data!U7)^2+Inputs!$C$6^2)/Inputs!$C$52))*1000)/Inputs!$C$21*1000000</f>
        <v>3764.3630333251954</v>
      </c>
      <c r="AK7">
        <f>Scenario_Data!V7</f>
        <v>-766.4</v>
      </c>
      <c r="AL7">
        <f>2*(SQRT((Inputs!$C$52+(Scenario_Data!D7))^2+Inputs!$C$52^2-2*(Inputs!$C$52+(Scenario_Data!D7))*Inputs!$C$52*COS(SQRT((Scenario_Data!V7)^2+Inputs!$C$6^2)/Inputs!$C$52))*1000)/Inputs!$C$21*1000000</f>
        <v>8859.8885063548314</v>
      </c>
      <c r="AM7">
        <f>Scenario_Data!W7</f>
        <v>-766.4</v>
      </c>
      <c r="AN7">
        <f>2*(SQRT((Inputs!$C$52+(Scenario_Data!E7))^2+Inputs!$C$52^2-2*(Inputs!$C$52+(Scenario_Data!E7))*Inputs!$C$52*COS(SQRT((Scenario_Data!W7)^2+Inputs!$C$6^2)/Inputs!$C$52))*1000)/Inputs!$C$21*1000000</f>
        <v>8855.3232842094876</v>
      </c>
      <c r="AP7">
        <f>Scenario_Data!T7</f>
        <v>-57.48</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2732.687149406082</v>
      </c>
      <c r="AR7">
        <f>Scenario_Data!U7</f>
        <v>-383.2</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3764.0154250777559</v>
      </c>
      <c r="AT7">
        <f>Scenario_Data!V7</f>
        <v>-766.4</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8859.3401609879784</v>
      </c>
      <c r="AV7">
        <f>Scenario_Data!W7</f>
        <v>-766.4</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8854.7752905537527</v>
      </c>
    </row>
    <row r="8" spans="1:49">
      <c r="A8">
        <f>Chart_Data!K8</f>
        <v>-57</v>
      </c>
      <c r="B8">
        <f>Chart_Data!N8-Chart_Data!L8</f>
        <v>-57.977783396987462</v>
      </c>
      <c r="D8">
        <f>Chart_Data!G8</f>
        <v>-57</v>
      </c>
      <c r="E8">
        <f>Chart_Data!H8</f>
        <v>137.46604725484156</v>
      </c>
      <c r="F8">
        <f>Chart_Data!I8</f>
        <v>137.46604725484156</v>
      </c>
      <c r="G8">
        <f>Chart_Data!J8</f>
        <v>55.440883037993757</v>
      </c>
      <c r="I8">
        <f>Scenario_Data!A8</f>
        <v>-0.95</v>
      </c>
      <c r="J8">
        <f>Scenario_Data!H8-(((SQRT((Inputs!$C$52+(Inputs!$H$6))^2+Inputs!$C$52^2-2*(Inputs!$C$52+(Inputs!$H$6))*Inputs!$C$52*COS(SQRT((Scenario_Data!T8)^2+Inputs!$C$6^2)/Inputs!$C$52)))-(Inputs!$H$6))*1000/Inputs!$C$12)</f>
        <v>-23.746844660086936</v>
      </c>
      <c r="K8">
        <f>Scenario_Data!I8-(((SQRT((Inputs!$C$52+(Inputs!$H$7))^2+Inputs!$C$52^2-2*(Inputs!$C$52+(Inputs!$H$7))*Inputs!$C$52*COS(SQRT((Scenario_Data!U8)^2+Inputs!$C$6^2)/Inputs!$C$52)))-(Inputs!$H$7))*1000/Inputs!$C$12)</f>
        <v>-88554.070883643246</v>
      </c>
      <c r="L8">
        <f>Scenario_Data!J8-(((SQRT((Inputs!$C$52+(Inputs!$H$8))^2+Inputs!$C$52^2-2*(Inputs!$C$52+(Inputs!$H$8))*Inputs!$C$52*COS(SQRT((Scenario_Data!V8)^2+Inputs!$C$6^2)/Inputs!$C$52)))-(Inputs!$H$8))*1000/Inputs!$C$12)</f>
        <v>-181371.54200338566</v>
      </c>
      <c r="M8">
        <f>Scenario_Data!K8-(((SQRT((Inputs!$C$52+(Inputs!$H$9))^2+Inputs!$C$52^2-2*(Inputs!$C$52+(Inputs!$H$9))*Inputs!$C$52*COS(SQRT((Scenario_Data!W8)^2+Inputs!$C$6^2)/Inputs!$C$52)))-(Inputs!$H$9))*1000/Inputs!$C$12)</f>
        <v>-185333.69359371395</v>
      </c>
      <c r="O8">
        <f>Scenario_Data!T8</f>
        <v>-57</v>
      </c>
      <c r="P8">
        <f>2*(Scenario_Data!B8*1000)/Inputs!$C$21*1000000</f>
        <v>2692.5960892585231</v>
      </c>
      <c r="Q8">
        <f>Scenario_Data!U8</f>
        <v>-380</v>
      </c>
      <c r="R8">
        <f>2*(Scenario_Data!C8*1000)/Inputs!$C$21*1000000</f>
        <v>2431.0985168279312</v>
      </c>
      <c r="S8">
        <f>Scenario_Data!V8</f>
        <v>-760</v>
      </c>
      <c r="T8">
        <f>2*(Scenario_Data!D8*1000)/Inputs!$C$21*1000000</f>
        <v>6043.5976678239176</v>
      </c>
      <c r="U8">
        <f>Scenario_Data!W8</f>
        <v>-760</v>
      </c>
      <c r="V8">
        <f>2*(Scenario_Data!E8*1000)/Inputs!$C$21*1000000</f>
        <v>6037.0931679675541</v>
      </c>
      <c r="X8">
        <f>Scenario_Data!T8</f>
        <v>-57</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2692.226227498772</v>
      </c>
      <c r="Z8">
        <f>Scenario_Data!U8</f>
        <v>-380</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2431.3222101605998</v>
      </c>
      <c r="AB8">
        <f>Scenario_Data!V8</f>
        <v>-760</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6043.3407753063475</v>
      </c>
      <c r="AD8">
        <f>Scenario_Data!W8</f>
        <v>-760</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6036.8362754499831</v>
      </c>
      <c r="AG8">
        <f>Scenario_Data!T8</f>
        <v>-57</v>
      </c>
      <c r="AH8">
        <f>2*(SQRT((Inputs!$C$52+(Scenario_Data!B8))^2+Inputs!$C$52^2-2*(Inputs!$C$52+(Scenario_Data!B8))*Inputs!$C$52*COS(SQRT((Scenario_Data!T8)^2+Inputs!$C$6^2)/Inputs!$C$52))*1000)/Inputs!$C$21*1000000</f>
        <v>2732.5897271659751</v>
      </c>
      <c r="AI8">
        <f>Scenario_Data!U8</f>
        <v>-380</v>
      </c>
      <c r="AJ8">
        <f>2*(SQRT((Inputs!$C$52+(Scenario_Data!C8))^2+Inputs!$C$52^2-2*(Inputs!$C$52+(Scenario_Data!C8))*Inputs!$C$52*COS(SQRT((Scenario_Data!U8)^2+Inputs!$C$6^2)/Inputs!$C$52))*1000)/Inputs!$C$21*1000000</f>
        <v>3719.1779432130656</v>
      </c>
      <c r="AK8">
        <f>Scenario_Data!V8</f>
        <v>-760</v>
      </c>
      <c r="AL8">
        <f>2*(SQRT((Inputs!$C$52+(Scenario_Data!D8))^2+Inputs!$C$52^2-2*(Inputs!$C$52+(Scenario_Data!D8))*Inputs!$C$52*COS(SQRT((Scenario_Data!V8)^2+Inputs!$C$6^2)/Inputs!$C$52))*1000)/Inputs!$C$21*1000000</f>
        <v>8740.6018276314735</v>
      </c>
      <c r="AM8">
        <f>Scenario_Data!W8</f>
        <v>-760</v>
      </c>
      <c r="AN8">
        <f>2*(SQRT((Inputs!$C$52+(Scenario_Data!E8))^2+Inputs!$C$52^2-2*(Inputs!$C$52+(Scenario_Data!E8))*Inputs!$C$52*COS(SQRT((Scenario_Data!W8)^2+Inputs!$C$6^2)/Inputs!$C$52))*1000)/Inputs!$C$21*1000000</f>
        <v>8735.2035534356819</v>
      </c>
      <c r="AP8">
        <f>Scenario_Data!T8</f>
        <v>-57</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2731.6895767899719</v>
      </c>
      <c r="AR8">
        <f>Scenario_Data!U8</f>
        <v>-380</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3718.7207527081573</v>
      </c>
      <c r="AT8">
        <f>Scenario_Data!V8</f>
        <v>-760</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8740.3317888613292</v>
      </c>
      <c r="AV8">
        <f>Scenario_Data!W8</f>
        <v>-760</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8734.9337239521119</v>
      </c>
    </row>
    <row r="9" spans="1:49">
      <c r="A9">
        <f>Chart_Data!K9</f>
        <v>-56.5</v>
      </c>
      <c r="B9">
        <f>Chart_Data!N9-Chart_Data!L9</f>
        <v>-59.899357079548835</v>
      </c>
      <c r="D9">
        <f>Chart_Data!G9</f>
        <v>-56.5</v>
      </c>
      <c r="E9">
        <f>Chart_Data!H9</f>
        <v>141.45582449409375</v>
      </c>
      <c r="F9">
        <f>Chart_Data!I9</f>
        <v>141.45582449409375</v>
      </c>
      <c r="G9">
        <f>Chart_Data!J9</f>
        <v>57.325647278919931</v>
      </c>
      <c r="I9">
        <f>Scenario_Data!A9</f>
        <v>-0.94199999999999995</v>
      </c>
      <c r="J9">
        <f>Scenario_Data!H9-(((SQRT((Inputs!$C$52+(Inputs!$H$6))^2+Inputs!$C$52^2-2*(Inputs!$C$52+(Inputs!$H$6))*Inputs!$C$52*COS(SQRT((Scenario_Data!T9)^2+Inputs!$C$6^2)/Inputs!$C$52)))-(Inputs!$H$6))*1000/Inputs!$C$12)</f>
        <v>-23.031353320222479</v>
      </c>
      <c r="K9">
        <f>Scenario_Data!I9-(((SQRT((Inputs!$C$52+(Inputs!$H$7))^2+Inputs!$C$52^2-2*(Inputs!$C$52+(Inputs!$H$7))*Inputs!$C$52*COS(SQRT((Scenario_Data!U9)^2+Inputs!$C$6^2)/Inputs!$C$52)))-(Inputs!$H$7))*1000/Inputs!$C$12)</f>
        <v>-87437.045115058572</v>
      </c>
      <c r="L9">
        <f>Scenario_Data!J9-(((SQRT((Inputs!$C$52+(Inputs!$H$8))^2+Inputs!$C$52^2-2*(Inputs!$C$52+(Inputs!$H$8))*Inputs!$C$52*COS(SQRT((Scenario_Data!V9)^2+Inputs!$C$6^2)/Inputs!$C$52)))-(Inputs!$H$8))*1000/Inputs!$C$12)</f>
        <v>-179611.60663962277</v>
      </c>
      <c r="M9">
        <f>Scenario_Data!K9-(((SQRT((Inputs!$C$52+(Inputs!$H$9))^2+Inputs!$C$52^2-2*(Inputs!$C$52+(Inputs!$H$9))*Inputs!$C$52*COS(SQRT((Scenario_Data!W9)^2+Inputs!$C$6^2)/Inputs!$C$52)))-(Inputs!$H$9))*1000/Inputs!$C$12)</f>
        <v>-183567.12131353328</v>
      </c>
      <c r="O9">
        <f>Scenario_Data!T9</f>
        <v>-56.519999999999996</v>
      </c>
      <c r="P9">
        <f>2*(Scenario_Data!B9*1000)/Inputs!$C$21*1000000</f>
        <v>2692.1921831669297</v>
      </c>
      <c r="Q9">
        <f>Scenario_Data!U9</f>
        <v>-376.79999999999995</v>
      </c>
      <c r="R9">
        <f>2*(Scenario_Data!C9*1000)/Inputs!$C$21*1000000</f>
        <v>2394.2420859700205</v>
      </c>
      <c r="S9">
        <f>Scenario_Data!V9</f>
        <v>-753.59999999999991</v>
      </c>
      <c r="T9">
        <f>2*(Scenario_Data!D9*1000)/Inputs!$C$21*1000000</f>
        <v>5946.1553232269753</v>
      </c>
      <c r="U9">
        <f>Scenario_Data!W9</f>
        <v>-753.59999999999991</v>
      </c>
      <c r="V9">
        <f>2*(Scenario_Data!E9*1000)/Inputs!$C$21*1000000</f>
        <v>5938.6410581416285</v>
      </c>
      <c r="X9">
        <f>Scenario_Data!T9</f>
        <v>-56.519999999999996</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2691.9513345452874</v>
      </c>
      <c r="Z9">
        <f>Scenario_Data!U9</f>
        <v>-376.79999999999995</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2394.3649511886424</v>
      </c>
      <c r="AB9">
        <f>Scenario_Data!V9</f>
        <v>-753.59999999999991</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5945.6334485608777</v>
      </c>
      <c r="AD9">
        <f>Scenario_Data!W9</f>
        <v>-753.59999999999991</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5938.11918347553</v>
      </c>
      <c r="AG9">
        <f>Scenario_Data!T9</f>
        <v>-56.519999999999996</v>
      </c>
      <c r="AH9">
        <f>2*(SQRT((Inputs!$C$52+(Scenario_Data!B9))^2+Inputs!$C$52^2-2*(Inputs!$C$52+(Scenario_Data!B9))*Inputs!$C$52*COS(SQRT((Scenario_Data!T9)^2+Inputs!$C$6^2)/Inputs!$C$52))*1000)/Inputs!$C$21*1000000</f>
        <v>2731.6320487010912</v>
      </c>
      <c r="AI9">
        <f>Scenario_Data!U9</f>
        <v>-376.79999999999995</v>
      </c>
      <c r="AJ9">
        <f>2*(SQRT((Inputs!$C$52+(Scenario_Data!C9))^2+Inputs!$C$52^2-2*(Inputs!$C$52+(Scenario_Data!C9))*Inputs!$C$52*COS(SQRT((Scenario_Data!U9)^2+Inputs!$C$6^2)/Inputs!$C$52))*1000)/Inputs!$C$21*1000000</f>
        <v>3674.2945786544519</v>
      </c>
      <c r="AK9">
        <f>Scenario_Data!V9</f>
        <v>-753.59999999999991</v>
      </c>
      <c r="AL9">
        <f>2*(SQRT((Inputs!$C$52+(Scenario_Data!D9))^2+Inputs!$C$52^2-2*(Inputs!$C$52+(Scenario_Data!D9))*Inputs!$C$52*COS(SQRT((Scenario_Data!V9)^2+Inputs!$C$6^2)/Inputs!$C$52))*1000)/Inputs!$C$21*1000000</f>
        <v>8622.2175923928862</v>
      </c>
      <c r="AM9">
        <f>Scenario_Data!W9</f>
        <v>-753.59999999999991</v>
      </c>
      <c r="AN9">
        <f>2*(SQRT((Inputs!$C$52+(Scenario_Data!E9))^2+Inputs!$C$52^2-2*(Inputs!$C$52+(Scenario_Data!E9))*Inputs!$C$52*COS(SQRT((Scenario_Data!W9)^2+Inputs!$C$6^2)/Inputs!$C$52))*1000)/Inputs!$C$21*1000000</f>
        <v>8615.9980720706571</v>
      </c>
      <c r="AP9">
        <f>Scenario_Data!T9</f>
        <v>-56.519999999999996</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2730.7088318781148</v>
      </c>
      <c r="AR9">
        <f>Scenario_Data!U9</f>
        <v>-376.79999999999995</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3673.7176119881537</v>
      </c>
      <c r="AT9">
        <f>Scenario_Data!V9</f>
        <v>-753.59999999999991</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8621.5307574745584</v>
      </c>
      <c r="AV9">
        <f>Scenario_Data!W9</f>
        <v>-753.59999999999991</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8615.311864200492</v>
      </c>
    </row>
    <row r="10" spans="1:49">
      <c r="A10">
        <f>Chart_Data!K10</f>
        <v>-56</v>
      </c>
      <c r="B10">
        <f>Chart_Data!N10-Chart_Data!L10</f>
        <v>-64.557130403286848</v>
      </c>
      <c r="D10">
        <f>Chart_Data!G10</f>
        <v>-56</v>
      </c>
      <c r="E10">
        <f>Chart_Data!H10</f>
        <v>167.11523893481203</v>
      </c>
      <c r="F10">
        <f>Chart_Data!I10</f>
        <v>167.11523893481203</v>
      </c>
      <c r="G10">
        <f>Chart_Data!J10</f>
        <v>61.559568351968792</v>
      </c>
      <c r="I10">
        <f>Scenario_Data!A10</f>
        <v>-0.93300000000000005</v>
      </c>
      <c r="J10">
        <f>Scenario_Data!H10-(((SQRT((Inputs!$C$52+(Inputs!$H$6))^2+Inputs!$C$52^2-2*(Inputs!$C$52+(Inputs!$H$6))*Inputs!$C$52*COS(SQRT((Scenario_Data!T10)^2+Inputs!$C$6^2)/Inputs!$C$52)))-(Inputs!$H$6))*1000/Inputs!$C$12)</f>
        <v>-22.246059825895372</v>
      </c>
      <c r="K10">
        <f>Scenario_Data!I10-(((SQRT((Inputs!$C$52+(Inputs!$H$7))^2+Inputs!$C$52^2-2*(Inputs!$C$52+(Inputs!$H$7))*Inputs!$C$52*COS(SQRT((Scenario_Data!U10)^2+Inputs!$C$6^2)/Inputs!$C$52)))-(Inputs!$H$7))*1000/Inputs!$C$12)</f>
        <v>-86181.446082973955</v>
      </c>
      <c r="L10">
        <f>Scenario_Data!J10-(((SQRT((Inputs!$C$52+(Inputs!$H$8))^2+Inputs!$C$52^2-2*(Inputs!$C$52+(Inputs!$H$8))*Inputs!$C$52*COS(SQRT((Scenario_Data!V10)^2+Inputs!$C$6^2)/Inputs!$C$52)))-(Inputs!$H$8))*1000/Inputs!$C$12)</f>
        <v>-177621.89133436125</v>
      </c>
      <c r="M10">
        <f>Scenario_Data!K10-(((SQRT((Inputs!$C$52+(Inputs!$H$9))^2+Inputs!$C$52^2-2*(Inputs!$C$52+(Inputs!$H$9))*Inputs!$C$52*COS(SQRT((Scenario_Data!W10)^2+Inputs!$C$6^2)/Inputs!$C$52)))-(Inputs!$H$9))*1000/Inputs!$C$12)</f>
        <v>-181569.57405040326</v>
      </c>
      <c r="O10">
        <f>Scenario_Data!T10</f>
        <v>-55.980000000000004</v>
      </c>
      <c r="P10">
        <f>2*(Scenario_Data!B10*1000)/Inputs!$C$21*1000000</f>
        <v>2691.7418716384122</v>
      </c>
      <c r="Q10">
        <f>Scenario_Data!U10</f>
        <v>-373.20000000000005</v>
      </c>
      <c r="R10">
        <f>2*(Scenario_Data!C10*1000)/Inputs!$C$21*1000000</f>
        <v>2353.1511589928</v>
      </c>
      <c r="S10">
        <f>Scenario_Data!V10</f>
        <v>-746.40000000000009</v>
      </c>
      <c r="T10">
        <f>2*(Scenario_Data!D10*1000)/Inputs!$C$21*1000000</f>
        <v>5837.5176669721304</v>
      </c>
      <c r="U10">
        <f>Scenario_Data!W10</f>
        <v>-746.40000000000009</v>
      </c>
      <c r="V10">
        <f>2*(Scenario_Data!E10*1000)/Inputs!$C$21*1000000</f>
        <v>5828.8776230654903</v>
      </c>
      <c r="X10">
        <f>Scenario_Data!T10</f>
        <v>-55.980000000000004</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2691.3317880941772</v>
      </c>
      <c r="Z10">
        <f>Scenario_Data!U10</f>
        <v>-373.20000000000005</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2353.0603134471717</v>
      </c>
      <c r="AB10">
        <f>Scenario_Data!V10</f>
        <v>-746.40000000000009</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5837.1856328694821</v>
      </c>
      <c r="AD10">
        <f>Scenario_Data!W10</f>
        <v>-746.40000000000009</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5828.5455889628411</v>
      </c>
      <c r="AG10">
        <f>Scenario_Data!T10</f>
        <v>-55.980000000000004</v>
      </c>
      <c r="AH10">
        <f>2*(SQRT((Inputs!$C$52+(Scenario_Data!B10))^2+Inputs!$C$52^2-2*(Inputs!$C$52+(Scenario_Data!B10))*Inputs!$C$52*COS(SQRT((Scenario_Data!T10)^2+Inputs!$C$6^2)/Inputs!$C$52))*1000)/Inputs!$C$21*1000000</f>
        <v>2730.5640535799016</v>
      </c>
      <c r="AI10">
        <f>Scenario_Data!U10</f>
        <v>-373.20000000000005</v>
      </c>
      <c r="AJ10">
        <f>2*(SQRT((Inputs!$C$52+(Scenario_Data!C10))^2+Inputs!$C$52^2-2*(Inputs!$C$52+(Scenario_Data!C10))*Inputs!$C$52*COS(SQRT((Scenario_Data!U10)^2+Inputs!$C$6^2)/Inputs!$C$52))*1000)/Inputs!$C$21*1000000</f>
        <v>3624.1604034921179</v>
      </c>
      <c r="AK10">
        <f>Scenario_Data!V10</f>
        <v>-746.40000000000009</v>
      </c>
      <c r="AL10">
        <f>2*(SQRT((Inputs!$C$52+(Scenario_Data!D10))^2+Inputs!$C$52^2-2*(Inputs!$C$52+(Scenario_Data!D10))*Inputs!$C$52*COS(SQRT((Scenario_Data!V10)^2+Inputs!$C$6^2)/Inputs!$C$52))*1000)/Inputs!$C$21*1000000</f>
        <v>8490.1126571758014</v>
      </c>
      <c r="AM10">
        <f>Scenario_Data!W10</f>
        <v>-746.40000000000009</v>
      </c>
      <c r="AN10">
        <f>2*(SQRT((Inputs!$C$52+(Scenario_Data!E10))^2+Inputs!$C$52^2-2*(Inputs!$C$52+(Scenario_Data!E10))*Inputs!$C$52*COS(SQRT((Scenario_Data!W10)^2+Inputs!$C$6^2)/Inputs!$C$52))*1000)/Inputs!$C$21*1000000</f>
        <v>8482.9834109222265</v>
      </c>
      <c r="AP10">
        <f>Scenario_Data!T10</f>
        <v>-55.980000000000004</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2729.5241867812651</v>
      </c>
      <c r="AR10">
        <f>Scenario_Data!U10</f>
        <v>-373.20000000000005</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3623.5784569317379</v>
      </c>
      <c r="AT10">
        <f>Scenario_Data!V10</f>
        <v>-746.40000000000009</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8489.7380215571848</v>
      </c>
      <c r="AV10">
        <f>Scenario_Data!W10</f>
        <v>-746.40000000000009</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8482.6091772207692</v>
      </c>
    </row>
    <row r="11" spans="1:49">
      <c r="A11">
        <f>Chart_Data!K11</f>
        <v>-55.5</v>
      </c>
      <c r="B11">
        <f>Chart_Data!N11-Chart_Data!L11</f>
        <v>-41.335684767984432</v>
      </c>
      <c r="D11">
        <f>Chart_Data!G11</f>
        <v>-55.5</v>
      </c>
      <c r="E11">
        <f>Chart_Data!H11</f>
        <v>160.57943103446084</v>
      </c>
      <c r="F11">
        <f>Chart_Data!I11</f>
        <v>160.57943103446084</v>
      </c>
      <c r="G11">
        <f>Chart_Data!J11</f>
        <v>38.496582165951239</v>
      </c>
      <c r="I11">
        <f>Scenario_Data!A11</f>
        <v>-0.92500000000000004</v>
      </c>
      <c r="J11">
        <f>Scenario_Data!H11-(((SQRT((Inputs!$C$52+(Inputs!$H$6))^2+Inputs!$C$52^2-2*(Inputs!$C$52+(Inputs!$H$6))*Inputs!$C$52*COS(SQRT((Scenario_Data!T11)^2+Inputs!$C$6^2)/Inputs!$C$52)))-(Inputs!$H$6))*1000/Inputs!$C$12)</f>
        <v>-21.565197447271657</v>
      </c>
      <c r="K11">
        <f>Scenario_Data!I11-(((SQRT((Inputs!$C$52+(Inputs!$H$7))^2+Inputs!$C$52^2-2*(Inputs!$C$52+(Inputs!$H$7))*Inputs!$C$52*COS(SQRT((Scenario_Data!U11)^2+Inputs!$C$6^2)/Inputs!$C$52)))-(Inputs!$H$7))*1000/Inputs!$C$12)</f>
        <v>-85066.383249791965</v>
      </c>
      <c r="L11">
        <f>Scenario_Data!J11-(((SQRT((Inputs!$C$52+(Inputs!$H$8))^2+Inputs!$C$52^2-2*(Inputs!$C$52+(Inputs!$H$8))*Inputs!$C$52*COS(SQRT((Scenario_Data!V11)^2+Inputs!$C$6^2)/Inputs!$C$52)))-(Inputs!$H$8))*1000/Inputs!$C$12)</f>
        <v>-175844.68076899392</v>
      </c>
      <c r="M11">
        <f>Scenario_Data!K11-(((SQRT((Inputs!$C$52+(Inputs!$H$9))^2+Inputs!$C$52^2-2*(Inputs!$C$52+(Inputs!$H$9))*Inputs!$C$52*COS(SQRT((Scenario_Data!W11)^2+Inputs!$C$6^2)/Inputs!$C$52)))-(Inputs!$H$9))*1000/Inputs!$C$12)</f>
        <v>-179785.07110087413</v>
      </c>
      <c r="O11">
        <f>Scenario_Data!T11</f>
        <v>-55.5</v>
      </c>
      <c r="P11">
        <f>2*(Scenario_Data!B11*1000)/Inputs!$C$21*1000000</f>
        <v>2691.3452239015301</v>
      </c>
      <c r="Q11">
        <f>Scenario_Data!U11</f>
        <v>-370</v>
      </c>
      <c r="R11">
        <f>2*(Scenario_Data!C11*1000)/Inputs!$C$21*1000000</f>
        <v>2316.9570530023138</v>
      </c>
      <c r="S11">
        <f>Scenario_Data!V11</f>
        <v>-740</v>
      </c>
      <c r="T11">
        <f>2*(Scenario_Data!D11*1000)/Inputs!$C$21*1000000</f>
        <v>5741.8264004493403</v>
      </c>
      <c r="U11">
        <f>Scenario_Data!W11</f>
        <v>-740</v>
      </c>
      <c r="V11">
        <f>2*(Scenario_Data!E11*1000)/Inputs!$C$21*1000000</f>
        <v>5732.1947372004943</v>
      </c>
      <c r="X11">
        <f>Scenario_Data!T11</f>
        <v>-55.5</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2691.0884023495619</v>
      </c>
      <c r="Z11">
        <f>Scenario_Data!U11</f>
        <v>-370</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2316.8740711674895</v>
      </c>
      <c r="AB11">
        <f>Scenario_Data!V11</f>
        <v>-740</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5741.7295362966088</v>
      </c>
      <c r="AD11">
        <f>Scenario_Data!W11</f>
        <v>-740</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5732.0978730477627</v>
      </c>
      <c r="AG11">
        <f>Scenario_Data!T11</f>
        <v>-55.5</v>
      </c>
      <c r="AH11">
        <f>2*(SQRT((Inputs!$C$52+(Scenario_Data!B11))^2+Inputs!$C$52^2-2*(Inputs!$C$52+(Scenario_Data!B11))*Inputs!$C$52*COS(SQRT((Scenario_Data!T11)^2+Inputs!$C$6^2)/Inputs!$C$52))*1000)/Inputs!$C$21*1000000</f>
        <v>2729.6230805624396</v>
      </c>
      <c r="AI11">
        <f>Scenario_Data!U11</f>
        <v>-370</v>
      </c>
      <c r="AJ11">
        <f>2*(SQRT((Inputs!$C$52+(Scenario_Data!C11))^2+Inputs!$C$52^2-2*(Inputs!$C$52+(Scenario_Data!C11))*Inputs!$C$52*COS(SQRT((Scenario_Data!U11)^2+Inputs!$C$6^2)/Inputs!$C$52))*1000)/Inputs!$C$21*1000000</f>
        <v>3579.915397473851</v>
      </c>
      <c r="AK11">
        <f>Scenario_Data!V11</f>
        <v>-740</v>
      </c>
      <c r="AL11">
        <f>2*(SQRT((Inputs!$C$52+(Scenario_Data!D11))^2+Inputs!$C$52^2-2*(Inputs!$C$52+(Scenario_Data!D11))*Inputs!$C$52*COS(SQRT((Scenario_Data!V11)^2+Inputs!$C$6^2)/Inputs!$C$52))*1000)/Inputs!$C$21*1000000</f>
        <v>8373.6424099258602</v>
      </c>
      <c r="AM11">
        <f>Scenario_Data!W11</f>
        <v>-740</v>
      </c>
      <c r="AN11">
        <f>2*(SQRT((Inputs!$C$52+(Scenario_Data!E11))^2+Inputs!$C$52^2-2*(Inputs!$C$52+(Scenario_Data!E11))*Inputs!$C$52*COS(SQRT((Scenario_Data!W11)^2+Inputs!$C$6^2)/Inputs!$C$52))*1000)/Inputs!$C$21*1000000</f>
        <v>8365.7171770078276</v>
      </c>
      <c r="AP11">
        <f>Scenario_Data!T11</f>
        <v>-55.5</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2728.5707503638432</v>
      </c>
      <c r="AR11">
        <f>Scenario_Data!U11</f>
        <v>-370</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3579.3219687815858</v>
      </c>
      <c r="AT11">
        <f>Scenario_Data!V11</f>
        <v>-740</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8373.1619172502797</v>
      </c>
      <c r="AV11">
        <f>Scenario_Data!W11</f>
        <v>-740</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8365.2372704199115</v>
      </c>
    </row>
    <row r="12" spans="1:49">
      <c r="A12">
        <f>Chart_Data!K12</f>
        <v>-55</v>
      </c>
      <c r="B12">
        <f>Chart_Data!N12-Chart_Data!L12</f>
        <v>-49.580950405175827</v>
      </c>
      <c r="D12">
        <f>Chart_Data!G12</f>
        <v>-55</v>
      </c>
      <c r="E12">
        <f>Chart_Data!H12</f>
        <v>176.10976359434375</v>
      </c>
      <c r="F12">
        <f>Chart_Data!I12</f>
        <v>176.10976359434375</v>
      </c>
      <c r="G12">
        <f>Chart_Data!J12</f>
        <v>46.511955931760568</v>
      </c>
      <c r="I12">
        <f>Scenario_Data!A12</f>
        <v>-0.91700000000000004</v>
      </c>
      <c r="J12">
        <f>Scenario_Data!H12-(((SQRT((Inputs!$C$52+(Inputs!$H$6))^2+Inputs!$C$52^2-2*(Inputs!$C$52+(Inputs!$H$6))*Inputs!$C$52*COS(SQRT((Scenario_Data!T12)^2+Inputs!$C$6^2)/Inputs!$C$52)))-(Inputs!$H$6))*1000/Inputs!$C$12)</f>
        <v>-20.900242486699881</v>
      </c>
      <c r="K12">
        <f>Scenario_Data!I12-(((SQRT((Inputs!$C$52+(Inputs!$H$7))^2+Inputs!$C$52^2-2*(Inputs!$C$52+(Inputs!$H$7))*Inputs!$C$52*COS(SQRT((Scenario_Data!U12)^2+Inputs!$C$6^2)/Inputs!$C$52)))-(Inputs!$H$7))*1000/Inputs!$C$12)</f>
        <v>-83952.369247370851</v>
      </c>
      <c r="L12">
        <f>Scenario_Data!J12-(((SQRT((Inputs!$C$52+(Inputs!$H$8))^2+Inputs!$C$52^2-2*(Inputs!$C$52+(Inputs!$H$8))*Inputs!$C$52*COS(SQRT((Scenario_Data!V12)^2+Inputs!$C$6^2)/Inputs!$C$52)))-(Inputs!$H$8))*1000/Inputs!$C$12)</f>
        <v>-174059.5218997983</v>
      </c>
      <c r="M12">
        <f>Scenario_Data!K12-(((SQRT((Inputs!$C$52+(Inputs!$H$9))^2+Inputs!$C$52^2-2*(Inputs!$C$52+(Inputs!$H$9))*Inputs!$C$52*COS(SQRT((Scenario_Data!W12)^2+Inputs!$C$6^2)/Inputs!$C$52)))-(Inputs!$H$9))*1000/Inputs!$C$12)</f>
        <v>-177992.30309147586</v>
      </c>
      <c r="O12">
        <f>Scenario_Data!T12</f>
        <v>-55.02</v>
      </c>
      <c r="P12">
        <f>2*(Scenario_Data!B12*1000)/Inputs!$C$21*1000000</f>
        <v>2690.9519918609831</v>
      </c>
      <c r="Q12">
        <f>Scenario_Data!U12</f>
        <v>-366.8</v>
      </c>
      <c r="R12">
        <f>2*(Scenario_Data!C12*1000)/Inputs!$C$21*1000000</f>
        <v>2281.0746293023826</v>
      </c>
      <c r="S12">
        <f>Scenario_Data!V12</f>
        <v>-733.6</v>
      </c>
      <c r="T12">
        <f>2*(Scenario_Data!D12*1000)/Inputs!$C$21*1000000</f>
        <v>5646.9591706673291</v>
      </c>
      <c r="U12">
        <f>Scenario_Data!W12</f>
        <v>-733.6</v>
      </c>
      <c r="V12">
        <f>2*(Scenario_Data!E12*1000)/Inputs!$C$21*1000000</f>
        <v>5636.3444273171144</v>
      </c>
      <c r="X12">
        <f>Scenario_Data!T12</f>
        <v>-55.02</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2690.6954474900699</v>
      </c>
      <c r="Z12">
        <f>Scenario_Data!U12</f>
        <v>-366.8</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2281.4213901659514</v>
      </c>
      <c r="AB12">
        <f>Scenario_Data!V12</f>
        <v>-733.6</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5646.7277866164695</v>
      </c>
      <c r="AD12">
        <f>Scenario_Data!W12</f>
        <v>-733.6</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5636.1130432662549</v>
      </c>
      <c r="AG12">
        <f>Scenario_Data!T12</f>
        <v>-55.02</v>
      </c>
      <c r="AH12">
        <f>2*(SQRT((Inputs!$C$52+(Scenario_Data!B12))^2+Inputs!$C$52^2-2*(Inputs!$C$52+(Scenario_Data!B12))*Inputs!$C$52*COS(SQRT((Scenario_Data!T12)^2+Inputs!$C$6^2)/Inputs!$C$52))*1000)/Inputs!$C$21*1000000</f>
        <v>2728.6899780807412</v>
      </c>
      <c r="AI12">
        <f>Scenario_Data!U12</f>
        <v>-366.8</v>
      </c>
      <c r="AJ12">
        <f>2*(SQRT((Inputs!$C$52+(Scenario_Data!C12))^2+Inputs!$C$52^2-2*(Inputs!$C$52+(Scenario_Data!C12))*Inputs!$C$52*COS(SQRT((Scenario_Data!U12)^2+Inputs!$C$6^2)/Inputs!$C$52))*1000)/Inputs!$C$21*1000000</f>
        <v>3535.9694398561164</v>
      </c>
      <c r="AK12">
        <f>Scenario_Data!V12</f>
        <v>-733.6</v>
      </c>
      <c r="AL12">
        <f>2*(SQRT((Inputs!$C$52+(Scenario_Data!D12))^2+Inputs!$C$52^2-2*(Inputs!$C$52+(Scenario_Data!D12))*Inputs!$C$52*COS(SQRT((Scenario_Data!V12)^2+Inputs!$C$6^2)/Inputs!$C$52))*1000)/Inputs!$C$21*1000000</f>
        <v>8258.0710351577345</v>
      </c>
      <c r="AM12">
        <f>Scenario_Data!W12</f>
        <v>-733.6</v>
      </c>
      <c r="AN12">
        <f>2*(SQRT((Inputs!$C$52+(Scenario_Data!E12))^2+Inputs!$C$52^2-2*(Inputs!$C$52+(Scenario_Data!E12))*Inputs!$C$52*COS(SQRT((Scenario_Data!W12)^2+Inputs!$C$6^2)/Inputs!$C$52))*1000)/Inputs!$C$21*1000000</f>
        <v>8249.3617845544723</v>
      </c>
      <c r="AP12">
        <f>Scenario_Data!T12</f>
        <v>-55.02</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2727.45681982305</v>
      </c>
      <c r="AR12">
        <f>Scenario_Data!U12</f>
        <v>-366.8</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3535.5397391924798</v>
      </c>
      <c r="AT12">
        <f>Scenario_Data!V12</f>
        <v>-733.6</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8257.4964797093962</v>
      </c>
      <c r="AV12">
        <f>Scenario_Data!W12</f>
        <v>-733.6</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8248.7880169790551</v>
      </c>
    </row>
    <row r="13" spans="1:49">
      <c r="A13">
        <f>Chart_Data!K13</f>
        <v>-54.5</v>
      </c>
      <c r="B13">
        <f>Chart_Data!N13-Chart_Data!L13</f>
        <v>-53.113671796019418</v>
      </c>
      <c r="D13">
        <f>Chart_Data!G13</f>
        <v>-54.5</v>
      </c>
      <c r="E13">
        <f>Chart_Data!H13</f>
        <v>194.40953580826846</v>
      </c>
      <c r="F13">
        <f>Chart_Data!I13</f>
        <v>194.40953580826846</v>
      </c>
      <c r="G13">
        <f>Chart_Data!J13</f>
        <v>49.774693415091853</v>
      </c>
      <c r="I13">
        <f>Scenario_Data!A13</f>
        <v>-0.90800000000000003</v>
      </c>
      <c r="J13">
        <f>Scenario_Data!H13-(((SQRT((Inputs!$C$52+(Inputs!$H$6))^2+Inputs!$C$52^2-2*(Inputs!$C$52+(Inputs!$H$6))*Inputs!$C$52*COS(SQRT((Scenario_Data!T13)^2+Inputs!$C$6^2)/Inputs!$C$52)))-(Inputs!$H$6))*1000/Inputs!$C$12)</f>
        <v>-20.170875551412792</v>
      </c>
      <c r="K13">
        <f>Scenario_Data!I13-(((SQRT((Inputs!$C$52+(Inputs!$H$7))^2+Inputs!$C$52^2-2*(Inputs!$C$52+(Inputs!$H$7))*Inputs!$C$52*COS(SQRT((Scenario_Data!U13)^2+Inputs!$C$6^2)/Inputs!$C$52)))-(Inputs!$H$7))*1000/Inputs!$C$12)</f>
        <v>-82700.459556477203</v>
      </c>
      <c r="L13">
        <f>Scenario_Data!J13-(((SQRT((Inputs!$C$52+(Inputs!$H$8))^2+Inputs!$C$52^2-2*(Inputs!$C$52+(Inputs!$H$8))*Inputs!$C$52*COS(SQRT((Scenario_Data!V13)^2+Inputs!$C$6^2)/Inputs!$C$52)))-(Inputs!$H$8))*1000/Inputs!$C$12)</f>
        <v>-172041.86803726538</v>
      </c>
      <c r="M13">
        <f>Scenario_Data!K13-(((SQRT((Inputs!$C$52+(Inputs!$H$9))^2+Inputs!$C$52^2-2*(Inputs!$C$52+(Inputs!$H$9))*Inputs!$C$52*COS(SQRT((Scenario_Data!W13)^2+Inputs!$C$6^2)/Inputs!$C$52)))-(Inputs!$H$9))*1000/Inputs!$C$12)</f>
        <v>-175965.70357183547</v>
      </c>
      <c r="O13">
        <f>Scenario_Data!T13</f>
        <v>-54.480000000000004</v>
      </c>
      <c r="P13">
        <f>2*(Scenario_Data!B13*1000)/Inputs!$C$21*1000000</f>
        <v>2690.5136886398923</v>
      </c>
      <c r="Q13">
        <f>Scenario_Data!U13</f>
        <v>-363.2</v>
      </c>
      <c r="R13">
        <f>2*(Scenario_Data!C13*1000)/Inputs!$C$21*1000000</f>
        <v>2241.0794603778854</v>
      </c>
      <c r="S13">
        <f>Scenario_Data!V13</f>
        <v>-726.4</v>
      </c>
      <c r="T13">
        <f>2*(Scenario_Data!D13*1000)/Inputs!$C$21*1000000</f>
        <v>5541.218518579276</v>
      </c>
      <c r="U13">
        <f>Scenario_Data!W13</f>
        <v>-726.4</v>
      </c>
      <c r="V13">
        <f>2*(Scenario_Data!E13*1000)/Inputs!$C$21*1000000</f>
        <v>5529.5080171763357</v>
      </c>
      <c r="X13">
        <f>Scenario_Data!T13</f>
        <v>-54.480000000000004</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2690.1320799792074</v>
      </c>
      <c r="Z13">
        <f>Scenario_Data!U13</f>
        <v>-363.2</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2241.5050146309113</v>
      </c>
      <c r="AB13">
        <f>Scenario_Data!V13</f>
        <v>-726.4</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5541.4542258106449</v>
      </c>
      <c r="AD13">
        <f>Scenario_Data!W13</f>
        <v>-726.4</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5529.7437244077037</v>
      </c>
      <c r="AG13">
        <f>Scenario_Data!T13</f>
        <v>-54.480000000000004</v>
      </c>
      <c r="AH13">
        <f>2*(SQRT((Inputs!$C$52+(Scenario_Data!B13))^2+Inputs!$C$52^2-2*(Inputs!$C$52+(Scenario_Data!B13))*Inputs!$C$52*COS(SQRT((Scenario_Data!T13)^2+Inputs!$C$6^2)/Inputs!$C$52))*1000)/Inputs!$C$21*1000000</f>
        <v>2727.6496527585241</v>
      </c>
      <c r="AI13">
        <f>Scenario_Data!U13</f>
        <v>-363.2</v>
      </c>
      <c r="AJ13">
        <f>2*(SQRT((Inputs!$C$52+(Scenario_Data!C13))^2+Inputs!$C$52^2-2*(Inputs!$C$52+(Scenario_Data!C13))*Inputs!$C$52*COS(SQRT((Scenario_Data!U13)^2+Inputs!$C$6^2)/Inputs!$C$52))*1000)/Inputs!$C$21*1000000</f>
        <v>3486.8865852502836</v>
      </c>
      <c r="AK13">
        <f>Scenario_Data!V13</f>
        <v>-726.4</v>
      </c>
      <c r="AL13">
        <f>2*(SQRT((Inputs!$C$52+(Scenario_Data!D13))^2+Inputs!$C$52^2-2*(Inputs!$C$52+(Scenario_Data!D13))*Inputs!$C$52*COS(SQRT((Scenario_Data!V13)^2+Inputs!$C$6^2)/Inputs!$C$52))*1000)/Inputs!$C$21*1000000</f>
        <v>8129.1261442908717</v>
      </c>
      <c r="AM13">
        <f>Scenario_Data!W13</f>
        <v>-726.4</v>
      </c>
      <c r="AN13">
        <f>2*(SQRT((Inputs!$C$52+(Scenario_Data!E13))^2+Inputs!$C$52^2-2*(Inputs!$C$52+(Scenario_Data!E13))*Inputs!$C$52*COS(SQRT((Scenario_Data!W13)^2+Inputs!$C$6^2)/Inputs!$C$52))*1000)/Inputs!$C$21*1000000</f>
        <v>8119.5492469653982</v>
      </c>
      <c r="AP13">
        <f>Scenario_Data!T13</f>
        <v>-54.480000000000004</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2726.3354650184833</v>
      </c>
      <c r="AR13">
        <f>Scenario_Data!U13</f>
        <v>-363.2</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3486.6311054490343</v>
      </c>
      <c r="AT13">
        <f>Scenario_Data!V13</f>
        <v>-726.4</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8128.7951309951241</v>
      </c>
      <c r="AV13">
        <f>Scenario_Data!W13</f>
        <v>-726.4</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8119.2187457949549</v>
      </c>
    </row>
    <row r="14" spans="1:49">
      <c r="A14">
        <f>Chart_Data!K14</f>
        <v>-54</v>
      </c>
      <c r="B14">
        <f>Chart_Data!N14-Chart_Data!L14</f>
        <v>-41.23963182688874</v>
      </c>
      <c r="D14">
        <f>Chart_Data!G14</f>
        <v>-54</v>
      </c>
      <c r="E14">
        <f>Chart_Data!H14</f>
        <v>196.39629745562698</v>
      </c>
      <c r="F14">
        <f>Chart_Data!I14</f>
        <v>196.39629745562698</v>
      </c>
      <c r="G14">
        <f>Chart_Data!J14</f>
        <v>37.915684067232107</v>
      </c>
      <c r="I14">
        <f>Scenario_Data!A14</f>
        <v>-0.9</v>
      </c>
      <c r="J14">
        <f>Scenario_Data!H14-(((SQRT((Inputs!$C$52+(Inputs!$H$6))^2+Inputs!$C$52^2-2*(Inputs!$C$52+(Inputs!$H$6))*Inputs!$C$52*COS(SQRT((Scenario_Data!T14)^2+Inputs!$C$6^2)/Inputs!$C$52)))-(Inputs!$H$6))*1000/Inputs!$C$12)</f>
        <v>-19.538907124212074</v>
      </c>
      <c r="K14">
        <f>Scenario_Data!I14-(((SQRT((Inputs!$C$52+(Inputs!$H$7))^2+Inputs!$C$52^2-2*(Inputs!$C$52+(Inputs!$H$7))*Inputs!$C$52*COS(SQRT((Scenario_Data!U14)^2+Inputs!$C$6^2)/Inputs!$C$52)))-(Inputs!$H$7))*1000/Inputs!$C$12)</f>
        <v>-81588.949134183073</v>
      </c>
      <c r="L14">
        <f>Scenario_Data!J14-(((SQRT((Inputs!$C$52+(Inputs!$H$8))^2+Inputs!$C$52^2-2*(Inputs!$C$52+(Inputs!$H$8))*Inputs!$C$52*COS(SQRT((Scenario_Data!V14)^2+Inputs!$C$6^2)/Inputs!$C$52)))-(Inputs!$H$8))*1000/Inputs!$C$12)</f>
        <v>-170240.22471774745</v>
      </c>
      <c r="M14">
        <f>Scenario_Data!K14-(((SQRT((Inputs!$C$52+(Inputs!$H$9))^2+Inputs!$C$52^2-2*(Inputs!$C$52+(Inputs!$H$9))*Inputs!$C$52*COS(SQRT((Scenario_Data!W14)^2+Inputs!$C$6^2)/Inputs!$C$52)))-(Inputs!$H$9))*1000/Inputs!$C$12)</f>
        <v>-174155.75991096892</v>
      </c>
      <c r="O14">
        <f>Scenario_Data!T14</f>
        <v>-54</v>
      </c>
      <c r="P14">
        <f>2*(Scenario_Data!B14*1000)/Inputs!$C$21*1000000</f>
        <v>2690.1277149540565</v>
      </c>
      <c r="Q14">
        <f>Scenario_Data!U14</f>
        <v>-360</v>
      </c>
      <c r="R14">
        <f>2*(Scenario_Data!C14*1000)/Inputs!$C$21*1000000</f>
        <v>2205.8593615453797</v>
      </c>
      <c r="S14">
        <f>Scenario_Data!V14</f>
        <v>-720</v>
      </c>
      <c r="T14">
        <f>2*(Scenario_Data!D14*1000)/Inputs!$C$21*1000000</f>
        <v>5448.1023668714188</v>
      </c>
      <c r="U14">
        <f>Scenario_Data!W14</f>
        <v>-720</v>
      </c>
      <c r="V14">
        <f>2*(Scenario_Data!E14*1000)/Inputs!$C$21*1000000</f>
        <v>5435.4269312538872</v>
      </c>
      <c r="X14">
        <f>Scenario_Data!T14</f>
        <v>-54</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2689.8747687370624</v>
      </c>
      <c r="Z14">
        <f>Scenario_Data!U14</f>
        <v>-360</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2205.9282374305321</v>
      </c>
      <c r="AB14">
        <f>Scenario_Data!V14</f>
        <v>-720</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5448.2441741170287</v>
      </c>
      <c r="AD14">
        <f>Scenario_Data!W14</f>
        <v>-720</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5435.568738499499</v>
      </c>
      <c r="AG14">
        <f>Scenario_Data!T14</f>
        <v>-54</v>
      </c>
      <c r="AH14">
        <f>2*(SQRT((Inputs!$C$52+(Scenario_Data!B14))^2+Inputs!$C$52^2-2*(Inputs!$C$52+(Scenario_Data!B14))*Inputs!$C$52*COS(SQRT((Scenario_Data!T14)^2+Inputs!$C$6^2)/Inputs!$C$52))*1000)/Inputs!$C$21*1000000</f>
        <v>2726.7332943721008</v>
      </c>
      <c r="AI14">
        <f>Scenario_Data!U14</f>
        <v>-360</v>
      </c>
      <c r="AJ14">
        <f>2*(SQRT((Inputs!$C$52+(Scenario_Data!C14))^2+Inputs!$C$52^2-2*(Inputs!$C$52+(Scenario_Data!C14))*Inputs!$C$52*COS(SQRT((Scenario_Data!U14)^2+Inputs!$C$6^2)/Inputs!$C$52))*1000)/Inputs!$C$21*1000000</f>
        <v>3443.5731304663896</v>
      </c>
      <c r="AK14">
        <f>Scenario_Data!V14</f>
        <v>-720</v>
      </c>
      <c r="AL14">
        <f>2*(SQRT((Inputs!$C$52+(Scenario_Data!D14))^2+Inputs!$C$52^2-2*(Inputs!$C$52+(Scenario_Data!D14))*Inputs!$C$52*COS(SQRT((Scenario_Data!V14)^2+Inputs!$C$6^2)/Inputs!$C$52))*1000)/Inputs!$C$21*1000000</f>
        <v>8015.4607514084237</v>
      </c>
      <c r="AM14">
        <f>Scenario_Data!W14</f>
        <v>-720</v>
      </c>
      <c r="AN14">
        <f>2*(SQRT((Inputs!$C$52+(Scenario_Data!E14))^2+Inputs!$C$52^2-2*(Inputs!$C$52+(Scenario_Data!E14))*Inputs!$C$52*COS(SQRT((Scenario_Data!W14)^2+Inputs!$C$6^2)/Inputs!$C$52))*1000)/Inputs!$C$21*1000000</f>
        <v>8005.1254484618212</v>
      </c>
      <c r="AP14">
        <f>Scenario_Data!T14</f>
        <v>-54</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2725.4452542994177</v>
      </c>
      <c r="AR14">
        <f>Scenario_Data!U14</f>
        <v>-360</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3443.2133979979462</v>
      </c>
      <c r="AT14">
        <f>Scenario_Data!V14</f>
        <v>-720</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8015.0991696438123</v>
      </c>
      <c r="AV14">
        <f>Scenario_Data!W14</f>
        <v>-720</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8004.7644846026124</v>
      </c>
    </row>
    <row r="15" spans="1:49">
      <c r="A15">
        <f>Chart_Data!K15</f>
        <v>-53.5</v>
      </c>
      <c r="B15">
        <f>Chart_Data!N15-Chart_Data!L15</f>
        <v>-52.892029610175058</v>
      </c>
      <c r="D15">
        <f>Chart_Data!G15</f>
        <v>-53.5</v>
      </c>
      <c r="E15">
        <f>Chart_Data!H15</f>
        <v>215.04504497494062</v>
      </c>
      <c r="F15">
        <f>Chart_Data!I15</f>
        <v>215.04504497494062</v>
      </c>
      <c r="G15">
        <f>Chart_Data!J15</f>
        <v>49.305692333608725</v>
      </c>
      <c r="I15">
        <f>Scenario_Data!A15</f>
        <v>-0.89200000000000002</v>
      </c>
      <c r="J15">
        <f>Scenario_Data!H15-(((SQRT((Inputs!$C$52+(Inputs!$H$6))^2+Inputs!$C$52^2-2*(Inputs!$C$52+(Inputs!$H$6))*Inputs!$C$52*COS(SQRT((Scenario_Data!T15)^2+Inputs!$C$6^2)/Inputs!$C$52)))-(Inputs!$H$6))*1000/Inputs!$C$12)</f>
        <v>-18.922080788589938</v>
      </c>
      <c r="K15">
        <f>Scenario_Data!I15-(((SQRT((Inputs!$C$52+(Inputs!$H$7))^2+Inputs!$C$52^2-2*(Inputs!$C$52+(Inputs!$H$7))*Inputs!$C$52*COS(SQRT((Scenario_Data!U15)^2+Inputs!$C$6^2)/Inputs!$C$52)))-(Inputs!$H$7))*1000/Inputs!$C$12)</f>
        <v>-80478.749607010104</v>
      </c>
      <c r="L15">
        <f>Scenario_Data!J15-(((SQRT((Inputs!$C$52+(Inputs!$H$8))^2+Inputs!$C$52^2-2*(Inputs!$C$52+(Inputs!$H$8))*Inputs!$C$52*COS(SQRT((Scenario_Data!V15)^2+Inputs!$C$6^2)/Inputs!$C$52)))-(Inputs!$H$8))*1000/Inputs!$C$12)</f>
        <v>-168431.02288308332</v>
      </c>
      <c r="M15">
        <f>Scenario_Data!K15-(((SQRT((Inputs!$C$52+(Inputs!$H$9))^2+Inputs!$C$52^2-2*(Inputs!$C$52+(Inputs!$H$9))*Inputs!$C$52*COS(SQRT((Scenario_Data!W15)^2+Inputs!$C$6^2)/Inputs!$C$52)))-(Inputs!$H$9))*1000/Inputs!$C$12)</f>
        <v>-172337.9237806311</v>
      </c>
      <c r="O15">
        <f>Scenario_Data!T15</f>
        <v>-53.52</v>
      </c>
      <c r="P15">
        <f>2*(Scenario_Data!B15*1000)/Inputs!$C$21*1000000</f>
        <v>2689.7451569645559</v>
      </c>
      <c r="Q15">
        <f>Scenario_Data!U15</f>
        <v>-356.8</v>
      </c>
      <c r="R15">
        <f>2*(Scenario_Data!C15*1000)/Inputs!$C$21*1000000</f>
        <v>2170.9509450034266</v>
      </c>
      <c r="S15">
        <f>Scenario_Data!V15</f>
        <v>-713.6</v>
      </c>
      <c r="T15">
        <f>2*(Scenario_Data!D15*1000)/Inputs!$C$21*1000000</f>
        <v>5355.8102519043368</v>
      </c>
      <c r="U15">
        <f>Scenario_Data!W15</f>
        <v>-713.6</v>
      </c>
      <c r="V15">
        <f>2*(Scenario_Data!E15*1000)/Inputs!$C$21*1000000</f>
        <v>5342.1784213130541</v>
      </c>
      <c r="X15">
        <f>Scenario_Data!T15</f>
        <v>-53.52</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2689.4097329621941</v>
      </c>
      <c r="Z15">
        <f>Scenario_Data!U15</f>
        <v>-356.8</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2170.5785179125855</v>
      </c>
      <c r="AB15">
        <f>Scenario_Data!V15</f>
        <v>-713.6</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5355.7535640556407</v>
      </c>
      <c r="AD15">
        <f>Scenario_Data!W15</f>
        <v>-713.6</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5342.1217334643588</v>
      </c>
      <c r="AG15">
        <f>Scenario_Data!T15</f>
        <v>-53.52</v>
      </c>
      <c r="AH15">
        <f>2*(SQRT((Inputs!$C$52+(Scenario_Data!B15))^2+Inputs!$C$52^2-2*(Inputs!$C$52+(Scenario_Data!B15))*Inputs!$C$52*COS(SQRT((Scenario_Data!T15)^2+Inputs!$C$6^2)/Inputs!$C$52))*1000)/Inputs!$C$21*1000000</f>
        <v>2725.8248245109639</v>
      </c>
      <c r="AI15">
        <f>Scenario_Data!U15</f>
        <v>-356.8</v>
      </c>
      <c r="AJ15">
        <f>2*(SQRT((Inputs!$C$52+(Scenario_Data!C15))^2+Inputs!$C$52^2-2*(Inputs!$C$52+(Scenario_Data!C15))*Inputs!$C$52*COS(SQRT((Scenario_Data!U15)^2+Inputs!$C$6^2)/Inputs!$C$52))*1000)/Inputs!$C$21*1000000</f>
        <v>3400.5558883978983</v>
      </c>
      <c r="AK15">
        <f>Scenario_Data!V15</f>
        <v>-713.6</v>
      </c>
      <c r="AL15">
        <f>2*(SQRT((Inputs!$C$52+(Scenario_Data!D15))^2+Inputs!$C$52^2-2*(Inputs!$C$52+(Scenario_Data!D15))*Inputs!$C$52*COS(SQRT((Scenario_Data!V15)^2+Inputs!$C$6^2)/Inputs!$C$52))*1000)/Inputs!$C$21*1000000</f>
        <v>7902.6902595707297</v>
      </c>
      <c r="AM15">
        <f>Scenario_Data!W15</f>
        <v>-713.6</v>
      </c>
      <c r="AN15">
        <f>2*(SQRT((Inputs!$C$52+(Scenario_Data!E15))^2+Inputs!$C$52^2-2*(Inputs!$C$52+(Scenario_Data!E15))*Inputs!$C$52*COS(SQRT((Scenario_Data!W15)^2+Inputs!$C$6^2)/Inputs!$C$52))*1000)/Inputs!$C$21*1000000</f>
        <v>7891.6086886825724</v>
      </c>
      <c r="AP15">
        <f>Scenario_Data!T15</f>
        <v>-53.52</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2724.3586238461326</v>
      </c>
      <c r="AR15">
        <f>Scenario_Data!U15</f>
        <v>-356.8</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3399.8955380999778</v>
      </c>
      <c r="AT15">
        <f>Scenario_Data!V15</f>
        <v>-713.6</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7902.1303992220219</v>
      </c>
      <c r="AV15">
        <f>Scenario_Data!W15</f>
        <v>-713.6</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7891.0498786081262</v>
      </c>
    </row>
    <row r="16" spans="1:49">
      <c r="A16">
        <f>Chart_Data!K16</f>
        <v>-53</v>
      </c>
      <c r="B16">
        <f>Chart_Data!N16-Chart_Data!L16</f>
        <v>-58.581245405273933</v>
      </c>
      <c r="D16">
        <f>Chart_Data!G16</f>
        <v>-53</v>
      </c>
      <c r="E16">
        <f>Chart_Data!H16</f>
        <v>220.27863667842527</v>
      </c>
      <c r="F16">
        <f>Chart_Data!I16</f>
        <v>220.27863667842527</v>
      </c>
      <c r="G16">
        <f>Chart_Data!J16</f>
        <v>54.961826683264675</v>
      </c>
      <c r="I16">
        <f>Scenario_Data!A16</f>
        <v>-0.88300000000000001</v>
      </c>
      <c r="J16">
        <f>Scenario_Data!H16-(((SQRT((Inputs!$C$52+(Inputs!$H$6))^2+Inputs!$C$52^2-2*(Inputs!$C$52+(Inputs!$H$6))*Inputs!$C$52*COS(SQRT((Scenario_Data!T16)^2+Inputs!$C$6^2)/Inputs!$C$52)))-(Inputs!$H$6))*1000/Inputs!$C$12)</f>
        <v>-18.245949870930872</v>
      </c>
      <c r="K16">
        <f>Scenario_Data!I16-(((SQRT((Inputs!$C$52+(Inputs!$H$7))^2+Inputs!$C$52^2-2*(Inputs!$C$52+(Inputs!$H$7))*Inputs!$C$52*COS(SQRT((Scenario_Data!U16)^2+Inputs!$C$6^2)/Inputs!$C$52)))-(Inputs!$H$7))*1000/Inputs!$C$12)</f>
        <v>-79231.450693104227</v>
      </c>
      <c r="L16">
        <f>Scenario_Data!J16-(((SQRT((Inputs!$C$52+(Inputs!$H$8))^2+Inputs!$C$52^2-2*(Inputs!$C$52+(Inputs!$H$8))*Inputs!$C$52*COS(SQRT((Scenario_Data!V16)^2+Inputs!$C$6^2)/Inputs!$C$52)))-(Inputs!$H$8))*1000/Inputs!$C$12)</f>
        <v>-166386.80122569614</v>
      </c>
      <c r="M16">
        <f>Scenario_Data!K16-(((SQRT((Inputs!$C$52+(Inputs!$H$9))^2+Inputs!$C$52^2-2*(Inputs!$C$52+(Inputs!$H$9))*Inputs!$C$52*COS(SQRT((Scenario_Data!W16)^2+Inputs!$C$6^2)/Inputs!$C$52)))-(Inputs!$H$9))*1000/Inputs!$C$12)</f>
        <v>-170283.58230501943</v>
      </c>
      <c r="O16">
        <f>Scenario_Data!T16</f>
        <v>-52.980000000000004</v>
      </c>
      <c r="P16">
        <f>2*(Scenario_Data!B16*1000)/Inputs!$C$21*1000000</f>
        <v>2689.3188620508927</v>
      </c>
      <c r="Q16">
        <f>Scenario_Data!U16</f>
        <v>-353.2</v>
      </c>
      <c r="R16">
        <f>2*(Scenario_Data!C16*1000)/Inputs!$C$21*1000000</f>
        <v>2132.0515341316559</v>
      </c>
      <c r="S16">
        <f>Scenario_Data!V16</f>
        <v>-706.4</v>
      </c>
      <c r="T16">
        <f>2*(Scenario_Data!D16*1000)/Inputs!$C$21*1000000</f>
        <v>5252.966603983079</v>
      </c>
      <c r="U16">
        <f>Scenario_Data!W16</f>
        <v>-706.4</v>
      </c>
      <c r="V16">
        <f>2*(Scenario_Data!E16*1000)/Inputs!$C$21*1000000</f>
        <v>5238.2690361076393</v>
      </c>
      <c r="X16">
        <f>Scenario_Data!T16</f>
        <v>-52.980000000000004</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2688.9805156608413</v>
      </c>
      <c r="Z16">
        <f>Scenario_Data!U16</f>
        <v>-353.2</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2131.7740125261425</v>
      </c>
      <c r="AB16">
        <f>Scenario_Data!V16</f>
        <v>-706.4</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5253.1451203444094</v>
      </c>
      <c r="AD16">
        <f>Scenario_Data!W16</f>
        <v>-706.4</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5238.4475524689706</v>
      </c>
      <c r="AG16">
        <f>Scenario_Data!T16</f>
        <v>-52.980000000000004</v>
      </c>
      <c r="AH16">
        <f>2*(SQRT((Inputs!$C$52+(Scenario_Data!B16))^2+Inputs!$C$52^2-2*(Inputs!$C$52+(Scenario_Data!B16))*Inputs!$C$52*COS(SQRT((Scenario_Data!T16)^2+Inputs!$C$6^2)/Inputs!$C$52))*1000)/Inputs!$C$21*1000000</f>
        <v>2724.8122322311165</v>
      </c>
      <c r="AI16">
        <f>Scenario_Data!U16</f>
        <v>-353.2</v>
      </c>
      <c r="AJ16">
        <f>2*(SQRT((Inputs!$C$52+(Scenario_Data!C16))^2+Inputs!$C$52^2-2*(Inputs!$C$52+(Scenario_Data!C16))*Inputs!$C$52*COS(SQRT((Scenario_Data!U16)^2+Inputs!$C$6^2)/Inputs!$C$52))*1000)/Inputs!$C$21*1000000</f>
        <v>3352.5143841718163</v>
      </c>
      <c r="AK16">
        <f>Scenario_Data!V16</f>
        <v>-706.4</v>
      </c>
      <c r="AL16">
        <f>2*(SQRT((Inputs!$C$52+(Scenario_Data!D16))^2+Inputs!$C$52^2-2*(Inputs!$C$52+(Scenario_Data!D16))*Inputs!$C$52*COS(SQRT((Scenario_Data!V16)^2+Inputs!$C$6^2)/Inputs!$C$52))*1000)/Inputs!$C$21*1000000</f>
        <v>7776.8914462931525</v>
      </c>
      <c r="AM16">
        <f>Scenario_Data!W16</f>
        <v>-706.4</v>
      </c>
      <c r="AN16">
        <f>2*(SQRT((Inputs!$C$52+(Scenario_Data!E16))^2+Inputs!$C$52^2-2*(Inputs!$C$52+(Scenario_Data!E16))*Inputs!$C$52*COS(SQRT((Scenario_Data!W16)^2+Inputs!$C$6^2)/Inputs!$C$52))*1000)/Inputs!$C$21*1000000</f>
        <v>7764.9849009013669</v>
      </c>
      <c r="AP16">
        <f>Scenario_Data!T16</f>
        <v>-52.980000000000004</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2723.2627061687181</v>
      </c>
      <c r="AR16">
        <f>Scenario_Data!U16</f>
        <v>-353.2</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3351.8342589880513</v>
      </c>
      <c r="AT16">
        <f>Scenario_Data!V16</f>
        <v>-706.4</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7776.6419921566758</v>
      </c>
      <c r="AV16">
        <f>Scenario_Data!W16</f>
        <v>-706.4</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7764.7359630806814</v>
      </c>
    </row>
    <row r="17" spans="1:49">
      <c r="A17">
        <f>Chart_Data!K17</f>
        <v>-52.5</v>
      </c>
      <c r="B17">
        <f>Chart_Data!N17-Chart_Data!L17</f>
        <v>-45.612087128365545</v>
      </c>
      <c r="D17">
        <f>Chart_Data!G17</f>
        <v>-52.5</v>
      </c>
      <c r="E17">
        <f>Chart_Data!H17</f>
        <v>228.48571186718385</v>
      </c>
      <c r="F17">
        <f>Chart_Data!I17</f>
        <v>228.48571186718385</v>
      </c>
      <c r="G17">
        <f>Chart_Data!J17</f>
        <v>41.913539426844665</v>
      </c>
      <c r="I17">
        <f>Scenario_Data!A17</f>
        <v>-0.875</v>
      </c>
      <c r="J17">
        <f>Scenario_Data!H17-(((SQRT((Inputs!$C$52+(Inputs!$H$6))^2+Inputs!$C$52^2-2*(Inputs!$C$52+(Inputs!$H$6))*Inputs!$C$52*COS(SQRT((Scenario_Data!T17)^2+Inputs!$C$6^2)/Inputs!$C$52)))-(Inputs!$H$6))*1000/Inputs!$C$12)</f>
        <v>-17.660500113955095</v>
      </c>
      <c r="K17">
        <f>Scenario_Data!I17-(((SQRT((Inputs!$C$52+(Inputs!$H$7))^2+Inputs!$C$52^2-2*(Inputs!$C$52+(Inputs!$H$7))*Inputs!$C$52*COS(SQRT((Scenario_Data!U17)^2+Inputs!$C$6^2)/Inputs!$C$52)))-(Inputs!$H$7))*1000/Inputs!$C$12)</f>
        <v>-78124.328383369575</v>
      </c>
      <c r="L17">
        <f>Scenario_Data!J17-(((SQRT((Inputs!$C$52+(Inputs!$H$8))^2+Inputs!$C$52^2-2*(Inputs!$C$52+(Inputs!$H$8))*Inputs!$C$52*COS(SQRT((Scenario_Data!V17)^2+Inputs!$C$6^2)/Inputs!$C$52)))-(Inputs!$H$8))*1000/Inputs!$C$12)</f>
        <v>-164561.98259931064</v>
      </c>
      <c r="M17">
        <f>Scenario_Data!K17-(((SQRT((Inputs!$C$52+(Inputs!$H$9))^2+Inputs!$C$52^2-2*(Inputs!$C$52+(Inputs!$H$9))*Inputs!$C$52*COS(SQRT((Scenario_Data!W17)^2+Inputs!$C$6^2)/Inputs!$C$52)))-(Inputs!$H$9))*1000/Inputs!$C$12)</f>
        <v>-168449.40082622971</v>
      </c>
      <c r="O17">
        <f>Scenario_Data!T17</f>
        <v>-52.5</v>
      </c>
      <c r="P17">
        <f>2*(Scenario_Data!B17*1000)/Inputs!$C$21*1000000</f>
        <v>2688.9435624161033</v>
      </c>
      <c r="Q17">
        <f>Scenario_Data!U17</f>
        <v>-350</v>
      </c>
      <c r="R17">
        <f>2*(Scenario_Data!C17*1000)/Inputs!$C$21*1000000</f>
        <v>2097.8054424571283</v>
      </c>
      <c r="S17">
        <f>Scenario_Data!V17</f>
        <v>-700</v>
      </c>
      <c r="T17">
        <f>2*(Scenario_Data!D17*1000)/Inputs!$C$21*1000000</f>
        <v>5162.4255670901503</v>
      </c>
      <c r="U17">
        <f>Scenario_Data!W17</f>
        <v>-700</v>
      </c>
      <c r="V17">
        <f>2*(Scenario_Data!E17*1000)/Inputs!$C$21*1000000</f>
        <v>5146.7897501277366</v>
      </c>
      <c r="X17">
        <f>Scenario_Data!T17</f>
        <v>-52.5</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2688.663945378994</v>
      </c>
      <c r="Z17">
        <f>Scenario_Data!U17</f>
        <v>-350</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2097.9403231136475</v>
      </c>
      <c r="AB17">
        <f>Scenario_Data!V17</f>
        <v>-700</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5162.261744423181</v>
      </c>
      <c r="AD17">
        <f>Scenario_Data!W17</f>
        <v>-700</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5146.6259274607673</v>
      </c>
      <c r="AG17">
        <f>Scenario_Data!T17</f>
        <v>-52.5</v>
      </c>
      <c r="AH17">
        <f>2*(SQRT((Inputs!$C$52+(Scenario_Data!B17))^2+Inputs!$C$52^2-2*(Inputs!$C$52+(Scenario_Data!B17))*Inputs!$C$52*COS(SQRT((Scenario_Data!T17)^2+Inputs!$C$6^2)/Inputs!$C$52))*1000)/Inputs!$C$21*1000000</f>
        <v>2723.920544268542</v>
      </c>
      <c r="AI17">
        <f>Scenario_Data!U17</f>
        <v>-350</v>
      </c>
      <c r="AJ17">
        <f>2*(SQRT((Inputs!$C$52+(Scenario_Data!C17))^2+Inputs!$C$52^2-2*(Inputs!$C$52+(Scenario_Data!C17))*Inputs!$C$52*COS(SQRT((Scenario_Data!U17)^2+Inputs!$C$6^2)/Inputs!$C$52))*1000)/Inputs!$C$21*1000000</f>
        <v>3310.1234447175161</v>
      </c>
      <c r="AK17">
        <f>Scenario_Data!V17</f>
        <v>-700</v>
      </c>
      <c r="AL17">
        <f>2*(SQRT((Inputs!$C$52+(Scenario_Data!D17))^2+Inputs!$C$52^2-2*(Inputs!$C$52+(Scenario_Data!D17))*Inputs!$C$52*COS(SQRT((Scenario_Data!V17)^2+Inputs!$C$6^2)/Inputs!$C$52))*1000)/Inputs!$C$21*1000000</f>
        <v>7666.0180432897014</v>
      </c>
      <c r="AM17">
        <f>Scenario_Data!W17</f>
        <v>-700</v>
      </c>
      <c r="AN17">
        <f>2*(SQRT((Inputs!$C$52+(Scenario_Data!E17))^2+Inputs!$C$52^2-2*(Inputs!$C$52+(Scenario_Data!E17))*Inputs!$C$52*COS(SQRT((Scenario_Data!W17)^2+Inputs!$C$6^2)/Inputs!$C$52))*1000)/Inputs!$C$21*1000000</f>
        <v>7653.3912060529701</v>
      </c>
      <c r="AP17">
        <f>Scenario_Data!T17</f>
        <v>-52.5</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2722.4209257280004</v>
      </c>
      <c r="AR17">
        <f>Scenario_Data!U17</f>
        <v>-350</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3309.70809101759</v>
      </c>
      <c r="AT17">
        <f>Scenario_Data!V17</f>
        <v>-700</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7665.4810009588955</v>
      </c>
      <c r="AV17">
        <f>Scenario_Data!W17</f>
        <v>-700</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7652.8553713180618</v>
      </c>
    </row>
    <row r="18" spans="1:49">
      <c r="A18">
        <f>Chart_Data!K18</f>
        <v>-52</v>
      </c>
      <c r="B18">
        <f>Chart_Data!N18-Chart_Data!L18</f>
        <v>-47.856017965662431</v>
      </c>
      <c r="D18">
        <f>Chart_Data!G18</f>
        <v>-52</v>
      </c>
      <c r="E18">
        <f>Chart_Data!H18</f>
        <v>241.24392327938918</v>
      </c>
      <c r="F18">
        <f>Chart_Data!I18</f>
        <v>241.24392327938918</v>
      </c>
      <c r="G18">
        <f>Chart_Data!J18</f>
        <v>44.009244046504797</v>
      </c>
      <c r="I18">
        <f>Scenario_Data!A18</f>
        <v>-0.86699999999999999</v>
      </c>
      <c r="J18">
        <f>Scenario_Data!H18-(((SQRT((Inputs!$C$52+(Inputs!$H$6))^2+Inputs!$C$52^2-2*(Inputs!$C$52+(Inputs!$H$6))*Inputs!$C$52*COS(SQRT((Scenario_Data!T18)^2+Inputs!$C$6^2)/Inputs!$C$52)))-(Inputs!$H$6))*1000/Inputs!$C$12)</f>
        <v>-17.089442616799715</v>
      </c>
      <c r="K18">
        <f>Scenario_Data!I18-(((SQRT((Inputs!$C$52+(Inputs!$H$7))^2+Inputs!$C$52^2-2*(Inputs!$C$52+(Inputs!$H$7))*Inputs!$C$52*COS(SQRT((Scenario_Data!U18)^2+Inputs!$C$6^2)/Inputs!$C$52)))-(Inputs!$H$7))*1000/Inputs!$C$12)</f>
        <v>-77018.794989844479</v>
      </c>
      <c r="L18">
        <f>Scenario_Data!J18-(((SQRT((Inputs!$C$52+(Inputs!$H$8))^2+Inputs!$C$52^2-2*(Inputs!$C$52+(Inputs!$H$8))*Inputs!$C$52*COS(SQRT((Scenario_Data!V18)^2+Inputs!$C$6^2)/Inputs!$C$52)))-(Inputs!$H$8))*1000/Inputs!$C$12)</f>
        <v>-162730.03298707734</v>
      </c>
      <c r="M18">
        <f>Scenario_Data!K18-(((SQRT((Inputs!$C$52+(Inputs!$H$9))^2+Inputs!$C$52^2-2*(Inputs!$C$52+(Inputs!$H$9))*Inputs!$C$52*COS(SQRT((Scenario_Data!W18)^2+Inputs!$C$6^2)/Inputs!$C$52)))-(Inputs!$H$9))*1000/Inputs!$C$12)</f>
        <v>-166607.7364499004</v>
      </c>
      <c r="O18">
        <f>Scenario_Data!T18</f>
        <v>-52.019999999999996</v>
      </c>
      <c r="P18">
        <f>2*(Scenario_Data!B18*1000)/Inputs!$C$21*1000000</f>
        <v>2688.5716784776487</v>
      </c>
      <c r="Q18">
        <f>Scenario_Data!U18</f>
        <v>-346.8</v>
      </c>
      <c r="R18">
        <f>2*(Scenario_Data!C18*1000)/Inputs!$C$21*1000000</f>
        <v>2063.8710330731533</v>
      </c>
      <c r="S18">
        <f>Scenario_Data!V18</f>
        <v>-693.6</v>
      </c>
      <c r="T18">
        <f>2*(Scenario_Data!D18*1000)/Inputs!$C$21*1000000</f>
        <v>5072.7085669379976</v>
      </c>
      <c r="U18">
        <f>Scenario_Data!W18</f>
        <v>-693.6</v>
      </c>
      <c r="V18">
        <f>2*(Scenario_Data!E18*1000)/Inputs!$C$21*1000000</f>
        <v>5056.1430401294483</v>
      </c>
      <c r="X18">
        <f>Scenario_Data!T18</f>
        <v>-52.019999999999996</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2688.3599201386814</v>
      </c>
      <c r="Z18">
        <f>Scenario_Data!U18</f>
        <v>-346.8</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2064.0528274628359</v>
      </c>
      <c r="AB18">
        <f>Scenario_Data!V18</f>
        <v>-693.6</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5072.4876261423988</v>
      </c>
      <c r="AD18">
        <f>Scenario_Data!W18</f>
        <v>-693.6</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5055.9220993338495</v>
      </c>
      <c r="AG18">
        <f>Scenario_Data!T18</f>
        <v>-52.019999999999996</v>
      </c>
      <c r="AH18">
        <f>2*(SQRT((Inputs!$C$52+(Scenario_Data!B18))^2+Inputs!$C$52^2-2*(Inputs!$C$52+(Scenario_Data!B18))*Inputs!$C$52*COS(SQRT((Scenario_Data!T18)^2+Inputs!$C$6^2)/Inputs!$C$52))*1000)/Inputs!$C$21*1000000</f>
        <v>2723.0367624197406</v>
      </c>
      <c r="AI18">
        <f>Scenario_Data!U18</f>
        <v>-346.8</v>
      </c>
      <c r="AJ18">
        <f>2*(SQRT((Inputs!$C$52+(Scenario_Data!C18))^2+Inputs!$C$52^2-2*(Inputs!$C$52+(Scenario_Data!C18))*Inputs!$C$52*COS(SQRT((Scenario_Data!U18)^2+Inputs!$C$6^2)/Inputs!$C$52))*1000)/Inputs!$C$21*1000000</f>
        <v>3268.0257165997627</v>
      </c>
      <c r="AK18">
        <f>Scenario_Data!V18</f>
        <v>-693.6</v>
      </c>
      <c r="AL18">
        <f>2*(SQRT((Inputs!$C$52+(Scenario_Data!D18))^2+Inputs!$C$52^2-2*(Inputs!$C$52+(Scenario_Data!D18))*Inputs!$C$52*COS(SQRT((Scenario_Data!V18)^2+Inputs!$C$6^2)/Inputs!$C$52))*1000)/Inputs!$C$21*1000000</f>
        <v>7556.0351349179427</v>
      </c>
      <c r="AM18">
        <f>Scenario_Data!W18</f>
        <v>-693.6</v>
      </c>
      <c r="AN18">
        <f>2*(SQRT((Inputs!$C$52+(Scenario_Data!E18))^2+Inputs!$C$52^2-2*(Inputs!$C$52+(Scenario_Data!E18))*Inputs!$C$52*COS(SQRT((Scenario_Data!W18)^2+Inputs!$C$6^2)/Inputs!$C$52))*1000)/Inputs!$C$21*1000000</f>
        <v>7542.700317284668</v>
      </c>
      <c r="AP18">
        <f>Scenario_Data!T18</f>
        <v>-52.019999999999996</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2721.453798788491</v>
      </c>
      <c r="AR18">
        <f>Scenario_Data!U18</f>
        <v>-346.8</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3267.7091245426209</v>
      </c>
      <c r="AT18">
        <f>Scenario_Data!V18</f>
        <v>-693.6</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7555.4396771768133</v>
      </c>
      <c r="AV18">
        <f>Scenario_Data!W18</f>
        <v>-693.6</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7542.1063082979317</v>
      </c>
    </row>
    <row r="19" spans="1:49">
      <c r="A19">
        <f>Chart_Data!K19</f>
        <v>-51.5</v>
      </c>
      <c r="B19">
        <f>Chart_Data!N19-Chart_Data!L19</f>
        <v>-36.597181996407414</v>
      </c>
      <c r="D19">
        <f>Chart_Data!G19</f>
        <v>-51.5</v>
      </c>
      <c r="E19">
        <f>Chart_Data!H19</f>
        <v>261.3961473371179</v>
      </c>
      <c r="F19">
        <f>Chart_Data!I19</f>
        <v>261.3961473371179</v>
      </c>
      <c r="G19">
        <f>Chart_Data!J19</f>
        <v>32.491619283106324</v>
      </c>
      <c r="I19">
        <f>Scenario_Data!A19</f>
        <v>-0.85799999999999998</v>
      </c>
      <c r="J19">
        <f>Scenario_Data!H19-(((SQRT((Inputs!$C$52+(Inputs!$H$6))^2+Inputs!$C$52^2-2*(Inputs!$C$52+(Inputs!$H$6))*Inputs!$C$52*COS(SQRT((Scenario_Data!T19)^2+Inputs!$C$6^2)/Inputs!$C$52)))-(Inputs!$H$6))*1000/Inputs!$C$12)</f>
        <v>-16.463911639531943</v>
      </c>
      <c r="K19">
        <f>Scenario_Data!I19-(((SQRT((Inputs!$C$52+(Inputs!$H$7))^2+Inputs!$C$52^2-2*(Inputs!$C$52+(Inputs!$H$7))*Inputs!$C$52*COS(SQRT((Scenario_Data!U19)^2+Inputs!$C$6^2)/Inputs!$C$52)))-(Inputs!$H$7))*1000/Inputs!$C$12)</f>
        <v>-75777.084390837015</v>
      </c>
      <c r="L19">
        <f>Scenario_Data!J19-(((SQRT((Inputs!$C$52+(Inputs!$H$8))^2+Inputs!$C$52^2-2*(Inputs!$C$52+(Inputs!$H$8))*Inputs!$C$52*COS(SQRT((Scenario_Data!V19)^2+Inputs!$C$6^2)/Inputs!$C$52)))-(Inputs!$H$8))*1000/Inputs!$C$12)</f>
        <v>-160660.74701629789</v>
      </c>
      <c r="M19">
        <f>Scenario_Data!K19-(((SQRT((Inputs!$C$52+(Inputs!$H$9))^2+Inputs!$C$52^2-2*(Inputs!$C$52+(Inputs!$H$9))*Inputs!$C$52*COS(SQRT((Scenario_Data!W19)^2+Inputs!$C$6^2)/Inputs!$C$52)))-(Inputs!$H$9))*1000/Inputs!$C$12)</f>
        <v>-164527.09337077424</v>
      </c>
      <c r="O19">
        <f>Scenario_Data!T19</f>
        <v>-51.48</v>
      </c>
      <c r="P19">
        <f>2*(Scenario_Data!B19*1000)/Inputs!$C$21*1000000</f>
        <v>2688.1573918714125</v>
      </c>
      <c r="Q19">
        <f>Scenario_Data!U19</f>
        <v>-343.2</v>
      </c>
      <c r="R19">
        <f>2*(Scenario_Data!C19*1000)/Inputs!$C$21*1000000</f>
        <v>2026.0673802541089</v>
      </c>
      <c r="S19">
        <f>Scenario_Data!V19</f>
        <v>-686.4</v>
      </c>
      <c r="T19">
        <f>2*(Scenario_Data!D19*1000)/Inputs!$C$21*1000000</f>
        <v>4972.7619231835379</v>
      </c>
      <c r="U19">
        <f>Scenario_Data!W19</f>
        <v>-686.4</v>
      </c>
      <c r="V19">
        <f>2*(Scenario_Data!E19*1000)/Inputs!$C$21*1000000</f>
        <v>4955.1606798593975</v>
      </c>
      <c r="X19">
        <f>Scenario_Data!T19</f>
        <v>-51.48</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2687.8899442216875</v>
      </c>
      <c r="Z19">
        <f>Scenario_Data!U19</f>
        <v>-343.2</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2025.882453771376</v>
      </c>
      <c r="AB19">
        <f>Scenario_Data!V19</f>
        <v>-686.4</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4972.6494839789893</v>
      </c>
      <c r="AD19">
        <f>Scenario_Data!W19</f>
        <v>-686.4</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4955.0482406548499</v>
      </c>
      <c r="AG19">
        <f>Scenario_Data!T19</f>
        <v>-51.48</v>
      </c>
      <c r="AH19">
        <f>2*(SQRT((Inputs!$C$52+(Scenario_Data!B19))^2+Inputs!$C$52^2-2*(Inputs!$C$52+(Scenario_Data!B19))*Inputs!$C$52*COS(SQRT((Scenario_Data!T19)^2+Inputs!$C$6^2)/Inputs!$C$52))*1000)/Inputs!$C$21*1000000</f>
        <v>2722.0519650158485</v>
      </c>
      <c r="AI19">
        <f>Scenario_Data!U19</f>
        <v>-343.2</v>
      </c>
      <c r="AJ19">
        <f>2*(SQRT((Inputs!$C$52+(Scenario_Data!C19))^2+Inputs!$C$52^2-2*(Inputs!$C$52+(Scenario_Data!C19))*Inputs!$C$52*COS(SQRT((Scenario_Data!U19)^2+Inputs!$C$6^2)/Inputs!$C$52))*1000)/Inputs!$C$21*1000000</f>
        <v>3221.0150100806709</v>
      </c>
      <c r="AK19">
        <f>Scenario_Data!V19</f>
        <v>-686.4</v>
      </c>
      <c r="AL19">
        <f>2*(SQRT((Inputs!$C$52+(Scenario_Data!D19))^2+Inputs!$C$52^2-2*(Inputs!$C$52+(Scenario_Data!D19))*Inputs!$C$52*COS(SQRT((Scenario_Data!V19)^2+Inputs!$C$6^2)/Inputs!$C$52))*1000)/Inputs!$C$21*1000000</f>
        <v>7433.3669028529466</v>
      </c>
      <c r="AM19">
        <f>Scenario_Data!W19</f>
        <v>-686.4</v>
      </c>
      <c r="AN19">
        <f>2*(SQRT((Inputs!$C$52+(Scenario_Data!E19))^2+Inputs!$C$52^2-2*(Inputs!$C$52+(Scenario_Data!E19))*Inputs!$C$52*COS(SQRT((Scenario_Data!W19)^2+Inputs!$C$6^2)/Inputs!$C$52))*1000)/Inputs!$C$21*1000000</f>
        <v>7419.2503937327101</v>
      </c>
      <c r="AP19">
        <f>Scenario_Data!T19</f>
        <v>-51.48</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2720.3789439041557</v>
      </c>
      <c r="AR19">
        <f>Scenario_Data!U19</f>
        <v>-343.2</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3220.525348840778</v>
      </c>
      <c r="AT19">
        <f>Scenario_Data!V19</f>
        <v>-686.4</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7433.0998810073406</v>
      </c>
      <c r="AV19">
        <f>Scenario_Data!W19</f>
        <v>-686.4</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7418.9840787376506</v>
      </c>
    </row>
    <row r="20" spans="1:49">
      <c r="A20">
        <f>Chart_Data!K20</f>
        <v>-51</v>
      </c>
      <c r="B20">
        <f>Chart_Data!N20-Chart_Data!L20</f>
        <v>-43.00623256223966</v>
      </c>
      <c r="D20">
        <f>Chart_Data!G20</f>
        <v>-51</v>
      </c>
      <c r="E20">
        <f>Chart_Data!H20</f>
        <v>251.96732827517536</v>
      </c>
      <c r="F20">
        <f>Chart_Data!I20</f>
        <v>251.96732827517536</v>
      </c>
      <c r="G20">
        <f>Chart_Data!J20</f>
        <v>39.108816586772562</v>
      </c>
      <c r="I20">
        <f>Scenario_Data!A20</f>
        <v>-0.85</v>
      </c>
      <c r="J20">
        <f>Scenario_Data!H20-(((SQRT((Inputs!$C$52+(Inputs!$H$6))^2+Inputs!$C$52^2-2*(Inputs!$C$52+(Inputs!$H$6))*Inputs!$C$52*COS(SQRT((Scenario_Data!T20)^2+Inputs!$C$6^2)/Inputs!$C$52)))-(Inputs!$H$6))*1000/Inputs!$C$12)</f>
        <v>-15.922654129073635</v>
      </c>
      <c r="K20">
        <f>Scenario_Data!I20-(((SQRT((Inputs!$C$52+(Inputs!$H$7))^2+Inputs!$C$52^2-2*(Inputs!$C$52+(Inputs!$H$7))*Inputs!$C$52*COS(SQRT((Scenario_Data!U20)^2+Inputs!$C$6^2)/Inputs!$C$52)))-(Inputs!$H$7))*1000/Inputs!$C$12)</f>
        <v>-74675.236694186082</v>
      </c>
      <c r="L20">
        <f>Scenario_Data!J20-(((SQRT((Inputs!$C$52+(Inputs!$H$8))^2+Inputs!$C$52^2-2*(Inputs!$C$52+(Inputs!$H$8))*Inputs!$C$52*COS(SQRT((Scenario_Data!V20)^2+Inputs!$C$6^2)/Inputs!$C$52)))-(Inputs!$H$8))*1000/Inputs!$C$12)</f>
        <v>-158814.13192459266</v>
      </c>
      <c r="M20">
        <f>Scenario_Data!K20-(((SQRT((Inputs!$C$52+(Inputs!$H$9))^2+Inputs!$C$52^2-2*(Inputs!$C$52+(Inputs!$H$9))*Inputs!$C$52*COS(SQRT((Scenario_Data!W20)^2+Inputs!$C$6^2)/Inputs!$C$52)))-(Inputs!$H$9))*1000/Inputs!$C$12)</f>
        <v>-162669.99600543149</v>
      </c>
      <c r="O20">
        <f>Scenario_Data!T20</f>
        <v>-51</v>
      </c>
      <c r="P20">
        <f>2*(Scenario_Data!B20*1000)/Inputs!$C$21*1000000</f>
        <v>2687.7927662876696</v>
      </c>
      <c r="Q20">
        <f>Scenario_Data!U20</f>
        <v>-340</v>
      </c>
      <c r="R20">
        <f>2*(Scenario_Data!C20*1000)/Inputs!$C$21*1000000</f>
        <v>1992.7952957375599</v>
      </c>
      <c r="S20">
        <f>Scenario_Data!V20</f>
        <v>-680</v>
      </c>
      <c r="T20">
        <f>2*(Scenario_Data!D20*1000)/Inputs!$C$21*1000000</f>
        <v>4884.7960011055375</v>
      </c>
      <c r="U20">
        <f>Scenario_Data!W20</f>
        <v>-680</v>
      </c>
      <c r="V20">
        <f>2*(Scenario_Data!E20*1000)/Inputs!$C$21*1000000</f>
        <v>4866.2831938220397</v>
      </c>
      <c r="X20">
        <f>Scenario_Data!T20</f>
        <v>-51</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2687.5318603472888</v>
      </c>
      <c r="Z20">
        <f>Scenario_Data!U20</f>
        <v>-340</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1992.3821270692181</v>
      </c>
      <c r="AB20">
        <f>Scenario_Data!V20</f>
        <v>-680</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4884.2685576372187</v>
      </c>
      <c r="AD20">
        <f>Scenario_Data!W20</f>
        <v>-680</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4865.75575035372</v>
      </c>
      <c r="AG20">
        <f>Scenario_Data!T20</f>
        <v>-51</v>
      </c>
      <c r="AH20">
        <f>2*(SQRT((Inputs!$C$52+(Scenario_Data!B20))^2+Inputs!$C$52^2-2*(Inputs!$C$52+(Scenario_Data!B20))*Inputs!$C$52*COS(SQRT((Scenario_Data!T20)^2+Inputs!$C$6^2)/Inputs!$C$52))*1000)/Inputs!$C$21*1000000</f>
        <v>2721.1850020092143</v>
      </c>
      <c r="AI20">
        <f>Scenario_Data!U20</f>
        <v>-340</v>
      </c>
      <c r="AJ20">
        <f>2*(SQRT((Inputs!$C$52+(Scenario_Data!C20))^2+Inputs!$C$52^2-2*(Inputs!$C$52+(Scenario_Data!C20))*Inputs!$C$52*COS(SQRT((Scenario_Data!U20)^2+Inputs!$C$6^2)/Inputs!$C$52))*1000)/Inputs!$C$21*1000000</f>
        <v>3179.5370247648771</v>
      </c>
      <c r="AK20">
        <f>Scenario_Data!V20</f>
        <v>-680</v>
      </c>
      <c r="AL20">
        <f>2*(SQRT((Inputs!$C$52+(Scenario_Data!D20))^2+Inputs!$C$52^2-2*(Inputs!$C$52+(Scenario_Data!D20))*Inputs!$C$52*COS(SQRT((Scenario_Data!V20)^2+Inputs!$C$6^2)/Inputs!$C$52))*1000)/Inputs!$C$21*1000000</f>
        <v>7325.2712267935003</v>
      </c>
      <c r="AM20">
        <f>Scenario_Data!W20</f>
        <v>-680</v>
      </c>
      <c r="AN20">
        <f>2*(SQRT((Inputs!$C$52+(Scenario_Data!E20))^2+Inputs!$C$52^2-2*(Inputs!$C$52+(Scenario_Data!E20))*Inputs!$C$52*COS(SQRT((Scenario_Data!W20)^2+Inputs!$C$6^2)/Inputs!$C$52))*1000)/Inputs!$C$21*1000000</f>
        <v>7310.4730873835651</v>
      </c>
      <c r="AP20">
        <f>Scenario_Data!T20</f>
        <v>-51</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2719.5300576923719</v>
      </c>
      <c r="AR20">
        <f>Scenario_Data!U20</f>
        <v>-340</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3178.9032534055073</v>
      </c>
      <c r="AT20">
        <f>Scenario_Data!V20</f>
        <v>-680</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7324.5461683556623</v>
      </c>
      <c r="AV20">
        <f>Scenario_Data!W20</f>
        <v>-680</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7309.7500919691383</v>
      </c>
    </row>
    <row r="21" spans="1:49">
      <c r="A21">
        <f>Chart_Data!K21</f>
        <v>-50.5</v>
      </c>
      <c r="B21">
        <f>Chart_Data!N21-Chart_Data!L21</f>
        <v>-51.799677956981668</v>
      </c>
      <c r="D21">
        <f>Chart_Data!G21</f>
        <v>-50.5</v>
      </c>
      <c r="E21">
        <f>Chart_Data!H21</f>
        <v>249.72786812719846</v>
      </c>
      <c r="F21">
        <f>Chart_Data!I21</f>
        <v>249.72786812719846</v>
      </c>
      <c r="G21">
        <f>Chart_Data!J21</f>
        <v>47.995831702209429</v>
      </c>
      <c r="I21">
        <f>Scenario_Data!A21</f>
        <v>-0.84199999999999997</v>
      </c>
      <c r="J21">
        <f>Scenario_Data!H21-(((SQRT((Inputs!$C$52+(Inputs!$H$6))^2+Inputs!$C$52^2-2*(Inputs!$C$52+(Inputs!$H$6))*Inputs!$C$52*COS(SQRT((Scenario_Data!T21)^2+Inputs!$C$6^2)/Inputs!$C$52)))-(Inputs!$H$6))*1000/Inputs!$C$12)</f>
        <v>-15.39505495210642</v>
      </c>
      <c r="K21">
        <f>Scenario_Data!I21-(((SQRT((Inputs!$C$52+(Inputs!$H$7))^2+Inputs!$C$52^2-2*(Inputs!$C$52+(Inputs!$H$7))*Inputs!$C$52*COS(SQRT((Scenario_Data!U21)^2+Inputs!$C$6^2)/Inputs!$C$52)))-(Inputs!$H$7))*1000/Inputs!$C$12)</f>
        <v>-73575.272777374339</v>
      </c>
      <c r="L21">
        <f>Scenario_Data!J21-(((SQRT((Inputs!$C$52+(Inputs!$H$8))^2+Inputs!$C$52^2-2*(Inputs!$C$52+(Inputs!$H$8))*Inputs!$C$52*COS(SQRT((Scenario_Data!V21)^2+Inputs!$C$6^2)/Inputs!$C$52)))-(Inputs!$H$8))*1000/Inputs!$C$12)</f>
        <v>-156960.85443111646</v>
      </c>
      <c r="M21">
        <f>Scenario_Data!K21-(((SQRT((Inputs!$C$52+(Inputs!$H$9))^2+Inputs!$C$52^2-2*(Inputs!$C$52+(Inputs!$H$9))*Inputs!$C$52*COS(SQRT((Scenario_Data!W21)^2+Inputs!$C$6^2)/Inputs!$C$52)))-(Inputs!$H$9))*1000/Inputs!$C$12)</f>
        <v>-160805.86562780707</v>
      </c>
      <c r="O21">
        <f>Scenario_Data!T21</f>
        <v>-50.519999999999996</v>
      </c>
      <c r="P21">
        <f>2*(Scenario_Data!B21*1000)/Inputs!$C$21*1000000</f>
        <v>2687.4315564002609</v>
      </c>
      <c r="Q21">
        <f>Scenario_Data!U21</f>
        <v>-336.8</v>
      </c>
      <c r="R21">
        <f>2*(Scenario_Data!C21*1000)/Inputs!$C$21*1000000</f>
        <v>1959.8348935115644</v>
      </c>
      <c r="S21">
        <f>Scenario_Data!V21</f>
        <v>-673.6</v>
      </c>
      <c r="T21">
        <f>2*(Scenario_Data!D21*1000)/Inputs!$C$21*1000000</f>
        <v>4797.6541157683168</v>
      </c>
      <c r="U21">
        <f>Scenario_Data!W21</f>
        <v>-673.6</v>
      </c>
      <c r="V21">
        <f>2*(Scenario_Data!E21*1000)/Inputs!$C$21*1000000</f>
        <v>4778.238283766299</v>
      </c>
      <c r="X21">
        <f>Scenario_Data!T21</f>
        <v>-50.519999999999996</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2687.2430684507012</v>
      </c>
      <c r="Z21">
        <f>Scenario_Data!U21</f>
        <v>-336.8</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1959.4786630524291</v>
      </c>
      <c r="AB21">
        <f>Scenario_Data!V21</f>
        <v>-673.6</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4797.5202527371293</v>
      </c>
      <c r="AD21">
        <f>Scenario_Data!W21</f>
        <v>-673.6</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4778.1044207351115</v>
      </c>
      <c r="AG21">
        <f>Scenario_Data!T21</f>
        <v>-50.519999999999996</v>
      </c>
      <c r="AH21">
        <f>2*(SQRT((Inputs!$C$52+(Scenario_Data!B21))^2+Inputs!$C$52^2-2*(Inputs!$C$52+(Scenario_Data!B21))*Inputs!$C$52*COS(SQRT((Scenario_Data!T21)^2+Inputs!$C$6^2)/Inputs!$C$52))*1000)/Inputs!$C$21*1000000</f>
        <v>2720.3259622967576</v>
      </c>
      <c r="AI21">
        <f>Scenario_Data!U21</f>
        <v>-336.8</v>
      </c>
      <c r="AJ21">
        <f>2*(SQRT((Inputs!$C$52+(Scenario_Data!C21))^2+Inputs!$C$52^2-2*(Inputs!$C$52+(Scenario_Data!C21))*Inputs!$C$52*COS(SQRT((Scenario_Data!U21)^2+Inputs!$C$6^2)/Inputs!$C$52))*1000)/Inputs!$C$21*1000000</f>
        <v>3138.34907670858</v>
      </c>
      <c r="AK21">
        <f>Scenario_Data!V21</f>
        <v>-673.6</v>
      </c>
      <c r="AL21">
        <f>2*(SQRT((Inputs!$C$52+(Scenario_Data!D21))^2+Inputs!$C$52^2-2*(Inputs!$C$52+(Scenario_Data!D21))*Inputs!$C$52*COS(SQRT((Scenario_Data!V21)^2+Inputs!$C$6^2)/Inputs!$C$52))*1000)/Inputs!$C$21*1000000</f>
        <v>7218.0611664589442</v>
      </c>
      <c r="AM21">
        <f>Scenario_Data!W21</f>
        <v>-673.6</v>
      </c>
      <c r="AN21">
        <f>2*(SQRT((Inputs!$C$52+(Scenario_Data!E21))^2+Inputs!$C$52^2-2*(Inputs!$C$52+(Scenario_Data!E21))*Inputs!$C$52*COS(SQRT((Scenario_Data!W21)^2+Inputs!$C$6^2)/Inputs!$C$52))*1000)/Inputs!$C$21*1000000</f>
        <v>7202.5938862445973</v>
      </c>
      <c r="AP21">
        <f>Scenario_Data!T21</f>
        <v>-50.519999999999996</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2718.6801987581757</v>
      </c>
      <c r="AR21">
        <f>Scenario_Data!U21</f>
        <v>-336.8</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3137.6276900805829</v>
      </c>
      <c r="AT21">
        <f>Scenario_Data!V21</f>
        <v>-673.6</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7217.7111257460656</v>
      </c>
      <c r="AV21">
        <f>Scenario_Data!W21</f>
        <v>-673.6</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7202.2449127278005</v>
      </c>
    </row>
    <row r="22" spans="1:49">
      <c r="A22">
        <f>Chart_Data!K22</f>
        <v>-50</v>
      </c>
      <c r="B22">
        <f>Chart_Data!N22-Chart_Data!L22</f>
        <v>-33.139884463778117</v>
      </c>
      <c r="D22">
        <f>Chart_Data!G22</f>
        <v>-50</v>
      </c>
      <c r="E22">
        <f>Chart_Data!H22</f>
        <v>273.71504099052385</v>
      </c>
      <c r="F22">
        <f>Chart_Data!I22</f>
        <v>273.71504099052385</v>
      </c>
      <c r="G22">
        <f>Chart_Data!J22</f>
        <v>29.034419664389077</v>
      </c>
      <c r="I22">
        <f>Scenario_Data!A22</f>
        <v>-0.83299999999999996</v>
      </c>
      <c r="J22">
        <f>Scenario_Data!H22-(((SQRT((Inputs!$C$52+(Inputs!$H$6))^2+Inputs!$C$52^2-2*(Inputs!$C$52+(Inputs!$H$6))*Inputs!$C$52*COS(SQRT((Scenario_Data!T22)^2+Inputs!$C$6^2)/Inputs!$C$52)))-(Inputs!$H$6))*1000/Inputs!$C$12)</f>
        <v>-14.817543761564139</v>
      </c>
      <c r="K22">
        <f>Scenario_Data!I22-(((SQRT((Inputs!$C$52+(Inputs!$H$7))^2+Inputs!$C$52^2-2*(Inputs!$C$52+(Inputs!$H$7))*Inputs!$C$52*COS(SQRT((Scenario_Data!U22)^2+Inputs!$C$6^2)/Inputs!$C$52)))-(Inputs!$H$7))*1000/Inputs!$C$12)</f>
        <v>-72340.187247200418</v>
      </c>
      <c r="L22">
        <f>Scenario_Data!J22-(((SQRT((Inputs!$C$52+(Inputs!$H$8))^2+Inputs!$C$52^2-2*(Inputs!$C$52+(Inputs!$H$8))*Inputs!$C$52*COS(SQRT((Scenario_Data!V22)^2+Inputs!$C$6^2)/Inputs!$C$52)))-(Inputs!$H$8))*1000/Inputs!$C$12)</f>
        <v>-154868.15200145353</v>
      </c>
      <c r="M22">
        <f>Scenario_Data!K22-(((SQRT((Inputs!$C$52+(Inputs!$H$9))^2+Inputs!$C$52^2-2*(Inputs!$C$52+(Inputs!$H$9))*Inputs!$C$52*COS(SQRT((Scenario_Data!W22)^2+Inputs!$C$6^2)/Inputs!$C$52)))-(Inputs!$H$9))*1000/Inputs!$C$12)</f>
        <v>-158700.50306586787</v>
      </c>
      <c r="O22">
        <f>Scenario_Data!T22</f>
        <v>-49.98</v>
      </c>
      <c r="P22">
        <f>2*(Scenario_Data!B22*1000)/Inputs!$C$21*1000000</f>
        <v>2687.0292781014527</v>
      </c>
      <c r="Q22">
        <f>Scenario_Data!U22</f>
        <v>-333.2</v>
      </c>
      <c r="R22">
        <f>2*(Scenario_Data!C22*1000)/Inputs!$C$21*1000000</f>
        <v>1923.1269987452456</v>
      </c>
      <c r="S22">
        <f>Scenario_Data!V22</f>
        <v>-666.4</v>
      </c>
      <c r="T22">
        <f>2*(Scenario_Data!D22*1000)/Inputs!$C$21*1000000</f>
        <v>4700.6044761806515</v>
      </c>
      <c r="U22">
        <f>Scenario_Data!W22</f>
        <v>-666.4</v>
      </c>
      <c r="V22">
        <f>2*(Scenario_Data!E22*1000)/Inputs!$C$21*1000000</f>
        <v>4680.1829484316113</v>
      </c>
      <c r="X22">
        <f>Scenario_Data!T22</f>
        <v>-49.98</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2686.8370816958704</v>
      </c>
      <c r="Z22">
        <f>Scenario_Data!U22</f>
        <v>-333.2</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1922.830246360397</v>
      </c>
      <c r="AB22">
        <f>Scenario_Data!V22</f>
        <v>-666.4</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4700.3891661272646</v>
      </c>
      <c r="AD22">
        <f>Scenario_Data!W22</f>
        <v>-666.4</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4679.9676383782244</v>
      </c>
      <c r="AG22">
        <f>Scenario_Data!T22</f>
        <v>-49.98</v>
      </c>
      <c r="AH22">
        <f>2*(SQRT((Inputs!$C$52+(Scenario_Data!B22))^2+Inputs!$C$52^2-2*(Inputs!$C$52+(Scenario_Data!B22))*Inputs!$C$52*COS(SQRT((Scenario_Data!T22)^2+Inputs!$C$6^2)/Inputs!$C$52))*1000)/Inputs!$C$21*1000000</f>
        <v>2719.3690201677696</v>
      </c>
      <c r="AI22">
        <f>Scenario_Data!U22</f>
        <v>-333.2</v>
      </c>
      <c r="AJ22">
        <f>2*(SQRT((Inputs!$C$52+(Scenario_Data!C22))^2+Inputs!$C$52^2-2*(Inputs!$C$52+(Scenario_Data!C22))*Inputs!$C$52*COS(SQRT((Scenario_Data!U22)^2+Inputs!$C$6^2)/Inputs!$C$52))*1000)/Inputs!$C$21*1000000</f>
        <v>3092.3580081209293</v>
      </c>
      <c r="AK22">
        <f>Scenario_Data!V22</f>
        <v>-666.4</v>
      </c>
      <c r="AL22">
        <f>2*(SQRT((Inputs!$C$52+(Scenario_Data!D22))^2+Inputs!$C$52^2-2*(Inputs!$C$52+(Scenario_Data!D22))*Inputs!$C$52*COS(SQRT((Scenario_Data!V22)^2+Inputs!$C$6^2)/Inputs!$C$52))*1000)/Inputs!$C$21*1000000</f>
        <v>7098.506357692575</v>
      </c>
      <c r="AM22">
        <f>Scenario_Data!W22</f>
        <v>-666.4</v>
      </c>
      <c r="AN22">
        <f>2*(SQRT((Inputs!$C$52+(Scenario_Data!E22))^2+Inputs!$C$52^2-2*(Inputs!$C$52+(Scenario_Data!E22))*Inputs!$C$52*COS(SQRT((Scenario_Data!W22)^2+Inputs!$C$6^2)/Inputs!$C$52))*1000)/Inputs!$C$21*1000000</f>
        <v>7082.3012947740126</v>
      </c>
      <c r="AP22">
        <f>Scenario_Data!T22</f>
        <v>-49.98</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2717.6974345549215</v>
      </c>
      <c r="AR22">
        <f>Scenario_Data!U22</f>
        <v>-333.2</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3091.6849371722919</v>
      </c>
      <c r="AT22">
        <f>Scenario_Data!V22</f>
        <v>-666.4</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7098.019488341909</v>
      </c>
      <c r="AV22">
        <f>Scenario_Data!W22</f>
        <v>-666.4</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7081.8160256542114</v>
      </c>
    </row>
    <row r="23" spans="1:49">
      <c r="A23">
        <f>Chart_Data!K23</f>
        <v>-49.5</v>
      </c>
      <c r="B23">
        <f>Chart_Data!N23-Chart_Data!L23</f>
        <v>-55.728002609540795</v>
      </c>
      <c r="D23">
        <f>Chart_Data!G23</f>
        <v>-49.5</v>
      </c>
      <c r="E23">
        <f>Chart_Data!H23</f>
        <v>258.91748425640003</v>
      </c>
      <c r="F23">
        <f>Chart_Data!I23</f>
        <v>258.91748425640003</v>
      </c>
      <c r="G23">
        <f>Chart_Data!J23</f>
        <v>51.904617288379008</v>
      </c>
      <c r="I23">
        <f>Scenario_Data!A23</f>
        <v>-0.82499999999999996</v>
      </c>
      <c r="J23">
        <f>Scenario_Data!H23-(((SQRT((Inputs!$C$52+(Inputs!$H$6))^2+Inputs!$C$52^2-2*(Inputs!$C$52+(Inputs!$H$6))*Inputs!$C$52*COS(SQRT((Scenario_Data!T23)^2+Inputs!$C$6^2)/Inputs!$C$52)))-(Inputs!$H$6))*1000/Inputs!$C$12)</f>
        <v>-14.318202220481453</v>
      </c>
      <c r="K23">
        <f>Scenario_Data!I23-(((SQRT((Inputs!$C$52+(Inputs!$H$7))^2+Inputs!$C$52^2-2*(Inputs!$C$52+(Inputs!$H$7))*Inputs!$C$52*COS(SQRT((Scenario_Data!U23)^2+Inputs!$C$6^2)/Inputs!$C$52)))-(Inputs!$H$7))*1000/Inputs!$C$12)</f>
        <v>-71244.554262802048</v>
      </c>
      <c r="L23">
        <f>Scenario_Data!J23-(((SQRT((Inputs!$C$52+(Inputs!$H$8))^2+Inputs!$C$52^2-2*(Inputs!$C$52+(Inputs!$H$8))*Inputs!$C$52*COS(SQRT((Scenario_Data!V23)^2+Inputs!$C$6^2)/Inputs!$C$52)))-(Inputs!$H$8))*1000/Inputs!$C$12)</f>
        <v>-153001.25134490427</v>
      </c>
      <c r="M23">
        <f>Scenario_Data!K23-(((SQRT((Inputs!$C$52+(Inputs!$H$9))^2+Inputs!$C$52^2-2*(Inputs!$C$52+(Inputs!$H$9))*Inputs!$C$52*COS(SQRT((Scenario_Data!W23)^2+Inputs!$C$6^2)/Inputs!$C$52)))-(Inputs!$H$9))*1000/Inputs!$C$12)</f>
        <v>-156821.9415170548</v>
      </c>
      <c r="O23">
        <f>Scenario_Data!T23</f>
        <v>-49.5</v>
      </c>
      <c r="P23">
        <f>2*(Scenario_Data!B23*1000)/Inputs!$C$21*1000000</f>
        <v>2686.6753265687557</v>
      </c>
      <c r="Q23">
        <f>Scenario_Data!U23</f>
        <v>-330</v>
      </c>
      <c r="R23">
        <f>2*(Scenario_Data!C23*1000)/Inputs!$C$21*1000000</f>
        <v>1890.8289213866744</v>
      </c>
      <c r="S23">
        <f>Scenario_Data!V23</f>
        <v>-660</v>
      </c>
      <c r="T23">
        <f>2*(Scenario_Data!D23*1000)/Inputs!$C$21*1000000</f>
        <v>4615.2136689175813</v>
      </c>
      <c r="U23">
        <f>Scenario_Data!W23</f>
        <v>-660</v>
      </c>
      <c r="V23">
        <f>2*(Scenario_Data!E23*1000)/Inputs!$C$21*1000000</f>
        <v>4593.9072623367983</v>
      </c>
      <c r="X23">
        <f>Scenario_Data!T23</f>
        <v>-49.5</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2686.3290562347079</v>
      </c>
      <c r="Z23">
        <f>Scenario_Data!U23</f>
        <v>-330</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1890.6642418919669</v>
      </c>
      <c r="AB23">
        <f>Scenario_Data!V23</f>
        <v>-660</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4614.8462996856424</v>
      </c>
      <c r="AD23">
        <f>Scenario_Data!W23</f>
        <v>-660</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4593.5398931048603</v>
      </c>
      <c r="AG23">
        <f>Scenario_Data!T23</f>
        <v>-49.5</v>
      </c>
      <c r="AH23">
        <f>2*(SQRT((Inputs!$C$52+(Scenario_Data!B23))^2+Inputs!$C$52^2-2*(Inputs!$C$52+(Scenario_Data!B23))*Inputs!$C$52*COS(SQRT((Scenario_Data!T23)^2+Inputs!$C$6^2)/Inputs!$C$52))*1000)/Inputs!$C$21*1000000</f>
        <v>2718.5268353664997</v>
      </c>
      <c r="AI23">
        <f>Scenario_Data!U23</f>
        <v>-330</v>
      </c>
      <c r="AJ23">
        <f>2*(SQRT((Inputs!$C$52+(Scenario_Data!C23))^2+Inputs!$C$52^2-2*(Inputs!$C$52+(Scenario_Data!C23))*Inputs!$C$52*COS(SQRT((Scenario_Data!U23)^2+Inputs!$C$6^2)/Inputs!$C$52))*1000)/Inputs!$C$21*1000000</f>
        <v>3051.7828688525797</v>
      </c>
      <c r="AK23">
        <f>Scenario_Data!V23</f>
        <v>-660</v>
      </c>
      <c r="AL23">
        <f>2*(SQRT((Inputs!$C$52+(Scenario_Data!D23))^2+Inputs!$C$52^2-2*(Inputs!$C$52+(Scenario_Data!D23))*Inputs!$C$52*COS(SQRT((Scenario_Data!V23)^2+Inputs!$C$6^2)/Inputs!$C$52))*1000)/Inputs!$C$21*1000000</f>
        <v>6993.1726266478481</v>
      </c>
      <c r="AM23">
        <f>Scenario_Data!W23</f>
        <v>-660</v>
      </c>
      <c r="AN23">
        <f>2*(SQRT((Inputs!$C$52+(Scenario_Data!E23))^2+Inputs!$C$52^2-2*(Inputs!$C$52+(Scenario_Data!E23))*Inputs!$C$52*COS(SQRT((Scenario_Data!W23)^2+Inputs!$C$6^2)/Inputs!$C$52))*1000)/Inputs!$C$21*1000000</f>
        <v>6976.325155041407</v>
      </c>
      <c r="AP23">
        <f>Scenario_Data!T23</f>
        <v>-49.5</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2716.8250307204657</v>
      </c>
      <c r="AR23">
        <f>Scenario_Data!U23</f>
        <v>-330</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3051.4674905866668</v>
      </c>
      <c r="AT23">
        <f>Scenario_Data!V23</f>
        <v>-660</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6992.6479613045003</v>
      </c>
      <c r="AV23">
        <f>Scenario_Data!W23</f>
        <v>-660</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6975.8023290740502</v>
      </c>
    </row>
    <row r="24" spans="1:49">
      <c r="A24">
        <f>Chart_Data!K24</f>
        <v>-49</v>
      </c>
      <c r="B24">
        <f>Chart_Data!N24-Chart_Data!L24</f>
        <v>-43.550598187846987</v>
      </c>
      <c r="D24">
        <f>Chart_Data!G24</f>
        <v>-49</v>
      </c>
      <c r="E24">
        <f>Chart_Data!H24</f>
        <v>268.79279662092654</v>
      </c>
      <c r="F24">
        <f>Chart_Data!I24</f>
        <v>268.79279662092654</v>
      </c>
      <c r="G24">
        <f>Chart_Data!J24</f>
        <v>39.643003044215533</v>
      </c>
      <c r="I24">
        <f>Scenario_Data!A24</f>
        <v>-0.81699999999999995</v>
      </c>
      <c r="J24">
        <f>Scenario_Data!H24-(((SQRT((Inputs!$C$52+(Inputs!$H$6))^2+Inputs!$C$52^2-2*(Inputs!$C$52+(Inputs!$H$6))*Inputs!$C$52*COS(SQRT((Scenario_Data!T24)^2+Inputs!$C$6^2)/Inputs!$C$52)))-(Inputs!$H$6))*1000/Inputs!$C$12)</f>
        <v>-13.831801402375277</v>
      </c>
      <c r="K24">
        <f>Scenario_Data!I24-(((SQRT((Inputs!$C$52+(Inputs!$H$7))^2+Inputs!$C$52^2-2*(Inputs!$C$52+(Inputs!$H$7))*Inputs!$C$52*COS(SQRT((Scenario_Data!U24)^2+Inputs!$C$6^2)/Inputs!$C$52)))-(Inputs!$H$7))*1000/Inputs!$C$12)</f>
        <v>-70151.117679492658</v>
      </c>
      <c r="L24">
        <f>Scenario_Data!J24-(((SQRT((Inputs!$C$52+(Inputs!$H$8))^2+Inputs!$C$52^2-2*(Inputs!$C$52+(Inputs!$H$8))*Inputs!$C$52*COS(SQRT((Scenario_Data!V24)^2+Inputs!$C$6^2)/Inputs!$C$52)))-(Inputs!$H$8))*1000/Inputs!$C$12)</f>
        <v>-151128.20153368788</v>
      </c>
      <c r="M24">
        <f>Scenario_Data!K24-(((SQRT((Inputs!$C$52+(Inputs!$H$9))^2+Inputs!$C$52^2-2*(Inputs!$C$52+(Inputs!$H$9))*Inputs!$C$52*COS(SQRT((Scenario_Data!W24)^2+Inputs!$C$6^2)/Inputs!$C$52)))-(Inputs!$H$9))*1000/Inputs!$C$12)</f>
        <v>-154936.84079418762</v>
      </c>
      <c r="O24">
        <f>Scenario_Data!T24</f>
        <v>-49.019999999999996</v>
      </c>
      <c r="P24">
        <f>2*(Scenario_Data!B24*1000)/Inputs!$C$21*1000000</f>
        <v>2686.3247907323939</v>
      </c>
      <c r="Q24">
        <f>Scenario_Data!U24</f>
        <v>-326.79999999999995</v>
      </c>
      <c r="R24">
        <f>2*(Scenario_Data!C24*1000)/Inputs!$C$21*1000000</f>
        <v>1858.8425263186568</v>
      </c>
      <c r="S24">
        <f>Scenario_Data!V24</f>
        <v>-653.59999999999991</v>
      </c>
      <c r="T24">
        <f>2*(Scenario_Data!D24*1000)/Inputs!$C$21*1000000</f>
        <v>4530.6468983952882</v>
      </c>
      <c r="U24">
        <f>Scenario_Data!W24</f>
        <v>-653.59999999999991</v>
      </c>
      <c r="V24">
        <f>2*(Scenario_Data!E24*1000)/Inputs!$C$21*1000000</f>
        <v>4508.4641522236016</v>
      </c>
      <c r="X24">
        <f>Scenario_Data!T24</f>
        <v>-49.019999999999996</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2685.975086049943</v>
      </c>
      <c r="Z24">
        <f>Scenario_Data!U24</f>
        <v>-326.79999999999995</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1858.6153385407679</v>
      </c>
      <c r="AB24">
        <f>Scenario_Data!V24</f>
        <v>-653.59999999999991</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4530.5093392336075</v>
      </c>
      <c r="AD24">
        <f>Scenario_Data!W24</f>
        <v>-653.59999999999991</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4508.3265930619218</v>
      </c>
      <c r="AG24">
        <f>Scenario_Data!T24</f>
        <v>-49.019999999999996</v>
      </c>
      <c r="AH24">
        <f>2*(SQRT((Inputs!$C$52+(Scenario_Data!B24))^2+Inputs!$C$52^2-2*(Inputs!$C$52+(Scenario_Data!B24))*Inputs!$C$52*COS(SQRT((Scenario_Data!T24)^2+Inputs!$C$6^2)/Inputs!$C$52))*1000)/Inputs!$C$21*1000000</f>
        <v>2717.6925906248262</v>
      </c>
      <c r="AI24">
        <f>Scenario_Data!U24</f>
        <v>-326.79999999999995</v>
      </c>
      <c r="AJ24">
        <f>2*(SQRT((Inputs!$C$52+(Scenario_Data!C24))^2+Inputs!$C$52^2-2*(Inputs!$C$52+(Scenario_Data!C24))*Inputs!$C$52*COS(SQRT((Scenario_Data!U24)^2+Inputs!$C$6^2)/Inputs!$C$52))*1000)/Inputs!$C$21*1000000</f>
        <v>3011.4944133564245</v>
      </c>
      <c r="AK24">
        <f>Scenario_Data!V24</f>
        <v>-653.59999999999991</v>
      </c>
      <c r="AL24">
        <f>2*(SQRT((Inputs!$C$52+(Scenario_Data!D24))^2+Inputs!$C$52^2-2*(Inputs!$C$52+(Scenario_Data!D24))*Inputs!$C$52*COS(SQRT((Scenario_Data!V24)^2+Inputs!$C$6^2)/Inputs!$C$52))*1000)/Inputs!$C$21*1000000</f>
        <v>6888.7191192634255</v>
      </c>
      <c r="AM24">
        <f>Scenario_Data!W24</f>
        <v>-653.59999999999991</v>
      </c>
      <c r="AN24">
        <f>2*(SQRT((Inputs!$C$52+(Scenario_Data!E24))^2+Inputs!$C$52^2-2*(Inputs!$C$52+(Scenario_Data!E24))*Inputs!$C$52*COS(SQRT((Scenario_Data!W24)^2+Inputs!$C$6^2)/Inputs!$C$52))*1000)/Inputs!$C$21*1000000</f>
        <v>6871.2419096860749</v>
      </c>
      <c r="AP24">
        <f>Scenario_Data!T24</f>
        <v>-49.019999999999996</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2716.0170983071607</v>
      </c>
      <c r="AR24">
        <f>Scenario_Data!U24</f>
        <v>-326.79999999999995</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3011.205038375484</v>
      </c>
      <c r="AT24">
        <f>Scenario_Data!V24</f>
        <v>-653.59999999999991</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6888.445538379483</v>
      </c>
      <c r="AV24">
        <f>Scenario_Data!W24</f>
        <v>-653.59999999999991</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6870.9693497228955</v>
      </c>
    </row>
    <row r="25" spans="1:49">
      <c r="A25">
        <f>Chart_Data!K25</f>
        <v>-48.5</v>
      </c>
      <c r="B25">
        <f>Chart_Data!N25-Chart_Data!L25</f>
        <v>-44.128409691697158</v>
      </c>
      <c r="D25">
        <f>Chart_Data!G25</f>
        <v>-48.5</v>
      </c>
      <c r="E25">
        <f>Chart_Data!H25</f>
        <v>265.4824606971452</v>
      </c>
      <c r="F25">
        <f>Chart_Data!I25</f>
        <v>265.4824606971452</v>
      </c>
      <c r="G25">
        <f>Chart_Data!J25</f>
        <v>40.329360187280464</v>
      </c>
      <c r="I25">
        <f>Scenario_Data!A25</f>
        <v>-0.80800000000000005</v>
      </c>
      <c r="J25">
        <f>Scenario_Data!H25-(((SQRT((Inputs!$C$52+(Inputs!$H$6))^2+Inputs!$C$52^2-2*(Inputs!$C$52+(Inputs!$H$6))*Inputs!$C$52*COS(SQRT((Scenario_Data!T25)^2+Inputs!$C$6^2)/Inputs!$C$52)))-(Inputs!$H$6))*1000/Inputs!$C$12)</f>
        <v>-13.299787208880844</v>
      </c>
      <c r="K25">
        <f>Scenario_Data!I25-(((SQRT((Inputs!$C$52+(Inputs!$H$7))^2+Inputs!$C$52^2-2*(Inputs!$C$52+(Inputs!$H$7))*Inputs!$C$52*COS(SQRT((Scenario_Data!U25)^2+Inputs!$C$6^2)/Inputs!$C$52)))-(Inputs!$H$7))*1000/Inputs!$C$12)</f>
        <v>-68923.75640485117</v>
      </c>
      <c r="L25">
        <f>Scenario_Data!J25-(((SQRT((Inputs!$C$52+(Inputs!$H$8))^2+Inputs!$C$52^2-2*(Inputs!$C$52+(Inputs!$H$8))*Inputs!$C$52*COS(SQRT((Scenario_Data!V25)^2+Inputs!$C$6^2)/Inputs!$C$52)))-(Inputs!$H$8))*1000/Inputs!$C$12)</f>
        <v>-149013.88756056636</v>
      </c>
      <c r="M25">
        <f>Scenario_Data!K25-(((SQRT((Inputs!$C$52+(Inputs!$H$9))^2+Inputs!$C$52^2-2*(Inputs!$C$52+(Inputs!$H$9))*Inputs!$C$52*COS(SQRT((Scenario_Data!W25)^2+Inputs!$C$6^2)/Inputs!$C$52)))-(Inputs!$H$9))*1000/Inputs!$C$12)</f>
        <v>-152808.49543699686</v>
      </c>
      <c r="O25">
        <f>Scenario_Data!T25</f>
        <v>-48.480000000000004</v>
      </c>
      <c r="P25">
        <f>2*(Scenario_Data!B25*1000)/Inputs!$C$21*1000000</f>
        <v>2685.9345207410115</v>
      </c>
      <c r="Q25">
        <f>Scenario_Data!U25</f>
        <v>-323.20000000000005</v>
      </c>
      <c r="R25">
        <f>2*(Scenario_Data!C25*1000)/Inputs!$C$21*1000000</f>
        <v>1823.2303896050653</v>
      </c>
      <c r="S25">
        <f>Scenario_Data!V25</f>
        <v>-646.40000000000009</v>
      </c>
      <c r="T25">
        <f>2*(Scenario_Data!D25*1000)/Inputs!$C$21*1000000</f>
        <v>4436.4942629744219</v>
      </c>
      <c r="U25">
        <f>Scenario_Data!W25</f>
        <v>-646.40000000000009</v>
      </c>
      <c r="V25">
        <f>2*(Scenario_Data!E25*1000)/Inputs!$C$21*1000000</f>
        <v>4413.3358418242815</v>
      </c>
      <c r="X25">
        <f>Scenario_Data!T25</f>
        <v>-48.480000000000004</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2685.6117027895602</v>
      </c>
      <c r="Z25">
        <f>Scenario_Data!U25</f>
        <v>-323.20000000000005</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1822.7245436204166</v>
      </c>
      <c r="AB25">
        <f>Scenario_Data!V25</f>
        <v>-646.40000000000009</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4436.0864161767022</v>
      </c>
      <c r="AD25">
        <f>Scenario_Data!W25</f>
        <v>-646.40000000000009</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4412.9279950265618</v>
      </c>
      <c r="AG25">
        <f>Scenario_Data!T25</f>
        <v>-48.480000000000004</v>
      </c>
      <c r="AH25">
        <f>2*(SQRT((Inputs!$C$52+(Scenario_Data!B25))^2+Inputs!$C$52^2-2*(Inputs!$C$52+(Scenario_Data!B25))*Inputs!$C$52*COS(SQRT((Scenario_Data!T25)^2+Inputs!$C$6^2)/Inputs!$C$52))*1000)/Inputs!$C$21*1000000</f>
        <v>2716.7635627106388</v>
      </c>
      <c r="AI25">
        <f>Scenario_Data!U25</f>
        <v>-323.20000000000005</v>
      </c>
      <c r="AJ25">
        <f>2*(SQRT((Inputs!$C$52+(Scenario_Data!C25))^2+Inputs!$C$52^2-2*(Inputs!$C$52+(Scenario_Data!C25))*Inputs!$C$52*COS(SQRT((Scenario_Data!U25)^2+Inputs!$C$6^2)/Inputs!$C$52))*1000)/Inputs!$C$21*1000000</f>
        <v>2966.5111922476426</v>
      </c>
      <c r="AK25">
        <f>Scenario_Data!V25</f>
        <v>-646.40000000000009</v>
      </c>
      <c r="AL25">
        <f>2*(SQRT((Inputs!$C$52+(Scenario_Data!D25))^2+Inputs!$C$52^2-2*(Inputs!$C$52+(Scenario_Data!D25))*Inputs!$C$52*COS(SQRT((Scenario_Data!V25)^2+Inputs!$C$6^2)/Inputs!$C$52))*1000)/Inputs!$C$21*1000000</f>
        <v>6772.2587713643579</v>
      </c>
      <c r="AM25">
        <f>Scenario_Data!W25</f>
        <v>-646.40000000000009</v>
      </c>
      <c r="AN25">
        <f>2*(SQRT((Inputs!$C$52+(Scenario_Data!E25))^2+Inputs!$C$52^2-2*(Inputs!$C$52+(Scenario_Data!E25))*Inputs!$C$52*COS(SQRT((Scenario_Data!W25)^2+Inputs!$C$6^2)/Inputs!$C$52))*1000)/Inputs!$C$21*1000000</f>
        <v>6754.0883248186901</v>
      </c>
      <c r="AP25">
        <f>Scenario_Data!T25</f>
        <v>-48.480000000000004</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2715.0613483936577</v>
      </c>
      <c r="AR25">
        <f>Scenario_Data!U25</f>
        <v>-323.20000000000005</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2965.8915391952009</v>
      </c>
      <c r="AT25">
        <f>Scenario_Data!V25</f>
        <v>-646.40000000000009</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6771.7898508147382</v>
      </c>
      <c r="AV25">
        <f>Scenario_Data!W25</f>
        <v>-646.40000000000009</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6753.6212781446657</v>
      </c>
    </row>
    <row r="26" spans="1:49">
      <c r="A26">
        <f>Chart_Data!K26</f>
        <v>-48</v>
      </c>
      <c r="B26">
        <f>Chart_Data!N26-Chart_Data!L26</f>
        <v>-59.249334875028353</v>
      </c>
      <c r="D26">
        <f>Chart_Data!G26</f>
        <v>-48</v>
      </c>
      <c r="E26">
        <f>Chart_Data!H26</f>
        <v>253.63702275276361</v>
      </c>
      <c r="F26">
        <f>Chart_Data!I26</f>
        <v>253.63702275276361</v>
      </c>
      <c r="G26">
        <f>Chart_Data!J26</f>
        <v>55.677054005633387</v>
      </c>
      <c r="I26">
        <f>Scenario_Data!A26</f>
        <v>-0.8</v>
      </c>
      <c r="J26">
        <f>Scenario_Data!H26-(((SQRT((Inputs!$C$52+(Inputs!$H$6))^2+Inputs!$C$52^2-2*(Inputs!$C$52+(Inputs!$H$6))*Inputs!$C$52*COS(SQRT((Scenario_Data!T26)^2+Inputs!$C$6^2)/Inputs!$C$52)))-(Inputs!$H$6))*1000/Inputs!$C$12)</f>
        <v>-12.840136776974759</v>
      </c>
      <c r="K26">
        <f>Scenario_Data!I26-(((SQRT((Inputs!$C$52+(Inputs!$H$7))^2+Inputs!$C$52^2-2*(Inputs!$C$52+(Inputs!$H$7))*Inputs!$C$52*COS(SQRT((Scenario_Data!U26)^2+Inputs!$C$6^2)/Inputs!$C$52)))-(Inputs!$H$7))*1000/Inputs!$C$12)</f>
        <v>-67835.334719187129</v>
      </c>
      <c r="L26">
        <f>Scenario_Data!J26-(((SQRT((Inputs!$C$52+(Inputs!$H$8))^2+Inputs!$C$52^2-2*(Inputs!$C$52+(Inputs!$H$8))*Inputs!$C$52*COS(SQRT((Scenario_Data!V26)^2+Inputs!$C$6^2)/Inputs!$C$52)))-(Inputs!$H$8))*1000/Inputs!$C$12)</f>
        <v>-147128.35590287362</v>
      </c>
      <c r="M26">
        <f>Scenario_Data!K26-(((SQRT((Inputs!$C$52+(Inputs!$H$9))^2+Inputs!$C$52^2-2*(Inputs!$C$52+(Inputs!$H$9))*Inputs!$C$52*COS(SQRT((Scenario_Data!W26)^2+Inputs!$C$6^2)/Inputs!$C$52)))-(Inputs!$H$9))*1000/Inputs!$C$12)</f>
        <v>-150910.062898851</v>
      </c>
      <c r="O26">
        <f>Scenario_Data!T26</f>
        <v>-48</v>
      </c>
      <c r="P26">
        <f>2*(Scenario_Data!B26*1000)/Inputs!$C$21*1000000</f>
        <v>2685.5912432593618</v>
      </c>
      <c r="Q26">
        <f>Scenario_Data!U26</f>
        <v>-320</v>
      </c>
      <c r="R26">
        <f>2*(Scenario_Data!C26*1000)/Inputs!$C$21*1000000</f>
        <v>1791.9063194044727</v>
      </c>
      <c r="S26">
        <f>Scenario_Data!V26</f>
        <v>-640</v>
      </c>
      <c r="T26">
        <f>2*(Scenario_Data!D26*1000)/Inputs!$C$21*1000000</f>
        <v>4353.678570526281</v>
      </c>
      <c r="U26">
        <f>Scenario_Data!W26</f>
        <v>-640</v>
      </c>
      <c r="V26">
        <f>2*(Scenario_Data!E26*1000)/Inputs!$C$21*1000000</f>
        <v>4329.6619556720143</v>
      </c>
      <c r="X26">
        <f>Scenario_Data!T26</f>
        <v>-48</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2685.2198059365082</v>
      </c>
      <c r="Z26">
        <f>Scenario_Data!U26</f>
        <v>-320</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1791.3103173149912</v>
      </c>
      <c r="AB26">
        <f>Scenario_Data!V26</f>
        <v>-640</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4353.3618800404856</v>
      </c>
      <c r="AD26">
        <f>Scenario_Data!W26</f>
        <v>-640</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4329.345265186219</v>
      </c>
      <c r="AG26">
        <f>Scenario_Data!T26</f>
        <v>-48</v>
      </c>
      <c r="AH26">
        <f>2*(SQRT((Inputs!$C$52+(Scenario_Data!B26))^2+Inputs!$C$52^2-2*(Inputs!$C$52+(Scenario_Data!B26))*Inputs!$C$52*COS(SQRT((Scenario_Data!T26)^2+Inputs!$C$6^2)/Inputs!$C$52))*1000)/Inputs!$C$21*1000000</f>
        <v>2715.9462080599938</v>
      </c>
      <c r="AI26">
        <f>Scenario_Data!U26</f>
        <v>-320</v>
      </c>
      <c r="AJ26">
        <f>2*(SQRT((Inputs!$C$52+(Scenario_Data!C26))^2+Inputs!$C$52^2-2*(Inputs!$C$52+(Scenario_Data!C26))*Inputs!$C$52*COS(SQRT((Scenario_Data!U26)^2+Inputs!$C$6^2)/Inputs!$C$52))*1000)/Inputs!$C$21*1000000</f>
        <v>2926.8282235073743</v>
      </c>
      <c r="AK26">
        <f>Scenario_Data!V26</f>
        <v>-640</v>
      </c>
      <c r="AL26">
        <f>2*(SQRT((Inputs!$C$52+(Scenario_Data!D26))^2+Inputs!$C$52^2-2*(Inputs!$C$52+(Scenario_Data!D26))*Inputs!$C$52*COS(SQRT((Scenario_Data!V26)^2+Inputs!$C$6^2)/Inputs!$C$52))*1000)/Inputs!$C$21*1000000</f>
        <v>6669.6695538641015</v>
      </c>
      <c r="AM26">
        <f>Scenario_Data!W26</f>
        <v>-640</v>
      </c>
      <c r="AN26">
        <f>2*(SQRT((Inputs!$C$52+(Scenario_Data!E26))^2+Inputs!$C$52^2-2*(Inputs!$C$52+(Scenario_Data!E26))*Inputs!$C$52*COS(SQRT((Scenario_Data!W26)^2+Inputs!$C$6^2)/Inputs!$C$52))*1000)/Inputs!$C$21*1000000</f>
        <v>6650.8964888556302</v>
      </c>
      <c r="AP26">
        <f>Scenario_Data!T26</f>
        <v>-48</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2714.2779556726477</v>
      </c>
      <c r="AR26">
        <f>Scenario_Data!U26</f>
        <v>-320</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2926.020997254117</v>
      </c>
      <c r="AT26">
        <f>Scenario_Data!V26</f>
        <v>-640</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6669.2420000628108</v>
      </c>
      <c r="AV26">
        <f>Scenario_Data!W26</f>
        <v>-640</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6650.4707476140602</v>
      </c>
    </row>
    <row r="27" spans="1:49">
      <c r="A27">
        <f>Chart_Data!K27</f>
        <v>-47.5</v>
      </c>
      <c r="B27">
        <f>Chart_Data!N27-Chart_Data!L27</f>
        <v>-57.617087521215637</v>
      </c>
      <c r="D27">
        <f>Chart_Data!G27</f>
        <v>-47.5</v>
      </c>
      <c r="E27">
        <f>Chart_Data!H27</f>
        <v>262.75484348528926</v>
      </c>
      <c r="F27">
        <f>Chart_Data!I27</f>
        <v>262.75484348528926</v>
      </c>
      <c r="G27">
        <f>Chart_Data!J27</f>
        <v>53.974959185609514</v>
      </c>
      <c r="I27">
        <f>Scenario_Data!A27</f>
        <v>-0.79200000000000004</v>
      </c>
      <c r="J27">
        <f>Scenario_Data!H27-(((SQRT((Inputs!$C$52+(Inputs!$H$6))^2+Inputs!$C$52^2-2*(Inputs!$C$52+(Inputs!$H$6))*Inputs!$C$52*COS(SQRT((Scenario_Data!T27)^2+Inputs!$C$6^2)/Inputs!$C$52)))-(Inputs!$H$6))*1000/Inputs!$C$12)</f>
        <v>-12.392726180069985</v>
      </c>
      <c r="K27">
        <f>Scenario_Data!I27-(((SQRT((Inputs!$C$52+(Inputs!$H$7))^2+Inputs!$C$52^2-2*(Inputs!$C$52+(Inputs!$H$7))*Inputs!$C$52*COS(SQRT((Scenario_Data!U27)^2+Inputs!$C$6^2)/Inputs!$C$52)))-(Inputs!$H$7))*1000/Inputs!$C$12)</f>
        <v>-66749.440755261443</v>
      </c>
      <c r="L27">
        <f>Scenario_Data!J27-(((SQRT((Inputs!$C$52+(Inputs!$H$8))^2+Inputs!$C$52^2-2*(Inputs!$C$52+(Inputs!$H$8))*Inputs!$C$52*COS(SQRT((Scenario_Data!V27)^2+Inputs!$C$6^2)/Inputs!$C$52)))-(Inputs!$H$8))*1000/Inputs!$C$12)</f>
        <v>-145237.23692226937</v>
      </c>
      <c r="M27">
        <f>Scenario_Data!K27-(((SQRT((Inputs!$C$52+(Inputs!$H$9))^2+Inputs!$C$52^2-2*(Inputs!$C$52+(Inputs!$H$9))*Inputs!$C$52*COS(SQRT((Scenario_Data!W27)^2+Inputs!$C$6^2)/Inputs!$C$52)))-(Inputs!$H$9))*1000/Inputs!$C$12)</f>
        <v>-149005.63294747777</v>
      </c>
      <c r="O27">
        <f>Scenario_Data!T27</f>
        <v>-47.52</v>
      </c>
      <c r="P27">
        <f>2*(Scenario_Data!B27*1000)/Inputs!$C$21*1000000</f>
        <v>2685.251381474046</v>
      </c>
      <c r="Q27">
        <f>Scenario_Data!U27</f>
        <v>-316.8</v>
      </c>
      <c r="R27">
        <f>2*(Scenario_Data!C27*1000)/Inputs!$C$21*1000000</f>
        <v>1760.8939314944344</v>
      </c>
      <c r="S27">
        <f>Scenario_Data!V27</f>
        <v>-633.6</v>
      </c>
      <c r="T27">
        <f>2*(Scenario_Data!D27*1000)/Inputs!$C$21*1000000</f>
        <v>4271.6869148189189</v>
      </c>
      <c r="U27">
        <f>Scenario_Data!W27</f>
        <v>-633.6</v>
      </c>
      <c r="V27">
        <f>2*(Scenario_Data!E27*1000)/Inputs!$C$21*1000000</f>
        <v>4246.8206455013624</v>
      </c>
      <c r="X27">
        <f>Scenario_Data!T27</f>
        <v>-47.52</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2684.9493444150958</v>
      </c>
      <c r="Z27">
        <f>Scenario_Data!U27</f>
        <v>-316.8</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1760.4310673656025</v>
      </c>
      <c r="AB27">
        <f>Scenario_Data!V27</f>
        <v>-633.6</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4271.5992312773296</v>
      </c>
      <c r="AD27">
        <f>Scenario_Data!W27</f>
        <v>-633.6</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4246.732961959774</v>
      </c>
      <c r="AG27">
        <f>Scenario_Data!T27</f>
        <v>-47.52</v>
      </c>
      <c r="AH27">
        <f>2*(SQRT((Inputs!$C$52+(Scenario_Data!B27))^2+Inputs!$C$52^2-2*(Inputs!$C$52+(Scenario_Data!B27))*Inputs!$C$52*COS(SQRT((Scenario_Data!T27)^2+Inputs!$C$6^2)/Inputs!$C$52))*1000)/Inputs!$C$21*1000000</f>
        <v>2715.1368098124726</v>
      </c>
      <c r="AI27">
        <f>Scenario_Data!U27</f>
        <v>-316.8</v>
      </c>
      <c r="AJ27">
        <f>2*(SQRT((Inputs!$C$52+(Scenario_Data!C27))^2+Inputs!$C$52^2-2*(Inputs!$C$52+(Scenario_Data!C27))*Inputs!$C$52*COS(SQRT((Scenario_Data!U27)^2+Inputs!$C$6^2)/Inputs!$C$52))*1000)/Inputs!$C$21*1000000</f>
        <v>2887.428399392069</v>
      </c>
      <c r="AK27">
        <f>Scenario_Data!V27</f>
        <v>-633.6</v>
      </c>
      <c r="AL27">
        <f>2*(SQRT((Inputs!$C$52+(Scenario_Data!D27))^2+Inputs!$C$52^2-2*(Inputs!$C$52+(Scenario_Data!D27))*Inputs!$C$52*COS(SQRT((Scenario_Data!V27)^2+Inputs!$C$6^2)/Inputs!$C$52))*1000)/Inputs!$C$21*1000000</f>
        <v>6567.9546108397826</v>
      </c>
      <c r="AM27">
        <f>Scenario_Data!W27</f>
        <v>-633.6</v>
      </c>
      <c r="AN27">
        <f>2*(SQRT((Inputs!$C$52+(Scenario_Data!E27))^2+Inputs!$C$52^2-2*(Inputs!$C$52+(Scenario_Data!E27))*Inputs!$C$52*COS(SQRT((Scenario_Data!W27)^2+Inputs!$C$6^2)/Inputs!$C$52))*1000)/Inputs!$C$21*1000000</f>
        <v>6548.5917811077279</v>
      </c>
      <c r="AP27">
        <f>Scenario_Data!T27</f>
        <v>-47.52</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2713.5291977559514</v>
      </c>
      <c r="AR27">
        <f>Scenario_Data!U27</f>
        <v>-316.8</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2886.8217574751084</v>
      </c>
      <c r="AT27">
        <f>Scenario_Data!V27</f>
        <v>-633.6</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6567.6171221874147</v>
      </c>
      <c r="AV27">
        <f>Scenario_Data!W27</f>
        <v>-633.6</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6548.2558080936396</v>
      </c>
    </row>
    <row r="28" spans="1:49">
      <c r="A28">
        <f>Chart_Data!K28</f>
        <v>-47</v>
      </c>
      <c r="B28">
        <f>Chart_Data!N28-Chart_Data!L28</f>
        <v>-64.67682483280376</v>
      </c>
      <c r="D28">
        <f>Chart_Data!G28</f>
        <v>-47</v>
      </c>
      <c r="E28">
        <f>Chart_Data!H28</f>
        <v>253.91481019754531</v>
      </c>
      <c r="F28">
        <f>Chart_Data!I28</f>
        <v>253.91481019754531</v>
      </c>
      <c r="G28">
        <f>Chart_Data!J28</f>
        <v>61.213442747759345</v>
      </c>
      <c r="I28">
        <f>Scenario_Data!A28</f>
        <v>-0.78300000000000003</v>
      </c>
      <c r="J28">
        <f>Scenario_Data!H28-(((SQRT((Inputs!$C$52+(Inputs!$H$6))^2+Inputs!$C$52^2-2*(Inputs!$C$52+(Inputs!$H$6))*Inputs!$C$52*COS(SQRT((Scenario_Data!T28)^2+Inputs!$C$6^2)/Inputs!$C$52)))-(Inputs!$H$6))*1000/Inputs!$C$12)</f>
        <v>-11.903744966717568</v>
      </c>
      <c r="K28">
        <f>Scenario_Data!I28-(((SQRT((Inputs!$C$52+(Inputs!$H$7))^2+Inputs!$C$52^2-2*(Inputs!$C$52+(Inputs!$H$7))*Inputs!$C$52*COS(SQRT((Scenario_Data!U28)^2+Inputs!$C$6^2)/Inputs!$C$52)))-(Inputs!$H$7))*1000/Inputs!$C$12)</f>
        <v>-65530.968666103829</v>
      </c>
      <c r="L28">
        <f>Scenario_Data!J28-(((SQRT((Inputs!$C$52+(Inputs!$H$8))^2+Inputs!$C$52^2-2*(Inputs!$C$52+(Inputs!$H$8))*Inputs!$C$52*COS(SQRT((Scenario_Data!V28)^2+Inputs!$C$6^2)/Inputs!$C$52)))-(Inputs!$H$8))*1000/Inputs!$C$12)</f>
        <v>-143103.2871715021</v>
      </c>
      <c r="M28">
        <f>Scenario_Data!K28-(((SQRT((Inputs!$C$52+(Inputs!$H$9))^2+Inputs!$C$52^2-2*(Inputs!$C$52+(Inputs!$H$9))*Inputs!$C$52*COS(SQRT((Scenario_Data!W28)^2+Inputs!$C$6^2)/Inputs!$C$52)))-(Inputs!$H$9))*1000/Inputs!$C$12)</f>
        <v>-146856.21000814714</v>
      </c>
      <c r="O28">
        <f>Scenario_Data!T28</f>
        <v>-46.980000000000004</v>
      </c>
      <c r="P28">
        <f>2*(Scenario_Data!B28*1000)/Inputs!$C$21*1000000</f>
        <v>2684.873119790092</v>
      </c>
      <c r="Q28">
        <f>Scenario_Data!U28</f>
        <v>-313.20000000000005</v>
      </c>
      <c r="R28">
        <f>2*(Scenario_Data!C28*1000)/Inputs!$C$21*1000000</f>
        <v>1726.3775528335677</v>
      </c>
      <c r="S28">
        <f>Scenario_Data!V28</f>
        <v>-626.40000000000009</v>
      </c>
      <c r="T28">
        <f>2*(Scenario_Data!D28*1000)/Inputs!$C$21*1000000</f>
        <v>4180.431283564847</v>
      </c>
      <c r="U28">
        <f>Scenario_Data!W28</f>
        <v>-626.40000000000009</v>
      </c>
      <c r="V28">
        <f>2*(Scenario_Data!E28*1000)/Inputs!$C$21*1000000</f>
        <v>4154.6193600374036</v>
      </c>
      <c r="X28">
        <f>Scenario_Data!T28</f>
        <v>-46.980000000000004</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2684.6217262202226</v>
      </c>
      <c r="Z28">
        <f>Scenario_Data!U28</f>
        <v>-313.20000000000005</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1726.2341157164356</v>
      </c>
      <c r="AB28">
        <f>Scenario_Data!V28</f>
        <v>-626.40000000000009</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4179.9352678498881</v>
      </c>
      <c r="AD28">
        <f>Scenario_Data!W28</f>
        <v>-626.40000000000009</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4154.1233443224446</v>
      </c>
      <c r="AG28">
        <f>Scenario_Data!T28</f>
        <v>-46.980000000000004</v>
      </c>
      <c r="AH28">
        <f>2*(SQRT((Inputs!$C$52+(Scenario_Data!B28))^2+Inputs!$C$52^2-2*(Inputs!$C$52+(Scenario_Data!B28))*Inputs!$C$52*COS(SQRT((Scenario_Data!T28)^2+Inputs!$C$6^2)/Inputs!$C$52))*1000)/Inputs!$C$21*1000000</f>
        <v>2714.235753570058</v>
      </c>
      <c r="AI28">
        <f>Scenario_Data!U28</f>
        <v>-313.20000000000005</v>
      </c>
      <c r="AJ28">
        <f>2*(SQRT((Inputs!$C$52+(Scenario_Data!C28))^2+Inputs!$C$52^2-2*(Inputs!$C$52+(Scenario_Data!C28))*Inputs!$C$52*COS(SQRT((Scenario_Data!U28)^2+Inputs!$C$6^2)/Inputs!$C$52))*1000)/Inputs!$C$21*1000000</f>
        <v>2843.4405826900111</v>
      </c>
      <c r="AK28">
        <f>Scenario_Data!V28</f>
        <v>-626.40000000000009</v>
      </c>
      <c r="AL28">
        <f>2*(SQRT((Inputs!$C$52+(Scenario_Data!D28))^2+Inputs!$C$52^2-2*(Inputs!$C$52+(Scenario_Data!D28))*Inputs!$C$52*COS(SQRT((Scenario_Data!V28)^2+Inputs!$C$6^2)/Inputs!$C$52))*1000)/Inputs!$C$21*1000000</f>
        <v>6454.5678022887669</v>
      </c>
      <c r="AM28">
        <f>Scenario_Data!W28</f>
        <v>-626.40000000000009</v>
      </c>
      <c r="AN28">
        <f>2*(SQRT((Inputs!$C$52+(Scenario_Data!E28))^2+Inputs!$C$52^2-2*(Inputs!$C$52+(Scenario_Data!E28))*Inputs!$C$52*COS(SQRT((Scenario_Data!W28)^2+Inputs!$C$6^2)/Inputs!$C$52))*1000)/Inputs!$C$21*1000000</f>
        <v>6434.5569245182351</v>
      </c>
      <c r="AP28">
        <f>Scenario_Data!T28</f>
        <v>-46.980000000000004</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2712.5601656074723</v>
      </c>
      <c r="AR28">
        <f>Scenario_Data!U28</f>
        <v>-313.20000000000005</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2843.1030562454516</v>
      </c>
      <c r="AT28">
        <f>Scenario_Data!V28</f>
        <v>-626.40000000000009</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6453.9467364016009</v>
      </c>
      <c r="AV28">
        <f>Scenario_Data!W28</f>
        <v>-626.40000000000009</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6433.9388308039552</v>
      </c>
    </row>
    <row r="29" spans="1:49">
      <c r="A29">
        <f>Chart_Data!K29</f>
        <v>-46.5</v>
      </c>
      <c r="B29">
        <f>Chart_Data!N29-Chart_Data!L29</f>
        <v>-60.935373694277501</v>
      </c>
      <c r="D29">
        <f>Chart_Data!G29</f>
        <v>-46.5</v>
      </c>
      <c r="E29">
        <f>Chart_Data!H29</f>
        <v>253.748238320312</v>
      </c>
      <c r="F29">
        <f>Chart_Data!I29</f>
        <v>253.748238320312</v>
      </c>
      <c r="G29">
        <f>Chart_Data!J29</f>
        <v>57.529820703344001</v>
      </c>
      <c r="I29">
        <f>Scenario_Data!A29</f>
        <v>-0.77500000000000002</v>
      </c>
      <c r="J29">
        <f>Scenario_Data!H29-(((SQRT((Inputs!$C$52+(Inputs!$H$6))^2+Inputs!$C$52^2-2*(Inputs!$C$52+(Inputs!$H$6))*Inputs!$C$52*COS(SQRT((Scenario_Data!T29)^2+Inputs!$C$6^2)/Inputs!$C$52)))-(Inputs!$H$6))*1000/Inputs!$C$12)</f>
        <v>-11.481613456182458</v>
      </c>
      <c r="K29">
        <f>Scenario_Data!I29-(((SQRT((Inputs!$C$52+(Inputs!$H$7))^2+Inputs!$C$52^2-2*(Inputs!$C$52+(Inputs!$H$7))*Inputs!$C$52*COS(SQRT((Scenario_Data!U29)^2+Inputs!$C$6^2)/Inputs!$C$52)))-(Inputs!$H$7))*1000/Inputs!$C$12)</f>
        <v>-64450.814321778293</v>
      </c>
      <c r="L29">
        <f>Scenario_Data!J29-(((SQRT((Inputs!$C$52+(Inputs!$H$8))^2+Inputs!$C$52^2-2*(Inputs!$C$52+(Inputs!$H$8))*Inputs!$C$52*COS(SQRT((Scenario_Data!V29)^2+Inputs!$C$6^2)/Inputs!$C$52)))-(Inputs!$H$8))*1000/Inputs!$C$12)</f>
        <v>-141200.93534309621</v>
      </c>
      <c r="M29">
        <f>Scenario_Data!K29-(((SQRT((Inputs!$C$52+(Inputs!$H$9))^2+Inputs!$C$52^2-2*(Inputs!$C$52+(Inputs!$H$9))*Inputs!$C$52*COS(SQRT((Scenario_Data!W29)^2+Inputs!$C$6^2)/Inputs!$C$52)))-(Inputs!$H$9))*1000/Inputs!$C$12)</f>
        <v>-144939.65393967155</v>
      </c>
      <c r="O29">
        <f>Scenario_Data!T29</f>
        <v>-46.5</v>
      </c>
      <c r="P29">
        <f>2*(Scenario_Data!B29*1000)/Inputs!$C$21*1000000</f>
        <v>2684.5405163594878</v>
      </c>
      <c r="Q29">
        <f>Scenario_Data!U29</f>
        <v>-310</v>
      </c>
      <c r="R29">
        <f>2*(Scenario_Data!C29*1000)/Inputs!$C$21*1000000</f>
        <v>1696.0274897909542</v>
      </c>
      <c r="S29">
        <f>Scenario_Data!V29</f>
        <v>-620</v>
      </c>
      <c r="T29">
        <f>2*(Scenario_Data!D29*1000)/Inputs!$C$21*1000000</f>
        <v>4100.1907059316354</v>
      </c>
      <c r="U29">
        <f>Scenario_Data!W29</f>
        <v>-620</v>
      </c>
      <c r="V29">
        <f>2*(Scenario_Data!E29*1000)/Inputs!$C$21*1000000</f>
        <v>4073.5472738276831</v>
      </c>
      <c r="X29">
        <f>Scenario_Data!T29</f>
        <v>-46.5</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2684.1567187076917</v>
      </c>
      <c r="Z29">
        <f>Scenario_Data!U29</f>
        <v>-310</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1695.8586735261722</v>
      </c>
      <c r="AB29">
        <f>Scenario_Data!V29</f>
        <v>-620</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4099.9658977903973</v>
      </c>
      <c r="AD29">
        <f>Scenario_Data!W29</f>
        <v>-620</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4073.322465686445</v>
      </c>
      <c r="AG29">
        <f>Scenario_Data!T29</f>
        <v>-46.5</v>
      </c>
      <c r="AH29">
        <f>2*(SQRT((Inputs!$C$52+(Scenario_Data!B29))^2+Inputs!$C$52^2-2*(Inputs!$C$52+(Scenario_Data!B29))*Inputs!$C$52*COS(SQRT((Scenario_Data!T29)^2+Inputs!$C$6^2)/Inputs!$C$52))*1000)/Inputs!$C$21*1000000</f>
        <v>2713.4432796899005</v>
      </c>
      <c r="AI29">
        <f>Scenario_Data!U29</f>
        <v>-310</v>
      </c>
      <c r="AJ29">
        <f>2*(SQRT((Inputs!$C$52+(Scenario_Data!C29))^2+Inputs!$C$52^2-2*(Inputs!$C$52+(Scenario_Data!C29))*Inputs!$C$52*COS(SQRT((Scenario_Data!U29)^2+Inputs!$C$6^2)/Inputs!$C$52))*1000)/Inputs!$C$21*1000000</f>
        <v>2804.6385226625612</v>
      </c>
      <c r="AK29">
        <f>Scenario_Data!V29</f>
        <v>-620</v>
      </c>
      <c r="AL29">
        <f>2*(SQRT((Inputs!$C$52+(Scenario_Data!D29))^2+Inputs!$C$52^2-2*(Inputs!$C$52+(Scenario_Data!D29))*Inputs!$C$52*COS(SQRT((Scenario_Data!V29)^2+Inputs!$C$6^2)/Inputs!$C$52))*1000)/Inputs!$C$21*1000000</f>
        <v>6354.703876330992</v>
      </c>
      <c r="AM29">
        <f>Scenario_Data!W29</f>
        <v>-620</v>
      </c>
      <c r="AN29">
        <f>2*(SQRT((Inputs!$C$52+(Scenario_Data!E29))^2+Inputs!$C$52^2-2*(Inputs!$C$52+(Scenario_Data!E29))*Inputs!$C$52*COS(SQRT((Scenario_Data!W29)^2+Inputs!$C$6^2)/Inputs!$C$52))*1000)/Inputs!$C$21*1000000</f>
        <v>6334.130742726853</v>
      </c>
      <c r="AP29">
        <f>Scenario_Data!T29</f>
        <v>-46.5</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2711.7731730634732</v>
      </c>
      <c r="AR29">
        <f>Scenario_Data!U29</f>
        <v>-310</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2804.3248063441019</v>
      </c>
      <c r="AT29">
        <f>Scenario_Data!V29</f>
        <v>-620</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6354.1486283599243</v>
      </c>
      <c r="AV29">
        <f>Scenario_Data!W29</f>
        <v>-620</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6333.5783023463191</v>
      </c>
    </row>
    <row r="30" spans="1:49">
      <c r="A30">
        <f>Chart_Data!K30</f>
        <v>-46</v>
      </c>
      <c r="B30">
        <f>Chart_Data!N30-Chart_Data!L30</f>
        <v>-52.674234164719905</v>
      </c>
      <c r="D30">
        <f>Chart_Data!G30</f>
        <v>-46</v>
      </c>
      <c r="E30">
        <f>Chart_Data!H30</f>
        <v>237.40469511010875</v>
      </c>
      <c r="F30">
        <f>Chart_Data!I30</f>
        <v>237.40469511010875</v>
      </c>
      <c r="G30">
        <f>Chart_Data!J30</f>
        <v>49.539620652832568</v>
      </c>
      <c r="I30">
        <f>Scenario_Data!A30</f>
        <v>-0.76700000000000002</v>
      </c>
      <c r="J30">
        <f>Scenario_Data!H30-(((SQRT((Inputs!$C$52+(Inputs!$H$6))^2+Inputs!$C$52^2-2*(Inputs!$C$52+(Inputs!$H$6))*Inputs!$C$52*COS(SQRT((Scenario_Data!T30)^2+Inputs!$C$6^2)/Inputs!$C$52)))-(Inputs!$H$6))*1000/Inputs!$C$12)</f>
        <v>-11.071038001998204</v>
      </c>
      <c r="K30">
        <f>Scenario_Data!I30-(((SQRT((Inputs!$C$52+(Inputs!$H$7))^2+Inputs!$C$52^2-2*(Inputs!$C$52+(Inputs!$H$7))*Inputs!$C$52*COS(SQRT((Scenario_Data!U30)^2+Inputs!$C$6^2)/Inputs!$C$52)))-(Inputs!$H$7))*1000/Inputs!$C$12)</f>
        <v>-63373.538684469939</v>
      </c>
      <c r="L30">
        <f>Scenario_Data!J30-(((SQRT((Inputs!$C$52+(Inputs!$H$8))^2+Inputs!$C$52^2-2*(Inputs!$C$52+(Inputs!$H$8))*Inputs!$C$52*COS(SQRT((Scenario_Data!V30)^2+Inputs!$C$6^2)/Inputs!$C$52)))-(Inputs!$H$8))*1000/Inputs!$C$12)</f>
        <v>-139293.61086167698</v>
      </c>
      <c r="M30">
        <f>Scenario_Data!K30-(((SQRT((Inputs!$C$52+(Inputs!$H$9))^2+Inputs!$C$52^2-2*(Inputs!$C$52+(Inputs!$H$9))*Inputs!$C$52*COS(SQRT((Scenario_Data!W30)^2+Inputs!$C$6^2)/Inputs!$C$52)))-(Inputs!$H$9))*1000/Inputs!$C$12)</f>
        <v>-143017.69446274094</v>
      </c>
      <c r="O30">
        <f>Scenario_Data!T30</f>
        <v>-46.02</v>
      </c>
      <c r="P30">
        <f>2*(Scenario_Data!B30*1000)/Inputs!$C$21*1000000</f>
        <v>2684.2113286252188</v>
      </c>
      <c r="Q30">
        <f>Scenario_Data!U30</f>
        <v>-306.8</v>
      </c>
      <c r="R30">
        <f>2*(Scenario_Data!C30*1000)/Inputs!$C$21*1000000</f>
        <v>1665.989109038894</v>
      </c>
      <c r="S30">
        <f>Scenario_Data!V30</f>
        <v>-613.6</v>
      </c>
      <c r="T30">
        <f>2*(Scenario_Data!D30*1000)/Inputs!$C$21*1000000</f>
        <v>4020.7741650392022</v>
      </c>
      <c r="U30">
        <f>Scenario_Data!W30</f>
        <v>-613.6</v>
      </c>
      <c r="V30">
        <f>2*(Scenario_Data!E30*1000)/Inputs!$C$21*1000000</f>
        <v>3993.3077635995774</v>
      </c>
      <c r="X30">
        <f>Scenario_Data!T30</f>
        <v>-46.02</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2683.8451366502386</v>
      </c>
      <c r="Z30">
        <f>Scenario_Data!U30</f>
        <v>-306.8</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1665.8212925006906</v>
      </c>
      <c r="AB30">
        <f>Scenario_Data!V30</f>
        <v>-613.6</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4020.642850016849</v>
      </c>
      <c r="AD30">
        <f>Scenario_Data!W30</f>
        <v>-613.6</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3993.1764485772242</v>
      </c>
      <c r="AG30">
        <f>Scenario_Data!T30</f>
        <v>-46.02</v>
      </c>
      <c r="AH30">
        <f>2*(SQRT((Inputs!$C$52+(Scenario_Data!B30))^2+Inputs!$C$52^2-2*(Inputs!$C$52+(Scenario_Data!B30))*Inputs!$C$52*COS(SQRT((Scenario_Data!T30)^2+Inputs!$C$6^2)/Inputs!$C$52))*1000)/Inputs!$C$21*1000000</f>
        <v>2712.6587781279418</v>
      </c>
      <c r="AI30">
        <f>Scenario_Data!U30</f>
        <v>-306.8</v>
      </c>
      <c r="AJ30">
        <f>2*(SQRT((Inputs!$C$52+(Scenario_Data!C30))^2+Inputs!$C$52^2-2*(Inputs!$C$52+(Scenario_Data!C30))*Inputs!$C$52*COS(SQRT((Scenario_Data!U30)^2+Inputs!$C$6^2)/Inputs!$C$52))*1000)/Inputs!$C$21*1000000</f>
        <v>2766.1158768793084</v>
      </c>
      <c r="AK30">
        <f>Scenario_Data!V30</f>
        <v>-613.6</v>
      </c>
      <c r="AL30">
        <f>2*(SQRT((Inputs!$C$52+(Scenario_Data!D30))^2+Inputs!$C$52^2-2*(Inputs!$C$52+(Scenario_Data!D30))*Inputs!$C$52*COS(SQRT((Scenario_Data!V30)^2+Inputs!$C$6^2)/Inputs!$C$52))*1000)/Inputs!$C$21*1000000</f>
        <v>6255.7076711632635</v>
      </c>
      <c r="AM30">
        <f>Scenario_Data!W30</f>
        <v>-613.6</v>
      </c>
      <c r="AN30">
        <f>2*(SQRT((Inputs!$C$52+(Scenario_Data!E30))^2+Inputs!$C$52^2-2*(Inputs!$C$52+(Scenario_Data!E30))*Inputs!$C$52*COS(SQRT((Scenario_Data!W30)^2+Inputs!$C$6^2)/Inputs!$C$52))*1000)/Inputs!$C$21*1000000</f>
        <v>6234.5853184731659</v>
      </c>
      <c r="AP30">
        <f>Scenario_Data!T30</f>
        <v>-46.02</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2711.1609992569461</v>
      </c>
      <c r="AR30">
        <f>Scenario_Data!U30</f>
        <v>-306.8</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2765.6399481746071</v>
      </c>
      <c r="AT30">
        <f>Scenario_Data!V30</f>
        <v>-613.6</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6255.3661723368041</v>
      </c>
      <c r="AV30">
        <f>Scenario_Data!W30</f>
        <v>-613.6</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6234.2456420387598</v>
      </c>
    </row>
    <row r="31" spans="1:49">
      <c r="A31">
        <f>Chart_Data!K31</f>
        <v>-45.5</v>
      </c>
      <c r="B31">
        <f>Chart_Data!N31-Chart_Data!L31</f>
        <v>-39.870802798509942</v>
      </c>
      <c r="D31">
        <f>Chart_Data!G31</f>
        <v>-45.5</v>
      </c>
      <c r="E31">
        <f>Chart_Data!H31</f>
        <v>230.03534200748854</v>
      </c>
      <c r="F31">
        <f>Chart_Data!I31</f>
        <v>230.03534200748854</v>
      </c>
      <c r="G31">
        <f>Chart_Data!J31</f>
        <v>36.882918508215923</v>
      </c>
      <c r="I31">
        <f>Scenario_Data!A31</f>
        <v>-0.75800000000000001</v>
      </c>
      <c r="J31">
        <f>Scenario_Data!H31-(((SQRT((Inputs!$C$52+(Inputs!$H$6))^2+Inputs!$C$52^2-2*(Inputs!$C$52+(Inputs!$H$6))*Inputs!$C$52*COS(SQRT((Scenario_Data!T31)^2+Inputs!$C$6^2)/Inputs!$C$52)))-(Inputs!$H$6))*1000/Inputs!$C$12)</f>
        <v>-10.622685923482095</v>
      </c>
      <c r="K31">
        <f>Scenario_Data!I31-(((SQRT((Inputs!$C$52+(Inputs!$H$7))^2+Inputs!$C$52^2-2*(Inputs!$C$52+(Inputs!$H$7))*Inputs!$C$52*COS(SQRT((Scenario_Data!U31)^2+Inputs!$C$6^2)/Inputs!$C$52)))-(Inputs!$H$7))*1000/Inputs!$C$12)</f>
        <v>-62165.189846866764</v>
      </c>
      <c r="L31">
        <f>Scenario_Data!J31-(((SQRT((Inputs!$C$52+(Inputs!$H$8))^2+Inputs!$C$52^2-2*(Inputs!$C$52+(Inputs!$H$8))*Inputs!$C$52*COS(SQRT((Scenario_Data!V31)^2+Inputs!$C$6^2)/Inputs!$C$52)))-(Inputs!$H$8))*1000/Inputs!$C$12)</f>
        <v>-137142.18690545231</v>
      </c>
      <c r="M31">
        <f>Scenario_Data!K31-(((SQRT((Inputs!$C$52+(Inputs!$H$9))^2+Inputs!$C$52^2-2*(Inputs!$C$52+(Inputs!$H$9))*Inputs!$C$52*COS(SQRT((Scenario_Data!W31)^2+Inputs!$C$6^2)/Inputs!$C$52)))-(Inputs!$H$9))*1000/Inputs!$C$12)</f>
        <v>-140849.28287495419</v>
      </c>
      <c r="O31">
        <f>Scenario_Data!T31</f>
        <v>-45.480000000000004</v>
      </c>
      <c r="P31">
        <f>2*(Scenario_Data!B31*1000)/Inputs!$C$21*1000000</f>
        <v>2683.8450752486906</v>
      </c>
      <c r="Q31">
        <f>Scenario_Data!U31</f>
        <v>-303.2</v>
      </c>
      <c r="R31">
        <f>2*(Scenario_Data!C31*1000)/Inputs!$C$21*1000000</f>
        <v>1632.568488430753</v>
      </c>
      <c r="S31">
        <f>Scenario_Data!V31</f>
        <v>-606.4</v>
      </c>
      <c r="T31">
        <f>2*(Scenario_Data!D31*1000)/Inputs!$C$21*1000000</f>
        <v>3932.4155379519252</v>
      </c>
      <c r="U31">
        <f>Scenario_Data!W31</f>
        <v>-606.4</v>
      </c>
      <c r="V31">
        <f>2*(Scenario_Data!E31*1000)/Inputs!$C$21*1000000</f>
        <v>3904.0335030709807</v>
      </c>
      <c r="X31">
        <f>Scenario_Data!T31</f>
        <v>-45.480000000000004</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2683.5136176627734</v>
      </c>
      <c r="Z31">
        <f>Scenario_Data!U31</f>
        <v>-303.2</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1632.376799481638</v>
      </c>
      <c r="AB31">
        <f>Scenario_Data!V31</f>
        <v>-606.4</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3932.1224212477778</v>
      </c>
      <c r="AD31">
        <f>Scenario_Data!W31</f>
        <v>-606.4</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3903.7403863668333</v>
      </c>
      <c r="AG31">
        <f>Scenario_Data!T31</f>
        <v>-45.480000000000004</v>
      </c>
      <c r="AH31">
        <f>2*(SQRT((Inputs!$C$52+(Scenario_Data!B31))^2+Inputs!$C$52^2-2*(Inputs!$C$52+(Scenario_Data!B31))*Inputs!$C$52*COS(SQRT((Scenario_Data!T31)^2+Inputs!$C$6^2)/Inputs!$C$52))*1000)/Inputs!$C$21*1000000</f>
        <v>2711.7857495077187</v>
      </c>
      <c r="AI31">
        <f>Scenario_Data!U31</f>
        <v>-303.2</v>
      </c>
      <c r="AJ31">
        <f>2*(SQRT((Inputs!$C$52+(Scenario_Data!C31))^2+Inputs!$C$52^2-2*(Inputs!$C$52+(Scenario_Data!C31))*Inputs!$C$52*COS(SQRT((Scenario_Data!U31)^2+Inputs!$C$6^2)/Inputs!$C$52))*1000)/Inputs!$C$21*1000000</f>
        <v>2723.1103493336241</v>
      </c>
      <c r="AK31">
        <f>Scenario_Data!V31</f>
        <v>-606.4</v>
      </c>
      <c r="AL31">
        <f>2*(SQRT((Inputs!$C$52+(Scenario_Data!D31))^2+Inputs!$C$52^2-2*(Inputs!$C$52+(Scenario_Data!D31))*Inputs!$C$52*COS(SQRT((Scenario_Data!V31)^2+Inputs!$C$6^2)/Inputs!$C$52))*1000)/Inputs!$C$21*1000000</f>
        <v>6145.3713547660091</v>
      </c>
      <c r="AM31">
        <f>Scenario_Data!W31</f>
        <v>-606.4</v>
      </c>
      <c r="AN31">
        <f>2*(SQRT((Inputs!$C$52+(Scenario_Data!E31))^2+Inputs!$C$52^2-2*(Inputs!$C$52+(Scenario_Data!E31))*Inputs!$C$52*COS(SQRT((Scenario_Data!W31)^2+Inputs!$C$6^2)/Inputs!$C$52))*1000)/Inputs!$C$21*1000000</f>
        <v>6123.6467860475259</v>
      </c>
      <c r="AP31">
        <f>Scenario_Data!T31</f>
        <v>-45.480000000000004</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2710.338289310354</v>
      </c>
      <c r="AR31">
        <f>Scenario_Data!U31</f>
        <v>-303.2</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2722.5308660022711</v>
      </c>
      <c r="AT31">
        <f>Scenario_Data!V31</f>
        <v>-606.4</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6144.6351333130369</v>
      </c>
      <c r="AV31">
        <f>Scenario_Data!W31</f>
        <v>-606.4</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6122.9147357874672</v>
      </c>
    </row>
    <row r="32" spans="1:49">
      <c r="A32">
        <f>Chart_Data!K32</f>
        <v>-45</v>
      </c>
      <c r="B32">
        <f>Chart_Data!N32-Chart_Data!L32</f>
        <v>-49.267020374654436</v>
      </c>
      <c r="D32">
        <f>Chart_Data!G32</f>
        <v>-45</v>
      </c>
      <c r="E32">
        <f>Chart_Data!H32</f>
        <v>208.8220272535724</v>
      </c>
      <c r="F32">
        <f>Chart_Data!I32</f>
        <v>208.8220272535724</v>
      </c>
      <c r="G32">
        <f>Chart_Data!J32</f>
        <v>46.599178353528217</v>
      </c>
      <c r="I32">
        <f>Scenario_Data!A32</f>
        <v>-0.75</v>
      </c>
      <c r="J32">
        <f>Scenario_Data!H32-(((SQRT((Inputs!$C$52+(Inputs!$H$6))^2+Inputs!$C$52^2-2*(Inputs!$C$52+(Inputs!$H$6))*Inputs!$C$52*COS(SQRT((Scenario_Data!T32)^2+Inputs!$C$6^2)/Inputs!$C$52)))-(Inputs!$H$6))*1000/Inputs!$C$12)</f>
        <v>-10.235955038383963</v>
      </c>
      <c r="K32">
        <f>Scenario_Data!I32-(((SQRT((Inputs!$C$52+(Inputs!$H$7))^2+Inputs!$C$52^2-2*(Inputs!$C$52+(Inputs!$H$7))*Inputs!$C$52*COS(SQRT((Scenario_Data!U32)^2+Inputs!$C$6^2)/Inputs!$C$52)))-(Inputs!$H$7))*1000/Inputs!$C$12)</f>
        <v>-61094.421380709784</v>
      </c>
      <c r="L32">
        <f>Scenario_Data!J32-(((SQRT((Inputs!$C$52+(Inputs!$H$8))^2+Inputs!$C$52^2-2*(Inputs!$C$52+(Inputs!$H$8))*Inputs!$C$52*COS(SQRT((Scenario_Data!V32)^2+Inputs!$C$6^2)/Inputs!$C$52)))-(Inputs!$H$8))*1000/Inputs!$C$12)</f>
        <v>-135224.99566257387</v>
      </c>
      <c r="M32">
        <f>Scenario_Data!K32-(((SQRT((Inputs!$C$52+(Inputs!$H$9))^2+Inputs!$C$52^2-2*(Inputs!$C$52+(Inputs!$H$9))*Inputs!$C$52*COS(SQRT((Scenario_Data!W32)^2+Inputs!$C$6^2)/Inputs!$C$52)))-(Inputs!$H$9))*1000/Inputs!$C$12)</f>
        <v>-138916.51889518261</v>
      </c>
      <c r="O32">
        <f>Scenario_Data!T32</f>
        <v>-45</v>
      </c>
      <c r="P32">
        <f>2*(Scenario_Data!B32*1000)/Inputs!$C$21*1000000</f>
        <v>2683.5231458691333</v>
      </c>
      <c r="Q32">
        <f>Scenario_Data!U32</f>
        <v>-300</v>
      </c>
      <c r="R32">
        <f>2*(Scenario_Data!C32*1000)/Inputs!$C$21*1000000</f>
        <v>1603.1924325461182</v>
      </c>
      <c r="S32">
        <f>Scenario_Data!V32</f>
        <v>-600</v>
      </c>
      <c r="T32">
        <f>2*(Scenario_Data!D32*1000)/Inputs!$C$21*1000000</f>
        <v>3854.7500751336447</v>
      </c>
      <c r="U32">
        <f>Scenario_Data!W32</f>
        <v>-600</v>
      </c>
      <c r="V32">
        <f>2*(Scenario_Data!E32*1000)/Inputs!$C$21*1000000</f>
        <v>3825.5632168038064</v>
      </c>
      <c r="X32">
        <f>Scenario_Data!T32</f>
        <v>-45</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2683.212269613844</v>
      </c>
      <c r="Z32">
        <f>Scenario_Data!U32</f>
        <v>-300</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1602.8094295360397</v>
      </c>
      <c r="AB32">
        <f>Scenario_Data!V32</f>
        <v>-600</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3854.8328075100399</v>
      </c>
      <c r="AD32">
        <f>Scenario_Data!W32</f>
        <v>-600</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3825.645949180202</v>
      </c>
      <c r="AG32">
        <f>Scenario_Data!T32</f>
        <v>-45</v>
      </c>
      <c r="AH32">
        <f>2*(SQRT((Inputs!$C$52+(Scenario_Data!B32))^2+Inputs!$C$52^2-2*(Inputs!$C$52+(Scenario_Data!B32))*Inputs!$C$52*COS(SQRT((Scenario_Data!T32)^2+Inputs!$C$6^2)/Inputs!$C$52))*1000)/Inputs!$C$21*1000000</f>
        <v>2711.0182056718681</v>
      </c>
      <c r="AI32">
        <f>Scenario_Data!U32</f>
        <v>-300</v>
      </c>
      <c r="AJ32">
        <f>2*(SQRT((Inputs!$C$52+(Scenario_Data!C32))^2+Inputs!$C$52^2-2*(Inputs!$C$52+(Scenario_Data!C32))*Inputs!$C$52*COS(SQRT((Scenario_Data!U32)^2+Inputs!$C$6^2)/Inputs!$C$52))*1000)/Inputs!$C$21*1000000</f>
        <v>2685.1773334232421</v>
      </c>
      <c r="AK32">
        <f>Scenario_Data!V32</f>
        <v>-600</v>
      </c>
      <c r="AL32">
        <f>2*(SQRT((Inputs!$C$52+(Scenario_Data!D32))^2+Inputs!$C$52^2-2*(Inputs!$C$52+(Scenario_Data!D32))*Inputs!$C$52*COS(SQRT((Scenario_Data!V32)^2+Inputs!$C$6^2)/Inputs!$C$52))*1000)/Inputs!$C$21*1000000</f>
        <v>6048.2115560449747</v>
      </c>
      <c r="AM32">
        <f>Scenario_Data!W32</f>
        <v>-600</v>
      </c>
      <c r="AN32">
        <f>2*(SQRT((Inputs!$C$52+(Scenario_Data!E32))^2+Inputs!$C$52^2-2*(Inputs!$C$52+(Scenario_Data!E32))*Inputs!$C$52*COS(SQRT((Scenario_Data!W32)^2+Inputs!$C$6^2)/Inputs!$C$52))*1000)/Inputs!$C$21*1000000</f>
        <v>6025.9656641770644</v>
      </c>
      <c r="AP32">
        <f>Scenario_Data!T32</f>
        <v>-45</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2709.6428929865006</v>
      </c>
      <c r="AR32">
        <f>Scenario_Data!U32</f>
        <v>-300</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2684.5852689818762</v>
      </c>
      <c r="AT32">
        <f>Scenario_Data!V32</f>
        <v>-600</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6047.9709491570866</v>
      </c>
      <c r="AV32">
        <f>Scenario_Data!W32</f>
        <v>-600</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6025.7264928486038</v>
      </c>
    </row>
    <row r="33" spans="1:49">
      <c r="A33">
        <f>Chart_Data!K33</f>
        <v>-44.5</v>
      </c>
      <c r="B33">
        <f>Chart_Data!N33-Chart_Data!L33</f>
        <v>-30.449261480925486</v>
      </c>
      <c r="D33">
        <f>Chart_Data!G33</f>
        <v>-44.5</v>
      </c>
      <c r="E33">
        <f>Chart_Data!H33</f>
        <v>201.66422960156285</v>
      </c>
      <c r="F33">
        <f>Chart_Data!I33</f>
        <v>201.66422960156285</v>
      </c>
      <c r="G33">
        <f>Chart_Data!J33</f>
        <v>27.915318214934121</v>
      </c>
      <c r="I33">
        <f>Scenario_Data!A33</f>
        <v>-0.74199999999999999</v>
      </c>
      <c r="J33">
        <f>Scenario_Data!H33-(((SQRT((Inputs!$C$52+(Inputs!$H$6))^2+Inputs!$C$52^2-2*(Inputs!$C$52+(Inputs!$H$6))*Inputs!$C$52*COS(SQRT((Scenario_Data!T33)^2+Inputs!$C$6^2)/Inputs!$C$52)))-(Inputs!$H$6))*1000/Inputs!$C$12)</f>
        <v>-9.8601139367465294</v>
      </c>
      <c r="K33">
        <f>Scenario_Data!I33-(((SQRT((Inputs!$C$52+(Inputs!$H$7))^2+Inputs!$C$52^2-2*(Inputs!$C$52+(Inputs!$H$7))*Inputs!$C$52*COS(SQRT((Scenario_Data!U33)^2+Inputs!$C$6^2)/Inputs!$C$52)))-(Inputs!$H$7))*1000/Inputs!$C$12)</f>
        <v>-60026.903256236488</v>
      </c>
      <c r="L33">
        <f>Scenario_Data!J33-(((SQRT((Inputs!$C$52+(Inputs!$H$8))^2+Inputs!$C$52^2-2*(Inputs!$C$52+(Inputs!$H$8))*Inputs!$C$52*COS(SQRT((Scenario_Data!V33)^2+Inputs!$C$6^2)/Inputs!$C$52)))-(Inputs!$H$8))*1000/Inputs!$C$12)</f>
        <v>-133303.50387707393</v>
      </c>
      <c r="M33">
        <f>Scenario_Data!K33-(((SQRT((Inputs!$C$52+(Inputs!$H$9))^2+Inputs!$C$52^2-2*(Inputs!$C$52+(Inputs!$H$9))*Inputs!$C$52*COS(SQRT((Scenario_Data!W33)^2+Inputs!$C$6^2)/Inputs!$C$52)))-(Inputs!$H$9))*1000/Inputs!$C$12)</f>
        <v>-136979.00244933416</v>
      </c>
      <c r="O33">
        <f>Scenario_Data!T33</f>
        <v>-44.519999999999996</v>
      </c>
      <c r="P33">
        <f>2*(Scenario_Data!B33*1000)/Inputs!$C$21*1000000</f>
        <v>2683.2046321859102</v>
      </c>
      <c r="Q33">
        <f>Scenario_Data!U33</f>
        <v>-296.8</v>
      </c>
      <c r="R33">
        <f>2*(Scenario_Data!C33*1000)/Inputs!$C$21*1000000</f>
        <v>1574.1280589520366</v>
      </c>
      <c r="S33">
        <f>Scenario_Data!V33</f>
        <v>-593.6</v>
      </c>
      <c r="T33">
        <f>2*(Scenario_Data!D33*1000)/Inputs!$C$21*1000000</f>
        <v>3777.9086490561408</v>
      </c>
      <c r="U33">
        <f>Scenario_Data!W33</f>
        <v>-593.6</v>
      </c>
      <c r="V33">
        <f>2*(Scenario_Data!E33*1000)/Inputs!$C$21*1000000</f>
        <v>3747.925506518246</v>
      </c>
      <c r="X33">
        <f>Scenario_Data!T33</f>
        <v>-44.519999999999996</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2682.9899653906477</v>
      </c>
      <c r="Z33">
        <f>Scenario_Data!U33</f>
        <v>-296.8</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1573.7599919685726</v>
      </c>
      <c r="AB33">
        <f>Scenario_Data!V33</f>
        <v>-593.6</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3777.7390062611744</v>
      </c>
      <c r="AD33">
        <f>Scenario_Data!W33</f>
        <v>-593.6</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3747.7558637232796</v>
      </c>
      <c r="AG33">
        <f>Scenario_Data!T33</f>
        <v>-44.519999999999996</v>
      </c>
      <c r="AH33">
        <f>2*(SQRT((Inputs!$C$52+(Scenario_Data!B33))^2+Inputs!$C$52^2-2*(Inputs!$C$52+(Scenario_Data!B33))*Inputs!$C$52*COS(SQRT((Scenario_Data!T33)^2+Inputs!$C$6^2)/Inputs!$C$52))*1000)/Inputs!$C$21*1000000</f>
        <v>2710.2586496341951</v>
      </c>
      <c r="AI33">
        <f>Scenario_Data!U33</f>
        <v>-296.8</v>
      </c>
      <c r="AJ33">
        <f>2*(SQRT((Inputs!$C$52+(Scenario_Data!C33))^2+Inputs!$C$52^2-2*(Inputs!$C$52+(Scenario_Data!C33))*Inputs!$C$52*COS(SQRT((Scenario_Data!U33)^2+Inputs!$C$6^2)/Inputs!$C$52))*1000)/Inputs!$C$21*1000000</f>
        <v>2647.519805513155</v>
      </c>
      <c r="AK33">
        <f>Scenario_Data!V33</f>
        <v>-593.6</v>
      </c>
      <c r="AL33">
        <f>2*(SQRT((Inputs!$C$52+(Scenario_Data!D33))^2+Inputs!$C$52^2-2*(Inputs!$C$52+(Scenario_Data!D33))*Inputs!$C$52*COS(SQRT((Scenario_Data!V33)^2+Inputs!$C$6^2)/Inputs!$C$52))*1000)/Inputs!$C$21*1000000</f>
        <v>5951.9122690476443</v>
      </c>
      <c r="AM33">
        <f>Scenario_Data!W33</f>
        <v>-593.6</v>
      </c>
      <c r="AN33">
        <f>2*(SQRT((Inputs!$C$52+(Scenario_Data!E33))^2+Inputs!$C$52^2-2*(Inputs!$C$52+(Scenario_Data!E33))*Inputs!$C$52*COS(SQRT((Scenario_Data!W33)^2+Inputs!$C$6^2)/Inputs!$C$52))*1000)/Inputs!$C$21*1000000</f>
        <v>5929.1582714862652</v>
      </c>
      <c r="AP33">
        <f>Scenario_Data!T33</f>
        <v>-44.519999999999996</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2708.85476109416</v>
      </c>
      <c r="AR33">
        <f>Scenario_Data!U33</f>
        <v>-296.8</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2647.0848704043919</v>
      </c>
      <c r="AT33">
        <f>Scenario_Data!V33</f>
        <v>-593.6</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5951.3995132318396</v>
      </c>
      <c r="AV33">
        <f>Scenario_Data!W33</f>
        <v>-593.6</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5928.6487363287824</v>
      </c>
    </row>
    <row r="34" spans="1:49">
      <c r="A34">
        <f>Chart_Data!K34</f>
        <v>-44</v>
      </c>
      <c r="B34">
        <f>Chart_Data!N34-Chart_Data!L34</f>
        <v>-21.298233057130091</v>
      </c>
      <c r="D34">
        <f>Chart_Data!G34</f>
        <v>-44</v>
      </c>
      <c r="E34">
        <f>Chart_Data!H34</f>
        <v>200.11672258234324</v>
      </c>
      <c r="F34">
        <f>Chart_Data!I34</f>
        <v>200.11672258234324</v>
      </c>
      <c r="G34">
        <f>Chart_Data!J34</f>
        <v>18.825392010190029</v>
      </c>
      <c r="I34">
        <f>Scenario_Data!A34</f>
        <v>-0.73299999999999998</v>
      </c>
      <c r="J34">
        <f>Scenario_Data!H34-(((SQRT((Inputs!$C$52+(Inputs!$H$6))^2+Inputs!$C$52^2-2*(Inputs!$C$52+(Inputs!$H$6))*Inputs!$C$52*COS(SQRT((Scenario_Data!T34)^2+Inputs!$C$6^2)/Inputs!$C$52)))-(Inputs!$H$6))*1000/Inputs!$C$12)</f>
        <v>-9.4500486732272293</v>
      </c>
      <c r="K34">
        <f>Scenario_Data!I34-(((SQRT((Inputs!$C$52+(Inputs!$H$7))^2+Inputs!$C$52^2-2*(Inputs!$C$52+(Inputs!$H$7))*Inputs!$C$52*COS(SQRT((Scenario_Data!U34)^2+Inputs!$C$6^2)/Inputs!$C$52)))-(Inputs!$H$7))*1000/Inputs!$C$12)</f>
        <v>-58829.984333780361</v>
      </c>
      <c r="L34">
        <f>Scenario_Data!J34-(((SQRT((Inputs!$C$52+(Inputs!$H$8))^2+Inputs!$C$52^2-2*(Inputs!$C$52+(Inputs!$H$8))*Inputs!$C$52*COS(SQRT((Scenario_Data!V34)^2+Inputs!$C$6^2)/Inputs!$C$52)))-(Inputs!$H$8))*1000/Inputs!$C$12)</f>
        <v>-131136.96927609117</v>
      </c>
      <c r="M34">
        <f>Scenario_Data!K34-(((SQRT((Inputs!$C$52+(Inputs!$H$9))^2+Inputs!$C$52^2-2*(Inputs!$C$52+(Inputs!$H$9))*Inputs!$C$52*COS(SQRT((Scenario_Data!W34)^2+Inputs!$C$6^2)/Inputs!$C$52)))-(Inputs!$H$9))*1000/Inputs!$C$12)</f>
        <v>-134793.89137103801</v>
      </c>
      <c r="O34">
        <f>Scenario_Data!T34</f>
        <v>-43.980000000000004</v>
      </c>
      <c r="P34">
        <f>2*(Scenario_Data!B34*1000)/Inputs!$C$21*1000000</f>
        <v>2682.85038711681</v>
      </c>
      <c r="Q34">
        <f>Scenario_Data!U34</f>
        <v>-293.2</v>
      </c>
      <c r="R34">
        <f>2*(Scenario_Data!C34*1000)/Inputs!$C$21*1000000</f>
        <v>1541.8031963966218</v>
      </c>
      <c r="S34">
        <f>Scenario_Data!V34</f>
        <v>-586.4</v>
      </c>
      <c r="T34">
        <f>2*(Scenario_Data!D34*1000)/Inputs!$C$21*1000000</f>
        <v>3692.447026135661</v>
      </c>
      <c r="U34">
        <f>Scenario_Data!W34</f>
        <v>-586.4</v>
      </c>
      <c r="V34">
        <f>2*(Scenario_Data!E34*1000)/Inputs!$C$21*1000000</f>
        <v>3661.5782709250147</v>
      </c>
      <c r="X34">
        <f>Scenario_Data!T34</f>
        <v>-43.980000000000004</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2682.6790087524896</v>
      </c>
      <c r="Z34">
        <f>Scenario_Data!U34</f>
        <v>-293.2</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1541.9632012793968</v>
      </c>
      <c r="AB34">
        <f>Scenario_Data!V34</f>
        <v>-586.4</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3692.4898473144344</v>
      </c>
      <c r="AD34">
        <f>Scenario_Data!W34</f>
        <v>-586.4</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3661.6210921037882</v>
      </c>
      <c r="AG34">
        <f>Scenario_Data!T34</f>
        <v>-43.980000000000004</v>
      </c>
      <c r="AH34">
        <f>2*(SQRT((Inputs!$C$52+(Scenario_Data!B34))^2+Inputs!$C$52^2-2*(Inputs!$C$52+(Scenario_Data!B34))*Inputs!$C$52*COS(SQRT((Scenario_Data!T34)^2+Inputs!$C$6^2)/Inputs!$C$52))*1000)/Inputs!$C$21*1000000</f>
        <v>2709.4137030571701</v>
      </c>
      <c r="AI34">
        <f>Scenario_Data!U34</f>
        <v>-293.2</v>
      </c>
      <c r="AJ34">
        <f>2*(SQRT((Inputs!$C$52+(Scenario_Data!C34))^2+Inputs!$C$52^2-2*(Inputs!$C$52+(Scenario_Data!C34))*Inputs!$C$52*COS(SQRT((Scenario_Data!U34)^2+Inputs!$C$6^2)/Inputs!$C$52))*1000)/Inputs!$C$21*1000000</f>
        <v>2605.4827634648645</v>
      </c>
      <c r="AK34">
        <f>Scenario_Data!V34</f>
        <v>-586.4</v>
      </c>
      <c r="AL34">
        <f>2*(SQRT((Inputs!$C$52+(Scenario_Data!D34))^2+Inputs!$C$52^2-2*(Inputs!$C$52+(Scenario_Data!D34))*Inputs!$C$52*COS(SQRT((Scenario_Data!V34)^2+Inputs!$C$6^2)/Inputs!$C$52))*1000)/Inputs!$C$21*1000000</f>
        <v>5844.6010930614657</v>
      </c>
      <c r="AM34">
        <f>Scenario_Data!W34</f>
        <v>-586.4</v>
      </c>
      <c r="AN34">
        <f>2*(SQRT((Inputs!$C$52+(Scenario_Data!E34))^2+Inputs!$C$52^2-2*(Inputs!$C$52+(Scenario_Data!E34))*Inputs!$C$52*COS(SQRT((Scenario_Data!W34)^2+Inputs!$C$6^2)/Inputs!$C$52))*1000)/Inputs!$C$21*1000000</f>
        <v>5821.2913463973637</v>
      </c>
      <c r="AP34">
        <f>Scenario_Data!T34</f>
        <v>-43.980000000000004</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2708.0463093967692</v>
      </c>
      <c r="AR34">
        <f>Scenario_Data!U34</f>
        <v>-293.2</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2605.1463027637274</v>
      </c>
      <c r="AT34">
        <f>Scenario_Data!V34</f>
        <v>-586.4</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5844.0721638618543</v>
      </c>
      <c r="AV34">
        <f>Scenario_Data!W34</f>
        <v>-586.4</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5820.7659333649044</v>
      </c>
    </row>
    <row r="35" spans="1:49">
      <c r="A35">
        <f>Chart_Data!K35</f>
        <v>-43.5</v>
      </c>
      <c r="B35">
        <f>Chart_Data!N35-Chart_Data!L35</f>
        <v>-25.116904375128371</v>
      </c>
      <c r="D35">
        <f>Chart_Data!G35</f>
        <v>-43.5</v>
      </c>
      <c r="E35">
        <f>Chart_Data!H35</f>
        <v>210.84839534160349</v>
      </c>
      <c r="F35">
        <f>Chart_Data!I35</f>
        <v>210.84839534160349</v>
      </c>
      <c r="G35">
        <f>Chart_Data!J35</f>
        <v>22.55480739682735</v>
      </c>
      <c r="I35">
        <f>Scenario_Data!A35</f>
        <v>-0.72499999999999998</v>
      </c>
      <c r="J35">
        <f>Scenario_Data!H35-(((SQRT((Inputs!$C$52+(Inputs!$H$6))^2+Inputs!$C$52^2-2*(Inputs!$C$52+(Inputs!$H$6))*Inputs!$C$52*COS(SQRT((Scenario_Data!T35)^2+Inputs!$C$6^2)/Inputs!$C$52)))-(Inputs!$H$6))*1000/Inputs!$C$12)</f>
        <v>-9.0966552194690848</v>
      </c>
      <c r="K35">
        <f>Scenario_Data!I35-(((SQRT((Inputs!$C$52+(Inputs!$H$7))^2+Inputs!$C$52^2-2*(Inputs!$C$52+(Inputs!$H$7))*Inputs!$C$52*COS(SQRT((Scenario_Data!U35)^2+Inputs!$C$6^2)/Inputs!$C$52)))-(Inputs!$H$7))*1000/Inputs!$C$12)</f>
        <v>-57769.785871170316</v>
      </c>
      <c r="L35">
        <f>Scenario_Data!J35-(((SQRT((Inputs!$C$52+(Inputs!$H$8))^2+Inputs!$C$52^2-2*(Inputs!$C$52+(Inputs!$H$8))*Inputs!$C$52*COS(SQRT((Scenario_Data!V35)^2+Inputs!$C$6^2)/Inputs!$C$52)))-(Inputs!$H$8))*1000/Inputs!$C$12)</f>
        <v>-129207.10406628711</v>
      </c>
      <c r="M35">
        <f>Scenario_Data!K35-(((SQRT((Inputs!$C$52+(Inputs!$H$9))^2+Inputs!$C$52^2-2*(Inputs!$C$52+(Inputs!$H$9))*Inputs!$C$52*COS(SQRT((Scenario_Data!W35)^2+Inputs!$C$6^2)/Inputs!$C$52)))-(Inputs!$H$9))*1000/Inputs!$C$12)</f>
        <v>-132847.0183380536</v>
      </c>
      <c r="O35">
        <f>Scenario_Data!T35</f>
        <v>-43.5</v>
      </c>
      <c r="P35">
        <f>2*(Scenario_Data!B35*1000)/Inputs!$C$21*1000000</f>
        <v>2682.5391317882991</v>
      </c>
      <c r="Q35">
        <f>Scenario_Data!U35</f>
        <v>-290</v>
      </c>
      <c r="R35">
        <f>2*(Scenario_Data!C35*1000)/Inputs!$C$21*1000000</f>
        <v>1513.4011476699659</v>
      </c>
      <c r="S35">
        <f>Scenario_Data!V35</f>
        <v>-580</v>
      </c>
      <c r="T35">
        <f>2*(Scenario_Data!D35*1000)/Inputs!$C$21*1000000</f>
        <v>3617.3566781323107</v>
      </c>
      <c r="U35">
        <f>Scenario_Data!W35</f>
        <v>-580</v>
      </c>
      <c r="V35">
        <f>2*(Scenario_Data!E35*1000)/Inputs!$C$21*1000000</f>
        <v>3585.7097846003849</v>
      </c>
      <c r="X35">
        <f>Scenario_Data!T35</f>
        <v>-43.5</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2682.3886623098647</v>
      </c>
      <c r="Z35">
        <f>Scenario_Data!U35</f>
        <v>-290</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1513.6531034623615</v>
      </c>
      <c r="AB35">
        <f>Scenario_Data!V35</f>
        <v>-580</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3617.6794807622759</v>
      </c>
      <c r="AD35">
        <f>Scenario_Data!W35</f>
        <v>-580</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3586.0325872303506</v>
      </c>
      <c r="AG35">
        <f>Scenario_Data!T35</f>
        <v>-43.5</v>
      </c>
      <c r="AH35">
        <f>2*(SQRT((Inputs!$C$52+(Scenario_Data!B35))^2+Inputs!$C$52^2-2*(Inputs!$C$52+(Scenario_Data!B35))*Inputs!$C$52*COS(SQRT((Scenario_Data!T35)^2+Inputs!$C$6^2)/Inputs!$C$52))*1000)/Inputs!$C$21*1000000</f>
        <v>2708.6711371730257</v>
      </c>
      <c r="AI35">
        <f>Scenario_Data!U35</f>
        <v>-290</v>
      </c>
      <c r="AJ35">
        <f>2*(SQRT((Inputs!$C$52+(Scenario_Data!C35))^2+Inputs!$C$52^2-2*(Inputs!$C$52+(Scenario_Data!C35))*Inputs!$C$52*COS(SQRT((Scenario_Data!U35)^2+Inputs!$C$6^2)/Inputs!$C$52))*1000)/Inputs!$C$21*1000000</f>
        <v>2568.4063111009086</v>
      </c>
      <c r="AK35">
        <f>Scenario_Data!V35</f>
        <v>-580</v>
      </c>
      <c r="AL35">
        <f>2*(SQRT((Inputs!$C$52+(Scenario_Data!D35))^2+Inputs!$C$52^2-2*(Inputs!$C$52+(Scenario_Data!D35))*Inputs!$C$52*COS(SQRT((Scenario_Data!V35)^2+Inputs!$C$6^2)/Inputs!$C$52))*1000)/Inputs!$C$21*1000000</f>
        <v>5750.1221522344285</v>
      </c>
      <c r="AM35">
        <f>Scenario_Data!W35</f>
        <v>-580</v>
      </c>
      <c r="AN35">
        <f>2*(SQRT((Inputs!$C$52+(Scenario_Data!E35))^2+Inputs!$C$52^2-2*(Inputs!$C$52+(Scenario_Data!E35))*Inputs!$C$52*COS(SQRT((Scenario_Data!W35)^2+Inputs!$C$6^2)/Inputs!$C$52))*1000)/Inputs!$C$21*1000000</f>
        <v>5726.332575075653</v>
      </c>
      <c r="AP35">
        <f>Scenario_Data!T35</f>
        <v>-43.5</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2707.2816005599116</v>
      </c>
      <c r="AR35">
        <f>Scenario_Data!U35</f>
        <v>-290</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2568.0199583114172</v>
      </c>
      <c r="AT35">
        <f>Scenario_Data!V35</f>
        <v>-580</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5749.953698963689</v>
      </c>
      <c r="AV35">
        <f>Scenario_Data!W35</f>
        <v>-580</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5726.1652983833264</v>
      </c>
    </row>
    <row r="36" spans="1:49">
      <c r="A36">
        <f>Chart_Data!K36</f>
        <v>-43</v>
      </c>
      <c r="B36">
        <f>Chart_Data!N36-Chart_Data!L36</f>
        <v>-5.851868406506469</v>
      </c>
      <c r="D36">
        <f>Chart_Data!G36</f>
        <v>-43</v>
      </c>
      <c r="E36">
        <f>Chart_Data!H36</f>
        <v>180.5581841932563</v>
      </c>
      <c r="F36">
        <f>Chart_Data!I36</f>
        <v>180.5581841932563</v>
      </c>
      <c r="G36">
        <f>Chart_Data!J36</f>
        <v>3.69479063881065</v>
      </c>
      <c r="I36">
        <f>Scenario_Data!A36</f>
        <v>-0.71699999999999997</v>
      </c>
      <c r="J36">
        <f>Scenario_Data!H36-(((SQRT((Inputs!$C$52+(Inputs!$H$6))^2+Inputs!$C$52^2-2*(Inputs!$C$52+(Inputs!$H$6))*Inputs!$C$52*COS(SQRT((Scenario_Data!T36)^2+Inputs!$C$6^2)/Inputs!$C$52)))-(Inputs!$H$6))*1000/Inputs!$C$12)</f>
        <v>-8.7535031569864259</v>
      </c>
      <c r="K36">
        <f>Scenario_Data!I36-(((SQRT((Inputs!$C$52+(Inputs!$H$7))^2+Inputs!$C$52^2-2*(Inputs!$C$52+(Inputs!$H$7))*Inputs!$C$52*COS(SQRT((Scenario_Data!U36)^2+Inputs!$C$6^2)/Inputs!$C$52)))-(Inputs!$H$7))*1000/Inputs!$C$12)</f>
        <v>-56713.231033901451</v>
      </c>
      <c r="L36">
        <f>Scenario_Data!J36-(((SQRT((Inputs!$C$52+(Inputs!$H$8))^2+Inputs!$C$52^2-2*(Inputs!$C$52+(Inputs!$H$8))*Inputs!$C$52*COS(SQRT((Scenario_Data!V36)^2+Inputs!$C$6^2)/Inputs!$C$52)))-(Inputs!$H$8))*1000/Inputs!$C$12)</f>
        <v>-127273.6728305979</v>
      </c>
      <c r="M36">
        <f>Scenario_Data!K36-(((SQRT((Inputs!$C$52+(Inputs!$H$9))^2+Inputs!$C$52^2-2*(Inputs!$C$52+(Inputs!$H$9))*Inputs!$C$52*COS(SQRT((Scenario_Data!W36)^2+Inputs!$C$6^2)/Inputs!$C$52)))-(Inputs!$H$9))*1000/Inputs!$C$12)</f>
        <v>-130896.10580357295</v>
      </c>
      <c r="O36">
        <f>Scenario_Data!T36</f>
        <v>-43.019999999999996</v>
      </c>
      <c r="P36">
        <f>2*(Scenario_Data!B36*1000)/Inputs!$C$21*1000000</f>
        <v>2682.231292156122</v>
      </c>
      <c r="Q36">
        <f>Scenario_Data!U36</f>
        <v>-286.79999999999995</v>
      </c>
      <c r="R36">
        <f>2*(Scenario_Data!C36*1000)/Inputs!$C$21*1000000</f>
        <v>1485.3107812338621</v>
      </c>
      <c r="S36">
        <f>Scenario_Data!V36</f>
        <v>-573.59999999999991</v>
      </c>
      <c r="T36">
        <f>2*(Scenario_Data!D36*1000)/Inputs!$C$21*1000000</f>
        <v>3543.0903668697347</v>
      </c>
      <c r="U36">
        <f>Scenario_Data!W36</f>
        <v>-573.59999999999991</v>
      </c>
      <c r="V36">
        <f>2*(Scenario_Data!E36*1000)/Inputs!$C$21*1000000</f>
        <v>3510.6738742573698</v>
      </c>
      <c r="X36">
        <f>Scenario_Data!T36</f>
        <v>-43.019999999999996</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2682.2032020768329</v>
      </c>
      <c r="Z36">
        <f>Scenario_Data!U36</f>
        <v>-286.79999999999995</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1485.0967429511381</v>
      </c>
      <c r="AB36">
        <f>Scenario_Data!V36</f>
        <v>-573.59999999999991</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3542.9615560105917</v>
      </c>
      <c r="AD36">
        <f>Scenario_Data!W36</f>
        <v>-573.59999999999991</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3510.5450633982268</v>
      </c>
      <c r="AG36">
        <f>Scenario_Data!T36</f>
        <v>-43.019999999999996</v>
      </c>
      <c r="AH36">
        <f>2*(SQRT((Inputs!$C$52+(Scenario_Data!B36))^2+Inputs!$C$52^2-2*(Inputs!$C$52+(Scenario_Data!B36))*Inputs!$C$52*COS(SQRT((Scenario_Data!T36)^2+Inputs!$C$6^2)/Inputs!$C$52))*1000)/Inputs!$C$21*1000000</f>
        <v>2707.9365741255974</v>
      </c>
      <c r="AI36">
        <f>Scenario_Data!U36</f>
        <v>-286.79999999999995</v>
      </c>
      <c r="AJ36">
        <f>2*(SQRT((Inputs!$C$52+(Scenario_Data!C36))^2+Inputs!$C$52^2-2*(Inputs!$C$52+(Scenario_Data!C36))*Inputs!$C$52*COS(SQRT((Scenario_Data!U36)^2+Inputs!$C$6^2)/Inputs!$C$52))*1000)/Inputs!$C$21*1000000</f>
        <v>2531.6012212817732</v>
      </c>
      <c r="AK36">
        <f>Scenario_Data!V36</f>
        <v>-573.59999999999991</v>
      </c>
      <c r="AL36">
        <f>2*(SQRT((Inputs!$C$52+(Scenario_Data!D36))^2+Inputs!$C$52^2-2*(Inputs!$C$52+(Scenario_Data!D36))*Inputs!$C$52*COS(SQRT((Scenario_Data!V36)^2+Inputs!$C$6^2)/Inputs!$C$52))*1000)/Inputs!$C$21*1000000</f>
        <v>5656.4958042939516</v>
      </c>
      <c r="AM36">
        <f>Scenario_Data!W36</f>
        <v>-573.59999999999991</v>
      </c>
      <c r="AN36">
        <f>2*(SQRT((Inputs!$C$52+(Scenario_Data!E36))^2+Inputs!$C$52^2-2*(Inputs!$C$52+(Scenario_Data!E36))*Inputs!$C$52*COS(SQRT((Scenario_Data!W36)^2+Inputs!$C$6^2)/Inputs!$C$52))*1000)/Inputs!$C$21*1000000</f>
        <v>5632.2397896392276</v>
      </c>
      <c r="AP36">
        <f>Scenario_Data!T36</f>
        <v>-43.019999999999996</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2706.6595368359267</v>
      </c>
      <c r="AR36">
        <f>Scenario_Data!U36</f>
        <v>-286.79999999999995</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2531.0671004076148</v>
      </c>
      <c r="AT36">
        <f>Scenario_Data!V36</f>
        <v>-573.59999999999991</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5655.9040450008442</v>
      </c>
      <c r="AV36">
        <f>Scenario_Data!W36</f>
        <v>-573.59999999999991</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5631.6523725758498</v>
      </c>
    </row>
    <row r="37" spans="1:49">
      <c r="A37">
        <f>Chart_Data!K37</f>
        <v>-42.5</v>
      </c>
      <c r="B37">
        <f>Chart_Data!N37-Chart_Data!L37</f>
        <v>-11.611992984345875</v>
      </c>
      <c r="D37">
        <f>Chart_Data!G37</f>
        <v>-42.5</v>
      </c>
      <c r="E37">
        <f>Chart_Data!H37</f>
        <v>181.72917551772019</v>
      </c>
      <c r="F37">
        <f>Chart_Data!I37</f>
        <v>181.72917551772019</v>
      </c>
      <c r="G37">
        <f>Chart_Data!J37</f>
        <v>9.4775494942885228</v>
      </c>
      <c r="I37">
        <f>Scenario_Data!A37</f>
        <v>-0.70799999999999996</v>
      </c>
      <c r="J37">
        <f>Scenario_Data!H37-(((SQRT((Inputs!$C$52+(Inputs!$H$6))^2+Inputs!$C$52^2-2*(Inputs!$C$52+(Inputs!$H$6))*Inputs!$C$52*COS(SQRT((Scenario_Data!T37)^2+Inputs!$C$6^2)/Inputs!$C$52)))-(Inputs!$H$6))*1000/Inputs!$C$12)</f>
        <v>-8.379445258978194</v>
      </c>
      <c r="K37">
        <f>Scenario_Data!I37-(((SQRT((Inputs!$C$52+(Inputs!$H$7))^2+Inputs!$C$52^2-2*(Inputs!$C$52+(Inputs!$H$7))*Inputs!$C$52*COS(SQRT((Scenario_Data!U37)^2+Inputs!$C$6^2)/Inputs!$C$52)))-(Inputs!$H$7))*1000/Inputs!$C$12)</f>
        <v>-55529.124801208105</v>
      </c>
      <c r="L37">
        <f>Scenario_Data!J37-(((SQRT((Inputs!$C$52+(Inputs!$H$8))^2+Inputs!$C$52^2-2*(Inputs!$C$52+(Inputs!$H$8))*Inputs!$C$52*COS(SQRT((Scenario_Data!V37)^2+Inputs!$C$6^2)/Inputs!$C$52)))-(Inputs!$H$8))*1000/Inputs!$C$12)</f>
        <v>-125094.61059367191</v>
      </c>
      <c r="M37">
        <f>Scenario_Data!K37-(((SQRT((Inputs!$C$52+(Inputs!$H$9))^2+Inputs!$C$52^2-2*(Inputs!$C$52+(Inputs!$H$9))*Inputs!$C$52*COS(SQRT((Scenario_Data!W37)^2+Inputs!$C$6^2)/Inputs!$C$52)))-(Inputs!$H$9))*1000/Inputs!$C$12)</f>
        <v>-128696.80249462565</v>
      </c>
      <c r="O37">
        <f>Scenario_Data!T37</f>
        <v>-42.48</v>
      </c>
      <c r="P37">
        <f>2*(Scenario_Data!B37*1000)/Inputs!$C$21*1000000</f>
        <v>2681.8890553944493</v>
      </c>
      <c r="Q37">
        <f>Scenario_Data!U37</f>
        <v>-283.2</v>
      </c>
      <c r="R37">
        <f>2*(Scenario_Data!C37*1000)/Inputs!$C$21*1000000</f>
        <v>1454.0816767311737</v>
      </c>
      <c r="S37">
        <f>Scenario_Data!V37</f>
        <v>-566.4</v>
      </c>
      <c r="T37">
        <f>2*(Scenario_Data!D37*1000)/Inputs!$C$21*1000000</f>
        <v>3460.5257481160511</v>
      </c>
      <c r="U37">
        <f>Scenario_Data!W37</f>
        <v>-566.4</v>
      </c>
      <c r="V37">
        <f>2*(Scenario_Data!E37*1000)/Inputs!$C$21*1000000</f>
        <v>3427.2536635995016</v>
      </c>
      <c r="X37">
        <f>Scenario_Data!T37</f>
        <v>-42.48</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2681.7900212837867</v>
      </c>
      <c r="Z37">
        <f>Scenario_Data!U37</f>
        <v>-283.2</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1453.6204263071959</v>
      </c>
      <c r="AB37">
        <f>Scenario_Data!V37</f>
        <v>-566.4</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3460.5582527761894</v>
      </c>
      <c r="AD37">
        <f>Scenario_Data!W37</f>
        <v>-566.4</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3427.2861682596395</v>
      </c>
      <c r="AG37">
        <f>Scenario_Data!T37</f>
        <v>-42.48</v>
      </c>
      <c r="AH37">
        <f>2*(SQRT((Inputs!$C$52+(Scenario_Data!B37))^2+Inputs!$C$52^2-2*(Inputs!$C$52+(Scenario_Data!B37))*Inputs!$C$52*COS(SQRT((Scenario_Data!T37)^2+Inputs!$C$6^2)/Inputs!$C$52))*1000)/Inputs!$C$21*1000000</f>
        <v>2707.1197624607562</v>
      </c>
      <c r="AI37">
        <f>Scenario_Data!U37</f>
        <v>-283.2</v>
      </c>
      <c r="AJ37">
        <f>2*(SQRT((Inputs!$C$52+(Scenario_Data!C37))^2+Inputs!$C$52^2-2*(Inputs!$C$52+(Scenario_Data!C37))*Inputs!$C$52*COS(SQRT((Scenario_Data!U37)^2+Inputs!$C$6^2)/Inputs!$C$52))*1000)/Inputs!$C$21*1000000</f>
        <v>2490.5181609486822</v>
      </c>
      <c r="AK37">
        <f>Scenario_Data!V37</f>
        <v>-566.4</v>
      </c>
      <c r="AL37">
        <f>2*(SQRT((Inputs!$C$52+(Scenario_Data!D37))^2+Inputs!$C$52^2-2*(Inputs!$C$52+(Scenario_Data!D37))*Inputs!$C$52*COS(SQRT((Scenario_Data!V37)^2+Inputs!$C$6^2)/Inputs!$C$52))*1000)/Inputs!$C$21*1000000</f>
        <v>5552.1819212211358</v>
      </c>
      <c r="AM37">
        <f>Scenario_Data!W37</f>
        <v>-566.4</v>
      </c>
      <c r="AN37">
        <f>2*(SQRT((Inputs!$C$52+(Scenario_Data!E37))^2+Inputs!$C$52^2-2*(Inputs!$C$52+(Scenario_Data!E37))*Inputs!$C$52*COS(SQRT((Scenario_Data!W37)^2+Inputs!$C$6^2)/Inputs!$C$52))*1000)/Inputs!$C$21*1000000</f>
        <v>5527.4172410510082</v>
      </c>
      <c r="AP37">
        <f>Scenario_Data!T37</f>
        <v>-42.48</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2705.8693463886002</v>
      </c>
      <c r="AR37">
        <f>Scenario_Data!U37</f>
        <v>-283.2</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2489.8874815984691</v>
      </c>
      <c r="AT37">
        <f>Scenario_Data!V37</f>
        <v>-566.4</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5551.8507587493432</v>
      </c>
      <c r="AV37">
        <f>Scenario_Data!W37</f>
        <v>-566.4</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5527.0886441711264</v>
      </c>
    </row>
    <row r="38" spans="1:49">
      <c r="A38">
        <f>Chart_Data!K38</f>
        <v>-42</v>
      </c>
      <c r="B38">
        <f>Chart_Data!N38-Chart_Data!L38</f>
        <v>6.7213152432573793</v>
      </c>
      <c r="D38">
        <f>Chart_Data!G38</f>
        <v>-42</v>
      </c>
      <c r="E38">
        <f>Chart_Data!H38</f>
        <v>170.62817299702391</v>
      </c>
      <c r="F38">
        <f>Chart_Data!I38</f>
        <v>170.62817299702391</v>
      </c>
      <c r="G38">
        <f>Chart_Data!J38</f>
        <v>-8.6913035259942717</v>
      </c>
      <c r="I38">
        <f>Scenario_Data!A38</f>
        <v>-0.7</v>
      </c>
      <c r="J38">
        <f>Scenario_Data!H38-(((SQRT((Inputs!$C$52+(Inputs!$H$6))^2+Inputs!$C$52^2-2*(Inputs!$C$52+(Inputs!$H$6))*Inputs!$C$52*COS(SQRT((Scenario_Data!T38)^2+Inputs!$C$6^2)/Inputs!$C$52)))-(Inputs!$H$6))*1000/Inputs!$C$12)</f>
        <v>-8.0573823215368066</v>
      </c>
      <c r="K38">
        <f>Scenario_Data!I38-(((SQRT((Inputs!$C$52+(Inputs!$H$7))^2+Inputs!$C$52^2-2*(Inputs!$C$52+(Inputs!$H$7))*Inputs!$C$52*COS(SQRT((Scenario_Data!U38)^2+Inputs!$C$6^2)/Inputs!$C$52)))-(Inputs!$H$7))*1000/Inputs!$C$12)</f>
        <v>-54480.749191198192</v>
      </c>
      <c r="L38">
        <f>Scenario_Data!J38-(((SQRT((Inputs!$C$52+(Inputs!$H$8))^2+Inputs!$C$52^2-2*(Inputs!$C$52+(Inputs!$H$8))*Inputs!$C$52*COS(SQRT((Scenario_Data!V38)^2+Inputs!$C$6^2)/Inputs!$C$52)))-(Inputs!$H$8))*1000/Inputs!$C$12)</f>
        <v>-123154.43747008915</v>
      </c>
      <c r="M38">
        <f>Scenario_Data!K38-(((SQRT((Inputs!$C$52+(Inputs!$H$9))^2+Inputs!$C$52^2-2*(Inputs!$C$52+(Inputs!$H$9))*Inputs!$C$52*COS(SQRT((Scenario_Data!W38)^2+Inputs!$C$6^2)/Inputs!$C$52)))-(Inputs!$H$9))*1000/Inputs!$C$12)</f>
        <v>-126738.11882360443</v>
      </c>
      <c r="O38">
        <f>Scenario_Data!T38</f>
        <v>-42</v>
      </c>
      <c r="P38">
        <f>2*(Scenario_Data!B38*1000)/Inputs!$C$21*1000000</f>
        <v>2681.5884741169839</v>
      </c>
      <c r="Q38">
        <f>Scenario_Data!U38</f>
        <v>-280</v>
      </c>
      <c r="R38">
        <f>2*(Scenario_Data!C38*1000)/Inputs!$C$21*1000000</f>
        <v>1426.6536351624961</v>
      </c>
      <c r="S38">
        <f>Scenario_Data!V38</f>
        <v>-560</v>
      </c>
      <c r="T38">
        <f>2*(Scenario_Data!D38*1000)/Inputs!$C$21*1000000</f>
        <v>3388.0105149276301</v>
      </c>
      <c r="U38">
        <f>Scenario_Data!W38</f>
        <v>-560</v>
      </c>
      <c r="V38">
        <f>2*(Scenario_Data!E38*1000)/Inputs!$C$21*1000000</f>
        <v>3353.9869772174184</v>
      </c>
      <c r="X38">
        <f>Scenario_Data!T38</f>
        <v>-42</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2681.6464562529191</v>
      </c>
      <c r="Z38">
        <f>Scenario_Data!U38</f>
        <v>-280</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1426.4451757847878</v>
      </c>
      <c r="AB38">
        <f>Scenario_Data!V38</f>
        <v>-560</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3387.9425003472197</v>
      </c>
      <c r="AD38">
        <f>Scenario_Data!W38</f>
        <v>-560</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3353.9189626370085</v>
      </c>
      <c r="AG38">
        <f>Scenario_Data!T38</f>
        <v>-42</v>
      </c>
      <c r="AH38">
        <f>2*(SQRT((Inputs!$C$52+(Scenario_Data!B38))^2+Inputs!$C$52^2-2*(Inputs!$C$52+(Scenario_Data!B38))*Inputs!$C$52*COS(SQRT((Scenario_Data!T38)^2+Inputs!$C$6^2)/Inputs!$C$52))*1000)/Inputs!$C$21*1000000</f>
        <v>2706.4022210494791</v>
      </c>
      <c r="AI38">
        <f>Scenario_Data!U38</f>
        <v>-280</v>
      </c>
      <c r="AJ38">
        <f>2*(SQRT((Inputs!$C$52+(Scenario_Data!C38))^2+Inputs!$C$52^2-2*(Inputs!$C$52+(Scenario_Data!C38))*Inputs!$C$52*COS(SQRT((Scenario_Data!U38)^2+Inputs!$C$6^2)/Inputs!$C$52))*1000)/Inputs!$C$21*1000000</f>
        <v>2454.2851668233561</v>
      </c>
      <c r="AK38">
        <f>Scenario_Data!V38</f>
        <v>-560</v>
      </c>
      <c r="AL38">
        <f>2*(SQRT((Inputs!$C$52+(Scenario_Data!D38))^2+Inputs!$C$52^2-2*(Inputs!$C$52+(Scenario_Data!D38))*Inputs!$C$52*COS(SQRT((Scenario_Data!V38)^2+Inputs!$C$6^2)/Inputs!$C$52))*1000)/Inputs!$C$21*1000000</f>
        <v>5460.3582902555545</v>
      </c>
      <c r="AM38">
        <f>Scenario_Data!W38</f>
        <v>-560</v>
      </c>
      <c r="AN38">
        <f>2*(SQRT((Inputs!$C$52+(Scenario_Data!E38))^2+Inputs!$C$52^2-2*(Inputs!$C$52+(Scenario_Data!E38))*Inputs!$C$52*COS(SQRT((Scenario_Data!W38)^2+Inputs!$C$6^2)/Inputs!$C$52))*1000)/Inputs!$C$21*1000000</f>
        <v>5435.1558124688245</v>
      </c>
      <c r="AP38">
        <f>Scenario_Data!T38</f>
        <v>-42</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2705.2770547538398</v>
      </c>
      <c r="AR38">
        <f>Scenario_Data!U38</f>
        <v>-280</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2453.7296576050267</v>
      </c>
      <c r="AT38">
        <f>Scenario_Data!V38</f>
        <v>-560</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5459.9978954557082</v>
      </c>
      <c r="AV38">
        <f>Scenario_Data!W38</f>
        <v>-560</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5434.7983466366604</v>
      </c>
    </row>
    <row r="39" spans="1:49">
      <c r="A39">
        <f>Chart_Data!K39</f>
        <v>-41.5</v>
      </c>
      <c r="B39">
        <f>Chart_Data!N39-Chart_Data!L39</f>
        <v>13.847610350363624</v>
      </c>
      <c r="D39">
        <f>Chart_Data!G39</f>
        <v>-41.5</v>
      </c>
      <c r="E39">
        <f>Chart_Data!H39</f>
        <v>171.38557913738282</v>
      </c>
      <c r="F39">
        <f>Chart_Data!I39</f>
        <v>171.38557913738282</v>
      </c>
      <c r="G39">
        <f>Chart_Data!J39</f>
        <v>-15.792555414769886</v>
      </c>
      <c r="I39">
        <f>Scenario_Data!A39</f>
        <v>-0.69199999999999995</v>
      </c>
      <c r="J39">
        <f>Scenario_Data!H39-(((SQRT((Inputs!$C$52+(Inputs!$H$6))^2+Inputs!$C$52^2-2*(Inputs!$C$52+(Inputs!$H$6))*Inputs!$C$52*COS(SQRT((Scenario_Data!T39)^2+Inputs!$C$6^2)/Inputs!$C$52)))-(Inputs!$H$6))*1000/Inputs!$C$12)</f>
        <v>-7.7449306373637228</v>
      </c>
      <c r="K39">
        <f>Scenario_Data!I39-(((SQRT((Inputs!$C$52+(Inputs!$H$7))^2+Inputs!$C$52^2-2*(Inputs!$C$52+(Inputs!$H$7))*Inputs!$C$52*COS(SQRT((Scenario_Data!U39)^2+Inputs!$C$6^2)/Inputs!$C$52)))-(Inputs!$H$7))*1000/Inputs!$C$12)</f>
        <v>-53436.433148204567</v>
      </c>
      <c r="L39">
        <f>Scenario_Data!J39-(((SQRT((Inputs!$C$52+(Inputs!$H$8))^2+Inputs!$C$52^2-2*(Inputs!$C$52+(Inputs!$H$8))*Inputs!$C$52*COS(SQRT((Scenario_Data!V39)^2+Inputs!$C$6^2)/Inputs!$C$52)))-(Inputs!$H$8))*1000/Inputs!$C$12)</f>
        <v>-121211.50058427514</v>
      </c>
      <c r="M39">
        <f>Scenario_Data!K39-(((SQRT((Inputs!$C$52+(Inputs!$H$9))^2+Inputs!$C$52^2-2*(Inputs!$C$52+(Inputs!$H$9))*Inputs!$C$52*COS(SQRT((Scenario_Data!W39)^2+Inputs!$C$6^2)/Inputs!$C$52)))-(Inputs!$H$9))*1000/Inputs!$C$12)</f>
        <v>-124776.17612891932</v>
      </c>
      <c r="O39">
        <f>Scenario_Data!T39</f>
        <v>-41.519999999999996</v>
      </c>
      <c r="P39">
        <f>2*(Scenario_Data!B39*1000)/Inputs!$C$21*1000000</f>
        <v>2681.2913085358537</v>
      </c>
      <c r="Q39">
        <f>Scenario_Data!U39</f>
        <v>-276.79999999999995</v>
      </c>
      <c r="R39">
        <f>2*(Scenario_Data!C39*1000)/Inputs!$C$21*1000000</f>
        <v>1399.5372758843714</v>
      </c>
      <c r="S39">
        <f>Scenario_Data!V39</f>
        <v>-553.59999999999991</v>
      </c>
      <c r="T39">
        <f>2*(Scenario_Data!D39*1000)/Inputs!$C$21*1000000</f>
        <v>3316.3193184799852</v>
      </c>
      <c r="U39">
        <f>Scenario_Data!W39</f>
        <v>-553.59999999999991</v>
      </c>
      <c r="V39">
        <f>2*(Scenario_Data!E39*1000)/Inputs!$C$21*1000000</f>
        <v>3281.5528668169482</v>
      </c>
      <c r="X39">
        <f>Scenario_Data!T39</f>
        <v>-41.519999999999996</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2681.4018438923181</v>
      </c>
      <c r="Z39">
        <f>Scenario_Data!U39</f>
        <v>-276.79999999999995</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1399.6223178847788</v>
      </c>
      <c r="AB39">
        <f>Scenario_Data!V39</f>
        <v>-553.59999999999991</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3315.7545835019178</v>
      </c>
      <c r="AD39">
        <f>Scenario_Data!W39</f>
        <v>-553.59999999999991</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3280.9881318388811</v>
      </c>
      <c r="AG39">
        <f>Scenario_Data!T39</f>
        <v>-41.519999999999996</v>
      </c>
      <c r="AH39">
        <f>2*(SQRT((Inputs!$C$52+(Scenario_Data!B39))^2+Inputs!$C$52^2-2*(Inputs!$C$52+(Scenario_Data!B39))*Inputs!$C$52*COS(SQRT((Scenario_Data!T39)^2+Inputs!$C$6^2)/Inputs!$C$52))*1000)/Inputs!$C$21*1000000</f>
        <v>2705.6926970657478</v>
      </c>
      <c r="AI39">
        <f>Scenario_Data!U39</f>
        <v>-276.79999999999995</v>
      </c>
      <c r="AJ39">
        <f>2*(SQRT((Inputs!$C$52+(Scenario_Data!C39))^2+Inputs!$C$52^2-2*(Inputs!$C$52+(Scenario_Data!C39))*Inputs!$C$52*COS(SQRT((Scenario_Data!U39)^2+Inputs!$C$6^2)/Inputs!$C$52))*1000)/Inputs!$C$21*1000000</f>
        <v>2418.3192089337513</v>
      </c>
      <c r="AK39">
        <f>Scenario_Data!V39</f>
        <v>-553.59999999999991</v>
      </c>
      <c r="AL39">
        <f>2*(SQRT((Inputs!$C$52+(Scenario_Data!D39))^2+Inputs!$C$52^2-2*(Inputs!$C$52+(Scenario_Data!D39))*Inputs!$C$52*COS(SQRT((Scenario_Data!V39)^2+Inputs!$C$6^2)/Inputs!$C$52))*1000)/Inputs!$C$21*1000000</f>
        <v>5369.3785657395565</v>
      </c>
      <c r="AM39">
        <f>Scenario_Data!W39</f>
        <v>-553.59999999999991</v>
      </c>
      <c r="AN39">
        <f>2*(SQRT((Inputs!$C$52+(Scenario_Data!E39))^2+Inputs!$C$52^2-2*(Inputs!$C$52+(Scenario_Data!E39))*Inputs!$C$52*COS(SQRT((Scenario_Data!W39)^2+Inputs!$C$6^2)/Inputs!$C$52))*1000)/Inputs!$C$21*1000000</f>
        <v>5343.7518501523427</v>
      </c>
      <c r="AP39">
        <f>Scenario_Data!T39</f>
        <v>-41.519999999999996</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2704.5693253611653</v>
      </c>
      <c r="AR39">
        <f>Scenario_Data!U39</f>
        <v>-276.79999999999995</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2417.9520871285163</v>
      </c>
      <c r="AT39">
        <f>Scenario_Data!V39</f>
        <v>-553.59999999999991</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5368.7858670736305</v>
      </c>
      <c r="AV39">
        <f>Scenario_Data!W39</f>
        <v>-553.59999999999991</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5343.1642028627093</v>
      </c>
    </row>
    <row r="40" spans="1:49">
      <c r="A40">
        <f>Chart_Data!K40</f>
        <v>-41</v>
      </c>
      <c r="B40">
        <f>Chart_Data!N40-Chart_Data!L40</f>
        <v>15.915812814890273</v>
      </c>
      <c r="D40">
        <f>Chart_Data!G40</f>
        <v>-41</v>
      </c>
      <c r="E40">
        <f>Chart_Data!H40</f>
        <v>176.66624192778235</v>
      </c>
      <c r="F40">
        <f>Chart_Data!I40</f>
        <v>176.66624192778235</v>
      </c>
      <c r="G40">
        <f>Chart_Data!J40</f>
        <v>-17.886266996681616</v>
      </c>
      <c r="I40">
        <f>Scenario_Data!A40</f>
        <v>-0.68300000000000005</v>
      </c>
      <c r="J40">
        <f>Scenario_Data!H40-(((SQRT((Inputs!$C$52+(Inputs!$H$6))^2+Inputs!$C$52^2-2*(Inputs!$C$52+(Inputs!$H$6))*Inputs!$C$52*COS(SQRT((Scenario_Data!T40)^2+Inputs!$C$6^2)/Inputs!$C$52)))-(Inputs!$H$6))*1000/Inputs!$C$12)</f>
        <v>-7.4046648244461721</v>
      </c>
      <c r="K40">
        <f>Scenario_Data!I40-(((SQRT((Inputs!$C$52+(Inputs!$H$7))^2+Inputs!$C$52^2-2*(Inputs!$C$52+(Inputs!$H$7))*Inputs!$C$52*COS(SQRT((Scenario_Data!U40)^2+Inputs!$C$6^2)/Inputs!$C$52)))-(Inputs!$H$7))*1000/Inputs!$C$12)</f>
        <v>-52266.602037422461</v>
      </c>
      <c r="L40">
        <f>Scenario_Data!J40-(((SQRT((Inputs!$C$52+(Inputs!$H$8))^2+Inputs!$C$52^2-2*(Inputs!$C$52+(Inputs!$H$8))*Inputs!$C$52*COS(SQRT((Scenario_Data!V40)^2+Inputs!$C$6^2)/Inputs!$C$52)))-(Inputs!$H$8))*1000/Inputs!$C$12)</f>
        <v>-119022.73194468833</v>
      </c>
      <c r="M40">
        <f>Scenario_Data!K40-(((SQRT((Inputs!$C$52+(Inputs!$H$9))^2+Inputs!$C$52^2-2*(Inputs!$C$52+(Inputs!$H$9))*Inputs!$C$52*COS(SQRT((Scenario_Data!W40)^2+Inputs!$C$6^2)/Inputs!$C$52)))-(Inputs!$H$9))*1000/Inputs!$C$12)</f>
        <v>-122565.42525707473</v>
      </c>
      <c r="O40">
        <f>Scenario_Data!T40</f>
        <v>-40.980000000000004</v>
      </c>
      <c r="P40">
        <f>2*(Scenario_Data!B40*1000)/Inputs!$C$21*1000000</f>
        <v>2680.9610800816076</v>
      </c>
      <c r="Q40">
        <f>Scenario_Data!U40</f>
        <v>-273.20000000000005</v>
      </c>
      <c r="R40">
        <f>2*(Scenario_Data!C40*1000)/Inputs!$C$21*1000000</f>
        <v>1369.4039294344093</v>
      </c>
      <c r="S40">
        <f>Scenario_Data!V40</f>
        <v>-546.40000000000009</v>
      </c>
      <c r="T40">
        <f>2*(Scenario_Data!D40*1000)/Inputs!$C$21*1000000</f>
        <v>3236.6517038930992</v>
      </c>
      <c r="U40">
        <f>Scenario_Data!W40</f>
        <v>-546.40000000000009</v>
      </c>
      <c r="V40">
        <f>2*(Scenario_Data!E40*1000)/Inputs!$C$21*1000000</f>
        <v>3201.0596810944471</v>
      </c>
      <c r="X40">
        <f>Scenario_Data!T40</f>
        <v>-40.980000000000004</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2681.0046271600381</v>
      </c>
      <c r="Z40">
        <f>Scenario_Data!U40</f>
        <v>-273.20000000000005</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1369.53463092272</v>
      </c>
      <c r="AB40">
        <f>Scenario_Data!V40</f>
        <v>-546.40000000000009</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3236.4613821608532</v>
      </c>
      <c r="AD40">
        <f>Scenario_Data!W40</f>
        <v>-546.40000000000009</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3200.8693593622015</v>
      </c>
      <c r="AG40">
        <f>Scenario_Data!T40</f>
        <v>-40.980000000000004</v>
      </c>
      <c r="AH40">
        <f>2*(SQRT((Inputs!$C$52+(Scenario_Data!B40))^2+Inputs!$C$52^2-2*(Inputs!$C$52+(Scenario_Data!B40))*Inputs!$C$52*COS(SQRT((Scenario_Data!T40)^2+Inputs!$C$6^2)/Inputs!$C$52))*1000)/Inputs!$C$21*1000000</f>
        <v>2704.9040716081277</v>
      </c>
      <c r="AI40">
        <f>Scenario_Data!U40</f>
        <v>-273.20000000000005</v>
      </c>
      <c r="AJ40">
        <f>2*(SQRT((Inputs!$C$52+(Scenario_Data!C40))^2+Inputs!$C$52^2-2*(Inputs!$C$52+(Scenario_Data!C40))*Inputs!$C$52*COS(SQRT((Scenario_Data!U40)^2+Inputs!$C$6^2)/Inputs!$C$52))*1000)/Inputs!$C$21*1000000</f>
        <v>2378.1749207105045</v>
      </c>
      <c r="AK40">
        <f>Scenario_Data!V40</f>
        <v>-546.40000000000009</v>
      </c>
      <c r="AL40">
        <f>2*(SQRT((Inputs!$C$52+(Scenario_Data!D40))^2+Inputs!$C$52^2-2*(Inputs!$C$52+(Scenario_Data!D40))*Inputs!$C$52*COS(SQRT((Scenario_Data!V40)^2+Inputs!$C$6^2)/Inputs!$C$52))*1000)/Inputs!$C$21*1000000</f>
        <v>5268.0314290477454</v>
      </c>
      <c r="AM40">
        <f>Scenario_Data!W40</f>
        <v>-546.40000000000009</v>
      </c>
      <c r="AN40">
        <f>2*(SQRT((Inputs!$C$52+(Scenario_Data!E40))^2+Inputs!$C$52^2-2*(Inputs!$C$52+(Scenario_Data!E40))*Inputs!$C$52*COS(SQRT((Scenario_Data!W40)^2+Inputs!$C$6^2)/Inputs!$C$52))*1000)/Inputs!$C$21*1000000</f>
        <v>5241.943717406506</v>
      </c>
      <c r="AP40">
        <f>Scenario_Data!T40</f>
        <v>-40.980000000000004</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2703.6905678073786</v>
      </c>
      <c r="AR40">
        <f>Scenario_Data!U40</f>
        <v>-273.20000000000005</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2377.7187158263891</v>
      </c>
      <c r="AT40">
        <f>Scenario_Data!V40</f>
        <v>-546.40000000000009</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5267.6229939401692</v>
      </c>
      <c r="AV40">
        <f>Scenario_Data!W40</f>
        <v>-546.40000000000009</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5241.5389512381753</v>
      </c>
    </row>
    <row r="41" spans="1:49">
      <c r="A41">
        <f>Chart_Data!K41</f>
        <v>-40.5</v>
      </c>
      <c r="B41">
        <f>Chart_Data!N41-Chart_Data!L41</f>
        <v>12.946690285493901</v>
      </c>
      <c r="D41">
        <f>Chart_Data!G41</f>
        <v>-40.5</v>
      </c>
      <c r="E41">
        <f>Chart_Data!H41</f>
        <v>191.24651788741608</v>
      </c>
      <c r="F41">
        <f>Chart_Data!I41</f>
        <v>191.24651788741608</v>
      </c>
      <c r="G41">
        <f>Chart_Data!J41</f>
        <v>-15.042977474303433</v>
      </c>
      <c r="I41">
        <f>Scenario_Data!A41</f>
        <v>-0.67500000000000004</v>
      </c>
      <c r="J41">
        <f>Scenario_Data!H41-(((SQRT((Inputs!$C$52+(Inputs!$H$6))^2+Inputs!$C$52^2-2*(Inputs!$C$52+(Inputs!$H$6))*Inputs!$C$52*COS(SQRT((Scenario_Data!T41)^2+Inputs!$C$6^2)/Inputs!$C$52)))-(Inputs!$H$6))*1000/Inputs!$C$12)</f>
        <v>-7.1119829201097673</v>
      </c>
      <c r="K41">
        <f>Scenario_Data!I41-(((SQRT((Inputs!$C$52+(Inputs!$H$7))^2+Inputs!$C$52^2-2*(Inputs!$C$52+(Inputs!$H$7))*Inputs!$C$52*COS(SQRT((Scenario_Data!U41)^2+Inputs!$C$6^2)/Inputs!$C$52)))-(Inputs!$H$7))*1000/Inputs!$C$12)</f>
        <v>-51231.374010913656</v>
      </c>
      <c r="L41">
        <f>Scenario_Data!J41-(((SQRT((Inputs!$C$52+(Inputs!$H$8))^2+Inputs!$C$52^2-2*(Inputs!$C$52+(Inputs!$H$8))*Inputs!$C$52*COS(SQRT((Scenario_Data!V41)^2+Inputs!$C$6^2)/Inputs!$C$52)))-(Inputs!$H$8))*1000/Inputs!$C$12)</f>
        <v>-117074.83465957025</v>
      </c>
      <c r="M41">
        <f>Scenario_Data!K41-(((SQRT((Inputs!$C$52+(Inputs!$H$9))^2+Inputs!$C$52^2-2*(Inputs!$C$52+(Inputs!$H$9))*Inputs!$C$52*COS(SQRT((Scenario_Data!W41)^2+Inputs!$C$6^2)/Inputs!$C$52)))-(Inputs!$H$9))*1000/Inputs!$C$12)</f>
        <v>-120597.44652148281</v>
      </c>
      <c r="O41">
        <f>Scenario_Data!T41</f>
        <v>-40.5</v>
      </c>
      <c r="P41">
        <f>2*(Scenario_Data!B41*1000)/Inputs!$C$21*1000000</f>
        <v>2680.6711728551891</v>
      </c>
      <c r="Q41">
        <f>Scenario_Data!U41</f>
        <v>-270</v>
      </c>
      <c r="R41">
        <f>2*(Scenario_Data!C41*1000)/Inputs!$C$21*1000000</f>
        <v>1342.9498950237103</v>
      </c>
      <c r="S41">
        <f>Scenario_Data!V41</f>
        <v>-540</v>
      </c>
      <c r="T41">
        <f>2*(Scenario_Data!D41*1000)/Inputs!$C$21*1000000</f>
        <v>3166.7115855196066</v>
      </c>
      <c r="U41">
        <f>Scenario_Data!W41</f>
        <v>-540</v>
      </c>
      <c r="V41">
        <f>2*(Scenario_Data!E41*1000)/Inputs!$C$21*1000000</f>
        <v>3130.3947946549083</v>
      </c>
      <c r="X41">
        <f>Scenario_Data!T41</f>
        <v>-40.5</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2680.7715287985948</v>
      </c>
      <c r="Z41">
        <f>Scenario_Data!U41</f>
        <v>-270</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1342.8567868048142</v>
      </c>
      <c r="AB41">
        <f>Scenario_Data!V41</f>
        <v>-540</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3166.259400612073</v>
      </c>
      <c r="AD41">
        <f>Scenario_Data!W41</f>
        <v>-540</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3129.9426097473743</v>
      </c>
      <c r="AG41">
        <f>Scenario_Data!T41</f>
        <v>-40.5</v>
      </c>
      <c r="AH41">
        <f>2*(SQRT((Inputs!$C$52+(Scenario_Data!B41))^2+Inputs!$C$52^2-2*(Inputs!$C$52+(Scenario_Data!B41))*Inputs!$C$52*COS(SQRT((Scenario_Data!T41)^2+Inputs!$C$6^2)/Inputs!$C$52))*1000)/Inputs!$C$21*1000000</f>
        <v>2704.2115997852675</v>
      </c>
      <c r="AI41">
        <f>Scenario_Data!U41</f>
        <v>-270</v>
      </c>
      <c r="AJ41">
        <f>2*(SQRT((Inputs!$C$52+(Scenario_Data!C41))^2+Inputs!$C$52^2-2*(Inputs!$C$52+(Scenario_Data!C41))*Inputs!$C$52*COS(SQRT((Scenario_Data!U41)^2+Inputs!$C$6^2)/Inputs!$C$52))*1000)/Inputs!$C$21*1000000</f>
        <v>2342.7716518918514</v>
      </c>
      <c r="AK41">
        <f>Scenario_Data!V41</f>
        <v>-540</v>
      </c>
      <c r="AL41">
        <f>2*(SQRT((Inputs!$C$52+(Scenario_Data!D41))^2+Inputs!$C$52^2-2*(Inputs!$C$52+(Scenario_Data!D41))*Inputs!$C$52*COS(SQRT((Scenario_Data!V41)^2+Inputs!$C$6^2)/Inputs!$C$52))*1000)/Inputs!$C$21*1000000</f>
        <v>5178.835096993912</v>
      </c>
      <c r="AM41">
        <f>Scenario_Data!W41</f>
        <v>-540</v>
      </c>
      <c r="AN41">
        <f>2*(SQRT((Inputs!$C$52+(Scenario_Data!E41))^2+Inputs!$C$52^2-2*(Inputs!$C$52+(Scenario_Data!E41))*Inputs!$C$52*COS(SQRT((Scenario_Data!W41)^2+Inputs!$C$6^2)/Inputs!$C$52))*1000)/Inputs!$C$21*1000000</f>
        <v>5152.352129116699</v>
      </c>
      <c r="AP41">
        <f>Scenario_Data!T41</f>
        <v>-40.5</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2702.949725274078</v>
      </c>
      <c r="AR41">
        <f>Scenario_Data!U41</f>
        <v>-270</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2342.2688468973838</v>
      </c>
      <c r="AT41">
        <f>Scenario_Data!V41</f>
        <v>-540</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5178.4098507792496</v>
      </c>
      <c r="AV41">
        <f>Scenario_Data!W41</f>
        <v>-540</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5151.930884437782</v>
      </c>
    </row>
    <row r="42" spans="1:49">
      <c r="A42">
        <f>Chart_Data!K42</f>
        <v>-40</v>
      </c>
      <c r="B42">
        <f>Chart_Data!N42-Chart_Data!L42</f>
        <v>29.102694375902416</v>
      </c>
      <c r="D42">
        <f>Chart_Data!G42</f>
        <v>-40</v>
      </c>
      <c r="E42">
        <f>Chart_Data!H42</f>
        <v>197.66557297517377</v>
      </c>
      <c r="F42">
        <f>Chart_Data!I42</f>
        <v>197.66557297517377</v>
      </c>
      <c r="G42">
        <f>Chart_Data!J42</f>
        <v>-31.231711064274894</v>
      </c>
      <c r="I42">
        <f>Scenario_Data!A42</f>
        <v>-0.66700000000000004</v>
      </c>
      <c r="J42">
        <f>Scenario_Data!H42-(((SQRT((Inputs!$C$52+(Inputs!$H$6))^2+Inputs!$C$52^2-2*(Inputs!$C$52+(Inputs!$H$6))*Inputs!$C$52*COS(SQRT((Scenario_Data!T42)^2+Inputs!$C$6^2)/Inputs!$C$52)))-(Inputs!$H$6))*1000/Inputs!$C$12)</f>
        <v>-6.8283007484997142</v>
      </c>
      <c r="K42">
        <f>Scenario_Data!I42-(((SQRT((Inputs!$C$52+(Inputs!$H$7))^2+Inputs!$C$52^2-2*(Inputs!$C$52+(Inputs!$H$7))*Inputs!$C$52*COS(SQRT((Scenario_Data!U42)^2+Inputs!$C$6^2)/Inputs!$C$52)))-(Inputs!$H$7))*1000/Inputs!$C$12)</f>
        <v>-50200.645163369758</v>
      </c>
      <c r="L42">
        <f>Scenario_Data!J42-(((SQRT((Inputs!$C$52+(Inputs!$H$8))^2+Inputs!$C$52^2-2*(Inputs!$C$52+(Inputs!$H$8))*Inputs!$C$52*COS(SQRT((Scenario_Data!V42)^2+Inputs!$C$6^2)/Inputs!$C$52)))-(Inputs!$H$8))*1000/Inputs!$C$12)</f>
        <v>-115125.04934461683</v>
      </c>
      <c r="M42">
        <f>Scenario_Data!K42-(((SQRT((Inputs!$C$52+(Inputs!$H$9))^2+Inputs!$C$52^2-2*(Inputs!$C$52+(Inputs!$H$9))*Inputs!$C$52*COS(SQRT((Scenario_Data!W42)^2+Inputs!$C$6^2)/Inputs!$C$52)))-(Inputs!$H$9))*1000/Inputs!$C$12)</f>
        <v>-118627.06266188383</v>
      </c>
      <c r="O42">
        <f>Scenario_Data!T42</f>
        <v>-40.020000000000003</v>
      </c>
      <c r="P42">
        <f>2*(Scenario_Data!B42*1000)/Inputs!$C$21*1000000</f>
        <v>2680.3846813251052</v>
      </c>
      <c r="Q42">
        <f>Scenario_Data!U42</f>
        <v>-266.8</v>
      </c>
      <c r="R42">
        <f>2*(Scenario_Data!C42*1000)/Inputs!$C$21*1000000</f>
        <v>1316.8075429035646</v>
      </c>
      <c r="S42">
        <f>Scenario_Data!V42</f>
        <v>-533.6</v>
      </c>
      <c r="T42">
        <f>2*(Scenario_Data!D42*1000)/Inputs!$C$21*1000000</f>
        <v>3097.5955038868924</v>
      </c>
      <c r="U42">
        <f>Scenario_Data!W42</f>
        <v>-533.6</v>
      </c>
      <c r="V42">
        <f>2*(Scenario_Data!E42*1000)/Inputs!$C$21*1000000</f>
        <v>3060.5624841969843</v>
      </c>
      <c r="X42">
        <f>Scenario_Data!T42</f>
        <v>-40.020000000000003</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2680.6232576705215</v>
      </c>
      <c r="Z42">
        <f>Scenario_Data!U42</f>
        <v>-266.8</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1316.3812634102339</v>
      </c>
      <c r="AB42">
        <f>Scenario_Data!V42</f>
        <v>-533.6</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3096.9092919272548</v>
      </c>
      <c r="AD42">
        <f>Scenario_Data!W42</f>
        <v>-533.6</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3059.8762722373463</v>
      </c>
      <c r="AG42">
        <f>Scenario_Data!T42</f>
        <v>-40.020000000000003</v>
      </c>
      <c r="AH42">
        <f>2*(SQRT((Inputs!$C$52+(Scenario_Data!B42))^2+Inputs!$C$52^2-2*(Inputs!$C$52+(Scenario_Data!B42))*Inputs!$C$52*COS(SQRT((Scenario_Data!T42)^2+Inputs!$C$6^2)/Inputs!$C$52))*1000)/Inputs!$C$21*1000000</f>
        <v>2703.527159526966</v>
      </c>
      <c r="AI42">
        <f>Scenario_Data!U42</f>
        <v>-266.8</v>
      </c>
      <c r="AJ42">
        <f>2*(SQRT((Inputs!$C$52+(Scenario_Data!C42))^2+Inputs!$C$52^2-2*(Inputs!$C$52+(Scenario_Data!C42))*Inputs!$C$52*COS(SQRT((Scenario_Data!U42)^2+Inputs!$C$6^2)/Inputs!$C$52))*1000)/Inputs!$C$21*1000000</f>
        <v>2307.6308927499517</v>
      </c>
      <c r="AK42">
        <f>Scenario_Data!V42</f>
        <v>-533.6</v>
      </c>
      <c r="AL42">
        <f>2*(SQRT((Inputs!$C$52+(Scenario_Data!D42))^2+Inputs!$C$52^2-2*(Inputs!$C$52+(Scenario_Data!D42))*Inputs!$C$52*COS(SQRT((Scenario_Data!V42)^2+Inputs!$C$6^2)/Inputs!$C$52))*1000)/Inputs!$C$21*1000000</f>
        <v>5090.4731562763036</v>
      </c>
      <c r="AM42">
        <f>Scenario_Data!W42</f>
        <v>-533.6</v>
      </c>
      <c r="AN42">
        <f>2*(SQRT((Inputs!$C$52+(Scenario_Data!E42))^2+Inputs!$C$52^2-2*(Inputs!$C$52+(Scenario_Data!E42))*Inputs!$C$52*COS(SQRT((Scenario_Data!W42)^2+Inputs!$C$6^2)/Inputs!$C$52))*1000)/Inputs!$C$21*1000000</f>
        <v>5063.6086456793191</v>
      </c>
      <c r="AP42">
        <f>Scenario_Data!T42</f>
        <v>-40.020000000000003</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2702.3426391343892</v>
      </c>
      <c r="AR42">
        <f>Scenario_Data!U42</f>
        <v>-266.8</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2306.9945829969192</v>
      </c>
      <c r="AT42">
        <f>Scenario_Data!V42</f>
        <v>-533.6</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5089.8373760297081</v>
      </c>
      <c r="AV42">
        <f>Scenario_Data!W42</f>
        <v>-533.6</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5062.979131012552</v>
      </c>
    </row>
    <row r="43" spans="1:49">
      <c r="A43">
        <f>Chart_Data!K43</f>
        <v>-39.5</v>
      </c>
      <c r="B43">
        <f>Chart_Data!N43-Chart_Data!L43</f>
        <v>31.11424964805272</v>
      </c>
      <c r="D43">
        <f>Chart_Data!G43</f>
        <v>-39.5</v>
      </c>
      <c r="E43">
        <f>Chart_Data!H43</f>
        <v>200.98178735327417</v>
      </c>
      <c r="F43">
        <f>Chart_Data!I43</f>
        <v>200.98178735327417</v>
      </c>
      <c r="G43">
        <f>Chart_Data!J43</f>
        <v>-33.241151326098546</v>
      </c>
      <c r="I43">
        <f>Scenario_Data!A43</f>
        <v>-0.65800000000000003</v>
      </c>
      <c r="J43">
        <f>Scenario_Data!H43-(((SQRT((Inputs!$C$52+(Inputs!$H$6))^2+Inputs!$C$52^2-2*(Inputs!$C$52+(Inputs!$H$6))*Inputs!$C$52*COS(SQRT((Scenario_Data!T43)^2+Inputs!$C$6^2)/Inputs!$C$52)))-(Inputs!$H$6))*1000/Inputs!$C$12)</f>
        <v>-6.5196771902137698</v>
      </c>
      <c r="K43">
        <f>Scenario_Data!I43-(((SQRT((Inputs!$C$52+(Inputs!$H$7))^2+Inputs!$C$52^2-2*(Inputs!$C$52+(Inputs!$H$7))*Inputs!$C$52*COS(SQRT((Scenario_Data!U43)^2+Inputs!$C$6^2)/Inputs!$C$52)))-(Inputs!$H$7))*1000/Inputs!$C$12)</f>
        <v>-49046.634821965388</v>
      </c>
      <c r="L43">
        <f>Scenario_Data!J43-(((SQRT((Inputs!$C$52+(Inputs!$H$8))^2+Inputs!$C$52^2-2*(Inputs!$C$52+(Inputs!$H$8))*Inputs!$C$52*COS(SQRT((Scenario_Data!V43)^2+Inputs!$C$6^2)/Inputs!$C$52)))-(Inputs!$H$8))*1000/Inputs!$C$12)</f>
        <v>-112929.65387596696</v>
      </c>
      <c r="M43">
        <f>Scenario_Data!K43-(((SQRT((Inputs!$C$52+(Inputs!$H$9))^2+Inputs!$C$52^2-2*(Inputs!$C$52+(Inputs!$H$9))*Inputs!$C$52*COS(SQRT((Scenario_Data!W43)^2+Inputs!$C$6^2)/Inputs!$C$52)))-(Inputs!$H$9))*1000/Inputs!$C$12)</f>
        <v>-116407.86707581821</v>
      </c>
      <c r="O43">
        <f>Scenario_Data!T43</f>
        <v>-39.480000000000004</v>
      </c>
      <c r="P43">
        <f>2*(Scenario_Data!B43*1000)/Inputs!$C$21*1000000</f>
        <v>2680.0664611782863</v>
      </c>
      <c r="Q43">
        <f>Scenario_Data!U43</f>
        <v>-263.20000000000005</v>
      </c>
      <c r="R43">
        <f>2*(Scenario_Data!C43*1000)/Inputs!$C$21*1000000</f>
        <v>1287.7699545063276</v>
      </c>
      <c r="S43">
        <f>Scenario_Data!V43</f>
        <v>-526.40000000000009</v>
      </c>
      <c r="T43">
        <f>2*(Scenario_Data!D43*1000)/Inputs!$C$21*1000000</f>
        <v>3020.8248934668009</v>
      </c>
      <c r="U43">
        <f>Scenario_Data!W43</f>
        <v>-526.40000000000009</v>
      </c>
      <c r="V43">
        <f>2*(Scenario_Data!E43*1000)/Inputs!$C$21*1000000</f>
        <v>2982.9963234098454</v>
      </c>
      <c r="X43">
        <f>Scenario_Data!T43</f>
        <v>-39.480000000000004</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2680.3194831047786</v>
      </c>
      <c r="Z43">
        <f>Scenario_Data!U43</f>
        <v>-263.20000000000005</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1287.3992463636328</v>
      </c>
      <c r="AB43">
        <f>Scenario_Data!V43</f>
        <v>-526.40000000000009</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3020.7723219878835</v>
      </c>
      <c r="AD43">
        <f>Scenario_Data!W43</f>
        <v>-526.40000000000009</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2982.9437519309276</v>
      </c>
      <c r="AG43">
        <f>Scenario_Data!T43</f>
        <v>-39.480000000000004</v>
      </c>
      <c r="AH43">
        <f>2*(SQRT((Inputs!$C$52+(Scenario_Data!B43))^2+Inputs!$C$52^2-2*(Inputs!$C$52+(Scenario_Data!B43))*Inputs!$C$52*COS(SQRT((Scenario_Data!T43)^2+Inputs!$C$6^2)/Inputs!$C$52))*1000)/Inputs!$C$21*1000000</f>
        <v>2702.7667699761951</v>
      </c>
      <c r="AI43">
        <f>Scenario_Data!U43</f>
        <v>-263.20000000000005</v>
      </c>
      <c r="AJ43">
        <f>2*(SQRT((Inputs!$C$52+(Scenario_Data!C43))^2+Inputs!$C$52^2-2*(Inputs!$C$52+(Scenario_Data!C43))*Inputs!$C$52*COS(SQRT((Scenario_Data!U43)^2+Inputs!$C$6^2)/Inputs!$C$52))*1000)/Inputs!$C$21*1000000</f>
        <v>2268.409463423141</v>
      </c>
      <c r="AK43">
        <f>Scenario_Data!V43</f>
        <v>-526.40000000000009</v>
      </c>
      <c r="AL43">
        <f>2*(SQRT((Inputs!$C$52+(Scenario_Data!D43))^2+Inputs!$C$52^2-2*(Inputs!$C$52+(Scenario_Data!D43))*Inputs!$C$52*COS(SQRT((Scenario_Data!V43)^2+Inputs!$C$6^2)/Inputs!$C$52))*1000)/Inputs!$C$21*1000000</f>
        <v>4992.0593057230481</v>
      </c>
      <c r="AM43">
        <f>Scenario_Data!W43</f>
        <v>-526.40000000000009</v>
      </c>
      <c r="AN43">
        <f>2*(SQRT((Inputs!$C$52+(Scenario_Data!E43))^2+Inputs!$C$52^2-2*(Inputs!$C$52+(Scenario_Data!E43))*Inputs!$C$52*COS(SQRT((Scenario_Data!W43)^2+Inputs!$C$6^2)/Inputs!$C$52))*1000)/Inputs!$C$21*1000000</f>
        <v>4964.782008157169</v>
      </c>
      <c r="AP43">
        <f>Scenario_Data!T43</f>
        <v>-39.480000000000004</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2701.587502760221</v>
      </c>
      <c r="AR43">
        <f>Scenario_Data!U43</f>
        <v>-263.20000000000005</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2267.7158327632287</v>
      </c>
      <c r="AT43">
        <f>Scenario_Data!V43</f>
        <v>-526.40000000000009</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4991.7556848343556</v>
      </c>
      <c r="AV43">
        <f>Scenario_Data!W43</f>
        <v>-526.40000000000009</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4964.4815363743965</v>
      </c>
    </row>
    <row r="44" spans="1:49">
      <c r="A44">
        <f>Chart_Data!K44</f>
        <v>-39</v>
      </c>
      <c r="B44">
        <f>Chart_Data!N44-Chart_Data!L44</f>
        <v>30.101673250917116</v>
      </c>
      <c r="D44">
        <f>Chart_Data!G44</f>
        <v>-39</v>
      </c>
      <c r="E44">
        <f>Chart_Data!H44</f>
        <v>184.54420924136062</v>
      </c>
      <c r="F44">
        <f>Chart_Data!I44</f>
        <v>184.54420924136062</v>
      </c>
      <c r="G44">
        <f>Chart_Data!J44</f>
        <v>-32.020201365077646</v>
      </c>
      <c r="I44">
        <f>Scenario_Data!A44</f>
        <v>-0.65</v>
      </c>
      <c r="J44">
        <f>Scenario_Data!H44-(((SQRT((Inputs!$C$52+(Inputs!$H$6))^2+Inputs!$C$52^2-2*(Inputs!$C$52+(Inputs!$H$6))*Inputs!$C$52*COS(SQRT((Scenario_Data!T44)^2+Inputs!$C$6^2)/Inputs!$C$52)))-(Inputs!$H$6))*1000/Inputs!$C$12)</f>
        <v>-6.2544853914218947</v>
      </c>
      <c r="K44">
        <f>Scenario_Data!I44-(((SQRT((Inputs!$C$52+(Inputs!$H$7))^2+Inputs!$C$52^2-2*(Inputs!$C$52+(Inputs!$H$7))*Inputs!$C$52*COS(SQRT((Scenario_Data!U44)^2+Inputs!$C$6^2)/Inputs!$C$52)))-(Inputs!$H$7))*1000/Inputs!$C$12)</f>
        <v>-48025.954152811115</v>
      </c>
      <c r="L44">
        <f>Scenario_Data!J44-(((SQRT((Inputs!$C$52+(Inputs!$H$8))^2+Inputs!$C$52^2-2*(Inputs!$C$52+(Inputs!$H$8))*Inputs!$C$52*COS(SQRT((Scenario_Data!V44)^2+Inputs!$C$6^2)/Inputs!$C$52)))-(Inputs!$H$8))*1000/Inputs!$C$12)</f>
        <v>-110976.85216755129</v>
      </c>
      <c r="M44">
        <f>Scenario_Data!K44-(((SQRT((Inputs!$C$52+(Inputs!$H$9))^2+Inputs!$C$52^2-2*(Inputs!$C$52+(Inputs!$H$9))*Inputs!$C$52*COS(SQRT((Scenario_Data!W44)^2+Inputs!$C$6^2)/Inputs!$C$52)))-(Inputs!$H$9))*1000/Inputs!$C$12)</f>
        <v>-114433.34492030981</v>
      </c>
      <c r="O44">
        <f>Scenario_Data!T44</f>
        <v>-39</v>
      </c>
      <c r="P44">
        <f>2*(Scenario_Data!B44*1000)/Inputs!$C$21*1000000</f>
        <v>2679.7872280029137</v>
      </c>
      <c r="Q44">
        <f>Scenario_Data!U44</f>
        <v>-260</v>
      </c>
      <c r="R44">
        <f>2*(Scenario_Data!C44*1000)/Inputs!$C$21*1000000</f>
        <v>1262.2899272536067</v>
      </c>
      <c r="S44">
        <f>Scenario_Data!V44</f>
        <v>-520</v>
      </c>
      <c r="T44">
        <f>2*(Scenario_Data!D44*1000)/Inputs!$C$21*1000000</f>
        <v>2953.459889908238</v>
      </c>
      <c r="U44">
        <f>Scenario_Data!W44</f>
        <v>-520</v>
      </c>
      <c r="V44">
        <f>2*(Scenario_Data!E44*1000)/Inputs!$C$21*1000000</f>
        <v>2914.9332369128515</v>
      </c>
      <c r="X44">
        <f>Scenario_Data!T44</f>
        <v>-39</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2680.0008437928418</v>
      </c>
      <c r="Z44">
        <f>Scenario_Data!U44</f>
        <v>-260</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1262.1922491504713</v>
      </c>
      <c r="AB44">
        <f>Scenario_Data!V44</f>
        <v>-520</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2953.0454000908212</v>
      </c>
      <c r="AD44">
        <f>Scenario_Data!W44</f>
        <v>-520</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2914.5187470954347</v>
      </c>
      <c r="AG44">
        <f>Scenario_Data!T44</f>
        <v>-39</v>
      </c>
      <c r="AH44">
        <f>2*(SQRT((Inputs!$C$52+(Scenario_Data!B44))^2+Inputs!$C$52^2-2*(Inputs!$C$52+(Scenario_Data!B44))*Inputs!$C$52*COS(SQRT((Scenario_Data!T44)^2+Inputs!$C$6^2)/Inputs!$C$52))*1000)/Inputs!$C$21*1000000</f>
        <v>2702.0994114328023</v>
      </c>
      <c r="AI44">
        <f>Scenario_Data!U44</f>
        <v>-260</v>
      </c>
      <c r="AJ44">
        <f>2*(SQRT((Inputs!$C$52+(Scenario_Data!C44))^2+Inputs!$C$52^2-2*(Inputs!$C$52+(Scenario_Data!C44))*Inputs!$C$52*COS(SQRT((Scenario_Data!U44)^2+Inputs!$C$6^2)/Inputs!$C$52))*1000)/Inputs!$C$21*1000000</f>
        <v>2233.8215641775168</v>
      </c>
      <c r="AK44">
        <f>Scenario_Data!V44</f>
        <v>-520</v>
      </c>
      <c r="AL44">
        <f>2*(SQRT((Inputs!$C$52+(Scenario_Data!D44))^2+Inputs!$C$52^2-2*(Inputs!$C$52+(Scenario_Data!D44))*Inputs!$C$52*COS(SQRT((Scenario_Data!V44)^2+Inputs!$C$6^2)/Inputs!$C$52))*1000)/Inputs!$C$21*1000000</f>
        <v>4905.4596046667839</v>
      </c>
      <c r="AM44">
        <f>Scenario_Data!W44</f>
        <v>-520</v>
      </c>
      <c r="AN44">
        <f>2*(SQRT((Inputs!$C$52+(Scenario_Data!E44))^2+Inputs!$C$52^2-2*(Inputs!$C$52+(Scenario_Data!E44))*Inputs!$C$52*COS(SQRT((Scenario_Data!W44)^2+Inputs!$C$6^2)/Inputs!$C$52))*1000)/Inputs!$C$21*1000000</f>
        <v>4877.8300542852958</v>
      </c>
      <c r="AP44">
        <f>Scenario_Data!T44</f>
        <v>-39</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2700.8810640310994</v>
      </c>
      <c r="AR44">
        <f>Scenario_Data!U44</f>
        <v>-260</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2233.2466648870986</v>
      </c>
      <c r="AT44">
        <f>Scenario_Data!V44</f>
        <v>-520</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4904.9522223155282</v>
      </c>
      <c r="AV44">
        <f>Scenario_Data!W44</f>
        <v>-520</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4877.3281793595488</v>
      </c>
    </row>
    <row r="45" spans="1:49">
      <c r="A45">
        <f>Chart_Data!K45</f>
        <v>-38.5</v>
      </c>
      <c r="B45">
        <f>Chart_Data!N45-Chart_Data!L45</f>
        <v>32.133994706628584</v>
      </c>
      <c r="D45">
        <f>Chart_Data!G45</f>
        <v>-38.5</v>
      </c>
      <c r="E45">
        <f>Chart_Data!H45</f>
        <v>211.63430992610967</v>
      </c>
      <c r="F45">
        <f>Chart_Data!I45</f>
        <v>211.63430992610967</v>
      </c>
      <c r="G45">
        <f>Chart_Data!J45</f>
        <v>-34.295384147954024</v>
      </c>
      <c r="I45">
        <f>Scenario_Data!A45</f>
        <v>-0.64200000000000002</v>
      </c>
      <c r="J45">
        <f>Scenario_Data!H45-(((SQRT((Inputs!$C$52+(Inputs!$H$6))^2+Inputs!$C$52^2-2*(Inputs!$C$52+(Inputs!$H$6))*Inputs!$C$52*COS(SQRT((Scenario_Data!T45)^2+Inputs!$C$6^2)/Inputs!$C$52)))-(Inputs!$H$6))*1000/Inputs!$C$12)</f>
        <v>-5.9977007769762167</v>
      </c>
      <c r="K45">
        <f>Scenario_Data!I45-(((SQRT((Inputs!$C$52+(Inputs!$H$7))^2+Inputs!$C$52^2-2*(Inputs!$C$52+(Inputs!$H$7))*Inputs!$C$52*COS(SQRT((Scenario_Data!U45)^2+Inputs!$C$6^2)/Inputs!$C$52)))-(Inputs!$H$7))*1000/Inputs!$C$12)</f>
        <v>-47010.236953450076</v>
      </c>
      <c r="L45">
        <f>Scenario_Data!J45-(((SQRT((Inputs!$C$52+(Inputs!$H$8))^2+Inputs!$C$52^2-2*(Inputs!$C$52+(Inputs!$H$8))*Inputs!$C$52*COS(SQRT((Scenario_Data!V45)^2+Inputs!$C$6^2)/Inputs!$C$52)))-(Inputs!$H$8))*1000/Inputs!$C$12)</f>
        <v>-109023.11773384287</v>
      </c>
      <c r="M45">
        <f>Scenario_Data!K45-(((SQRT((Inputs!$C$52+(Inputs!$H$9))^2+Inputs!$C$52^2-2*(Inputs!$C$52+(Inputs!$H$9))*Inputs!$C$52*COS(SQRT((Scenario_Data!W45)^2+Inputs!$C$6^2)/Inputs!$C$52)))-(Inputs!$H$9))*1000/Inputs!$C$12)</f>
        <v>-112457.35129337231</v>
      </c>
      <c r="O45">
        <f>Scenario_Data!T45</f>
        <v>-38.519999999999996</v>
      </c>
      <c r="P45">
        <f>2*(Scenario_Data!B45*1000)/Inputs!$C$21*1000000</f>
        <v>2679.5114105238763</v>
      </c>
      <c r="Q45">
        <f>Scenario_Data!U45</f>
        <v>-256.8</v>
      </c>
      <c r="R45">
        <f>2*(Scenario_Data!C45*1000)/Inputs!$C$21*1000000</f>
        <v>1237.1215822914398</v>
      </c>
      <c r="S45">
        <f>Scenario_Data!V45</f>
        <v>-513.6</v>
      </c>
      <c r="T45">
        <f>2*(Scenario_Data!D45*1000)/Inputs!$C$21*1000000</f>
        <v>2886.9189230904535</v>
      </c>
      <c r="U45">
        <f>Scenario_Data!W45</f>
        <v>-513.6</v>
      </c>
      <c r="V45">
        <f>2*(Scenario_Data!E45*1000)/Inputs!$C$21*1000000</f>
        <v>2847.7027263974737</v>
      </c>
      <c r="X45">
        <f>Scenario_Data!T45</f>
        <v>-38.519999999999996</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2679.7722655199441</v>
      </c>
      <c r="Z45">
        <f>Scenario_Data!U45</f>
        <v>-256.8</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1237.2988669437987</v>
      </c>
      <c r="AB45">
        <f>Scenario_Data!V45</f>
        <v>-513.6</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2886.8093182607818</v>
      </c>
      <c r="AD45">
        <f>Scenario_Data!W45</f>
        <v>-513.6</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2847.5931215678015</v>
      </c>
      <c r="AG45">
        <f>Scenario_Data!T45</f>
        <v>-38.519999999999996</v>
      </c>
      <c r="AH45">
        <f>2*(SQRT((Inputs!$C$52+(Scenario_Data!B45))^2+Inputs!$C$52^2-2*(Inputs!$C$52+(Scenario_Data!B45))*Inputs!$C$52*COS(SQRT((Scenario_Data!T45)^2+Inputs!$C$6^2)/Inputs!$C$52))*1000)/Inputs!$C$21*1000000</f>
        <v>2701.4400981312092</v>
      </c>
      <c r="AI45">
        <f>Scenario_Data!U45</f>
        <v>-256.8</v>
      </c>
      <c r="AJ45">
        <f>2*(SQRT((Inputs!$C$52+(Scenario_Data!C45))^2+Inputs!$C$52^2-2*(Inputs!$C$52+(Scenario_Data!C45))*Inputs!$C$52*COS(SQRT((Scenario_Data!U45)^2+Inputs!$C$6^2)/Inputs!$C$52))*1000)/Inputs!$C$21*1000000</f>
        <v>2199.4914513372773</v>
      </c>
      <c r="AK45">
        <f>Scenario_Data!V45</f>
        <v>-513.6</v>
      </c>
      <c r="AL45">
        <f>2*(SQRT((Inputs!$C$52+(Scenario_Data!D45))^2+Inputs!$C$52^2-2*(Inputs!$C$52+(Scenario_Data!D45))*Inputs!$C$52*COS(SQRT((Scenario_Data!V45)^2+Inputs!$C$6^2)/Inputs!$C$52))*1000)/Inputs!$C$21*1000000</f>
        <v>4819.6838871821446</v>
      </c>
      <c r="AM45">
        <f>Scenario_Data!W45</f>
        <v>-513.6</v>
      </c>
      <c r="AN45">
        <f>2*(SQRT((Inputs!$C$52+(Scenario_Data!E45))^2+Inputs!$C$52^2-2*(Inputs!$C$52+(Scenario_Data!E45))*Inputs!$C$52*COS(SQRT((Scenario_Data!W45)^2+Inputs!$C$6^2)/Inputs!$C$52))*1000)/Inputs!$C$21*1000000</f>
        <v>4791.715932694854</v>
      </c>
      <c r="AP45">
        <f>Scenario_Data!T45</f>
        <v>-38.519999999999996</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2700.0703913209777</v>
      </c>
      <c r="AR45">
        <f>Scenario_Data!U45</f>
        <v>-256.8</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2199.1466378667237</v>
      </c>
      <c r="AT45">
        <f>Scenario_Data!V45</f>
        <v>-513.6</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4819.1911730470674</v>
      </c>
      <c r="AV45">
        <f>Scenario_Data!W45</f>
        <v>-513.6</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4791.2288130859006</v>
      </c>
    </row>
    <row r="46" spans="1:49">
      <c r="A46">
        <f>Chart_Data!K46</f>
        <v>-38</v>
      </c>
      <c r="B46">
        <f>Chart_Data!N46-Chart_Data!L46</f>
        <v>19.121723348470368</v>
      </c>
      <c r="D46">
        <f>Chart_Data!G46</f>
        <v>-38</v>
      </c>
      <c r="E46">
        <f>Chart_Data!H46</f>
        <v>202.93658014849487</v>
      </c>
      <c r="F46">
        <f>Chart_Data!I46</f>
        <v>202.93658014849487</v>
      </c>
      <c r="G46">
        <f>Chart_Data!J46</f>
        <v>-21.157379061522128</v>
      </c>
      <c r="I46">
        <f>Scenario_Data!A46</f>
        <v>-0.63300000000000001</v>
      </c>
      <c r="J46">
        <f>Scenario_Data!H46-(((SQRT((Inputs!$C$52+(Inputs!$H$6))^2+Inputs!$C$52^2-2*(Inputs!$C$52+(Inputs!$H$6))*Inputs!$C$52*COS(SQRT((Scenario_Data!T46)^2+Inputs!$C$6^2)/Inputs!$C$52)))-(Inputs!$H$6))*1000/Inputs!$C$12)</f>
        <v>-5.7186363390651422</v>
      </c>
      <c r="K46">
        <f>Scenario_Data!I46-(((SQRT((Inputs!$C$52+(Inputs!$H$7))^2+Inputs!$C$52^2-2*(Inputs!$C$52+(Inputs!$H$7))*Inputs!$C$52*COS(SQRT((Scenario_Data!U46)^2+Inputs!$C$6^2)/Inputs!$C$52)))-(Inputs!$H$7))*1000/Inputs!$C$12)</f>
        <v>-45873.679789055153</v>
      </c>
      <c r="L46">
        <f>Scenario_Data!J46-(((SQRT((Inputs!$C$52+(Inputs!$H$8))^2+Inputs!$C$52^2-2*(Inputs!$C$52+(Inputs!$H$8))*Inputs!$C$52*COS(SQRT((Scenario_Data!V46)^2+Inputs!$C$6^2)/Inputs!$C$52)))-(Inputs!$H$8))*1000/Inputs!$C$12)</f>
        <v>-106824.4548063117</v>
      </c>
      <c r="M46">
        <f>Scenario_Data!K46-(((SQRT((Inputs!$C$52+(Inputs!$H$9))^2+Inputs!$C$52^2-2*(Inputs!$C$52+(Inputs!$H$9))*Inputs!$C$52*COS(SQRT((Scenario_Data!W46)^2+Inputs!$C$6^2)/Inputs!$C$52)))-(Inputs!$H$9))*1000/Inputs!$C$12)</f>
        <v>-110232.99428005796</v>
      </c>
      <c r="O46">
        <f>Scenario_Data!T46</f>
        <v>-37.980000000000004</v>
      </c>
      <c r="P46">
        <f>2*(Scenario_Data!B46*1000)/Inputs!$C$21*1000000</f>
        <v>2679.2051986844849</v>
      </c>
      <c r="Q46">
        <f>Scenario_Data!U46</f>
        <v>-253.2</v>
      </c>
      <c r="R46">
        <f>2*(Scenario_Data!C46*1000)/Inputs!$C$21*1000000</f>
        <v>1209.1797519469287</v>
      </c>
      <c r="S46">
        <f>Scenario_Data!V46</f>
        <v>-506.4</v>
      </c>
      <c r="T46">
        <f>2*(Scenario_Data!D46*1000)/Inputs!$C$21*1000000</f>
        <v>2813.0453168371569</v>
      </c>
      <c r="U46">
        <f>Scenario_Data!W46</f>
        <v>-506.4</v>
      </c>
      <c r="V46">
        <f>2*(Scenario_Data!E46*1000)/Inputs!$C$21*1000000</f>
        <v>2773.063590545697</v>
      </c>
      <c r="X46">
        <f>Scenario_Data!T46</f>
        <v>-37.980000000000004</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2679.4800447239541</v>
      </c>
      <c r="Z46">
        <f>Scenario_Data!U46</f>
        <v>-253.2</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1209.2757717257143</v>
      </c>
      <c r="AB46">
        <f>Scenario_Data!V46</f>
        <v>-506.4</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2813.2125751554345</v>
      </c>
      <c r="AD46">
        <f>Scenario_Data!W46</f>
        <v>-506.4</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2773.2308488639746</v>
      </c>
      <c r="AG46">
        <f>Scenario_Data!T46</f>
        <v>-37.980000000000004</v>
      </c>
      <c r="AH46">
        <f>2*(SQRT((Inputs!$C$52+(Scenario_Data!B46))^2+Inputs!$C$52^2-2*(Inputs!$C$52+(Scenario_Data!B46))*Inputs!$C$52*COS(SQRT((Scenario_Data!T46)^2+Inputs!$C$6^2)/Inputs!$C$52))*1000)/Inputs!$C$21*1000000</f>
        <v>2700.7079925706203</v>
      </c>
      <c r="AI46">
        <f>Scenario_Data!U46</f>
        <v>-253.2</v>
      </c>
      <c r="AJ46">
        <f>2*(SQRT((Inputs!$C$52+(Scenario_Data!C46))^2+Inputs!$C$52^2-2*(Inputs!$C$52+(Scenario_Data!C46))*Inputs!$C$52*COS(SQRT((Scenario_Data!U46)^2+Inputs!$C$6^2)/Inputs!$C$52))*1000)/Inputs!$C$21*1000000</f>
        <v>2161.1762766414804</v>
      </c>
      <c r="AK46">
        <f>Scenario_Data!V46</f>
        <v>-506.4</v>
      </c>
      <c r="AL46">
        <f>2*(SQRT((Inputs!$C$52+(Scenario_Data!D46))^2+Inputs!$C$52^2-2*(Inputs!$C$52+(Scenario_Data!D46))*Inputs!$C$52*COS(SQRT((Scenario_Data!V46)^2+Inputs!$C$6^2)/Inputs!$C$52))*1000)/Inputs!$C$21*1000000</f>
        <v>4724.1667239784019</v>
      </c>
      <c r="AM46">
        <f>Scenario_Data!W46</f>
        <v>-506.4</v>
      </c>
      <c r="AN46">
        <f>2*(SQRT((Inputs!$C$52+(Scenario_Data!E46))^2+Inputs!$C$52^2-2*(Inputs!$C$52+(Scenario_Data!E46))*Inputs!$C$52*COS(SQRT((Scenario_Data!W46)^2+Inputs!$C$6^2)/Inputs!$C$52))*1000)/Inputs!$C$21*1000000</f>
        <v>4695.834666007484</v>
      </c>
      <c r="AP46">
        <f>Scenario_Data!T46</f>
        <v>-37.980000000000004</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2699.2430908261645</v>
      </c>
      <c r="AR46">
        <f>Scenario_Data!U46</f>
        <v>-253.2</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2160.8515796643778</v>
      </c>
      <c r="AT46">
        <f>Scenario_Data!V46</f>
        <v>-506.4</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4723.9805013496798</v>
      </c>
      <c r="AV46">
        <f>Scenario_Data!W46</f>
        <v>-506.4</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4695.6506664601484</v>
      </c>
    </row>
    <row r="47" spans="1:49">
      <c r="A47">
        <f>Chart_Data!K47</f>
        <v>-37.5</v>
      </c>
      <c r="B47">
        <f>Chart_Data!N47-Chart_Data!L47</f>
        <v>16.336825651858959</v>
      </c>
      <c r="D47">
        <f>Chart_Data!G47</f>
        <v>-37.5</v>
      </c>
      <c r="E47">
        <f>Chart_Data!H47</f>
        <v>239.18714852881689</v>
      </c>
      <c r="F47">
        <f>Chart_Data!I47</f>
        <v>239.18714852881689</v>
      </c>
      <c r="G47">
        <f>Chart_Data!J47</f>
        <v>-18.69341167436205</v>
      </c>
      <c r="I47">
        <f>Scenario_Data!A47</f>
        <v>-0.625</v>
      </c>
      <c r="J47">
        <f>Scenario_Data!H47-(((SQRT((Inputs!$C$52+(Inputs!$H$6))^2+Inputs!$C$52^2-2*(Inputs!$C$52+(Inputs!$H$6))*Inputs!$C$52*COS(SQRT((Scenario_Data!T47)^2+Inputs!$C$6^2)/Inputs!$C$52)))-(Inputs!$H$6))*1000/Inputs!$C$12)</f>
        <v>-5.479103372775171</v>
      </c>
      <c r="K47">
        <f>Scenario_Data!I47-(((SQRT((Inputs!$C$52+(Inputs!$H$7))^2+Inputs!$C$52^2-2*(Inputs!$C$52+(Inputs!$H$7))*Inputs!$C$52*COS(SQRT((Scenario_Data!U47)^2+Inputs!$C$6^2)/Inputs!$C$52)))-(Inputs!$H$7))*1000/Inputs!$C$12)</f>
        <v>-44869.024435891464</v>
      </c>
      <c r="L47">
        <f>Scenario_Data!J47-(((SQRT((Inputs!$C$52+(Inputs!$H$8))^2+Inputs!$C$52^2-2*(Inputs!$C$52+(Inputs!$H$8))*Inputs!$C$52*COS(SQRT((Scenario_Data!V47)^2+Inputs!$C$6^2)/Inputs!$C$52)))-(Inputs!$H$8))*1000/Inputs!$C$12)</f>
        <v>-104869.82387216578</v>
      </c>
      <c r="M47">
        <f>Scenario_Data!K47-(((SQRT((Inputs!$C$52+(Inputs!$H$9))^2+Inputs!$C$52^2-2*(Inputs!$C$52+(Inputs!$H$9))*Inputs!$C$52*COS(SQRT((Scenario_Data!W47)^2+Inputs!$C$6^2)/Inputs!$C$52)))-(Inputs!$H$9))*1000/Inputs!$C$12)</f>
        <v>-108254.93665267841</v>
      </c>
      <c r="O47">
        <f>Scenario_Data!T47</f>
        <v>-37.5</v>
      </c>
      <c r="P47">
        <f>2*(Scenario_Data!B47*1000)/Inputs!$C$21*1000000</f>
        <v>2678.9366395601587</v>
      </c>
      <c r="Q47">
        <f>Scenario_Data!U47</f>
        <v>-250</v>
      </c>
      <c r="R47">
        <f>2*(Scenario_Data!C47*1000)/Inputs!$C$21*1000000</f>
        <v>1184.6737318521868</v>
      </c>
      <c r="S47">
        <f>Scenario_Data!V47</f>
        <v>-500</v>
      </c>
      <c r="T47">
        <f>2*(Scenario_Data!D47*1000)/Inputs!$C$21*1000000</f>
        <v>2748.2554280935246</v>
      </c>
      <c r="U47">
        <f>Scenario_Data!W47</f>
        <v>-500</v>
      </c>
      <c r="V47">
        <f>2*(Scenario_Data!E47*1000)/Inputs!$C$21*1000000</f>
        <v>2707.6023039912498</v>
      </c>
      <c r="X47">
        <f>Scenario_Data!T47</f>
        <v>-37.5</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2679.0613485791851</v>
      </c>
      <c r="Z47">
        <f>Scenario_Data!U47</f>
        <v>-250</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1184.3076782731637</v>
      </c>
      <c r="AB47">
        <f>Scenario_Data!V47</f>
        <v>-500</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2747.9784005923898</v>
      </c>
      <c r="AD47">
        <f>Scenario_Data!W47</f>
        <v>-500</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2707.3252764901149</v>
      </c>
      <c r="AG47">
        <f>Scenario_Data!T47</f>
        <v>-37.5</v>
      </c>
      <c r="AH47">
        <f>2*(SQRT((Inputs!$C$52+(Scenario_Data!B47))^2+Inputs!$C$52^2-2*(Inputs!$C$52+(Scenario_Data!B47))*Inputs!$C$52*COS(SQRT((Scenario_Data!T47)^2+Inputs!$C$6^2)/Inputs!$C$52))*1000)/Inputs!$C$21*1000000</f>
        <v>2700.0657895548352</v>
      </c>
      <c r="AI47">
        <f>Scenario_Data!U47</f>
        <v>-250</v>
      </c>
      <c r="AJ47">
        <f>2*(SQRT((Inputs!$C$52+(Scenario_Data!C47))^2+Inputs!$C$52^2-2*(Inputs!$C$52+(Scenario_Data!C47))*Inputs!$C$52*COS(SQRT((Scenario_Data!U47)^2+Inputs!$C$6^2)/Inputs!$C$52))*1000)/Inputs!$C$21*1000000</f>
        <v>2127.3887833117165</v>
      </c>
      <c r="AK47">
        <f>Scenario_Data!V47</f>
        <v>-500</v>
      </c>
      <c r="AL47">
        <f>2*(SQRT((Inputs!$C$52+(Scenario_Data!D47))^2+Inputs!$C$52^2-2*(Inputs!$C$52+(Scenario_Data!D47))*Inputs!$C$52*COS(SQRT((Scenario_Data!V47)^2+Inputs!$C$6^2)/Inputs!$C$52))*1000)/Inputs!$C$21*1000000</f>
        <v>4640.1301264745007</v>
      </c>
      <c r="AM47">
        <f>Scenario_Data!W47</f>
        <v>-500</v>
      </c>
      <c r="AN47">
        <f>2*(SQRT((Inputs!$C$52+(Scenario_Data!E47))^2+Inputs!$C$52^2-2*(Inputs!$C$52+(Scenario_Data!E47))*Inputs!$C$52*COS(SQRT((Scenario_Data!W47)^2+Inputs!$C$6^2)/Inputs!$C$52))*1000)/Inputs!$C$21*1000000</f>
        <v>4611.4892166235932</v>
      </c>
      <c r="AP47">
        <f>Scenario_Data!T47</f>
        <v>-37.5</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2698.4858261088816</v>
      </c>
      <c r="AR47">
        <f>Scenario_Data!U47</f>
        <v>-250</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2126.7530364399495</v>
      </c>
      <c r="AT47">
        <f>Scenario_Data!V47</f>
        <v>-500</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4639.4759832505997</v>
      </c>
      <c r="AV47">
        <f>Scenario_Data!W47</f>
        <v>-500</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4610.8432409878296</v>
      </c>
    </row>
    <row r="48" spans="1:49">
      <c r="A48">
        <f>Chart_Data!K48</f>
        <v>-37</v>
      </c>
      <c r="B48">
        <f>Chart_Data!N48-Chart_Data!L48</f>
        <v>23.552479750778133</v>
      </c>
      <c r="D48">
        <f>Chart_Data!G48</f>
        <v>-37</v>
      </c>
      <c r="E48">
        <f>Chart_Data!H48</f>
        <v>236.18872035541293</v>
      </c>
      <c r="F48">
        <f>Chart_Data!I48</f>
        <v>236.18872035541293</v>
      </c>
      <c r="G48">
        <f>Chart_Data!J48</f>
        <v>-25.837662785318539</v>
      </c>
      <c r="I48">
        <f>Scenario_Data!A48</f>
        <v>-0.61699999999999999</v>
      </c>
      <c r="J48">
        <f>Scenario_Data!H48-(((SQRT((Inputs!$C$52+(Inputs!$H$6))^2+Inputs!$C$52^2-2*(Inputs!$C$52+(Inputs!$H$6))*Inputs!$C$52*COS(SQRT((Scenario_Data!T48)^2+Inputs!$C$6^2)/Inputs!$C$52)))-(Inputs!$H$6))*1000/Inputs!$C$12)</f>
        <v>-5.2474043572378832</v>
      </c>
      <c r="K48">
        <f>Scenario_Data!I48-(((SQRT((Inputs!$C$52+(Inputs!$H$7))^2+Inputs!$C$52^2-2*(Inputs!$C$52+(Inputs!$H$7))*Inputs!$C$52*COS(SQRT((Scenario_Data!U48)^2+Inputs!$C$6^2)/Inputs!$C$52)))-(Inputs!$H$7))*1000/Inputs!$C$12)</f>
        <v>-43869.822519638255</v>
      </c>
      <c r="L48">
        <f>Scenario_Data!J48-(((SQRT((Inputs!$C$52+(Inputs!$H$8))^2+Inputs!$C$52^2-2*(Inputs!$C$52+(Inputs!$H$8))*Inputs!$C$52*COS(SQRT((Scenario_Data!V48)^2+Inputs!$C$6^2)/Inputs!$C$52)))-(Inputs!$H$8))*1000/Inputs!$C$12)</f>
        <v>-102915.30156679498</v>
      </c>
      <c r="M48">
        <f>Scenario_Data!K48-(((SQRT((Inputs!$C$52+(Inputs!$H$9))^2+Inputs!$C$52^2-2*(Inputs!$C$52+(Inputs!$H$9))*Inputs!$C$52*COS(SQRT((Scenario_Data!W48)^2+Inputs!$C$6^2)/Inputs!$C$52)))-(Inputs!$H$9))*1000/Inputs!$C$12)</f>
        <v>-106276.42770998055</v>
      </c>
      <c r="O48">
        <f>Scenario_Data!T48</f>
        <v>-37.019999999999996</v>
      </c>
      <c r="P48">
        <f>2*(Scenario_Data!B48*1000)/Inputs!$C$21*1000000</f>
        <v>2678.6714961321677</v>
      </c>
      <c r="Q48">
        <f>Scenario_Data!U48</f>
        <v>-246.8</v>
      </c>
      <c r="R48">
        <f>2*(Scenario_Data!C48*1000)/Inputs!$C$21*1000000</f>
        <v>1160.4793940479983</v>
      </c>
      <c r="S48">
        <f>Scenario_Data!V48</f>
        <v>-493.6</v>
      </c>
      <c r="T48">
        <f>2*(Scenario_Data!D48*1000)/Inputs!$C$21*1000000</f>
        <v>2684.2895760906704</v>
      </c>
      <c r="U48">
        <f>Scenario_Data!W48</f>
        <v>-493.6</v>
      </c>
      <c r="V48">
        <f>2*(Scenario_Data!E48*1000)/Inputs!$C$21*1000000</f>
        <v>2642.9735934184177</v>
      </c>
      <c r="X48">
        <f>Scenario_Data!T48</f>
        <v>-37.019999999999996</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2678.8524716885131</v>
      </c>
      <c r="Z48">
        <f>Scenario_Data!U48</f>
        <v>-246.8</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1160.1745172754654</v>
      </c>
      <c r="AB48">
        <f>Scenario_Data!V48</f>
        <v>-493.6</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2684.5299483671524</v>
      </c>
      <c r="AD48">
        <f>Scenario_Data!W48</f>
        <v>-493.6</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2643.2139656948998</v>
      </c>
      <c r="AG48">
        <f>Scenario_Data!T48</f>
        <v>-37.019999999999996</v>
      </c>
      <c r="AH48">
        <f>2*(SQRT((Inputs!$C$52+(Scenario_Data!B48))^2+Inputs!$C$52^2-2*(Inputs!$C$52+(Scenario_Data!B48))*Inputs!$C$52*COS(SQRT((Scenario_Data!T48)^2+Inputs!$C$6^2)/Inputs!$C$52))*1000)/Inputs!$C$21*1000000</f>
        <v>2699.43164499259</v>
      </c>
      <c r="AI48">
        <f>Scenario_Data!U48</f>
        <v>-246.8</v>
      </c>
      <c r="AJ48">
        <f>2*(SQRT((Inputs!$C$52+(Scenario_Data!C48))^2+Inputs!$C$52^2-2*(Inputs!$C$52+(Scenario_Data!C48))*Inputs!$C$52*COS(SQRT((Scenario_Data!U48)^2+Inputs!$C$6^2)/Inputs!$C$52))*1000)/Inputs!$C$21*1000000</f>
        <v>2093.8541637603007</v>
      </c>
      <c r="AK48">
        <f>Scenario_Data!V48</f>
        <v>-493.6</v>
      </c>
      <c r="AL48">
        <f>2*(SQRT((Inputs!$C$52+(Scenario_Data!D48))^2+Inputs!$C$52^2-2*(Inputs!$C$52+(Scenario_Data!D48))*Inputs!$C$52*COS(SQRT((Scenario_Data!V48)^2+Inputs!$C$6^2)/Inputs!$C$52))*1000)/Inputs!$C$21*1000000</f>
        <v>4556.9061458124115</v>
      </c>
      <c r="AM48">
        <f>Scenario_Data!W48</f>
        <v>-493.6</v>
      </c>
      <c r="AN48">
        <f>2*(SQRT((Inputs!$C$52+(Scenario_Data!E48))^2+Inputs!$C$52^2-2*(Inputs!$C$52+(Scenario_Data!E48))*Inputs!$C$52*COS(SQRT((Scenario_Data!W48)^2+Inputs!$C$6^2)/Inputs!$C$52))*1000)/Inputs!$C$21*1000000</f>
        <v>4527.9703428921011</v>
      </c>
      <c r="AP48">
        <f>Scenario_Data!T48</f>
        <v>-37.019999999999996</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2697.912683127855</v>
      </c>
      <c r="AR48">
        <f>Scenario_Data!U48</f>
        <v>-246.8</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2093.1696294265362</v>
      </c>
      <c r="AT48">
        <f>Scenario_Data!V48</f>
        <v>-493.6</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4556.6085833356701</v>
      </c>
      <c r="AV48">
        <f>Scenario_Data!W48</f>
        <v>-493.6</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4527.6766627690777</v>
      </c>
    </row>
    <row r="49" spans="1:49">
      <c r="A49">
        <f>Chart_Data!K49</f>
        <v>-36.5</v>
      </c>
      <c r="B49">
        <f>Chart_Data!N49-Chart_Data!L49</f>
        <v>19.031661238944139</v>
      </c>
      <c r="D49">
        <f>Chart_Data!G49</f>
        <v>-36.5</v>
      </c>
      <c r="E49">
        <f>Chart_Data!H49</f>
        <v>264.8535608975177</v>
      </c>
      <c r="F49">
        <f>Chart_Data!I49</f>
        <v>264.8535608975177</v>
      </c>
      <c r="G49">
        <f>Chart_Data!J49</f>
        <v>-21.548035323184823</v>
      </c>
      <c r="I49">
        <f>Scenario_Data!A49</f>
        <v>-0.60799999999999998</v>
      </c>
      <c r="J49">
        <f>Scenario_Data!H49-(((SQRT((Inputs!$C$52+(Inputs!$H$6))^2+Inputs!$C$52^2-2*(Inputs!$C$52+(Inputs!$H$6))*Inputs!$C$52*COS(SQRT((Scenario_Data!T49)^2+Inputs!$C$6^2)/Inputs!$C$52)))-(Inputs!$H$6))*1000/Inputs!$C$12)</f>
        <v>-4.995883813084447</v>
      </c>
      <c r="K49">
        <f>Scenario_Data!I49-(((SQRT((Inputs!$C$52+(Inputs!$H$7))^2+Inputs!$C$52^2-2*(Inputs!$C$52+(Inputs!$H$7))*Inputs!$C$52*COS(SQRT((Scenario_Data!U49)^2+Inputs!$C$6^2)/Inputs!$C$52)))-(Inputs!$H$7))*1000/Inputs!$C$12)</f>
        <v>-42752.441205504758</v>
      </c>
      <c r="L49">
        <f>Scenario_Data!J49-(((SQRT((Inputs!$C$52+(Inputs!$H$8))^2+Inputs!$C$52^2-2*(Inputs!$C$52+(Inputs!$H$8))*Inputs!$C$52*COS(SQRT((Scenario_Data!V49)^2+Inputs!$C$6^2)/Inputs!$C$52)))-(Inputs!$H$8))*1000/Inputs!$C$12)</f>
        <v>-100717.03311684405</v>
      </c>
      <c r="M49">
        <f>Scenario_Data!K49-(((SQRT((Inputs!$C$52+(Inputs!$H$9))^2+Inputs!$C$52^2-2*(Inputs!$C$52+(Inputs!$H$9))*Inputs!$C$52*COS(SQRT((Scenario_Data!W49)^2+Inputs!$C$6^2)/Inputs!$C$52)))-(Inputs!$H$9))*1000/Inputs!$C$12)</f>
        <v>-104050.49672552577</v>
      </c>
      <c r="O49">
        <f>Scenario_Data!T49</f>
        <v>-36.480000000000004</v>
      </c>
      <c r="P49">
        <f>2*(Scenario_Data!B49*1000)/Inputs!$C$21*1000000</f>
        <v>2678.377292600203</v>
      </c>
      <c r="Q49">
        <f>Scenario_Data!U49</f>
        <v>-243.2</v>
      </c>
      <c r="R49">
        <f>2*(Scenario_Data!C49*1000)/Inputs!$C$21*1000000</f>
        <v>1133.633321756213</v>
      </c>
      <c r="S49">
        <f>Scenario_Data!V49</f>
        <v>-486.4</v>
      </c>
      <c r="T49">
        <f>2*(Scenario_Data!D49*1000)/Inputs!$C$21*1000000</f>
        <v>2613.3129740041691</v>
      </c>
      <c r="U49">
        <f>Scenario_Data!W49</f>
        <v>-486.4</v>
      </c>
      <c r="V49">
        <f>2*(Scenario_Data!E49*1000)/Inputs!$C$21*1000000</f>
        <v>2571.2614825020046</v>
      </c>
      <c r="X49">
        <f>Scenario_Data!T49</f>
        <v>-36.480000000000004</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2678.5467573407996</v>
      </c>
      <c r="Z49">
        <f>Scenario_Data!U49</f>
        <v>-243.2</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1133.8318204369273</v>
      </c>
      <c r="AB49">
        <f>Scenario_Data!V49</f>
        <v>-486.4</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2613.1887828674335</v>
      </c>
      <c r="AD49">
        <f>Scenario_Data!W49</f>
        <v>-486.4</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2571.137291365269</v>
      </c>
      <c r="AG49">
        <f>Scenario_Data!T49</f>
        <v>-36.480000000000004</v>
      </c>
      <c r="AH49">
        <f>2*(SQRT((Inputs!$C$52+(Scenario_Data!B49))^2+Inputs!$C$52^2-2*(Inputs!$C$52+(Scenario_Data!B49))*Inputs!$C$52*COS(SQRT((Scenario_Data!T49)^2+Inputs!$C$6^2)/Inputs!$C$52))*1000)/Inputs!$C$21*1000000</f>
        <v>2698.7278698689106</v>
      </c>
      <c r="AI49">
        <f>Scenario_Data!U49</f>
        <v>-243.2</v>
      </c>
      <c r="AJ49">
        <f>2*(SQRT((Inputs!$C$52+(Scenario_Data!C49))^2+Inputs!$C$52^2-2*(Inputs!$C$52+(Scenario_Data!C49))*Inputs!$C$52*COS(SQRT((Scenario_Data!U49)^2+Inputs!$C$6^2)/Inputs!$C$52))*1000)/Inputs!$C$21*1000000</f>
        <v>2056.4279743959351</v>
      </c>
      <c r="AK49">
        <f>Scenario_Data!V49</f>
        <v>-486.4</v>
      </c>
      <c r="AL49">
        <f>2*(SQRT((Inputs!$C$52+(Scenario_Data!D49))^2+Inputs!$C$52^2-2*(Inputs!$C$52+(Scenario_Data!D49))*Inputs!$C$52*COS(SQRT((Scenario_Data!V49)^2+Inputs!$C$6^2)/Inputs!$C$52))*1000)/Inputs!$C$21*1000000</f>
        <v>4464.2456995999191</v>
      </c>
      <c r="AM49">
        <f>Scenario_Data!W49</f>
        <v>-486.4</v>
      </c>
      <c r="AN49">
        <f>2*(SQRT((Inputs!$C$52+(Scenario_Data!E49))^2+Inputs!$C$52^2-2*(Inputs!$C$52+(Scenario_Data!E49))*Inputs!$C$52*COS(SQRT((Scenario_Data!W49)^2+Inputs!$C$6^2)/Inputs!$C$52))*1000)/Inputs!$C$21*1000000</f>
        <v>4434.9948626697533</v>
      </c>
      <c r="AP49">
        <f>Scenario_Data!T49</f>
        <v>-36.480000000000004</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2697.0681163678028</v>
      </c>
      <c r="AR49">
        <f>Scenario_Data!U49</f>
        <v>-243.2</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2056.0497159682136</v>
      </c>
      <c r="AT49">
        <f>Scenario_Data!V49</f>
        <v>-486.4</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4463.7842600742597</v>
      </c>
      <c r="AV49">
        <f>Scenario_Data!W49</f>
        <v>-486.4</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4434.5397505577357</v>
      </c>
    </row>
    <row r="50" spans="1:49">
      <c r="A50">
        <f>Chart_Data!K50</f>
        <v>-36</v>
      </c>
      <c r="B50">
        <f>Chart_Data!N50-Chart_Data!L50</f>
        <v>-0.26232181931044352</v>
      </c>
      <c r="D50">
        <f>Chart_Data!G50</f>
        <v>-36</v>
      </c>
      <c r="E50">
        <f>Chart_Data!H50</f>
        <v>273.24610443212225</v>
      </c>
      <c r="F50">
        <f>Chart_Data!I50</f>
        <v>273.24610443212225</v>
      </c>
      <c r="G50">
        <f>Chart_Data!J50</f>
        <v>-2.2866622063925579</v>
      </c>
      <c r="I50">
        <f>Scenario_Data!A50</f>
        <v>-0.6</v>
      </c>
      <c r="J50">
        <f>Scenario_Data!H50-(((SQRT((Inputs!$C$52+(Inputs!$H$6))^2+Inputs!$C$52^2-2*(Inputs!$C$52+(Inputs!$H$6))*Inputs!$C$52*COS(SQRT((Scenario_Data!T50)^2+Inputs!$C$6^2)/Inputs!$C$52)))-(Inputs!$H$6))*1000/Inputs!$C$12)</f>
        <v>-4.780239127223922</v>
      </c>
      <c r="K50">
        <f>Scenario_Data!I50-(((SQRT((Inputs!$C$52+(Inputs!$H$7))^2+Inputs!$C$52^2-2*(Inputs!$C$52+(Inputs!$H$7))*Inputs!$C$52*COS(SQRT((Scenario_Data!U50)^2+Inputs!$C$6^2)/Inputs!$C$52)))-(Inputs!$H$7))*1000/Inputs!$C$12)</f>
        <v>-41765.370410184376</v>
      </c>
      <c r="L50">
        <f>Scenario_Data!J50-(((SQRT((Inputs!$C$52+(Inputs!$H$8))^2+Inputs!$C$52^2-2*(Inputs!$C$52+(Inputs!$H$8))*Inputs!$C$52*COS(SQRT((Scenario_Data!V50)^2+Inputs!$C$6^2)/Inputs!$C$52)))-(Inputs!$H$8))*1000/Inputs!$C$12)</f>
        <v>-98763.924239837128</v>
      </c>
      <c r="M50">
        <f>Scenario_Data!K50-(((SQRT((Inputs!$C$52+(Inputs!$H$9))^2+Inputs!$C$52^2-2*(Inputs!$C$52+(Inputs!$H$9))*Inputs!$C$52*COS(SQRT((Scenario_Data!W50)^2+Inputs!$C$6^2)/Inputs!$C$52)))-(Inputs!$H$9))*1000/Inputs!$C$12)</f>
        <v>-102072.18940950758</v>
      </c>
      <c r="O50">
        <f>Scenario_Data!T50</f>
        <v>-36</v>
      </c>
      <c r="P50">
        <f>2*(Scenario_Data!B50*1000)/Inputs!$C$21*1000000</f>
        <v>2678.1194075269232</v>
      </c>
      <c r="Q50">
        <f>Scenario_Data!U50</f>
        <v>-240</v>
      </c>
      <c r="R50">
        <f>2*(Scenario_Data!C50*1000)/Inputs!$C$21*1000000</f>
        <v>1110.1013088194502</v>
      </c>
      <c r="S50">
        <f>Scenario_Data!V50</f>
        <v>-480</v>
      </c>
      <c r="T50">
        <f>2*(Scenario_Data!D50*1000)/Inputs!$C$21*1000000</f>
        <v>2551.098200075467</v>
      </c>
      <c r="U50">
        <f>Scenario_Data!W50</f>
        <v>-480</v>
      </c>
      <c r="V50">
        <f>2*(Scenario_Data!E50*1000)/Inputs!$C$21*1000000</f>
        <v>2508.4019958901035</v>
      </c>
      <c r="X50">
        <f>Scenario_Data!T50</f>
        <v>-36</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2678.1346624951211</v>
      </c>
      <c r="Z50">
        <f>Scenario_Data!U50</f>
        <v>-240</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1110.4114575267997</v>
      </c>
      <c r="AB50">
        <f>Scenario_Data!V50</f>
        <v>-480</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2550.8882906400845</v>
      </c>
      <c r="AD50">
        <f>Scenario_Data!W50</f>
        <v>-480</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2508.192086454721</v>
      </c>
      <c r="AG50">
        <f>Scenario_Data!T50</f>
        <v>-36</v>
      </c>
      <c r="AH50">
        <f>2*(SQRT((Inputs!$C$52+(Scenario_Data!B50))^2+Inputs!$C$52^2-2*(Inputs!$C$52+(Scenario_Data!B50))*Inputs!$C$52*COS(SQRT((Scenario_Data!T50)^2+Inputs!$C$6^2)/Inputs!$C$52))*1000)/Inputs!$C$21*1000000</f>
        <v>2698.1108631681168</v>
      </c>
      <c r="AI50">
        <f>Scenario_Data!U50</f>
        <v>-240</v>
      </c>
      <c r="AJ50">
        <f>2*(SQRT((Inputs!$C$52+(Scenario_Data!C50))^2+Inputs!$C$52^2-2*(Inputs!$C$52+(Scenario_Data!C50))*Inputs!$C$52*COS(SQRT((Scenario_Data!U50)^2+Inputs!$C$6^2)/Inputs!$C$52))*1000)/Inputs!$C$21*1000000</f>
        <v>2023.4253433638573</v>
      </c>
      <c r="AK50">
        <f>Scenario_Data!V50</f>
        <v>-480</v>
      </c>
      <c r="AL50">
        <f>2*(SQRT((Inputs!$C$52+(Scenario_Data!D50))^2+Inputs!$C$52^2-2*(Inputs!$C$52+(Scenario_Data!D50))*Inputs!$C$52*COS(SQRT((Scenario_Data!V50)^2+Inputs!$C$6^2)/Inputs!$C$52))*1000)/Inputs!$C$21*1000000</f>
        <v>4382.7356096105759</v>
      </c>
      <c r="AM50">
        <f>Scenario_Data!W50</f>
        <v>-480</v>
      </c>
      <c r="AN50">
        <f>2*(SQRT((Inputs!$C$52+(Scenario_Data!E50))^2+Inputs!$C$52^2-2*(Inputs!$C$52+(Scenario_Data!E50))*Inputs!$C$52*COS(SQRT((Scenario_Data!W50)^2+Inputs!$C$6^2)/Inputs!$C$52))*1000)/Inputs!$C$21*1000000</f>
        <v>4353.2196326758594</v>
      </c>
      <c r="AP50">
        <f>Scenario_Data!T50</f>
        <v>-36</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2696.3049663672955</v>
      </c>
      <c r="AR50">
        <f>Scenario_Data!U50</f>
        <v>-240</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2023.202170567554</v>
      </c>
      <c r="AT50">
        <f>Scenario_Data!V50</f>
        <v>-480</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4382.1612160771374</v>
      </c>
      <c r="AV50">
        <f>Scenario_Data!W50</f>
        <v>-480</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4352.6534696058097</v>
      </c>
    </row>
    <row r="51" spans="1:49">
      <c r="A51">
        <f>Chart_Data!K51</f>
        <v>-35.5</v>
      </c>
      <c r="B51">
        <f>Chart_Data!N51-Chart_Data!L51</f>
        <v>-1.9757328739763693</v>
      </c>
      <c r="D51">
        <f>Chart_Data!G51</f>
        <v>-35.5</v>
      </c>
      <c r="E51">
        <f>Chart_Data!H51</f>
        <v>284.9525044866856</v>
      </c>
      <c r="F51">
        <f>Chart_Data!I51</f>
        <v>284.9525044866856</v>
      </c>
      <c r="G51">
        <f>Chart_Data!J51</f>
        <v>-0.63397186114618087</v>
      </c>
      <c r="I51">
        <f>Scenario_Data!A51</f>
        <v>-0.59199999999999997</v>
      </c>
      <c r="J51">
        <f>Scenario_Data!H51-(((SQRT((Inputs!$C$52+(Inputs!$H$6))^2+Inputs!$C$52^2-2*(Inputs!$C$52+(Inputs!$H$6))*Inputs!$C$52*COS(SQRT((Scenario_Data!T51)^2+Inputs!$C$6^2)/Inputs!$C$52)))-(Inputs!$H$6))*1000/Inputs!$C$12)</f>
        <v>-4.5718748099950517</v>
      </c>
      <c r="K51">
        <f>Scenario_Data!I51-(((SQRT((Inputs!$C$52+(Inputs!$H$7))^2+Inputs!$C$52^2-2*(Inputs!$C$52+(Inputs!$H$7))*Inputs!$C$52*COS(SQRT((Scenario_Data!U51)^2+Inputs!$C$6^2)/Inputs!$C$52)))-(Inputs!$H$7))*1000/Inputs!$C$12)</f>
        <v>-40784.26967339727</v>
      </c>
      <c r="L51">
        <f>Scenario_Data!J51-(((SQRT((Inputs!$C$52+(Inputs!$H$8))^2+Inputs!$C$52^2-2*(Inputs!$C$52+(Inputs!$H$8))*Inputs!$C$52*COS(SQRT((Scenario_Data!V51)^2+Inputs!$C$6^2)/Inputs!$C$52)))-(Inputs!$H$8))*1000/Inputs!$C$12)</f>
        <v>-96812.058229060029</v>
      </c>
      <c r="M51">
        <f>Scenario_Data!K51-(((SQRT((Inputs!$C$52+(Inputs!$H$9))^2+Inputs!$C$52^2-2*(Inputs!$C$52+(Inputs!$H$9))*Inputs!$C$52*COS(SQRT((Scenario_Data!W51)^2+Inputs!$C$6^2)/Inputs!$C$52)))-(Inputs!$H$9))*1000/Inputs!$C$12)</f>
        <v>-100094.54459469678</v>
      </c>
      <c r="O51">
        <f>Scenario_Data!T51</f>
        <v>-35.519999999999996</v>
      </c>
      <c r="P51">
        <f>2*(Scenario_Data!B51*1000)/Inputs!$C$21*1000000</f>
        <v>2677.8649381499786</v>
      </c>
      <c r="Q51">
        <f>Scenario_Data!U51</f>
        <v>-236.79999999999998</v>
      </c>
      <c r="R51">
        <f>2*(Scenario_Data!C51*1000)/Inputs!$C$21*1000000</f>
        <v>1086.88097817324</v>
      </c>
      <c r="S51">
        <f>Scenario_Data!V51</f>
        <v>-473.59999999999997</v>
      </c>
      <c r="T51">
        <f>2*(Scenario_Data!D51*1000)/Inputs!$C$21*1000000</f>
        <v>2489.7074628875416</v>
      </c>
      <c r="U51">
        <f>Scenario_Data!W51</f>
        <v>-473.59999999999997</v>
      </c>
      <c r="V51">
        <f>2*(Scenario_Data!E51*1000)/Inputs!$C$21*1000000</f>
        <v>2446.3750852598164</v>
      </c>
      <c r="X51">
        <f>Scenario_Data!T51</f>
        <v>-35.519999999999996</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2677.8312038609492</v>
      </c>
      <c r="Z51">
        <f>Scenario_Data!U51</f>
        <v>-236.79999999999998</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1086.8427303999092</v>
      </c>
      <c r="AB51">
        <f>Scenario_Data!V51</f>
        <v>-473.59999999999997</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2489.7392629473461</v>
      </c>
      <c r="AD51">
        <f>Scenario_Data!W51</f>
        <v>-473.59999999999997</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2446.4068853196209</v>
      </c>
      <c r="AG51">
        <f>Scenario_Data!T51</f>
        <v>-35.519999999999996</v>
      </c>
      <c r="AH51">
        <f>2*(SQRT((Inputs!$C$52+(Scenario_Data!B51))^2+Inputs!$C$52^2-2*(Inputs!$C$52+(Scenario_Data!B51))*Inputs!$C$52*COS(SQRT((Scenario_Data!T51)^2+Inputs!$C$6^2)/Inputs!$C$52))*1000)/Inputs!$C$21*1000000</f>
        <v>2697.5019276614603</v>
      </c>
      <c r="AI51">
        <f>Scenario_Data!U51</f>
        <v>-236.79999999999998</v>
      </c>
      <c r="AJ51">
        <f>2*(SQRT((Inputs!$C$52+(Scenario_Data!C51))^2+Inputs!$C$52^2-2*(Inputs!$C$52+(Scenario_Data!C51))*Inputs!$C$52*COS(SQRT((Scenario_Data!U51)^2+Inputs!$C$6^2)/Inputs!$C$52))*1000)/Inputs!$C$21*1000000</f>
        <v>1990.6704964522148</v>
      </c>
      <c r="AK51">
        <f>Scenario_Data!V51</f>
        <v>-473.59999999999997</v>
      </c>
      <c r="AL51">
        <f>2*(SQRT((Inputs!$C$52+(Scenario_Data!D51))^2+Inputs!$C$52^2-2*(Inputs!$C$52+(Scenario_Data!D51))*Inputs!$C$52*COS(SQRT((Scenario_Data!V51)^2+Inputs!$C$6^2)/Inputs!$C$52))*1000)/Inputs!$C$21*1000000</f>
        <v>4302.025742951585</v>
      </c>
      <c r="AM51">
        <f>Scenario_Data!W51</f>
        <v>-473.59999999999997</v>
      </c>
      <c r="AN51">
        <f>2*(SQRT((Inputs!$C$52+(Scenario_Data!E51))^2+Inputs!$C$52^2-2*(Inputs!$C$52+(Scenario_Data!E51))*Inputs!$C$52*COS(SQRT((Scenario_Data!W51)^2+Inputs!$C$6^2)/Inputs!$C$52))*1000)/Inputs!$C$21*1000000</f>
        <v>4272.2586618025425</v>
      </c>
      <c r="AP51">
        <f>Scenario_Data!T51</f>
        <v>-35.519999999999996</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2695.6592976495863</v>
      </c>
      <c r="AR51">
        <f>Scenario_Data!U51</f>
        <v>-236.79999999999998</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1990.4033581092428</v>
      </c>
      <c r="AT51">
        <f>Scenario_Data!V51</f>
        <v>-473.59999999999997</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4301.6858681205158</v>
      </c>
      <c r="AV51">
        <f>Scenario_Data!W51</f>
        <v>-473.59999999999997</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4271.9238735944728</v>
      </c>
    </row>
    <row r="52" spans="1:49">
      <c r="A52">
        <f>Chart_Data!K52</f>
        <v>-35</v>
      </c>
      <c r="B52">
        <f>Chart_Data!N52-Chart_Data!L52</f>
        <v>7.184875005316087</v>
      </c>
      <c r="D52">
        <f>Chart_Data!G52</f>
        <v>-35</v>
      </c>
      <c r="E52">
        <f>Chart_Data!H52</f>
        <v>280.71344003936963</v>
      </c>
      <c r="F52">
        <f>Chart_Data!I52</f>
        <v>280.71344003936963</v>
      </c>
      <c r="G52">
        <f>Chart_Data!J52</f>
        <v>-9.7085297317811534</v>
      </c>
      <c r="I52">
        <f>Scenario_Data!A52</f>
        <v>-0.58299999999999996</v>
      </c>
      <c r="J52">
        <f>Scenario_Data!H52-(((SQRT((Inputs!$C$52+(Inputs!$H$6))^2+Inputs!$C$52^2-2*(Inputs!$C$52+(Inputs!$H$6))*Inputs!$C$52*COS(SQRT((Scenario_Data!T52)^2+Inputs!$C$6^2)/Inputs!$C$52)))-(Inputs!$H$6))*1000/Inputs!$C$12)</f>
        <v>-4.3459520128728855</v>
      </c>
      <c r="K52">
        <f>Scenario_Data!I52-(((SQRT((Inputs!$C$52+(Inputs!$H$7))^2+Inputs!$C$52^2-2*(Inputs!$C$52+(Inputs!$H$7))*Inputs!$C$52*COS(SQRT((Scenario_Data!U52)^2+Inputs!$C$6^2)/Inputs!$C$52)))-(Inputs!$H$7))*1000/Inputs!$C$12)</f>
        <v>-39687.880586280648</v>
      </c>
      <c r="L52">
        <f>Scenario_Data!J52-(((SQRT((Inputs!$C$52+(Inputs!$H$8))^2+Inputs!$C$52^2-2*(Inputs!$C$52+(Inputs!$H$8))*Inputs!$C$52*COS(SQRT((Scenario_Data!V52)^2+Inputs!$C$6^2)/Inputs!$C$52)))-(Inputs!$H$8))*1000/Inputs!$C$12)</f>
        <v>-94618.172780739202</v>
      </c>
      <c r="M52">
        <f>Scenario_Data!K52-(((SQRT((Inputs!$C$52+(Inputs!$H$9))^2+Inputs!$C$52^2-2*(Inputs!$C$52+(Inputs!$H$9))*Inputs!$C$52*COS(SQRT((Scenario_Data!W52)^2+Inputs!$C$6^2)/Inputs!$C$52)))-(Inputs!$H$9))*1000/Inputs!$C$12)</f>
        <v>-97870.956421788083</v>
      </c>
      <c r="O52">
        <f>Scenario_Data!T52</f>
        <v>-34.979999999999997</v>
      </c>
      <c r="P52">
        <f>2*(Scenario_Data!B52*1000)/Inputs!$C$21*1000000</f>
        <v>2677.5827429254409</v>
      </c>
      <c r="Q52">
        <f>Scenario_Data!U52</f>
        <v>-233.2</v>
      </c>
      <c r="R52">
        <f>2*(Scenario_Data!C52*1000)/Inputs!$C$21*1000000</f>
        <v>1061.1306639341806</v>
      </c>
      <c r="S52">
        <f>Scenario_Data!V52</f>
        <v>-466.4</v>
      </c>
      <c r="T52">
        <f>2*(Scenario_Data!D52*1000)/Inputs!$C$21*1000000</f>
        <v>2421.627864967837</v>
      </c>
      <c r="U52">
        <f>Scenario_Data!W52</f>
        <v>-466.4</v>
      </c>
      <c r="V52">
        <f>2*(Scenario_Data!E52*1000)/Inputs!$C$21*1000000</f>
        <v>2377.5899992787677</v>
      </c>
      <c r="X52">
        <f>Scenario_Data!T52</f>
        <v>-34.979999999999997</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2677.5913730272569</v>
      </c>
      <c r="Z52">
        <f>Scenario_Data!U52</f>
        <v>-233.2</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1061.1254317167784</v>
      </c>
      <c r="AB52">
        <f>Scenario_Data!V52</f>
        <v>-466.4</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2421.2039336802191</v>
      </c>
      <c r="AD52">
        <f>Scenario_Data!W52</f>
        <v>-466.4</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2377.1660679911497</v>
      </c>
      <c r="AG52">
        <f>Scenario_Data!T52</f>
        <v>-34.979999999999997</v>
      </c>
      <c r="AH52">
        <f>2*(SQRT((Inputs!$C$52+(Scenario_Data!B52))^2+Inputs!$C$52^2-2*(Inputs!$C$52+(Scenario_Data!B52))*Inputs!$C$52*COS(SQRT((Scenario_Data!T52)^2+Inputs!$C$6^2)/Inputs!$C$52))*1000)/Inputs!$C$21*1000000</f>
        <v>2696.8265277651735</v>
      </c>
      <c r="AI52">
        <f>Scenario_Data!U52</f>
        <v>-233.2</v>
      </c>
      <c r="AJ52">
        <f>2*(SQRT((Inputs!$C$52+(Scenario_Data!C52))^2+Inputs!$C$52^2-2*(Inputs!$C$52+(Scenario_Data!C52))*Inputs!$C$52*COS(SQRT((Scenario_Data!U52)^2+Inputs!$C$6^2)/Inputs!$C$52))*1000)/Inputs!$C$21*1000000</f>
        <v>1954.1154016181265</v>
      </c>
      <c r="AK52">
        <f>Scenario_Data!V52</f>
        <v>-466.4</v>
      </c>
      <c r="AL52">
        <f>2*(SQRT((Inputs!$C$52+(Scenario_Data!D52))^2+Inputs!$C$52^2-2*(Inputs!$C$52+(Scenario_Data!D52))*Inputs!$C$52*COS(SQRT((Scenario_Data!V52)^2+Inputs!$C$6^2)/Inputs!$C$52))*1000)/Inputs!$C$21*1000000</f>
        <v>4212.1784335476086</v>
      </c>
      <c r="AM52">
        <f>Scenario_Data!W52</f>
        <v>-466.4</v>
      </c>
      <c r="AN52">
        <f>2*(SQRT((Inputs!$C$52+(Scenario_Data!E52))^2+Inputs!$C$52^2-2*(Inputs!$C$52+(Scenario_Data!E52))*Inputs!$C$52*COS(SQRT((Scenario_Data!W52)^2+Inputs!$C$6^2)/Inputs!$C$52))*1000)/Inputs!$C$21*1000000</f>
        <v>4182.1456571735444</v>
      </c>
      <c r="AP52">
        <f>Scenario_Data!T52</f>
        <v>-34.979999999999997</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2694.8999569640541</v>
      </c>
      <c r="AR52">
        <f>Scenario_Data!U52</f>
        <v>-233.2</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1953.6477907064188</v>
      </c>
      <c r="AT52">
        <f>Scenario_Data!V52</f>
        <v>-466.4</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4211.6044697693824</v>
      </c>
      <c r="AV52">
        <f>Scenario_Data!W52</f>
        <v>-466.4</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4181.5807170764128</v>
      </c>
    </row>
    <row r="53" spans="1:49">
      <c r="A53">
        <f>Chart_Data!K53</f>
        <v>-34.5</v>
      </c>
      <c r="B53">
        <f>Chart_Data!N53-Chart_Data!L53</f>
        <v>7.0681567566898593</v>
      </c>
      <c r="D53">
        <f>Chart_Data!G53</f>
        <v>-34.5</v>
      </c>
      <c r="E53">
        <f>Chart_Data!H53</f>
        <v>316.31487804948046</v>
      </c>
      <c r="F53">
        <f>Chart_Data!I53</f>
        <v>316.31487804948046</v>
      </c>
      <c r="G53">
        <f>Chart_Data!J53</f>
        <v>-9.8596508268729295</v>
      </c>
      <c r="I53">
        <f>Scenario_Data!A53</f>
        <v>-0.57499999999999996</v>
      </c>
      <c r="J53">
        <f>Scenario_Data!H53-(((SQRT((Inputs!$C$52+(Inputs!$H$6))^2+Inputs!$C$52^2-2*(Inputs!$C$52+(Inputs!$H$6))*Inputs!$C$52*COS(SQRT((Scenario_Data!T53)^2+Inputs!$C$6^2)/Inputs!$C$52)))-(Inputs!$H$6))*1000/Inputs!$C$12)</f>
        <v>-4.1524868146580047</v>
      </c>
      <c r="K53">
        <f>Scenario_Data!I53-(((SQRT((Inputs!$C$52+(Inputs!$H$7))^2+Inputs!$C$52^2-2*(Inputs!$C$52+(Inputs!$H$7))*Inputs!$C$52*COS(SQRT((Scenario_Data!U53)^2+Inputs!$C$6^2)/Inputs!$C$52)))-(Inputs!$H$7))*1000/Inputs!$C$12)</f>
        <v>-38720.0379034832</v>
      </c>
      <c r="L53">
        <f>Scenario_Data!J53-(((SQRT((Inputs!$C$52+(Inputs!$H$8))^2+Inputs!$C$52^2-2*(Inputs!$C$52+(Inputs!$H$8))*Inputs!$C$52*COS(SQRT((Scenario_Data!V53)^2+Inputs!$C$6^2)/Inputs!$C$52)))-(Inputs!$H$8))*1000/Inputs!$C$12)</f>
        <v>-92670.235040711414</v>
      </c>
      <c r="M53">
        <f>Scenario_Data!K53-(((SQRT((Inputs!$C$52+(Inputs!$H$9))^2+Inputs!$C$52^2-2*(Inputs!$C$52+(Inputs!$H$9))*Inputs!$C$52*COS(SQRT((Scenario_Data!W53)^2+Inputs!$C$6^2)/Inputs!$C$52)))-(Inputs!$H$9))*1000/Inputs!$C$12)</f>
        <v>-95895.985812650615</v>
      </c>
      <c r="O53">
        <f>Scenario_Data!T53</f>
        <v>-34.5</v>
      </c>
      <c r="P53">
        <f>2*(Scenario_Data!B53*1000)/Inputs!$C$21*1000000</f>
        <v>2677.3355319032075</v>
      </c>
      <c r="Q53">
        <f>Scenario_Data!U53</f>
        <v>-229.99999999999997</v>
      </c>
      <c r="R53">
        <f>2*(Scenario_Data!C53*1000)/Inputs!$C$21*1000000</f>
        <v>1038.5726581553961</v>
      </c>
      <c r="S53">
        <f>Scenario_Data!V53</f>
        <v>-459.99999999999994</v>
      </c>
      <c r="T53">
        <f>2*(Scenario_Data!D53*1000)/Inputs!$C$21*1000000</f>
        <v>2361.9882058540638</v>
      </c>
      <c r="U53">
        <f>Scenario_Data!W53</f>
        <v>-459.99999999999994</v>
      </c>
      <c r="V53">
        <f>2*(Scenario_Data!E53*1000)/Inputs!$C$21*1000000</f>
        <v>2317.3323126094115</v>
      </c>
      <c r="X53">
        <f>Scenario_Data!T53</f>
        <v>-34.5</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2677.4013084133485</v>
      </c>
      <c r="Z53">
        <f>Scenario_Data!U53</f>
        <v>-229.99999999999997</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1038.5909879836215</v>
      </c>
      <c r="AB53">
        <f>Scenario_Data!V53</f>
        <v>-459.99999999999994</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2361.7787973155059</v>
      </c>
      <c r="AD53">
        <f>Scenario_Data!W53</f>
        <v>-459.99999999999994</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2317.1229040708531</v>
      </c>
      <c r="AG53">
        <f>Scenario_Data!T53</f>
        <v>-34.5</v>
      </c>
      <c r="AH53">
        <f>2*(SQRT((Inputs!$C$52+(Scenario_Data!B53))^2+Inputs!$C$52^2-2*(Inputs!$C$52+(Scenario_Data!B53))*Inputs!$C$52*COS(SQRT((Scenario_Data!T53)^2+Inputs!$C$6^2)/Inputs!$C$52))*1000)/Inputs!$C$21*1000000</f>
        <v>2696.2347566886478</v>
      </c>
      <c r="AI53">
        <f>Scenario_Data!U53</f>
        <v>-229.99999999999997</v>
      </c>
      <c r="AJ53">
        <f>2*(SQRT((Inputs!$C$52+(Scenario_Data!C53))^2+Inputs!$C$52^2-2*(Inputs!$C$52+(Scenario_Data!C53))*Inputs!$C$52*COS(SQRT((Scenario_Data!U53)^2+Inputs!$C$6^2)/Inputs!$C$52))*1000)/Inputs!$C$21*1000000</f>
        <v>1921.8815542974669</v>
      </c>
      <c r="AK53">
        <f>Scenario_Data!V53</f>
        <v>-459.99999999999994</v>
      </c>
      <c r="AL53">
        <f>2*(SQRT((Inputs!$C$52+(Scenario_Data!D53))^2+Inputs!$C$52^2-2*(Inputs!$C$52+(Scenario_Data!D53))*Inputs!$C$52*COS(SQRT((Scenario_Data!V53)^2+Inputs!$C$6^2)/Inputs!$C$52))*1000)/Inputs!$C$21*1000000</f>
        <v>4133.1549738663607</v>
      </c>
      <c r="AM53">
        <f>Scenario_Data!W53</f>
        <v>-459.99999999999994</v>
      </c>
      <c r="AN53">
        <f>2*(SQRT((Inputs!$C$52+(Scenario_Data!E53))^2+Inputs!$C$52^2-2*(Inputs!$C$52+(Scenario_Data!E53))*Inputs!$C$52*COS(SQRT((Scenario_Data!W53)^2+Inputs!$C$6^2)/Inputs!$C$52))*1000)/Inputs!$C$21*1000000</f>
        <v>4102.9009668625113</v>
      </c>
      <c r="AP53">
        <f>Scenario_Data!T53</f>
        <v>-34.5</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2694.1431538106372</v>
      </c>
      <c r="AR53">
        <f>Scenario_Data!U53</f>
        <v>-229.99999999999997</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1921.275488770779</v>
      </c>
      <c r="AT53">
        <f>Scenario_Data!V53</f>
        <v>-459.99999999999994</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4132.6729700126252</v>
      </c>
      <c r="AV53">
        <f>Scenario_Data!W53</f>
        <v>-459.99999999999994</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4102.4268767595477</v>
      </c>
    </row>
    <row r="54" spans="1:49">
      <c r="A54">
        <f>Chart_Data!K54</f>
        <v>-34</v>
      </c>
      <c r="B54">
        <f>Chart_Data!N54-Chart_Data!L54</f>
        <v>-2.9998358134611181</v>
      </c>
      <c r="D54">
        <f>Chart_Data!G54</f>
        <v>-34</v>
      </c>
      <c r="E54">
        <f>Chart_Data!H54</f>
        <v>319.41525492664545</v>
      </c>
      <c r="F54">
        <f>Chart_Data!I54</f>
        <v>319.41525492664545</v>
      </c>
      <c r="G54">
        <f>Chart_Data!J54</f>
        <v>0.233219012771956</v>
      </c>
      <c r="I54">
        <f>Scenario_Data!A54</f>
        <v>-0.56699999999999995</v>
      </c>
      <c r="J54">
        <f>Scenario_Data!H54-(((SQRT((Inputs!$C$52+(Inputs!$H$6))^2+Inputs!$C$52^2-2*(Inputs!$C$52+(Inputs!$H$6))*Inputs!$C$52*COS(SQRT((Scenario_Data!T54)^2+Inputs!$C$6^2)/Inputs!$C$52)))-(Inputs!$H$6))*1000/Inputs!$C$12)</f>
        <v>-3.965768378529674</v>
      </c>
      <c r="K54">
        <f>Scenario_Data!I54-(((SQRT((Inputs!$C$52+(Inputs!$H$7))^2+Inputs!$C$52^2-2*(Inputs!$C$52+(Inputs!$H$7))*Inputs!$C$52*COS(SQRT((Scenario_Data!U54)^2+Inputs!$C$6^2)/Inputs!$C$52)))-(Inputs!$H$7))*1000/Inputs!$C$12)</f>
        <v>-37758.709506009036</v>
      </c>
      <c r="L54">
        <f>Scenario_Data!J54-(((SQRT((Inputs!$C$52+(Inputs!$H$8))^2+Inputs!$C$52^2-2*(Inputs!$C$52+(Inputs!$H$8))*Inputs!$C$52*COS(SQRT((Scenario_Data!V54)^2+Inputs!$C$6^2)/Inputs!$C$52)))-(Inputs!$H$8))*1000/Inputs!$C$12)</f>
        <v>-90724.774448562239</v>
      </c>
      <c r="M54">
        <f>Scenario_Data!K54-(((SQRT((Inputs!$C$52+(Inputs!$H$9))^2+Inputs!$C$52^2-2*(Inputs!$C$52+(Inputs!$H$9))*Inputs!$C$52*COS(SQRT((Scenario_Data!W54)^2+Inputs!$C$6^2)/Inputs!$C$52)))-(Inputs!$H$9))*1000/Inputs!$C$12)</f>
        <v>-93922.892718858086</v>
      </c>
      <c r="O54">
        <f>Scenario_Data!T54</f>
        <v>-34.019999999999996</v>
      </c>
      <c r="P54">
        <f>2*(Scenario_Data!B54*1000)/Inputs!$C$21*1000000</f>
        <v>2677.0917365773089</v>
      </c>
      <c r="Q54">
        <f>Scenario_Data!U54</f>
        <v>-226.79999999999998</v>
      </c>
      <c r="R54">
        <f>2*(Scenario_Data!C54*1000)/Inputs!$C$21*1000000</f>
        <v>1016.3263346671649</v>
      </c>
      <c r="S54">
        <f>Scenario_Data!V54</f>
        <v>-453.59999999999997</v>
      </c>
      <c r="T54">
        <f>2*(Scenario_Data!D54*1000)/Inputs!$C$21*1000000</f>
        <v>2303.1725834810691</v>
      </c>
      <c r="U54">
        <f>Scenario_Data!W54</f>
        <v>-453.59999999999997</v>
      </c>
      <c r="V54">
        <f>2*(Scenario_Data!E54*1000)/Inputs!$C$21*1000000</f>
        <v>2257.9072019216705</v>
      </c>
      <c r="X54">
        <f>Scenario_Data!T54</f>
        <v>-34.019999999999996</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2677.1088155150319</v>
      </c>
      <c r="Z54">
        <f>Scenario_Data!U54</f>
        <v>-226.79999999999998</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1016.1344402669544</v>
      </c>
      <c r="AB54">
        <f>Scenario_Data!V54</f>
        <v>-453.59999999999997</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2303.344286876124</v>
      </c>
      <c r="AD54">
        <f>Scenario_Data!W54</f>
        <v>-453.59999999999997</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2258.0789053167259</v>
      </c>
      <c r="AG54">
        <f>Scenario_Data!T54</f>
        <v>-34.019999999999996</v>
      </c>
      <c r="AH54">
        <f>2*(SQRT((Inputs!$C$52+(Scenario_Data!B54))^2+Inputs!$C$52^2-2*(Inputs!$C$52+(Scenario_Data!B54))*Inputs!$C$52*COS(SQRT((Scenario_Data!T54)^2+Inputs!$C$6^2)/Inputs!$C$52))*1000)/Inputs!$C$21*1000000</f>
        <v>2695.6510690703108</v>
      </c>
      <c r="AI54">
        <f>Scenario_Data!U54</f>
        <v>-226.79999999999998</v>
      </c>
      <c r="AJ54">
        <f>2*(SQRT((Inputs!$C$52+(Scenario_Data!C54))^2+Inputs!$C$52^2-2*(Inputs!$C$52+(Scenario_Data!C54))*Inputs!$C$52*COS(SQRT((Scenario_Data!U54)^2+Inputs!$C$6^2)/Inputs!$C$52))*1000)/Inputs!$C$21*1000000</f>
        <v>1889.8902432096763</v>
      </c>
      <c r="AK54">
        <f>Scenario_Data!V54</f>
        <v>-453.59999999999997</v>
      </c>
      <c r="AL54">
        <f>2*(SQRT((Inputs!$C$52+(Scenario_Data!D54))^2+Inputs!$C$52^2-2*(Inputs!$C$52+(Scenario_Data!D54))*Inputs!$C$52*COS(SQRT((Scenario_Data!V54)^2+Inputs!$C$6^2)/Inputs!$C$52))*1000)/Inputs!$C$21*1000000</f>
        <v>4054.9182491071806</v>
      </c>
      <c r="AM54">
        <f>Scenario_Data!W54</f>
        <v>-453.59999999999997</v>
      </c>
      <c r="AN54">
        <f>2*(SQRT((Inputs!$C$52+(Scenario_Data!E54))^2+Inputs!$C$52^2-2*(Inputs!$C$52+(Scenario_Data!E54))*Inputs!$C$52*COS(SQRT((Scenario_Data!W54)^2+Inputs!$C$6^2)/Inputs!$C$52))*1000)/Inputs!$C$21*1000000</f>
        <v>4024.4570813468608</v>
      </c>
      <c r="AP54">
        <f>Scenario_Data!T54</f>
        <v>-34.019999999999996</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2693.5887701095885</v>
      </c>
      <c r="AR54">
        <f>Scenario_Data!U54</f>
        <v>-226.79999999999998</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1889.3707989649024</v>
      </c>
      <c r="AT54">
        <f>Scenario_Data!V54</f>
        <v>-453.59999999999997</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4054.6161492634942</v>
      </c>
      <c r="AV54">
        <f>Scenario_Data!W54</f>
        <v>-453.59999999999997</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4024.1601603091813</v>
      </c>
    </row>
    <row r="55" spans="1:49">
      <c r="A55">
        <f>Chart_Data!K55</f>
        <v>-33.5</v>
      </c>
      <c r="B55">
        <f>Chart_Data!N55-Chart_Data!L55</f>
        <v>-11.292096223706039</v>
      </c>
      <c r="D55">
        <f>Chart_Data!G55</f>
        <v>-33.5</v>
      </c>
      <c r="E55">
        <f>Chart_Data!H55</f>
        <v>328.44480575089858</v>
      </c>
      <c r="F55">
        <f>Chart_Data!I55</f>
        <v>328.44480575089858</v>
      </c>
      <c r="G55">
        <f>Chart_Data!J55</f>
        <v>8.5001955674394374</v>
      </c>
      <c r="I55">
        <f>Scenario_Data!A55</f>
        <v>-0.55800000000000005</v>
      </c>
      <c r="J55">
        <f>Scenario_Data!H55-(((SQRT((Inputs!$C$52+(Inputs!$H$6))^2+Inputs!$C$52^2-2*(Inputs!$C$52+(Inputs!$H$6))*Inputs!$C$52*COS(SQRT((Scenario_Data!T55)^2+Inputs!$C$6^2)/Inputs!$C$52)))-(Inputs!$H$6))*1000/Inputs!$C$12)</f>
        <v>-3.7635674146301881</v>
      </c>
      <c r="K55">
        <f>Scenario_Data!I55-(((SQRT((Inputs!$C$52+(Inputs!$H$7))^2+Inputs!$C$52^2-2*(Inputs!$C$52+(Inputs!$H$7))*Inputs!$C$52*COS(SQRT((Scenario_Data!U55)^2+Inputs!$C$6^2)/Inputs!$C$52)))-(Inputs!$H$7))*1000/Inputs!$C$12)</f>
        <v>-36685.226067220006</v>
      </c>
      <c r="L55">
        <f>Scenario_Data!J55-(((SQRT((Inputs!$C$52+(Inputs!$H$8))^2+Inputs!$C$52^2-2*(Inputs!$C$52+(Inputs!$H$8))*Inputs!$C$52*COS(SQRT((Scenario_Data!V55)^2+Inputs!$C$6^2)/Inputs!$C$52)))-(Inputs!$H$8))*1000/Inputs!$C$12)</f>
        <v>-88539.612282307091</v>
      </c>
      <c r="M55">
        <f>Scenario_Data!K55-(((SQRT((Inputs!$C$52+(Inputs!$H$9))^2+Inputs!$C$52^2-2*(Inputs!$C$52+(Inputs!$H$9))*Inputs!$C$52*COS(SQRT((Scenario_Data!W55)^2+Inputs!$C$6^2)/Inputs!$C$52)))-(Inputs!$H$9))*1000/Inputs!$C$12)</f>
        <v>-91705.919959116989</v>
      </c>
      <c r="O55">
        <f>Scenario_Data!T55</f>
        <v>-33.480000000000004</v>
      </c>
      <c r="P55">
        <f>2*(Scenario_Data!B55*1000)/Inputs!$C$21*1000000</f>
        <v>2676.8215496601988</v>
      </c>
      <c r="Q55">
        <f>Scenario_Data!U55</f>
        <v>-223.20000000000002</v>
      </c>
      <c r="R55">
        <f>2*(Scenario_Data!C55*1000)/Inputs!$C$21*1000000</f>
        <v>991.67177848083179</v>
      </c>
      <c r="S55">
        <f>Scenario_Data!V55</f>
        <v>-446.40000000000003</v>
      </c>
      <c r="T55">
        <f>2*(Scenario_Data!D55*1000)/Inputs!$C$21*1000000</f>
        <v>2237.9899897281612</v>
      </c>
      <c r="U55">
        <f>Scenario_Data!W55</f>
        <v>-446.40000000000003</v>
      </c>
      <c r="V55">
        <f>2*(Scenario_Data!E55*1000)/Inputs!$C$21*1000000</f>
        <v>2192.0491408759858</v>
      </c>
      <c r="X55">
        <f>Scenario_Data!T55</f>
        <v>-33.480000000000004</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2676.6947597635431</v>
      </c>
      <c r="Z55">
        <f>Scenario_Data!U55</f>
        <v>-223.20000000000002</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991.53332581625716</v>
      </c>
      <c r="AB55">
        <f>Scenario_Data!V55</f>
        <v>-446.40000000000003</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2237.6242728070965</v>
      </c>
      <c r="AD55">
        <f>Scenario_Data!W55</f>
        <v>-446.40000000000003</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2191.6834239549212</v>
      </c>
      <c r="AG55">
        <f>Scenario_Data!T55</f>
        <v>-33.480000000000004</v>
      </c>
      <c r="AH55">
        <f>2*(SQRT((Inputs!$C$52+(Scenario_Data!B55))^2+Inputs!$C$52^2-2*(Inputs!$C$52+(Scenario_Data!B55))*Inputs!$C$52*COS(SQRT((Scenario_Data!T55)^2+Inputs!$C$6^2)/Inputs!$C$52))*1000)/Inputs!$C$21*1000000</f>
        <v>2695.0040875164605</v>
      </c>
      <c r="AI55">
        <f>Scenario_Data!U55</f>
        <v>-223.20000000000002</v>
      </c>
      <c r="AJ55">
        <f>2*(SQRT((Inputs!$C$52+(Scenario_Data!C55))^2+Inputs!$C$52^2-2*(Inputs!$C$52+(Scenario_Data!C55))*Inputs!$C$52*COS(SQRT((Scenario_Data!U55)^2+Inputs!$C$6^2)/Inputs!$C$52))*1000)/Inputs!$C$21*1000000</f>
        <v>1854.1877969704217</v>
      </c>
      <c r="AK55">
        <f>Scenario_Data!V55</f>
        <v>-446.40000000000003</v>
      </c>
      <c r="AL55">
        <f>2*(SQRT((Inputs!$C$52+(Scenario_Data!D55))^2+Inputs!$C$52^2-2*(Inputs!$C$52+(Scenario_Data!D55))*Inputs!$C$52*COS(SQRT((Scenario_Data!V55)^2+Inputs!$C$6^2)/Inputs!$C$52))*1000)/Inputs!$C$21*1000000</f>
        <v>3967.8366472645534</v>
      </c>
      <c r="AM55">
        <f>Scenario_Data!W55</f>
        <v>-446.40000000000003</v>
      </c>
      <c r="AN55">
        <f>2*(SQRT((Inputs!$C$52+(Scenario_Data!E55))^2+Inputs!$C$52^2-2*(Inputs!$C$52+(Scenario_Data!E55))*Inputs!$C$52*COS(SQRT((Scenario_Data!W55)^2+Inputs!$C$6^2)/Inputs!$C$52))*1000)/Inputs!$C$21*1000000</f>
        <v>3937.1592412789855</v>
      </c>
      <c r="AP55">
        <f>Scenario_Data!T55</f>
        <v>-33.480000000000004</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2692.7579631655858</v>
      </c>
      <c r="AR55">
        <f>Scenario_Data!U55</f>
        <v>-223.20000000000002</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1853.9523697485693</v>
      </c>
      <c r="AT55">
        <f>Scenario_Data!V55</f>
        <v>-446.40000000000003</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3967.3646091084047</v>
      </c>
      <c r="AV55">
        <f>Scenario_Data!W55</f>
        <v>-446.40000000000003</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3936.6957000760913</v>
      </c>
    </row>
    <row r="56" spans="1:49">
      <c r="A56">
        <f>Chart_Data!K56</f>
        <v>-33</v>
      </c>
      <c r="B56">
        <f>Chart_Data!N56-Chart_Data!L56</f>
        <v>-15.738275591660624</v>
      </c>
      <c r="D56">
        <f>Chart_Data!G56</f>
        <v>-33</v>
      </c>
      <c r="E56">
        <f>Chart_Data!H56</f>
        <v>342.05712046848419</v>
      </c>
      <c r="F56">
        <f>Chart_Data!I56</f>
        <v>342.05712046848419</v>
      </c>
      <c r="G56">
        <f>Chart_Data!J56</f>
        <v>12.884972617306985</v>
      </c>
      <c r="I56">
        <f>Scenario_Data!A56</f>
        <v>-0.55000000000000004</v>
      </c>
      <c r="J56">
        <f>Scenario_Data!H56-(((SQRT((Inputs!$C$52+(Inputs!$H$6))^2+Inputs!$C$52^2-2*(Inputs!$C$52+(Inputs!$H$6))*Inputs!$C$52*COS(SQRT((Scenario_Data!T56)^2+Inputs!$C$6^2)/Inputs!$C$52)))-(Inputs!$H$6))*1000/Inputs!$C$12)</f>
        <v>-3.5906356710743239</v>
      </c>
      <c r="K56">
        <f>Scenario_Data!I56-(((SQRT((Inputs!$C$52+(Inputs!$H$7))^2+Inputs!$C$52^2-2*(Inputs!$C$52+(Inputs!$H$7))*Inputs!$C$52*COS(SQRT((Scenario_Data!U56)^2+Inputs!$C$6^2)/Inputs!$C$52)))-(Inputs!$H$7))*1000/Inputs!$C$12)</f>
        <v>-35738.342299056225</v>
      </c>
      <c r="L56">
        <f>Scenario_Data!J56-(((SQRT((Inputs!$C$52+(Inputs!$H$8))^2+Inputs!$C$52^2-2*(Inputs!$C$52+(Inputs!$H$8))*Inputs!$C$52*COS(SQRT((Scenario_Data!V56)^2+Inputs!$C$6^2)/Inputs!$C$52)))-(Inputs!$H$8))*1000/Inputs!$C$12)</f>
        <v>-86600.815246497659</v>
      </c>
      <c r="M56">
        <f>Scenario_Data!K56-(((SQRT((Inputs!$C$52+(Inputs!$H$9))^2+Inputs!$C$52^2-2*(Inputs!$C$52+(Inputs!$H$9))*Inputs!$C$52*COS(SQRT((Scenario_Data!W56)^2+Inputs!$C$6^2)/Inputs!$C$52)))-(Inputs!$H$9))*1000/Inputs!$C$12)</f>
        <v>-89738.19699014083</v>
      </c>
      <c r="O56">
        <f>Scenario_Data!T56</f>
        <v>-33</v>
      </c>
      <c r="P56">
        <f>2*(Scenario_Data!B56*1000)/Inputs!$C$21*1000000</f>
        <v>2676.5850126890118</v>
      </c>
      <c r="Q56">
        <f>Scenario_Data!U56</f>
        <v>-220.00000000000003</v>
      </c>
      <c r="R56">
        <f>2*(Scenario_Data!C56*1000)/Inputs!$C$21*1000000</f>
        <v>970.08777986002588</v>
      </c>
      <c r="S56">
        <f>Scenario_Data!V56</f>
        <v>-440.00000000000006</v>
      </c>
      <c r="T56">
        <f>2*(Scenario_Data!D56*1000)/Inputs!$C$21*1000000</f>
        <v>2180.9254454293177</v>
      </c>
      <c r="U56">
        <f>Scenario_Data!W56</f>
        <v>-440.00000000000006</v>
      </c>
      <c r="V56">
        <f>2*(Scenario_Data!E56*1000)/Inputs!$C$21*1000000</f>
        <v>2134.3932541491758</v>
      </c>
      <c r="X56">
        <f>Scenario_Data!T56</f>
        <v>-33</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2676.4990534043568</v>
      </c>
      <c r="Z56">
        <f>Scenario_Data!U56</f>
        <v>-220.00000000000003</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970.16851043660358</v>
      </c>
      <c r="AB56">
        <f>Scenario_Data!V56</f>
        <v>-440.00000000000006</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2180.8662292442368</v>
      </c>
      <c r="AD56">
        <f>Scenario_Data!W56</f>
        <v>-440.00000000000006</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2134.3340379640949</v>
      </c>
      <c r="AG56">
        <f>Scenario_Data!T56</f>
        <v>-33</v>
      </c>
      <c r="AH56">
        <f>2*(SQRT((Inputs!$C$52+(Scenario_Data!B56))^2+Inputs!$C$52^2-2*(Inputs!$C$52+(Scenario_Data!B56))*Inputs!$C$52*COS(SQRT((Scenario_Data!T56)^2+Inputs!$C$6^2)/Inputs!$C$52))*1000)/Inputs!$C$21*1000000</f>
        <v>2694.4375898786375</v>
      </c>
      <c r="AI56">
        <f>Scenario_Data!U56</f>
        <v>-220.00000000000003</v>
      </c>
      <c r="AJ56">
        <f>2*(SQRT((Inputs!$C$52+(Scenario_Data!C56))^2+Inputs!$C$52^2-2*(Inputs!$C$52+(Scenario_Data!C56))*Inputs!$C$52*COS(SQRT((Scenario_Data!U56)^2+Inputs!$C$6^2)/Inputs!$C$52))*1000)/Inputs!$C$21*1000000</f>
        <v>1822.7061870307282</v>
      </c>
      <c r="AK56">
        <f>Scenario_Data!V56</f>
        <v>-440.00000000000006</v>
      </c>
      <c r="AL56">
        <f>2*(SQRT((Inputs!$C$52+(Scenario_Data!D56))^2+Inputs!$C$52^2-2*(Inputs!$C$52+(Scenario_Data!D56))*Inputs!$C$52*COS(SQRT((Scenario_Data!V56)^2+Inputs!$C$6^2)/Inputs!$C$52))*1000)/Inputs!$C$21*1000000</f>
        <v>3891.256447672386</v>
      </c>
      <c r="AM56">
        <f>Scenario_Data!W56</f>
        <v>-440.00000000000006</v>
      </c>
      <c r="AN56">
        <f>2*(SQRT((Inputs!$C$52+(Scenario_Data!E56))^2+Inputs!$C$52^2-2*(Inputs!$C$52+(Scenario_Data!E56))*Inputs!$C$52*COS(SQRT((Scenario_Data!W56)^2+Inputs!$C$6^2)/Inputs!$C$52))*1000)/Inputs!$C$21*1000000</f>
        <v>3860.4017717773222</v>
      </c>
      <c r="AP56">
        <f>Scenario_Data!T56</f>
        <v>-33</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2692.1746655892334</v>
      </c>
      <c r="AR56">
        <f>Scenario_Data!U56</f>
        <v>-220.00000000000003</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1822.521136552667</v>
      </c>
      <c r="AT56">
        <f>Scenario_Data!V56</f>
        <v>-440.00000000000006</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3890.8212117810226</v>
      </c>
      <c r="AV56">
        <f>Scenario_Data!W56</f>
        <v>-440.00000000000006</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3859.9747157263751</v>
      </c>
    </row>
    <row r="57" spans="1:49">
      <c r="A57">
        <f>Chart_Data!K57</f>
        <v>-32.5</v>
      </c>
      <c r="B57">
        <f>Chart_Data!N57-Chart_Data!L57</f>
        <v>-17.069178766706841</v>
      </c>
      <c r="D57">
        <f>Chart_Data!G57</f>
        <v>-32.5</v>
      </c>
      <c r="E57">
        <f>Chart_Data!H57</f>
        <v>350.91834122472949</v>
      </c>
      <c r="F57">
        <f>Chart_Data!I57</f>
        <v>350.91834122472949</v>
      </c>
      <c r="G57">
        <f>Chart_Data!J57</f>
        <v>14.196906765365963</v>
      </c>
      <c r="I57">
        <f>Scenario_Data!A57</f>
        <v>-0.54200000000000004</v>
      </c>
      <c r="J57">
        <f>Scenario_Data!H57-(((SQRT((Inputs!$C$52+(Inputs!$H$6))^2+Inputs!$C$52^2-2*(Inputs!$C$52+(Inputs!$H$6))*Inputs!$C$52*COS(SQRT((Scenario_Data!T57)^2+Inputs!$C$6^2)/Inputs!$C$52)))-(Inputs!$H$6))*1000/Inputs!$C$12)</f>
        <v>-3.4239373717214221</v>
      </c>
      <c r="K57">
        <f>Scenario_Data!I57-(((SQRT((Inputs!$C$52+(Inputs!$H$7))^2+Inputs!$C$52^2-2*(Inputs!$C$52+(Inputs!$H$7))*Inputs!$C$52*COS(SQRT((Scenario_Data!U57)^2+Inputs!$C$6^2)/Inputs!$C$52)))-(Inputs!$H$7))*1000/Inputs!$C$12)</f>
        <v>-34798.545562910222</v>
      </c>
      <c r="L57">
        <f>Scenario_Data!J57-(((SQRT((Inputs!$C$52+(Inputs!$H$8))^2+Inputs!$C$52^2-2*(Inputs!$C$52+(Inputs!$H$8))*Inputs!$C$52*COS(SQRT((Scenario_Data!V57)^2+Inputs!$C$6^2)/Inputs!$C$52)))-(Inputs!$H$8))*1000/Inputs!$C$12)</f>
        <v>-84665.837128348445</v>
      </c>
      <c r="M57">
        <f>Scenario_Data!K57-(((SQRT((Inputs!$C$52+(Inputs!$H$9))^2+Inputs!$C$52^2-2*(Inputs!$C$52+(Inputs!$H$9))*Inputs!$C$52*COS(SQRT((Scenario_Data!W57)^2+Inputs!$C$6^2)/Inputs!$C$52)))-(Inputs!$H$9))*1000/Inputs!$C$12)</f>
        <v>-87773.675624308846</v>
      </c>
      <c r="O57">
        <f>Scenario_Data!T57</f>
        <v>-32.520000000000003</v>
      </c>
      <c r="P57">
        <f>2*(Scenario_Data!B57*1000)/Inputs!$C$21*1000000</f>
        <v>2676.3518914141596</v>
      </c>
      <c r="Q57">
        <f>Scenario_Data!U57</f>
        <v>-216.8</v>
      </c>
      <c r="R57">
        <f>2*(Scenario_Data!C57*1000)/Inputs!$C$21*1000000</f>
        <v>948.81546352977307</v>
      </c>
      <c r="S57">
        <f>Scenario_Data!V57</f>
        <v>-433.6</v>
      </c>
      <c r="T57">
        <f>2*(Scenario_Data!D57*1000)/Inputs!$C$21*1000000</f>
        <v>2124.6849378712523</v>
      </c>
      <c r="U57">
        <f>Scenario_Data!W57</f>
        <v>-433.6</v>
      </c>
      <c r="V57">
        <f>2*(Scenario_Data!E57*1000)/Inputs!$C$21*1000000</f>
        <v>2077.5699434039798</v>
      </c>
      <c r="X57">
        <f>Scenario_Data!T57</f>
        <v>-32.520000000000003</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2676.2200621956567</v>
      </c>
      <c r="Z57">
        <f>Scenario_Data!U57</f>
        <v>-216.8</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948.76083680906561</v>
      </c>
      <c r="AB57">
        <f>Scenario_Data!V57</f>
        <v>-433.6</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2124.6961361378512</v>
      </c>
      <c r="AD57">
        <f>Scenario_Data!W57</f>
        <v>-433.6</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2077.5811416705787</v>
      </c>
      <c r="AG57">
        <f>Scenario_Data!T57</f>
        <v>-32.520000000000003</v>
      </c>
      <c r="AH57">
        <f>2*(SQRT((Inputs!$C$52+(Scenario_Data!B57))^2+Inputs!$C$52^2-2*(Inputs!$C$52+(Scenario_Data!B57))*Inputs!$C$52*COS(SQRT((Scenario_Data!T57)^2+Inputs!$C$6^2)/Inputs!$C$52))*1000)/Inputs!$C$21*1000000</f>
        <v>2693.8791874812646</v>
      </c>
      <c r="AI57">
        <f>Scenario_Data!U57</f>
        <v>-216.8</v>
      </c>
      <c r="AJ57">
        <f>2*(SQRT((Inputs!$C$52+(Scenario_Data!C57))^2+Inputs!$C$52^2-2*(Inputs!$C$52+(Scenario_Data!C57))*Inputs!$C$52*COS(SQRT((Scenario_Data!U57)^2+Inputs!$C$6^2)/Inputs!$C$52))*1000)/Inputs!$C$21*1000000</f>
        <v>1791.4617344869769</v>
      </c>
      <c r="AK57">
        <f>Scenario_Data!V57</f>
        <v>-433.6</v>
      </c>
      <c r="AL57">
        <f>2*(SQRT((Inputs!$C$52+(Scenario_Data!D57))^2+Inputs!$C$52^2-2*(Inputs!$C$52+(Scenario_Data!D57))*Inputs!$C$52*COS(SQRT((Scenario_Data!V57)^2+Inputs!$C$6^2)/Inputs!$C$52))*1000)/Inputs!$C$21*1000000</f>
        <v>3815.4483329742607</v>
      </c>
      <c r="AM57">
        <f>Scenario_Data!W57</f>
        <v>-433.6</v>
      </c>
      <c r="AN57">
        <f>2*(SQRT((Inputs!$C$52+(Scenario_Data!E57))^2+Inputs!$C$52^2-2*(Inputs!$C$52+(Scenario_Data!E57))*Inputs!$C$52*COS(SQRT((Scenario_Data!W57)^2+Inputs!$C$6^2)/Inputs!$C$52))*1000)/Inputs!$C$21*1000000</f>
        <v>3784.4304363200208</v>
      </c>
      <c r="AP57">
        <f>Scenario_Data!T57</f>
        <v>-32.520000000000003</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2691.668504525569</v>
      </c>
      <c r="AR57">
        <f>Scenario_Data!U57</f>
        <v>-216.8</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1791.0443942278735</v>
      </c>
      <c r="AT57">
        <f>Scenario_Data!V57</f>
        <v>-433.6</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3815.2605376380343</v>
      </c>
      <c r="AV57">
        <f>Scenario_Data!W57</f>
        <v>-433.6</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3784.2463249330663</v>
      </c>
    </row>
    <row r="58" spans="1:49">
      <c r="A58">
        <f>Chart_Data!K58</f>
        <v>-32</v>
      </c>
      <c r="B58">
        <f>Chart_Data!N58-Chart_Data!L58</f>
        <v>-8.4685070156908182</v>
      </c>
      <c r="D58">
        <f>Chart_Data!G58</f>
        <v>-32</v>
      </c>
      <c r="E58">
        <f>Chart_Data!H58</f>
        <v>340.91681406553505</v>
      </c>
      <c r="F58">
        <f>Chart_Data!I58</f>
        <v>340.91681406553505</v>
      </c>
      <c r="G58">
        <f>Chart_Data!J58</f>
        <v>5.7308266461344264</v>
      </c>
      <c r="I58">
        <f>Scenario_Data!A58</f>
        <v>-0.53300000000000003</v>
      </c>
      <c r="J58">
        <f>Scenario_Data!H58-(((SQRT((Inputs!$C$52+(Inputs!$H$6))^2+Inputs!$C$52^2-2*(Inputs!$C$52+(Inputs!$H$6))*Inputs!$C$52*COS(SQRT((Scenario_Data!T58)^2+Inputs!$C$6^2)/Inputs!$C$52)))-(Inputs!$H$6))*1000/Inputs!$C$12)</f>
        <v>-3.2436536593402252</v>
      </c>
      <c r="K58">
        <f>Scenario_Data!I58-(((SQRT((Inputs!$C$52+(Inputs!$H$7))^2+Inputs!$C$52^2-2*(Inputs!$C$52+(Inputs!$H$7))*Inputs!$C$52*COS(SQRT((Scenario_Data!U58)^2+Inputs!$C$6^2)/Inputs!$C$52)))-(Inputs!$H$7))*1000/Inputs!$C$12)</f>
        <v>-33749.98145308542</v>
      </c>
      <c r="L58">
        <f>Scenario_Data!J58-(((SQRT((Inputs!$C$52+(Inputs!$H$8))^2+Inputs!$C$52^2-2*(Inputs!$C$52+(Inputs!$H$8))*Inputs!$C$52*COS(SQRT((Scenario_Data!V58)^2+Inputs!$C$6^2)/Inputs!$C$52)))-(Inputs!$H$8))*1000/Inputs!$C$12)</f>
        <v>-82494.116442924889</v>
      </c>
      <c r="M58">
        <f>Scenario_Data!K58-(((SQRT((Inputs!$C$52+(Inputs!$H$9))^2+Inputs!$C$52^2-2*(Inputs!$C$52+(Inputs!$H$9))*Inputs!$C$52*COS(SQRT((Scenario_Data!W58)^2+Inputs!$C$6^2)/Inputs!$C$52)))-(Inputs!$H$9))*1000/Inputs!$C$12)</f>
        <v>-85567.974379462714</v>
      </c>
      <c r="O58">
        <f>Scenario_Data!T58</f>
        <v>-31.98</v>
      </c>
      <c r="P58">
        <f>2*(Scenario_Data!B58*1000)/Inputs!$C$21*1000000</f>
        <v>2676.0937128044761</v>
      </c>
      <c r="Q58">
        <f>Scenario_Data!U58</f>
        <v>-213.20000000000002</v>
      </c>
      <c r="R58">
        <f>2*(Scenario_Data!C58*1000)/Inputs!$C$21*1000000</f>
        <v>925.25666539616589</v>
      </c>
      <c r="S58">
        <f>Scenario_Data!V58</f>
        <v>-426.40000000000003</v>
      </c>
      <c r="T58">
        <f>2*(Scenario_Data!D58*1000)/Inputs!$C$21*1000000</f>
        <v>2062.3993482851392</v>
      </c>
      <c r="U58">
        <f>Scenario_Data!W58</f>
        <v>-426.40000000000003</v>
      </c>
      <c r="V58">
        <f>2*(Scenario_Data!E58*1000)/Inputs!$C$21*1000000</f>
        <v>2014.6389072936586</v>
      </c>
      <c r="X58">
        <f>Scenario_Data!T58</f>
        <v>-31.98</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2676.1391391812404</v>
      </c>
      <c r="Z58">
        <f>Scenario_Data!U58</f>
        <v>-213.20000000000002</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924.7601899779155</v>
      </c>
      <c r="AB58">
        <f>Scenario_Data!V58</f>
        <v>-426.40000000000003</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2061.9306805806214</v>
      </c>
      <c r="AD58">
        <f>Scenario_Data!W58</f>
        <v>-426.40000000000003</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2014.1702395891407</v>
      </c>
      <c r="AG58">
        <f>Scenario_Data!T58</f>
        <v>-31.98</v>
      </c>
      <c r="AH58">
        <f>2*(SQRT((Inputs!$C$52+(Scenario_Data!B58))^2+Inputs!$C$52^2-2*(Inputs!$C$52+(Scenario_Data!B58))*Inputs!$C$52*COS(SQRT((Scenario_Data!T58)^2+Inputs!$C$6^2)/Inputs!$C$52))*1000)/Inputs!$C$21*1000000</f>
        <v>2693.2606656910839</v>
      </c>
      <c r="AI58">
        <f>Scenario_Data!U58</f>
        <v>-213.20000000000002</v>
      </c>
      <c r="AJ58">
        <f>2*(SQRT((Inputs!$C$52+(Scenario_Data!C58))^2+Inputs!$C$52^2-2*(Inputs!$C$52+(Scenario_Data!C58))*Inputs!$C$52*COS(SQRT((Scenario_Data!U58)^2+Inputs!$C$6^2)/Inputs!$C$52))*1000)/Inputs!$C$21*1000000</f>
        <v>1756.5930320423254</v>
      </c>
      <c r="AK58">
        <f>Scenario_Data!V58</f>
        <v>-426.40000000000003</v>
      </c>
      <c r="AL58">
        <f>2*(SQRT((Inputs!$C$52+(Scenario_Data!D58))^2+Inputs!$C$52^2-2*(Inputs!$C$52+(Scenario_Data!D58))*Inputs!$C$52*COS(SQRT((Scenario_Data!V58)^2+Inputs!$C$6^2)/Inputs!$C$52))*1000)/Inputs!$C$21*1000000</f>
        <v>3731.0809261239974</v>
      </c>
      <c r="AM58">
        <f>Scenario_Data!W58</f>
        <v>-426.40000000000003</v>
      </c>
      <c r="AN58">
        <f>2*(SQRT((Inputs!$C$52+(Scenario_Data!E58))^2+Inputs!$C$52^2-2*(Inputs!$C$52+(Scenario_Data!E58))*Inputs!$C$52*COS(SQRT((Scenario_Data!W58)^2+Inputs!$C$6^2)/Inputs!$C$52))*1000)/Inputs!$C$21*1000000</f>
        <v>3699.8961734258551</v>
      </c>
      <c r="AP58">
        <f>Scenario_Data!T58</f>
        <v>-31.98</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2690.9024159206665</v>
      </c>
      <c r="AR58">
        <f>Scenario_Data!U58</f>
        <v>-213.20000000000002</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1756.0232098844801</v>
      </c>
      <c r="AT58">
        <f>Scenario_Data!V58</f>
        <v>-426.40000000000003</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3730.4741694394993</v>
      </c>
      <c r="AV58">
        <f>Scenario_Data!W58</f>
        <v>-426.40000000000003</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3699.30191597568</v>
      </c>
    </row>
    <row r="59" spans="1:49">
      <c r="A59">
        <f>Chart_Data!K59</f>
        <v>-31.5</v>
      </c>
      <c r="B59">
        <f>Chart_Data!N59-Chart_Data!L59</f>
        <v>-12.093868668153164</v>
      </c>
      <c r="D59">
        <f>Chart_Data!G59</f>
        <v>-31.5</v>
      </c>
      <c r="E59">
        <f>Chart_Data!H59</f>
        <v>355.15219987006986</v>
      </c>
      <c r="F59">
        <f>Chart_Data!I59</f>
        <v>355.15219987006986</v>
      </c>
      <c r="G59">
        <f>Chart_Data!J59</f>
        <v>9.2958171156023646</v>
      </c>
      <c r="I59">
        <f>Scenario_Data!A59</f>
        <v>-0.52500000000000002</v>
      </c>
      <c r="J59">
        <f>Scenario_Data!H59-(((SQRT((Inputs!$C$52+(Inputs!$H$6))^2+Inputs!$C$52^2-2*(Inputs!$C$52+(Inputs!$H$6))*Inputs!$C$52*COS(SQRT((Scenario_Data!T59)^2+Inputs!$C$6^2)/Inputs!$C$52)))-(Inputs!$H$6))*1000/Inputs!$C$12)</f>
        <v>-3.0896730716708589</v>
      </c>
      <c r="K59">
        <f>Scenario_Data!I59-(((SQRT((Inputs!$C$52+(Inputs!$H$7))^2+Inputs!$C$52^2-2*(Inputs!$C$52+(Inputs!$H$7))*Inputs!$C$52*COS(SQRT((Scenario_Data!U59)^2+Inputs!$C$6^2)/Inputs!$C$52)))-(Inputs!$H$7))*1000/Inputs!$C$12)</f>
        <v>-32825.877462688077</v>
      </c>
      <c r="L59">
        <f>Scenario_Data!J59-(((SQRT((Inputs!$C$52+(Inputs!$H$8))^2+Inputs!$C$52^2-2*(Inputs!$C$52+(Inputs!$H$8))*Inputs!$C$52*COS(SQRT((Scenario_Data!V59)^2+Inputs!$C$6^2)/Inputs!$C$52)))-(Inputs!$H$8))*1000/Inputs!$C$12)</f>
        <v>-80568.773681183695</v>
      </c>
      <c r="M59">
        <f>Scenario_Data!K59-(((SQRT((Inputs!$C$52+(Inputs!$H$9))^2+Inputs!$C$52^2-2*(Inputs!$C$52+(Inputs!$H$9))*Inputs!$C$52*COS(SQRT((Scenario_Data!W59)^2+Inputs!$C$6^2)/Inputs!$C$52)))-(Inputs!$H$9))*1000/Inputs!$C$12)</f>
        <v>-83611.759447186691</v>
      </c>
      <c r="O59">
        <f>Scenario_Data!T59</f>
        <v>-31.5</v>
      </c>
      <c r="P59">
        <f>2*(Scenario_Data!B59*1000)/Inputs!$C$21*1000000</f>
        <v>2675.867849884336</v>
      </c>
      <c r="Q59">
        <f>Scenario_Data!U59</f>
        <v>-210</v>
      </c>
      <c r="R59">
        <f>2*(Scenario_Data!C59*1000)/Inputs!$C$21*1000000</f>
        <v>904.64667393333821</v>
      </c>
      <c r="S59">
        <f>Scenario_Data!V59</f>
        <v>-420</v>
      </c>
      <c r="T59">
        <f>2*(Scenario_Data!D59*1000)/Inputs!$C$21*1000000</f>
        <v>2007.9099188012265</v>
      </c>
      <c r="U59">
        <f>Scenario_Data!W59</f>
        <v>-420</v>
      </c>
      <c r="V59">
        <f>2*(Scenario_Data!E59*1000)/Inputs!$C$21*1000000</f>
        <v>1959.5848205093939</v>
      </c>
      <c r="X59">
        <f>Scenario_Data!T59</f>
        <v>-31.5</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2675.8058348678301</v>
      </c>
      <c r="Z59">
        <f>Scenario_Data!U59</f>
        <v>-210</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904.25330988211329</v>
      </c>
      <c r="AB59">
        <f>Scenario_Data!V59</f>
        <v>-420</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2007.8337102011103</v>
      </c>
      <c r="AD59">
        <f>Scenario_Data!W59</f>
        <v>-420</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1959.5086119092775</v>
      </c>
      <c r="AG59">
        <f>Scenario_Data!T59</f>
        <v>-31.5</v>
      </c>
      <c r="AH59">
        <f>2*(SQRT((Inputs!$C$52+(Scenario_Data!B59))^2+Inputs!$C$52^2-2*(Inputs!$C$52+(Scenario_Data!B59))*Inputs!$C$52*COS(SQRT((Scenario_Data!T59)^2+Inputs!$C$6^2)/Inputs!$C$52))*1000)/Inputs!$C$21*1000000</f>
        <v>2692.7194777953123</v>
      </c>
      <c r="AI59">
        <f>Scenario_Data!U59</f>
        <v>-210</v>
      </c>
      <c r="AJ59">
        <f>2*(SQRT((Inputs!$C$52+(Scenario_Data!C59))^2+Inputs!$C$52^2-2*(Inputs!$C$52+(Scenario_Data!C59))*Inputs!$C$52*COS(SQRT((Scenario_Data!U59)^2+Inputs!$C$6^2)/Inputs!$C$52))*1000)/Inputs!$C$21*1000000</f>
        <v>1725.8467418024873</v>
      </c>
      <c r="AK59">
        <f>Scenario_Data!V59</f>
        <v>-420</v>
      </c>
      <c r="AL59">
        <f>2*(SQRT((Inputs!$C$52+(Scenario_Data!D59))^2+Inputs!$C$52^2-2*(Inputs!$C$52+(Scenario_Data!D59))*Inputs!$C$52*COS(SQRT((Scenario_Data!V59)^2+Inputs!$C$6^2)/Inputs!$C$52))*1000)/Inputs!$C$21*1000000</f>
        <v>3656.8969182108149</v>
      </c>
      <c r="AM59">
        <f>Scenario_Data!W59</f>
        <v>-420</v>
      </c>
      <c r="AN59">
        <f>2*(SQRT((Inputs!$C$52+(Scenario_Data!E59))^2+Inputs!$C$52^2-2*(Inputs!$C$52+(Scenario_Data!E59))*Inputs!$C$52*COS(SQRT((Scenario_Data!W59)^2+Inputs!$C$6^2)/Inputs!$C$52))*1000)/Inputs!$C$21*1000000</f>
        <v>3625.5787216297722</v>
      </c>
      <c r="AP59">
        <f>Scenario_Data!T59</f>
        <v>-31.5</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2690.3688239418552</v>
      </c>
      <c r="AR59">
        <f>Scenario_Data!U59</f>
        <v>-210</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1725.3056164649161</v>
      </c>
      <c r="AT59">
        <f>Scenario_Data!V59</f>
        <v>-420</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3656.6573503957438</v>
      </c>
      <c r="AV59">
        <f>Scenario_Data!W59</f>
        <v>-420</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3625.3443038047226</v>
      </c>
    </row>
    <row r="60" spans="1:49">
      <c r="A60">
        <f>Chart_Data!K60</f>
        <v>-31</v>
      </c>
      <c r="B60">
        <f>Chart_Data!N60-Chart_Data!L60</f>
        <v>10.459386000426377</v>
      </c>
      <c r="D60">
        <f>Chart_Data!G60</f>
        <v>-31</v>
      </c>
      <c r="E60">
        <f>Chart_Data!H60</f>
        <v>353.26100932469092</v>
      </c>
      <c r="F60">
        <f>Chart_Data!I60</f>
        <v>353.26100932469092</v>
      </c>
      <c r="G60">
        <f>Chart_Data!J60</f>
        <v>-13.18958267522941</v>
      </c>
      <c r="I60">
        <f>Scenario_Data!A60</f>
        <v>-0.51700000000000002</v>
      </c>
      <c r="J60">
        <f>Scenario_Data!H60-(((SQRT((Inputs!$C$52+(Inputs!$H$6))^2+Inputs!$C$52^2-2*(Inputs!$C$52+(Inputs!$H$6))*Inputs!$C$52*COS(SQRT((Scenario_Data!T60)^2+Inputs!$C$6^2)/Inputs!$C$52)))-(Inputs!$H$6))*1000/Inputs!$C$12)</f>
        <v>-2.9414332074700269</v>
      </c>
      <c r="K60">
        <f>Scenario_Data!I60-(((SQRT((Inputs!$C$52+(Inputs!$H$7))^2+Inputs!$C$52^2-2*(Inputs!$C$52+(Inputs!$H$7))*Inputs!$C$52*COS(SQRT((Scenario_Data!U60)^2+Inputs!$C$6^2)/Inputs!$C$52)))-(Inputs!$H$7))*1000/Inputs!$C$12)</f>
        <v>-31909.462641600709</v>
      </c>
      <c r="L60">
        <f>Scenario_Data!J60-(((SQRT((Inputs!$C$52+(Inputs!$H$8))^2+Inputs!$C$52^2-2*(Inputs!$C$52+(Inputs!$H$8))*Inputs!$C$52*COS(SQRT((Scenario_Data!V60)^2+Inputs!$C$6^2)/Inputs!$C$52)))-(Inputs!$H$8))*1000/Inputs!$C$12)</f>
        <v>-78648.70676173814</v>
      </c>
      <c r="M60">
        <f>Scenario_Data!K60-(((SQRT((Inputs!$C$52+(Inputs!$H$9))^2+Inputs!$C$52^2-2*(Inputs!$C$52+(Inputs!$H$9))*Inputs!$C$52*COS(SQRT((Scenario_Data!W60)^2+Inputs!$C$6^2)/Inputs!$C$52)))-(Inputs!$H$9))*1000/Inputs!$C$12)</f>
        <v>-81660.187434621155</v>
      </c>
      <c r="O60">
        <f>Scenario_Data!T60</f>
        <v>-31.02</v>
      </c>
      <c r="P60">
        <f>2*(Scenario_Data!B60*1000)/Inputs!$C$21*1000000</f>
        <v>2675.6454026605297</v>
      </c>
      <c r="Q60">
        <f>Scenario_Data!U60</f>
        <v>-206.8</v>
      </c>
      <c r="R60">
        <f>2*(Scenario_Data!C60*1000)/Inputs!$C$21*1000000</f>
        <v>884.34836476106409</v>
      </c>
      <c r="S60">
        <f>Scenario_Data!V60</f>
        <v>-413.6</v>
      </c>
      <c r="T60">
        <f>2*(Scenario_Data!D60*1000)/Inputs!$C$21*1000000</f>
        <v>1954.2445260580903</v>
      </c>
      <c r="U60">
        <f>Scenario_Data!W60</f>
        <v>-413.6</v>
      </c>
      <c r="V60">
        <f>2*(Scenario_Data!E60*1000)/Inputs!$C$21*1000000</f>
        <v>1905.3633097067436</v>
      </c>
      <c r="X60">
        <f>Scenario_Data!T60</f>
        <v>-31.02</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2675.7021946279692</v>
      </c>
      <c r="Z60">
        <f>Scenario_Data!U60</f>
        <v>-206.8</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884.12039163790871</v>
      </c>
      <c r="AB60">
        <f>Scenario_Data!V60</f>
        <v>-413.6</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1953.8304542430778</v>
      </c>
      <c r="AD60">
        <f>Scenario_Data!W60</f>
        <v>-413.6</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1904.9492378917314</v>
      </c>
      <c r="AG60">
        <f>Scenario_Data!T60</f>
        <v>-31.02</v>
      </c>
      <c r="AH60">
        <f>2*(SQRT((Inputs!$C$52+(Scenario_Data!B60))^2+Inputs!$C$52^2-2*(Inputs!$C$52+(Scenario_Data!B60))*Inputs!$C$52*COS(SQRT((Scenario_Data!T60)^2+Inputs!$C$6^2)/Inputs!$C$52))*1000)/Inputs!$C$21*1000000</f>
        <v>2692.1863964353583</v>
      </c>
      <c r="AI60">
        <f>Scenario_Data!U60</f>
        <v>-206.8</v>
      </c>
      <c r="AJ60">
        <f>2*(SQRT((Inputs!$C$52+(Scenario_Data!C60))^2+Inputs!$C$52^2-2*(Inputs!$C$52+(Scenario_Data!C60))*Inputs!$C$52*COS(SQRT((Scenario_Data!U60)^2+Inputs!$C$6^2)/Inputs!$C$52))*1000)/Inputs!$C$21*1000000</f>
        <v>1695.3321376263839</v>
      </c>
      <c r="AK60">
        <f>Scenario_Data!V60</f>
        <v>-413.6</v>
      </c>
      <c r="AL60">
        <f>2*(SQRT((Inputs!$C$52+(Scenario_Data!D60))^2+Inputs!$C$52^2-2*(Inputs!$C$52+(Scenario_Data!D60))*Inputs!$C$52*COS(SQRT((Scenario_Data!V60)^2+Inputs!$C$6^2)/Inputs!$C$52))*1000)/Inputs!$C$21*1000000</f>
        <v>3583.4691205577215</v>
      </c>
      <c r="AM60">
        <f>Scenario_Data!W60</f>
        <v>-413.6</v>
      </c>
      <c r="AN60">
        <f>2*(SQRT((Inputs!$C$52+(Scenario_Data!E60))^2+Inputs!$C$52^2-2*(Inputs!$C$52+(Scenario_Data!E60))*Inputs!$C$52*COS(SQRT((Scenario_Data!W60)^2+Inputs!$C$6^2)/Inputs!$C$52))*1000)/Inputs!$C$21*1000000</f>
        <v>3552.0314391676843</v>
      </c>
      <c r="AP60">
        <f>Scenario_Data!T60</f>
        <v>-31.02</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2689.8799811873109</v>
      </c>
      <c r="AR60">
        <f>Scenario_Data!U60</f>
        <v>-206.8</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1694.9715481778403</v>
      </c>
      <c r="AT60">
        <f>Scenario_Data!V60</f>
        <v>-413.6</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3583.0250741165628</v>
      </c>
      <c r="AV60">
        <f>Scenario_Data!W60</f>
        <v>-413.6</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3551.5973602312506</v>
      </c>
    </row>
    <row r="61" spans="1:49">
      <c r="A61">
        <f>Chart_Data!K61</f>
        <v>-30.5</v>
      </c>
      <c r="B61">
        <f>Chart_Data!N61-Chart_Data!L61</f>
        <v>4.9000525429464119</v>
      </c>
      <c r="D61">
        <f>Chart_Data!G61</f>
        <v>-30.5</v>
      </c>
      <c r="E61">
        <f>Chart_Data!H61</f>
        <v>338.65715440925169</v>
      </c>
      <c r="F61">
        <f>Chart_Data!I61</f>
        <v>338.65715440925169</v>
      </c>
      <c r="G61">
        <f>Chart_Data!J61</f>
        <v>-7.4673180377006023</v>
      </c>
      <c r="I61">
        <f>Scenario_Data!A61</f>
        <v>-0.50800000000000001</v>
      </c>
      <c r="J61">
        <f>Scenario_Data!H61-(((SQRT((Inputs!$C$52+(Inputs!$H$6))^2+Inputs!$C$52^2-2*(Inputs!$C$52+(Inputs!$H$6))*Inputs!$C$52*COS(SQRT((Scenario_Data!T61)^2+Inputs!$C$6^2)/Inputs!$C$52)))-(Inputs!$H$6))*1000/Inputs!$C$12)</f>
        <v>-2.7813345652473345</v>
      </c>
      <c r="K61">
        <f>Scenario_Data!I61-(((SQRT((Inputs!$C$52+(Inputs!$H$7))^2+Inputs!$C$52^2-2*(Inputs!$C$52+(Inputs!$H$7))*Inputs!$C$52*COS(SQRT((Scenario_Data!U61)^2+Inputs!$C$6^2)/Inputs!$C$52)))-(Inputs!$H$7))*1000/Inputs!$C$12)</f>
        <v>-30887.934860679568</v>
      </c>
      <c r="L61">
        <f>Scenario_Data!J61-(((SQRT((Inputs!$C$52+(Inputs!$H$8))^2+Inputs!$C$52^2-2*(Inputs!$C$52+(Inputs!$H$8))*Inputs!$C$52*COS(SQRT((Scenario_Data!V61)^2+Inputs!$C$6^2)/Inputs!$C$52)))-(Inputs!$H$8))*1000/Inputs!$C$12)</f>
        <v>-76495.550616892549</v>
      </c>
      <c r="M61">
        <f>Scenario_Data!K61-(((SQRT((Inputs!$C$52+(Inputs!$H$9))^2+Inputs!$C$52^2-2*(Inputs!$C$52+(Inputs!$H$9))*Inputs!$C$52*COS(SQRT((Scenario_Data!W61)^2+Inputs!$C$6^2)/Inputs!$C$52)))-(Inputs!$H$9))*1000/Inputs!$C$12)</f>
        <v>-79470.825965850527</v>
      </c>
      <c r="O61">
        <f>Scenario_Data!T61</f>
        <v>-30.48</v>
      </c>
      <c r="P61">
        <f>2*(Scenario_Data!B61*1000)/Inputs!$C$21*1000000</f>
        <v>2675.3992323582734</v>
      </c>
      <c r="Q61">
        <f>Scenario_Data!U61</f>
        <v>-203.2</v>
      </c>
      <c r="R61">
        <f>2*(Scenario_Data!C61*1000)/Inputs!$C$21*1000000</f>
        <v>861.88532468018263</v>
      </c>
      <c r="S61">
        <f>Scenario_Data!V61</f>
        <v>-406.4</v>
      </c>
      <c r="T61">
        <f>2*(Scenario_Data!D61*1000)/Inputs!$C$21*1000000</f>
        <v>1894.8559406387737</v>
      </c>
      <c r="U61">
        <f>Scenario_Data!W61</f>
        <v>-406.4</v>
      </c>
      <c r="V61">
        <f>2*(Scenario_Data!E61*1000)/Inputs!$C$21*1000000</f>
        <v>1845.3592985317862</v>
      </c>
      <c r="X61">
        <f>Scenario_Data!T61</f>
        <v>-30.48</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2675.4695261018783</v>
      </c>
      <c r="Z61">
        <f>Scenario_Data!U61</f>
        <v>-203.2</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861.71394056116776</v>
      </c>
      <c r="AB61">
        <f>Scenario_Data!V61</f>
        <v>-406.4</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1894.3114493737276</v>
      </c>
      <c r="AD61">
        <f>Scenario_Data!W61</f>
        <v>-406.4</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1844.81480726674</v>
      </c>
      <c r="AG61">
        <f>Scenario_Data!T61</f>
        <v>-30.48</v>
      </c>
      <c r="AH61">
        <f>2*(SQRT((Inputs!$C$52+(Scenario_Data!B61))^2+Inputs!$C$52^2-2*(Inputs!$C$52+(Scenario_Data!B61))*Inputs!$C$52*COS(SQRT((Scenario_Data!T61)^2+Inputs!$C$6^2)/Inputs!$C$52))*1000)/Inputs!$C$21*1000000</f>
        <v>2691.5963741184592</v>
      </c>
      <c r="AI61">
        <f>Scenario_Data!U61</f>
        <v>-203.2</v>
      </c>
      <c r="AJ61">
        <f>2*(SQRT((Inputs!$C$52+(Scenario_Data!C61))^2+Inputs!$C$52^2-2*(Inputs!$C$52+(Scenario_Data!C61))*Inputs!$C$52*COS(SQRT((Scenario_Data!U61)^2+Inputs!$C$6^2)/Inputs!$C$52))*1000)/Inputs!$C$21*1000000</f>
        <v>1661.27795099574</v>
      </c>
      <c r="AK61">
        <f>Scenario_Data!V61</f>
        <v>-406.4</v>
      </c>
      <c r="AL61">
        <f>2*(SQRT((Inputs!$C$52+(Scenario_Data!D61))^2+Inputs!$C$52^2-2*(Inputs!$C$52+(Scenario_Data!D61))*Inputs!$C$52*COS(SQRT((Scenario_Data!V61)^2+Inputs!$C$6^2)/Inputs!$C$52))*1000)/Inputs!$C$21*1000000</f>
        <v>3501.760091807711</v>
      </c>
      <c r="AM61">
        <f>Scenario_Data!W61</f>
        <v>-406.4</v>
      </c>
      <c r="AN61">
        <f>2*(SQRT((Inputs!$C$52+(Scenario_Data!E61))^2+Inputs!$C$52^2-2*(Inputs!$C$52+(Scenario_Data!E61))*Inputs!$C$52*COS(SQRT((Scenario_Data!W61)^2+Inputs!$C$6^2)/Inputs!$C$52))*1000)/Inputs!$C$21*1000000</f>
        <v>3470.2046174700768</v>
      </c>
      <c r="AP61">
        <f>Scenario_Data!T61</f>
        <v>-30.48</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2689.3682686667476</v>
      </c>
      <c r="AR61">
        <f>Scenario_Data!U61</f>
        <v>-203.2</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1660.9821859294339</v>
      </c>
      <c r="AT61">
        <f>Scenario_Data!V61</f>
        <v>-406.4</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3501.2289891404321</v>
      </c>
      <c r="AV61">
        <f>Scenario_Data!W61</f>
        <v>-406.4</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3469.686028659542</v>
      </c>
    </row>
    <row r="62" spans="1:49">
      <c r="A62">
        <f>Chart_Data!K62</f>
        <v>-30</v>
      </c>
      <c r="B62">
        <f>Chart_Data!N62-Chart_Data!L62</f>
        <v>15.012442539728227</v>
      </c>
      <c r="D62">
        <f>Chart_Data!G62</f>
        <v>-30</v>
      </c>
      <c r="E62">
        <f>Chart_Data!H62</f>
        <v>336.97644838088075</v>
      </c>
      <c r="F62">
        <f>Chart_Data!I62</f>
        <v>336.97644838088075</v>
      </c>
      <c r="G62">
        <f>Chart_Data!J62</f>
        <v>-17.518013833672008</v>
      </c>
      <c r="I62">
        <f>Scenario_Data!A62</f>
        <v>-0.5</v>
      </c>
      <c r="J62">
        <f>Scenario_Data!H62-(((SQRT((Inputs!$C$52+(Inputs!$H$6))^2+Inputs!$C$52^2-2*(Inputs!$C$52+(Inputs!$H$6))*Inputs!$C$52*COS(SQRT((Scenario_Data!T62)^2+Inputs!$C$6^2)/Inputs!$C$52)))-(Inputs!$H$6))*1000/Inputs!$C$12)</f>
        <v>-2.6447875068229223</v>
      </c>
      <c r="K62">
        <f>Scenario_Data!I62-(((SQRT((Inputs!$C$52+(Inputs!$H$7))^2+Inputs!$C$52^2-2*(Inputs!$C$52+(Inputs!$H$7))*Inputs!$C$52*COS(SQRT((Scenario_Data!U62)^2+Inputs!$C$6^2)/Inputs!$C$52)))-(Inputs!$H$7))*1000/Inputs!$C$12)</f>
        <v>-29988.524239953986</v>
      </c>
      <c r="L62">
        <f>Scenario_Data!J62-(((SQRT((Inputs!$C$52+(Inputs!$H$8))^2+Inputs!$C$52^2-2*(Inputs!$C$52+(Inputs!$H$8))*Inputs!$C$52*COS(SQRT((Scenario_Data!V62)^2+Inputs!$C$6^2)/Inputs!$C$52)))-(Inputs!$H$8))*1000/Inputs!$C$12)</f>
        <v>-74588.343833805033</v>
      </c>
      <c r="M62">
        <f>Scenario_Data!K62-(((SQRT((Inputs!$C$52+(Inputs!$H$9))^2+Inputs!$C$52^2-2*(Inputs!$C$52+(Inputs!$H$9))*Inputs!$C$52*COS(SQRT((Scenario_Data!W62)^2+Inputs!$C$6^2)/Inputs!$C$52)))-(Inputs!$H$9))*1000/Inputs!$C$12)</f>
        <v>-77530.754646811518</v>
      </c>
      <c r="O62">
        <f>Scenario_Data!T62</f>
        <v>-30</v>
      </c>
      <c r="P62">
        <f>2*(Scenario_Data!B62*1000)/Inputs!$C$21*1000000</f>
        <v>2675.1840434891792</v>
      </c>
      <c r="Q62">
        <f>Scenario_Data!U62</f>
        <v>-200</v>
      </c>
      <c r="R62">
        <f>2*(Scenario_Data!C62*1000)/Inputs!$C$21*1000000</f>
        <v>842.24934037533387</v>
      </c>
      <c r="S62">
        <f>Scenario_Data!V62</f>
        <v>-400</v>
      </c>
      <c r="T62">
        <f>2*(Scenario_Data!D62*1000)/Inputs!$C$21*1000000</f>
        <v>1842.9416259697903</v>
      </c>
      <c r="U62">
        <f>Scenario_Data!W62</f>
        <v>-400</v>
      </c>
      <c r="V62">
        <f>2*(Scenario_Data!E62*1000)/Inputs!$C$21*1000000</f>
        <v>1792.9070116900673</v>
      </c>
      <c r="X62">
        <f>Scenario_Data!T62</f>
        <v>-30</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2675.3009110978614</v>
      </c>
      <c r="Z62">
        <f>Scenario_Data!U62</f>
        <v>-200</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842.09103914771345</v>
      </c>
      <c r="AB62">
        <f>Scenario_Data!V62</f>
        <v>-400</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1842.8570097666177</v>
      </c>
      <c r="AD62">
        <f>Scenario_Data!W62</f>
        <v>-400</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1792.8223954868949</v>
      </c>
      <c r="AG62">
        <f>Scenario_Data!T62</f>
        <v>-30</v>
      </c>
      <c r="AH62">
        <f>2*(SQRT((Inputs!$C$52+(Scenario_Data!B62))^2+Inputs!$C$52^2-2*(Inputs!$C$52+(Scenario_Data!B62))*Inputs!$C$52*COS(SQRT((Scenario_Data!T62)^2+Inputs!$C$6^2)/Inputs!$C$52))*1000)/Inputs!$C$21*1000000</f>
        <v>2691.0805307414003</v>
      </c>
      <c r="AI62">
        <f>Scenario_Data!U62</f>
        <v>-200</v>
      </c>
      <c r="AJ62">
        <f>2*(SQRT((Inputs!$C$52+(Scenario_Data!C62))^2+Inputs!$C$52^2-2*(Inputs!$C$52+(Scenario_Data!C62))*Inputs!$C$52*COS(SQRT((Scenario_Data!U62)^2+Inputs!$C$6^2)/Inputs!$C$52))*1000)/Inputs!$C$21*1000000</f>
        <v>1631.2498263703887</v>
      </c>
      <c r="AK62">
        <f>Scenario_Data!V62</f>
        <v>-400</v>
      </c>
      <c r="AL62">
        <f>2*(SQRT((Inputs!$C$52+(Scenario_Data!D62))^2+Inputs!$C$52^2-2*(Inputs!$C$52+(Scenario_Data!D62))*Inputs!$C$52*COS(SQRT((Scenario_Data!V62)^2+Inputs!$C$6^2)/Inputs!$C$52))*1000)/Inputs!$C$21*1000000</f>
        <v>3429.9213186632924</v>
      </c>
      <c r="AM62">
        <f>Scenario_Data!W62</f>
        <v>-400</v>
      </c>
      <c r="AN62">
        <f>2*(SQRT((Inputs!$C$52+(Scenario_Data!E62))^2+Inputs!$C$52^2-2*(Inputs!$C$52+(Scenario_Data!E62))*Inputs!$C$52*COS(SQRT((Scenario_Data!W62)^2+Inputs!$C$6^2)/Inputs!$C$52))*1000)/Inputs!$C$21*1000000</f>
        <v>3398.275856941299</v>
      </c>
      <c r="AP62">
        <f>Scenario_Data!T62</f>
        <v>-30</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2688.8491812316879</v>
      </c>
      <c r="AR62">
        <f>Scenario_Data!U62</f>
        <v>-200</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1630.7962996352992</v>
      </c>
      <c r="AT62">
        <f>Scenario_Data!V62</f>
        <v>-400</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3429.6338635999455</v>
      </c>
      <c r="AV62">
        <f>Scenario_Data!W62</f>
        <v>-400</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3397.9954704146958</v>
      </c>
    </row>
    <row r="63" spans="1:49">
      <c r="A63">
        <f>Chart_Data!K63</f>
        <v>-29.5</v>
      </c>
      <c r="B63">
        <f>Chart_Data!N63-Chart_Data!L63</f>
        <v>33.788774492541393</v>
      </c>
      <c r="D63">
        <f>Chart_Data!G63</f>
        <v>-29.5</v>
      </c>
      <c r="E63">
        <f>Chart_Data!H63</f>
        <v>326.24732503276135</v>
      </c>
      <c r="F63">
        <f>Chart_Data!I63</f>
        <v>326.24732503276135</v>
      </c>
      <c r="G63">
        <f>Chart_Data!J63</f>
        <v>-36.167878297776255</v>
      </c>
      <c r="I63">
        <f>Scenario_Data!A63</f>
        <v>-0.49199999999999999</v>
      </c>
      <c r="J63">
        <f>Scenario_Data!H63-(((SQRT((Inputs!$C$52+(Inputs!$H$6))^2+Inputs!$C$52^2-2*(Inputs!$C$52+(Inputs!$H$6))*Inputs!$C$52*COS(SQRT((Scenario_Data!T63)^2+Inputs!$C$6^2)/Inputs!$C$52)))-(Inputs!$H$6))*1000/Inputs!$C$12)</f>
        <v>-2.5135093403541759</v>
      </c>
      <c r="K63">
        <f>Scenario_Data!I63-(((SQRT((Inputs!$C$52+(Inputs!$H$7))^2+Inputs!$C$52^2-2*(Inputs!$C$52+(Inputs!$H$7))*Inputs!$C$52*COS(SQRT((Scenario_Data!U63)^2+Inputs!$C$6^2)/Inputs!$C$52)))-(Inputs!$H$7))*1000/Inputs!$C$12)</f>
        <v>-29097.435135520733</v>
      </c>
      <c r="L63">
        <f>Scenario_Data!J63-(((SQRT((Inputs!$C$52+(Inputs!$H$8))^2+Inputs!$C$52^2-2*(Inputs!$C$52+(Inputs!$H$8))*Inputs!$C$52*COS(SQRT((Scenario_Data!V63)^2+Inputs!$C$6^2)/Inputs!$C$52)))-(Inputs!$H$8))*1000/Inputs!$C$12)</f>
        <v>-72687.992783106281</v>
      </c>
      <c r="M63">
        <f>Scenario_Data!K63-(((SQRT((Inputs!$C$52+(Inputs!$H$9))^2+Inputs!$C$52^2-2*(Inputs!$C$52+(Inputs!$H$9))*Inputs!$C$52*COS(SQRT((Scenario_Data!W63)^2+Inputs!$C$6^2)/Inputs!$C$52)))-(Inputs!$H$9))*1000/Inputs!$C$12)</f>
        <v>-75596.893145964568</v>
      </c>
      <c r="O63">
        <f>Scenario_Data!T63</f>
        <v>-29.52</v>
      </c>
      <c r="P63">
        <f>2*(Scenario_Data!B63*1000)/Inputs!$C$21*1000000</f>
        <v>2674.9722703164202</v>
      </c>
      <c r="Q63">
        <f>Scenario_Data!U63</f>
        <v>-196.8</v>
      </c>
      <c r="R63">
        <f>2*(Scenario_Data!C63*1000)/Inputs!$C$21*1000000</f>
        <v>822.92503836103856</v>
      </c>
      <c r="S63">
        <f>Scenario_Data!V63</f>
        <v>-393.6</v>
      </c>
      <c r="T63">
        <f>2*(Scenario_Data!D63*1000)/Inputs!$C$21*1000000</f>
        <v>1791.8513480415841</v>
      </c>
      <c r="U63">
        <f>Scenario_Data!W63</f>
        <v>-393.6</v>
      </c>
      <c r="V63">
        <f>2*(Scenario_Data!E63*1000)/Inputs!$C$21*1000000</f>
        <v>1741.2873008299634</v>
      </c>
      <c r="X63">
        <f>Scenario_Data!T63</f>
        <v>-29.52</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2675.1900720308854</v>
      </c>
      <c r="Z63">
        <f>Scenario_Data!U63</f>
        <v>-196.8</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822.55207478089949</v>
      </c>
      <c r="AB63">
        <f>Scenario_Data!V63</f>
        <v>-393.6</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1791.3583570829956</v>
      </c>
      <c r="AD63">
        <f>Scenario_Data!W63</f>
        <v>-393.6</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1740.7943098713745</v>
      </c>
      <c r="AG63">
        <f>Scenario_Data!T63</f>
        <v>-29.52</v>
      </c>
      <c r="AH63">
        <f>2*(SQRT((Inputs!$C$52+(Scenario_Data!B63))^2+Inputs!$C$52^2-2*(Inputs!$C$52+(Scenario_Data!B63))*Inputs!$C$52*COS(SQRT((Scenario_Data!T63)^2+Inputs!$C$6^2)/Inputs!$C$52))*1000)/Inputs!$C$21*1000000</f>
        <v>2690.5728047037751</v>
      </c>
      <c r="AI63">
        <f>Scenario_Data!U63</f>
        <v>-196.8</v>
      </c>
      <c r="AJ63">
        <f>2*(SQRT((Inputs!$C$52+(Scenario_Data!C63))^2+Inputs!$C$52^2-2*(Inputs!$C$52+(Scenario_Data!C63))*Inputs!$C$52*COS(SQRT((Scenario_Data!U63)^2+Inputs!$C$6^2)/Inputs!$C$52))*1000)/Inputs!$C$21*1000000</f>
        <v>1601.4478772869256</v>
      </c>
      <c r="AK63">
        <f>Scenario_Data!V63</f>
        <v>-393.6</v>
      </c>
      <c r="AL63">
        <f>2*(SQRT((Inputs!$C$52+(Scenario_Data!D63))^2+Inputs!$C$52^2-2*(Inputs!$C$52+(Scenario_Data!D63))*Inputs!$C$52*COS(SQRT((Scenario_Data!V63)^2+Inputs!$C$6^2)/Inputs!$C$52))*1000)/Inputs!$C$21*1000000</f>
        <v>3358.8216005216295</v>
      </c>
      <c r="AM63">
        <f>Scenario_Data!W63</f>
        <v>-393.6</v>
      </c>
      <c r="AN63">
        <f>2*(SQRT((Inputs!$C$52+(Scenario_Data!E63))^2+Inputs!$C$52^2-2*(Inputs!$C$52+(Scenario_Data!E63))*Inputs!$C$52*COS(SQRT((Scenario_Data!W63)^2+Inputs!$C$6^2)/Inputs!$C$52))*1000)/Inputs!$C$21*1000000</f>
        <v>3327.0999332019856</v>
      </c>
      <c r="AP63">
        <f>Scenario_Data!T63</f>
        <v>-29.52</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2688.4185300402251</v>
      </c>
      <c r="AR63">
        <f>Scenario_Data!U63</f>
        <v>-196.8</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1600.8913289068564</v>
      </c>
      <c r="AT63">
        <f>Scenario_Data!V63</f>
        <v>-393.6</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3358.2164161547216</v>
      </c>
      <c r="AV63">
        <f>Scenario_Data!W63</f>
        <v>-393.6</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3326.5102905939862</v>
      </c>
    </row>
    <row r="64" spans="1:49">
      <c r="A64">
        <f>Chart_Data!K64</f>
        <v>-29</v>
      </c>
      <c r="B64">
        <f>Chart_Data!N64-Chart_Data!L64</f>
        <v>20.490290570501998</v>
      </c>
      <c r="D64">
        <f>Chart_Data!G64</f>
        <v>-29</v>
      </c>
      <c r="E64">
        <f>Chart_Data!H64</f>
        <v>331.87736012346193</v>
      </c>
      <c r="F64">
        <f>Chart_Data!I64</f>
        <v>331.87736012346193</v>
      </c>
      <c r="G64">
        <f>Chart_Data!J64</f>
        <v>-22.863821755996071</v>
      </c>
      <c r="I64">
        <f>Scenario_Data!A64</f>
        <v>-0.48299999999999998</v>
      </c>
      <c r="J64">
        <f>Scenario_Data!H64-(((SQRT((Inputs!$C$52+(Inputs!$H$6))^2+Inputs!$C$52^2-2*(Inputs!$C$52+(Inputs!$H$6))*Inputs!$C$52*COS(SQRT((Scenario_Data!T64)^2+Inputs!$C$6^2)/Inputs!$C$52)))-(Inputs!$H$6))*1000/Inputs!$C$12)</f>
        <v>-2.3719370163648819</v>
      </c>
      <c r="K64">
        <f>Scenario_Data!I64-(((SQRT((Inputs!$C$52+(Inputs!$H$7))^2+Inputs!$C$52^2-2*(Inputs!$C$52+(Inputs!$H$7))*Inputs!$C$52*COS(SQRT((Scenario_Data!U64)^2+Inputs!$C$6^2)/Inputs!$C$52)))-(Inputs!$H$7))*1000/Inputs!$C$12)</f>
        <v>-28105.166881478122</v>
      </c>
      <c r="L64">
        <f>Scenario_Data!J64-(((SQRT((Inputs!$C$52+(Inputs!$H$8))^2+Inputs!$C$52^2-2*(Inputs!$C$52+(Inputs!$H$8))*Inputs!$C$52*COS(SQRT((Scenario_Data!V64)^2+Inputs!$C$6^2)/Inputs!$C$52)))-(Inputs!$H$8))*1000/Inputs!$C$12)</f>
        <v>-70558.956545294801</v>
      </c>
      <c r="M64">
        <f>Scenario_Data!K64-(((SQRT((Inputs!$C$52+(Inputs!$H$9))^2+Inputs!$C$52^2-2*(Inputs!$C$52+(Inputs!$H$9))*Inputs!$C$52*COS(SQRT((Scenario_Data!W64)^2+Inputs!$C$6^2)/Inputs!$C$52)))-(Inputs!$H$9))*1000/Inputs!$C$12)</f>
        <v>-73429.381226252764</v>
      </c>
      <c r="O64">
        <f>Scenario_Data!T64</f>
        <v>-28.98</v>
      </c>
      <c r="P64">
        <f>2*(Scenario_Data!B64*1000)/Inputs!$C$21*1000000</f>
        <v>2674.738108321591</v>
      </c>
      <c r="Q64">
        <f>Scenario_Data!U64</f>
        <v>-193.2</v>
      </c>
      <c r="R64">
        <f>2*(Scenario_Data!C64*1000)/Inputs!$C$21*1000000</f>
        <v>801.55775633288272</v>
      </c>
      <c r="S64">
        <f>Scenario_Data!V64</f>
        <v>-386.4</v>
      </c>
      <c r="T64">
        <f>2*(Scenario_Data!D64*1000)/Inputs!$C$21*1000000</f>
        <v>1735.3597667890629</v>
      </c>
      <c r="U64">
        <f>Scenario_Data!W64</f>
        <v>-386.4</v>
      </c>
      <c r="V64">
        <f>2*(Scenario_Data!E64*1000)/Inputs!$C$21*1000000</f>
        <v>1684.2103145903689</v>
      </c>
      <c r="X64">
        <f>Scenario_Data!T64</f>
        <v>-28.98</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2674.966604122772</v>
      </c>
      <c r="Z64">
        <f>Scenario_Data!U64</f>
        <v>-193.2</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800.78844516792503</v>
      </c>
      <c r="AB64">
        <f>Scenario_Data!V64</f>
        <v>-386.4</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1735.3520404808066</v>
      </c>
      <c r="AD64">
        <f>Scenario_Data!W64</f>
        <v>-386.4</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1684.2025882821126</v>
      </c>
      <c r="AG64">
        <f>Scenario_Data!T64</f>
        <v>-28.98</v>
      </c>
      <c r="AH64">
        <f>2*(SQRT((Inputs!$C$52+(Scenario_Data!B64))^2+Inputs!$C$52^2-2*(Inputs!$C$52+(Scenario_Data!B64))*Inputs!$C$52*COS(SQRT((Scenario_Data!T64)^2+Inputs!$C$6^2)/Inputs!$C$52))*1000)/Inputs!$C$21*1000000</f>
        <v>2690.0113198410036</v>
      </c>
      <c r="AI64">
        <f>Scenario_Data!U64</f>
        <v>-193.2</v>
      </c>
      <c r="AJ64">
        <f>2*(SQRT((Inputs!$C$52+(Scenario_Data!C64))^2+Inputs!$C$52^2-2*(Inputs!$C$52+(Scenario_Data!C64))*Inputs!$C$52*COS(SQRT((Scenario_Data!U64)^2+Inputs!$C$6^2)/Inputs!$C$52))*1000)/Inputs!$C$21*1000000</f>
        <v>1568.1888433957399</v>
      </c>
      <c r="AK64">
        <f>Scenario_Data!V64</f>
        <v>-386.4</v>
      </c>
      <c r="AL64">
        <f>2*(SQRT((Inputs!$C$52+(Scenario_Data!D64))^2+Inputs!$C$52^2-2*(Inputs!$C$52+(Scenario_Data!D64))*Inputs!$C$52*COS(SQRT((Scenario_Data!V64)^2+Inputs!$C$6^2)/Inputs!$C$52))*1000)/Inputs!$C$21*1000000</f>
        <v>3279.710632319749</v>
      </c>
      <c r="AM64">
        <f>Scenario_Data!W64</f>
        <v>-386.4</v>
      </c>
      <c r="AN64">
        <f>2*(SQRT((Inputs!$C$52+(Scenario_Data!E64))^2+Inputs!$C$52^2-2*(Inputs!$C$52+(Scenario_Data!E64))*Inputs!$C$52*COS(SQRT((Scenario_Data!W64)^2+Inputs!$C$6^2)/Inputs!$C$52))*1000)/Inputs!$C$21*1000000</f>
        <v>3247.9196088934864</v>
      </c>
      <c r="AP64">
        <f>Scenario_Data!T64</f>
        <v>-28.98</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2687.9354849524943</v>
      </c>
      <c r="AR64">
        <f>Scenario_Data!U64</f>
        <v>-193.2</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1567.6371166506372</v>
      </c>
      <c r="AT64">
        <f>Scenario_Data!V64</f>
        <v>-386.4</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3279.3795744452109</v>
      </c>
      <c r="AV64">
        <f>Scenario_Data!W64</f>
        <v>-386.4</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3247.5974715741572</v>
      </c>
    </row>
    <row r="65" spans="1:49">
      <c r="A65">
        <f>Chart_Data!K65</f>
        <v>-28.5</v>
      </c>
      <c r="B65">
        <f>Chart_Data!N65-Chart_Data!L65</f>
        <v>27.555588112128021</v>
      </c>
      <c r="D65">
        <f>Chart_Data!G65</f>
        <v>-28.5</v>
      </c>
      <c r="E65">
        <f>Chart_Data!H65</f>
        <v>310.24247262167495</v>
      </c>
      <c r="F65">
        <f>Chart_Data!I65</f>
        <v>310.24247262167495</v>
      </c>
      <c r="G65">
        <f>Chart_Data!J65</f>
        <v>-29.731374520275047</v>
      </c>
      <c r="I65">
        <f>Scenario_Data!A65</f>
        <v>-0.47499999999999998</v>
      </c>
      <c r="J65">
        <f>Scenario_Data!H65-(((SQRT((Inputs!$C$52+(Inputs!$H$6))^2+Inputs!$C$52^2-2*(Inputs!$C$52+(Inputs!$H$6))*Inputs!$C$52*COS(SQRT((Scenario_Data!T65)^2+Inputs!$C$6^2)/Inputs!$C$52)))-(Inputs!$H$6))*1000/Inputs!$C$12)</f>
        <v>-2.2513714361657549</v>
      </c>
      <c r="K65">
        <f>Scenario_Data!I65-(((SQRT((Inputs!$C$52+(Inputs!$H$7))^2+Inputs!$C$52^2-2*(Inputs!$C$52+(Inputs!$H$7))*Inputs!$C$52*COS(SQRT((Scenario_Data!U65)^2+Inputs!$C$6^2)/Inputs!$C$52)))-(Inputs!$H$7))*1000/Inputs!$C$12)</f>
        <v>-27232.458450313294</v>
      </c>
      <c r="L65">
        <f>Scenario_Data!J65-(((SQRT((Inputs!$C$52+(Inputs!$H$8))^2+Inputs!$C$52^2-2*(Inputs!$C$52+(Inputs!$H$8))*Inputs!$C$52*COS(SQRT((Scenario_Data!V65)^2+Inputs!$C$6^2)/Inputs!$C$52)))-(Inputs!$H$8))*1000/Inputs!$C$12)</f>
        <v>-68674.960061513659</v>
      </c>
      <c r="M65">
        <f>Scenario_Data!K65-(((SQRT((Inputs!$C$52+(Inputs!$H$9))^2+Inputs!$C$52^2-2*(Inputs!$C$52+(Inputs!$H$9))*Inputs!$C$52*COS(SQRT((Scenario_Data!W65)^2+Inputs!$C$6^2)/Inputs!$C$52)))-(Inputs!$H$9))*1000/Inputs!$C$12)</f>
        <v>-71510.490507051625</v>
      </c>
      <c r="O65">
        <f>Scenario_Data!T65</f>
        <v>-28.5</v>
      </c>
      <c r="P65">
        <f>2*(Scenario_Data!B65*1000)/Inputs!$C$21*1000000</f>
        <v>2674.5335935035428</v>
      </c>
      <c r="Q65">
        <f>Scenario_Data!U65</f>
        <v>-190</v>
      </c>
      <c r="R65">
        <f>2*(Scenario_Data!C65*1000)/Inputs!$C$21*1000000</f>
        <v>782.89577918601265</v>
      </c>
      <c r="S65">
        <f>Scenario_Data!V65</f>
        <v>-380</v>
      </c>
      <c r="T65">
        <f>2*(Scenario_Data!D65*1000)/Inputs!$C$21*1000000</f>
        <v>1686.0205669350094</v>
      </c>
      <c r="U65">
        <f>Scenario_Data!W65</f>
        <v>-380</v>
      </c>
      <c r="V65">
        <f>2*(Scenario_Data!E65*1000)/Inputs!$C$21*1000000</f>
        <v>1634.3598276911957</v>
      </c>
      <c r="X65">
        <f>Scenario_Data!T65</f>
        <v>-28.5</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2674.7319398843601</v>
      </c>
      <c r="Z65">
        <f>Scenario_Data!U65</f>
        <v>-190</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782.18275859500397</v>
      </c>
      <c r="AB65">
        <f>Scenario_Data!V65</f>
        <v>-380</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1686.2442602676783</v>
      </c>
      <c r="AD65">
        <f>Scenario_Data!W65</f>
        <v>-380</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1634.5835210238645</v>
      </c>
      <c r="AG65">
        <f>Scenario_Data!T65</f>
        <v>-28.5</v>
      </c>
      <c r="AH65">
        <f>2*(SQRT((Inputs!$C$52+(Scenario_Data!B65))^2+Inputs!$C$52^2-2*(Inputs!$C$52+(Scenario_Data!B65))*Inputs!$C$52*COS(SQRT((Scenario_Data!T65)^2+Inputs!$C$6^2)/Inputs!$C$52))*1000)/Inputs!$C$21*1000000</f>
        <v>2689.520854217586</v>
      </c>
      <c r="AI65">
        <f>Scenario_Data!U65</f>
        <v>-190</v>
      </c>
      <c r="AJ65">
        <f>2*(SQRT((Inputs!$C$52+(Scenario_Data!C65))^2+Inputs!$C$52^2-2*(Inputs!$C$52+(Scenario_Data!C65))*Inputs!$C$52*COS(SQRT((Scenario_Data!U65)^2+Inputs!$C$6^2)/Inputs!$C$52))*1000)/Inputs!$C$21*1000000</f>
        <v>1538.8616802693725</v>
      </c>
      <c r="AK65">
        <f>Scenario_Data!V65</f>
        <v>-380</v>
      </c>
      <c r="AL65">
        <f>2*(SQRT((Inputs!$C$52+(Scenario_Data!D65))^2+Inputs!$C$52^2-2*(Inputs!$C$52+(Scenario_Data!D65))*Inputs!$C$52*COS(SQRT((Scenario_Data!V65)^2+Inputs!$C$6^2)/Inputs!$C$52))*1000)/Inputs!$C$21*1000000</f>
        <v>3210.1620844044405</v>
      </c>
      <c r="AM65">
        <f>Scenario_Data!W65</f>
        <v>-380</v>
      </c>
      <c r="AN65">
        <f>2*(SQRT((Inputs!$C$52+(Scenario_Data!E65))^2+Inputs!$C$52^2-2*(Inputs!$C$52+(Scenario_Data!E65))*Inputs!$C$52*COS(SQRT((Scenario_Data!W65)^2+Inputs!$C$6^2)/Inputs!$C$52))*1000)/Inputs!$C$21*1000000</f>
        <v>3178.3238656808849</v>
      </c>
      <c r="AP65">
        <f>Scenario_Data!T65</f>
        <v>-28.5</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2687.4656545086355</v>
      </c>
      <c r="AR65">
        <f>Scenario_Data!U65</f>
        <v>-190</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1538.2795008459386</v>
      </c>
      <c r="AT65">
        <f>Scenario_Data!V65</f>
        <v>-380</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3209.8191909006891</v>
      </c>
      <c r="AV65">
        <f>Scenario_Data!W65</f>
        <v>-380</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3177.9906184151841</v>
      </c>
    </row>
    <row r="66" spans="1:49">
      <c r="A66">
        <f>Chart_Data!K66</f>
        <v>-28</v>
      </c>
      <c r="B66">
        <f>Chart_Data!N66-Chart_Data!L66</f>
        <v>50.862978516004318</v>
      </c>
      <c r="D66">
        <f>Chart_Data!G66</f>
        <v>-28</v>
      </c>
      <c r="E66">
        <f>Chart_Data!H66</f>
        <v>313.28317842657691</v>
      </c>
      <c r="F66">
        <f>Chart_Data!I66</f>
        <v>313.28317842657691</v>
      </c>
      <c r="G66">
        <f>Chart_Data!J66</f>
        <v>-53.017518277040161</v>
      </c>
      <c r="I66">
        <f>Scenario_Data!A66</f>
        <v>-0.46700000000000003</v>
      </c>
      <c r="J66">
        <f>Scenario_Data!H66-(((SQRT((Inputs!$C$52+(Inputs!$H$6))^2+Inputs!$C$52^2-2*(Inputs!$C$52+(Inputs!$H$6))*Inputs!$C$52*COS(SQRT((Scenario_Data!T66)^2+Inputs!$C$6^2)/Inputs!$C$52)))-(Inputs!$H$6))*1000/Inputs!$C$12)</f>
        <v>-2.13562408544135</v>
      </c>
      <c r="K66">
        <f>Scenario_Data!I66-(((SQRT((Inputs!$C$52+(Inputs!$H$7))^2+Inputs!$C$52^2-2*(Inputs!$C$52+(Inputs!$H$7))*Inputs!$C$52*COS(SQRT((Scenario_Data!U66)^2+Inputs!$C$6^2)/Inputs!$C$52)))-(Inputs!$H$7))*1000/Inputs!$C$12)</f>
        <v>-26368.734852925321</v>
      </c>
      <c r="L66">
        <f>Scenario_Data!J66-(((SQRT((Inputs!$C$52+(Inputs!$H$8))^2+Inputs!$C$52^2-2*(Inputs!$C$52+(Inputs!$H$8))*Inputs!$C$52*COS(SQRT((Scenario_Data!V66)^2+Inputs!$C$6^2)/Inputs!$C$52)))-(Inputs!$H$8))*1000/Inputs!$C$12)</f>
        <v>-66799.530021092054</v>
      </c>
      <c r="M66">
        <f>Scenario_Data!K66-(((SQRT((Inputs!$C$52+(Inputs!$H$9))^2+Inputs!$C$52^2-2*(Inputs!$C$52+(Inputs!$H$9))*Inputs!$C$52*COS(SQRT((Scenario_Data!W66)^2+Inputs!$C$6^2)/Inputs!$C$52)))-(Inputs!$H$9))*1000/Inputs!$C$12)</f>
        <v>-69599.510532789369</v>
      </c>
      <c r="O66">
        <f>Scenario_Data!T66</f>
        <v>-28.020000000000003</v>
      </c>
      <c r="P66">
        <f>2*(Scenario_Data!B66*1000)/Inputs!$C$21*1000000</f>
        <v>2674.3324943818302</v>
      </c>
      <c r="Q66">
        <f>Scenario_Data!U66</f>
        <v>-186.80000000000004</v>
      </c>
      <c r="R66">
        <f>2*(Scenario_Data!C66*1000)/Inputs!$C$21*1000000</f>
        <v>764.54548432969602</v>
      </c>
      <c r="S66">
        <f>Scenario_Data!V66</f>
        <v>-373.60000000000008</v>
      </c>
      <c r="T66">
        <f>2*(Scenario_Data!D66*1000)/Inputs!$C$21*1000000</f>
        <v>1637.5054038217336</v>
      </c>
      <c r="U66">
        <f>Scenario_Data!W66</f>
        <v>-373.60000000000008</v>
      </c>
      <c r="V66">
        <f>2*(Scenario_Data!E66*1000)/Inputs!$C$21*1000000</f>
        <v>1585.3419167736374</v>
      </c>
      <c r="X66">
        <f>Scenario_Data!T66</f>
        <v>-28.020000000000003</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2674.723922285471</v>
      </c>
      <c r="Z66">
        <f>Scenario_Data!U66</f>
        <v>-186.80000000000004</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764.29975082137639</v>
      </c>
      <c r="AB66">
        <f>Scenario_Data!V66</f>
        <v>-373.60000000000008</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1637.3177434988168</v>
      </c>
      <c r="AD66">
        <f>Scenario_Data!W66</f>
        <v>-373.60000000000008</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1585.1542564507204</v>
      </c>
      <c r="AG66">
        <f>Scenario_Data!T66</f>
        <v>-28.020000000000003</v>
      </c>
      <c r="AH66">
        <f>2*(SQRT((Inputs!$C$52+(Scenario_Data!B66))^2+Inputs!$C$52^2-2*(Inputs!$C$52+(Scenario_Data!B66))*Inputs!$C$52*COS(SQRT((Scenario_Data!T66)^2+Inputs!$C$6^2)/Inputs!$C$52))*1000)/Inputs!$C$21*1000000</f>
        <v>2689.038516240782</v>
      </c>
      <c r="AI66">
        <f>Scenario_Data!U66</f>
        <v>-186.80000000000004</v>
      </c>
      <c r="AJ66">
        <f>2*(SQRT((Inputs!$C$52+(Scenario_Data!C66))^2+Inputs!$C$52^2-2*(Inputs!$C$52+(Scenario_Data!C66))*Inputs!$C$52*COS(SQRT((Scenario_Data!U66)^2+Inputs!$C$6^2)/Inputs!$C$52))*1000)/Inputs!$C$21*1000000</f>
        <v>1509.7552162254726</v>
      </c>
      <c r="AK66">
        <f>Scenario_Data!V66</f>
        <v>-373.60000000000008</v>
      </c>
      <c r="AL66">
        <f>2*(SQRT((Inputs!$C$52+(Scenario_Data!D66))^2+Inputs!$C$52^2-2*(Inputs!$C$52+(Scenario_Data!D66))*Inputs!$C$52*COS(SQRT((Scenario_Data!V66)^2+Inputs!$C$6^2)/Inputs!$C$52))*1000)/Inputs!$C$21*1000000</f>
        <v>3141.3341110240226</v>
      </c>
      <c r="AM66">
        <f>Scenario_Data!W66</f>
        <v>-373.60000000000008</v>
      </c>
      <c r="AN66">
        <f>2*(SQRT((Inputs!$C$52+(Scenario_Data!E66))^2+Inputs!$C$52^2-2*(Inputs!$C$52+(Scenario_Data!E66))*Inputs!$C$52*COS(SQRT((Scenario_Data!W66)^2+Inputs!$C$6^2)/Inputs!$C$52))*1000)/Inputs!$C$21*1000000</f>
        <v>3109.4621922008068</v>
      </c>
      <c r="AP66">
        <f>Scenario_Data!T66</f>
        <v>-28.020000000000003</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2686.9865062165222</v>
      </c>
      <c r="AR66">
        <f>Scenario_Data!U66</f>
        <v>-186.80000000000004</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1509.2748460225423</v>
      </c>
      <c r="AT66">
        <f>Scenario_Data!V66</f>
        <v>-373.60000000000008</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3140.8681177150429</v>
      </c>
      <c r="AV66">
        <f>Scenario_Data!W66</f>
        <v>-373.60000000000008</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3109.0098879375118</v>
      </c>
    </row>
    <row r="67" spans="1:49">
      <c r="A67">
        <f>Chart_Data!K67</f>
        <v>-27.5</v>
      </c>
      <c r="B67">
        <f>Chart_Data!N67-Chart_Data!L67</f>
        <v>61.019347257202469</v>
      </c>
      <c r="D67">
        <f>Chart_Data!G67</f>
        <v>-27.5</v>
      </c>
      <c r="E67">
        <f>Chart_Data!H67</f>
        <v>296.84376125916674</v>
      </c>
      <c r="F67">
        <f>Chart_Data!I67</f>
        <v>296.84376125916674</v>
      </c>
      <c r="G67">
        <f>Chart_Data!J67</f>
        <v>-63.021085948892313</v>
      </c>
      <c r="I67">
        <f>Scenario_Data!A67</f>
        <v>-0.45800000000000002</v>
      </c>
      <c r="J67">
        <f>Scenario_Data!H67-(((SQRT((Inputs!$C$52+(Inputs!$H$6))^2+Inputs!$C$52^2-2*(Inputs!$C$52+(Inputs!$H$6))*Inputs!$C$52*COS(SQRT((Scenario_Data!T67)^2+Inputs!$C$6^2)/Inputs!$C$52)))-(Inputs!$H$6))*1000/Inputs!$C$12)</f>
        <v>-2.0109937508048006</v>
      </c>
      <c r="K67">
        <f>Scenario_Data!I67-(((SQRT((Inputs!$C$52+(Inputs!$H$7))^2+Inputs!$C$52^2-2*(Inputs!$C$52+(Inputs!$H$7))*Inputs!$C$52*COS(SQRT((Scenario_Data!U67)^2+Inputs!$C$6^2)/Inputs!$C$52)))-(Inputs!$H$7))*1000/Inputs!$C$12)</f>
        <v>-25408.058195726291</v>
      </c>
      <c r="L67">
        <f>Scenario_Data!J67-(((SQRT((Inputs!$C$52+(Inputs!$H$8))^2+Inputs!$C$52^2-2*(Inputs!$C$52+(Inputs!$H$8))*Inputs!$C$52*COS(SQRT((Scenario_Data!V67)^2+Inputs!$C$6^2)/Inputs!$C$52)))-(Inputs!$H$8))*1000/Inputs!$C$12)</f>
        <v>-64700.628963953612</v>
      </c>
      <c r="M67">
        <f>Scenario_Data!K67-(((SQRT((Inputs!$C$52+(Inputs!$H$9))^2+Inputs!$C$52^2-2*(Inputs!$C$52+(Inputs!$H$9))*Inputs!$C$52*COS(SQRT((Scenario_Data!W67)^2+Inputs!$C$6^2)/Inputs!$C$52)))-(Inputs!$H$9))*1000/Inputs!$C$12)</f>
        <v>-67459.829123438874</v>
      </c>
      <c r="O67">
        <f>Scenario_Data!T67</f>
        <v>-27.479999999999997</v>
      </c>
      <c r="P67">
        <f>2*(Scenario_Data!B67*1000)/Inputs!$C$21*1000000</f>
        <v>2674.1103406944285</v>
      </c>
      <c r="Q67">
        <f>Scenario_Data!U67</f>
        <v>-183.2</v>
      </c>
      <c r="R67">
        <f>2*(Scenario_Data!C67*1000)/Inputs!$C$21*1000000</f>
        <v>744.27396035426614</v>
      </c>
      <c r="S67">
        <f>Scenario_Data!V67</f>
        <v>-366.4</v>
      </c>
      <c r="T67">
        <f>2*(Scenario_Data!D67*1000)/Inputs!$C$21*1000000</f>
        <v>1583.9108267360079</v>
      </c>
      <c r="U67">
        <f>Scenario_Data!W67</f>
        <v>-366.4</v>
      </c>
      <c r="V67">
        <f>2*(Scenario_Data!E67*1000)/Inputs!$C$21*1000000</f>
        <v>1531.1919554694066</v>
      </c>
      <c r="X67">
        <f>Scenario_Data!T67</f>
        <v>-27.479999999999997</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2674.5566383706246</v>
      </c>
      <c r="Z67">
        <f>Scenario_Data!U67</f>
        <v>-183.2</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744.29967064682944</v>
      </c>
      <c r="AB67">
        <f>Scenario_Data!V67</f>
        <v>-366.4</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1584.1474784934796</v>
      </c>
      <c r="AD67">
        <f>Scenario_Data!W67</f>
        <v>-366.4</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1531.4286072268783</v>
      </c>
      <c r="AG67">
        <f>Scenario_Data!T67</f>
        <v>-27.479999999999997</v>
      </c>
      <c r="AH67">
        <f>2*(SQRT((Inputs!$C$52+(Scenario_Data!B67))^2+Inputs!$C$52^2-2*(Inputs!$C$52+(Scenario_Data!B67))*Inputs!$C$52*COS(SQRT((Scenario_Data!T67)^2+Inputs!$C$6^2)/Inputs!$C$52))*1000)/Inputs!$C$21*1000000</f>
        <v>2688.505605067754</v>
      </c>
      <c r="AI67">
        <f>Scenario_Data!U67</f>
        <v>-183.2</v>
      </c>
      <c r="AJ67">
        <f>2*(SQRT((Inputs!$C$52+(Scenario_Data!C67))^2+Inputs!$C$52^2-2*(Inputs!$C$52+(Scenario_Data!C67))*Inputs!$C$52*COS(SQRT((Scenario_Data!U67)^2+Inputs!$C$6^2)/Inputs!$C$52))*1000)/Inputs!$C$21*1000000</f>
        <v>1477.272095393459</v>
      </c>
      <c r="AK67">
        <f>Scenario_Data!V67</f>
        <v>-366.4</v>
      </c>
      <c r="AL67">
        <f>2*(SQRT((Inputs!$C$52+(Scenario_Data!D67))^2+Inputs!$C$52^2-2*(Inputs!$C$52+(Scenario_Data!D67))*Inputs!$C$52*COS(SQRT((Scenario_Data!V67)^2+Inputs!$C$6^2)/Inputs!$C$52))*1000)/Inputs!$C$21*1000000</f>
        <v>3064.7562292393345</v>
      </c>
      <c r="AM67">
        <f>Scenario_Data!W67</f>
        <v>-366.4</v>
      </c>
      <c r="AN67">
        <f>2*(SQRT((Inputs!$C$52+(Scenario_Data!E67))^2+Inputs!$C$52^2-2*(Inputs!$C$52+(Scenario_Data!E67))*Inputs!$C$52*COS(SQRT((Scenario_Data!W67)^2+Inputs!$C$6^2)/Inputs!$C$52))*1000)/Inputs!$C$21*1000000</f>
        <v>3032.8623798858607</v>
      </c>
      <c r="AP67">
        <f>Scenario_Data!T67</f>
        <v>-27.479999999999997</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2686.5763667331762</v>
      </c>
      <c r="AR67">
        <f>Scenario_Data!U67</f>
        <v>-183.2</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1477.0077782495264</v>
      </c>
      <c r="AT67">
        <f>Scenario_Data!V67</f>
        <v>-366.4</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3064.4631201672241</v>
      </c>
      <c r="AV67">
        <f>Scenario_Data!W67</f>
        <v>-366.4</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3032.5783074211417</v>
      </c>
    </row>
    <row r="68" spans="1:49">
      <c r="A68">
        <f>Chart_Data!K68</f>
        <v>-27</v>
      </c>
      <c r="B68">
        <f>Chart_Data!N68-Chart_Data!L68</f>
        <v>67.758402864302582</v>
      </c>
      <c r="D68">
        <f>Chart_Data!G68</f>
        <v>-27</v>
      </c>
      <c r="E68">
        <f>Chart_Data!H68</f>
        <v>289.34226854100302</v>
      </c>
      <c r="F68">
        <f>Chart_Data!I68</f>
        <v>289.34226854100302</v>
      </c>
      <c r="G68">
        <f>Chart_Data!J68</f>
        <v>-69.671539284115184</v>
      </c>
      <c r="I68">
        <f>Scenario_Data!A68</f>
        <v>-0.45</v>
      </c>
      <c r="J68">
        <f>Scenario_Data!H68-(((SQRT((Inputs!$C$52+(Inputs!$H$6))^2+Inputs!$C$52^2-2*(Inputs!$C$52+(Inputs!$H$6))*Inputs!$C$52*COS(SQRT((Scenario_Data!T68)^2+Inputs!$C$6^2)/Inputs!$C$52)))-(Inputs!$H$6))*1000/Inputs!$C$12)</f>
        <v>-1.9050240415085682</v>
      </c>
      <c r="K68">
        <f>Scenario_Data!I68-(((SQRT((Inputs!$C$52+(Inputs!$H$7))^2+Inputs!$C$52^2-2*(Inputs!$C$52+(Inputs!$H$7))*Inputs!$C$52*COS(SQRT((Scenario_Data!U68)^2+Inputs!$C$6^2)/Inputs!$C$52)))-(Inputs!$H$7))*1000/Inputs!$C$12)</f>
        <v>-24564.158312691114</v>
      </c>
      <c r="L68">
        <f>Scenario_Data!J68-(((SQRT((Inputs!$C$52+(Inputs!$H$8))^2+Inputs!$C$52^2-2*(Inputs!$C$52+(Inputs!$H$8))*Inputs!$C$52*COS(SQRT((Scenario_Data!V68)^2+Inputs!$C$6^2)/Inputs!$C$52)))-(Inputs!$H$8))*1000/Inputs!$C$12)</f>
        <v>-62845.334215087423</v>
      </c>
      <c r="M68">
        <f>Scenario_Data!K68-(((SQRT((Inputs!$C$52+(Inputs!$H$9))^2+Inputs!$C$52^2-2*(Inputs!$C$52+(Inputs!$H$9))*Inputs!$C$52*COS(SQRT((Scenario_Data!W68)^2+Inputs!$C$6^2)/Inputs!$C$52)))-(Inputs!$H$9))*1000/Inputs!$C$12)</f>
        <v>-65567.583789466706</v>
      </c>
      <c r="O68">
        <f>Scenario_Data!T68</f>
        <v>-27</v>
      </c>
      <c r="P68">
        <f>2*(Scenario_Data!B68*1000)/Inputs!$C$21*1000000</f>
        <v>2673.9164999274262</v>
      </c>
      <c r="Q68">
        <f>Scenario_Data!U68</f>
        <v>-179.99999999999997</v>
      </c>
      <c r="R68">
        <f>2*(Scenario_Data!C68*1000)/Inputs!$C$21*1000000</f>
        <v>726.58599036537464</v>
      </c>
      <c r="S68">
        <f>Scenario_Data!V68</f>
        <v>-359.99999999999994</v>
      </c>
      <c r="T68">
        <f>2*(Scenario_Data!D68*1000)/Inputs!$C$21*1000000</f>
        <v>1537.146741696884</v>
      </c>
      <c r="U68">
        <f>Scenario_Data!W68</f>
        <v>-359.99999999999994</v>
      </c>
      <c r="V68">
        <f>2*(Scenario_Data!E68*1000)/Inputs!$C$21*1000000</f>
        <v>1483.9432685127788</v>
      </c>
      <c r="X68">
        <f>Scenario_Data!T68</f>
        <v>-27</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2674.381298406674</v>
      </c>
      <c r="Z68">
        <f>Scenario_Data!U68</f>
        <v>-179.99999999999997</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726.39027637027345</v>
      </c>
      <c r="AB68">
        <f>Scenario_Data!V68</f>
        <v>-359.99999999999994</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1537.2156175815205</v>
      </c>
      <c r="AD68">
        <f>Scenario_Data!W68</f>
        <v>-359.99999999999994</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1484.0121443974156</v>
      </c>
      <c r="AG68">
        <f>Scenario_Data!T68</f>
        <v>-27</v>
      </c>
      <c r="AH68">
        <f>2*(SQRT((Inputs!$C$52+(Scenario_Data!B68))^2+Inputs!$C$52^2-2*(Inputs!$C$52+(Scenario_Data!B68))*Inputs!$C$52*COS(SQRT((Scenario_Data!T68)^2+Inputs!$C$6^2)/Inputs!$C$52))*1000)/Inputs!$C$21*1000000</f>
        <v>2688.0405488767533</v>
      </c>
      <c r="AI68">
        <f>Scenario_Data!U68</f>
        <v>-179.99999999999997</v>
      </c>
      <c r="AJ68">
        <f>2*(SQRT((Inputs!$C$52+(Scenario_Data!C68))^2+Inputs!$C$52^2-2*(Inputs!$C$52+(Scenario_Data!C68))*Inputs!$C$52*COS(SQRT((Scenario_Data!U68)^2+Inputs!$C$6^2)/Inputs!$C$52))*1000)/Inputs!$C$21*1000000</f>
        <v>1448.628895361848</v>
      </c>
      <c r="AK68">
        <f>Scenario_Data!V68</f>
        <v>-359.99999999999994</v>
      </c>
      <c r="AL68">
        <f>2*(SQRT((Inputs!$C$52+(Scenario_Data!D68))^2+Inputs!$C$52^2-2*(Inputs!$C$52+(Scenario_Data!D68))*Inputs!$C$52*COS(SQRT((Scenario_Data!V68)^2+Inputs!$C$6^2)/Inputs!$C$52))*1000)/Inputs!$C$21*1000000</f>
        <v>2997.4387220817075</v>
      </c>
      <c r="AM68">
        <f>Scenario_Data!W68</f>
        <v>-359.99999999999994</v>
      </c>
      <c r="AN68">
        <f>2*(SQRT((Inputs!$C$52+(Scenario_Data!E68))^2+Inputs!$C$52^2-2*(Inputs!$C$52+(Scenario_Data!E68))*Inputs!$C$52*COS(SQRT((Scenario_Data!W68)^2+Inputs!$C$6^2)/Inputs!$C$52))*1000)/Inputs!$C$21*1000000</f>
        <v>2965.5394356653028</v>
      </c>
      <c r="AP68">
        <f>Scenario_Data!T68</f>
        <v>-27</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2686.1230281089606</v>
      </c>
      <c r="AR68">
        <f>Scenario_Data!U68</f>
        <v>-179.99999999999997</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1448.2038804819972</v>
      </c>
      <c r="AT68">
        <f>Scenario_Data!V68</f>
        <v>-359.99999999999994</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2997.1693225152612</v>
      </c>
      <c r="AV68">
        <f>Scenario_Data!W68</f>
        <v>-359.99999999999994</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2965.2787082449991</v>
      </c>
    </row>
    <row r="69" spans="1:49">
      <c r="A69">
        <f>Chart_Data!K69</f>
        <v>-26.5</v>
      </c>
      <c r="B69">
        <f>Chart_Data!N69-Chart_Data!L69</f>
        <v>76.235688003609084</v>
      </c>
      <c r="D69">
        <f>Chart_Data!G69</f>
        <v>-26.5</v>
      </c>
      <c r="E69">
        <f>Chart_Data!H69</f>
        <v>290.55977847511139</v>
      </c>
      <c r="F69">
        <f>Chart_Data!I69</f>
        <v>290.55977847511139</v>
      </c>
      <c r="G69">
        <f>Chart_Data!J69</f>
        <v>-78.119420028637307</v>
      </c>
      <c r="I69">
        <f>Scenario_Data!A69</f>
        <v>-0.442</v>
      </c>
      <c r="J69">
        <f>Scenario_Data!H69-(((SQRT((Inputs!$C$52+(Inputs!$H$6))^2+Inputs!$C$52^2-2*(Inputs!$C$52+(Inputs!$H$6))*Inputs!$C$52*COS(SQRT((Scenario_Data!T69)^2+Inputs!$C$6^2)/Inputs!$C$52)))-(Inputs!$H$6))*1000/Inputs!$C$12)</f>
        <v>-1.8034433360094226</v>
      </c>
      <c r="K69">
        <f>Scenario_Data!I69-(((SQRT((Inputs!$C$52+(Inputs!$H$7))^2+Inputs!$C$52^2-2*(Inputs!$C$52+(Inputs!$H$7))*Inputs!$C$52*COS(SQRT((Scenario_Data!U69)^2+Inputs!$C$6^2)/Inputs!$C$52)))-(Inputs!$H$7))*1000/Inputs!$C$12)</f>
        <v>-23729.938248077422</v>
      </c>
      <c r="L69">
        <f>Scenario_Data!J69-(((SQRT((Inputs!$C$52+(Inputs!$H$8))^2+Inputs!$C$52^2-2*(Inputs!$C$52+(Inputs!$H$8))*Inputs!$C$52*COS(SQRT((Scenario_Data!V69)^2+Inputs!$C$6^2)/Inputs!$C$52)))-(Inputs!$H$8))*1000/Inputs!$C$12)</f>
        <v>-61000.45522179082</v>
      </c>
      <c r="M69">
        <f>Scenario_Data!K69-(((SQRT((Inputs!$C$52+(Inputs!$H$9))^2+Inputs!$C$52^2-2*(Inputs!$C$52+(Inputs!$H$9))*Inputs!$C$52*COS(SQRT((Scenario_Data!W69)^2+Inputs!$C$6^2)/Inputs!$C$52)))-(Inputs!$H$9))*1000/Inputs!$C$12)</f>
        <v>-63685.092564364764</v>
      </c>
      <c r="O69">
        <f>Scenario_Data!T69</f>
        <v>-26.519999999999996</v>
      </c>
      <c r="P69">
        <f>2*(Scenario_Data!B69*1000)/Inputs!$C$21*1000000</f>
        <v>2673.7260748567596</v>
      </c>
      <c r="Q69">
        <f>Scenario_Data!U69</f>
        <v>-176.79999999999998</v>
      </c>
      <c r="R69">
        <f>2*(Scenario_Data!C69*1000)/Inputs!$C$21*1000000</f>
        <v>709.20970266703625</v>
      </c>
      <c r="S69">
        <f>Scenario_Data!V69</f>
        <v>-353.59999999999997</v>
      </c>
      <c r="T69">
        <f>2*(Scenario_Data!D69*1000)/Inputs!$C$21*1000000</f>
        <v>1491.2066933985375</v>
      </c>
      <c r="U69">
        <f>Scenario_Data!W69</f>
        <v>-353.59999999999997</v>
      </c>
      <c r="V69">
        <f>2*(Scenario_Data!E69*1000)/Inputs!$C$21*1000000</f>
        <v>1437.5271575377656</v>
      </c>
      <c r="X69">
        <f>Scenario_Data!T69</f>
        <v>-26.519999999999996</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2674.3335334564645</v>
      </c>
      <c r="Z69">
        <f>Scenario_Data!U69</f>
        <v>-176.79999999999998</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708.59652239732816</v>
      </c>
      <c r="AB69">
        <f>Scenario_Data!V69</f>
        <v>-353.59999999999997</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1491.0140510931733</v>
      </c>
      <c r="AD69">
        <f>Scenario_Data!W69</f>
        <v>-353.59999999999997</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1437.3345152324011</v>
      </c>
      <c r="AG69">
        <f>Scenario_Data!T69</f>
        <v>-26.519999999999996</v>
      </c>
      <c r="AH69">
        <f>2*(SQRT((Inputs!$C$52+(Scenario_Data!B69))^2+Inputs!$C$52^2-2*(Inputs!$C$52+(Scenario_Data!B69))*Inputs!$C$52*COS(SQRT((Scenario_Data!T69)^2+Inputs!$C$6^2)/Inputs!$C$52))*1000)/Inputs!$C$21*1000000</f>
        <v>2687.5836301386457</v>
      </c>
      <c r="AI69">
        <f>Scenario_Data!U69</f>
        <v>-176.79999999999998</v>
      </c>
      <c r="AJ69">
        <f>2*(SQRT((Inputs!$C$52+(Scenario_Data!C69))^2+Inputs!$C$52^2-2*(Inputs!$C$52+(Scenario_Data!C69))*Inputs!$C$52*COS(SQRT((Scenario_Data!U69)^2+Inputs!$C$6^2)/Inputs!$C$52))*1000)/Inputs!$C$21*1000000</f>
        <v>1420.2010523856848</v>
      </c>
      <c r="AK69">
        <f>Scenario_Data!V69</f>
        <v>-353.59999999999997</v>
      </c>
      <c r="AL69">
        <f>2*(SQRT((Inputs!$C$52+(Scenario_Data!D69))^2+Inputs!$C$52^2-2*(Inputs!$C$52+(Scenario_Data!D69))*Inputs!$C$52*COS(SQRT((Scenario_Data!V69)^2+Inputs!$C$6^2)/Inputs!$C$52))*1000)/Inputs!$C$21*1000000</f>
        <v>2930.8219568286472</v>
      </c>
      <c r="AM69">
        <f>Scenario_Data!W69</f>
        <v>-353.59999999999997</v>
      </c>
      <c r="AN69">
        <f>2*(SQRT((Inputs!$C$52+(Scenario_Data!E69))^2+Inputs!$C$52^2-2*(Inputs!$C$52+(Scenario_Data!E69))*Inputs!$C$52*COS(SQRT((Scenario_Data!W69)^2+Inputs!$C$6^2)/Inputs!$C$52))*1000)/Inputs!$C$21*1000000</f>
        <v>2898.930305024403</v>
      </c>
      <c r="AP69">
        <f>Scenario_Data!T69</f>
        <v>-26.519999999999996</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2685.7641048695896</v>
      </c>
      <c r="AR69">
        <f>Scenario_Data!U69</f>
        <v>-176.79999999999998</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1419.5639331716729</v>
      </c>
      <c r="AT69">
        <f>Scenario_Data!V69</f>
        <v>-353.59999999999997</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2930.2908632621511</v>
      </c>
      <c r="AV69">
        <f>Scenario_Data!W69</f>
        <v>-353.59999999999997</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2898.4170708379361</v>
      </c>
    </row>
    <row r="70" spans="1:49">
      <c r="A70">
        <f>Chart_Data!K70</f>
        <v>-26</v>
      </c>
      <c r="B70">
        <f>Chart_Data!N70-Chart_Data!L70</f>
        <v>80.44622831250399</v>
      </c>
      <c r="D70">
        <f>Chart_Data!G70</f>
        <v>-26</v>
      </c>
      <c r="E70">
        <f>Chart_Data!H70</f>
        <v>271.74352983421755</v>
      </c>
      <c r="F70">
        <f>Chart_Data!I70</f>
        <v>271.74352983421755</v>
      </c>
      <c r="G70">
        <f>Chart_Data!J70</f>
        <v>-82.173494419788938</v>
      </c>
      <c r="I70">
        <f>Scenario_Data!A70</f>
        <v>-0.433</v>
      </c>
      <c r="J70">
        <f>Scenario_Data!H70-(((SQRT((Inputs!$C$52+(Inputs!$H$6))^2+Inputs!$C$52^2-2*(Inputs!$C$52+(Inputs!$H$6))*Inputs!$C$52*COS(SQRT((Scenario_Data!T70)^2+Inputs!$C$6^2)/Inputs!$C$52)))-(Inputs!$H$6))*1000/Inputs!$C$12)</f>
        <v>-1.6942460296072568</v>
      </c>
      <c r="K70">
        <f>Scenario_Data!I70-(((SQRT((Inputs!$C$52+(Inputs!$H$7))^2+Inputs!$C$52^2-2*(Inputs!$C$52+(Inputs!$H$7))*Inputs!$C$52*COS(SQRT((Scenario_Data!U70)^2+Inputs!$C$6^2)/Inputs!$C$52)))-(Inputs!$H$7))*1000/Inputs!$C$12)</f>
        <v>-22803.296578072208</v>
      </c>
      <c r="L70">
        <f>Scenario_Data!J70-(((SQRT((Inputs!$C$52+(Inputs!$H$8))^2+Inputs!$C$52^2-2*(Inputs!$C$52+(Inputs!$H$8))*Inputs!$C$52*COS(SQRT((Scenario_Data!V70)^2+Inputs!$C$6^2)/Inputs!$C$52)))-(Inputs!$H$8))*1000/Inputs!$C$12)</f>
        <v>-58938.191859995888</v>
      </c>
      <c r="M70">
        <f>Scenario_Data!K70-(((SQRT((Inputs!$C$52+(Inputs!$H$9))^2+Inputs!$C$52^2-2*(Inputs!$C$52+(Inputs!$H$9))*Inputs!$C$52*COS(SQRT((Scenario_Data!W70)^2+Inputs!$C$6^2)/Inputs!$C$52)))-(Inputs!$H$9))*1000/Inputs!$C$12)</f>
        <v>-61579.723356260394</v>
      </c>
      <c r="O70">
        <f>Scenario_Data!T70</f>
        <v>-25.980000000000004</v>
      </c>
      <c r="P70">
        <f>2*(Scenario_Data!B70*1000)/Inputs!$C$21*1000000</f>
        <v>2673.515929476785</v>
      </c>
      <c r="Q70">
        <f>Scenario_Data!U70</f>
        <v>-173.20000000000002</v>
      </c>
      <c r="R70">
        <f>2*(Scenario_Data!C70*1000)/Inputs!$C$21*1000000</f>
        <v>690.03393674433278</v>
      </c>
      <c r="S70">
        <f>Scenario_Data!V70</f>
        <v>-346.40000000000003</v>
      </c>
      <c r="T70">
        <f>2*(Scenario_Data!D70*1000)/Inputs!$C$21*1000000</f>
        <v>1440.509120479609</v>
      </c>
      <c r="U70">
        <f>Scenario_Data!W70</f>
        <v>-346.40000000000003</v>
      </c>
      <c r="V70">
        <f>2*(Scenario_Data!E70*1000)/Inputs!$C$21*1000000</f>
        <v>1386.3042211688996</v>
      </c>
      <c r="X70">
        <f>Scenario_Data!T70</f>
        <v>-25.980000000000004</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2674.1216025512749</v>
      </c>
      <c r="Z70">
        <f>Scenario_Data!U70</f>
        <v>-173.20000000000002</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689.6044707976647</v>
      </c>
      <c r="AB70">
        <f>Scenario_Data!V70</f>
        <v>-346.40000000000003</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1440.7064420089457</v>
      </c>
      <c r="AD70">
        <f>Scenario_Data!W70</f>
        <v>-346.40000000000003</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1386.5015426982363</v>
      </c>
      <c r="AG70">
        <f>Scenario_Data!T70</f>
        <v>-25.980000000000004</v>
      </c>
      <c r="AH70">
        <f>2*(SQRT((Inputs!$C$52+(Scenario_Data!B70))^2+Inputs!$C$52^2-2*(Inputs!$C$52+(Scenario_Data!B70))*Inputs!$C$52*COS(SQRT((Scenario_Data!T70)^2+Inputs!$C$6^2)/Inputs!$C$52))*1000)/Inputs!$C$21*1000000</f>
        <v>2687.0793271300054</v>
      </c>
      <c r="AI70">
        <f>Scenario_Data!U70</f>
        <v>-173.20000000000002</v>
      </c>
      <c r="AJ70">
        <f>2*(SQRT((Inputs!$C$52+(Scenario_Data!C70))^2+Inputs!$C$52^2-2*(Inputs!$C$52+(Scenario_Data!C70))*Inputs!$C$52*COS(SQRT((Scenario_Data!U70)^2+Inputs!$C$6^2)/Inputs!$C$52))*1000)/Inputs!$C$21*1000000</f>
        <v>1388.4750825653464</v>
      </c>
      <c r="AK70">
        <f>Scenario_Data!V70</f>
        <v>-346.40000000000003</v>
      </c>
      <c r="AL70">
        <f>2*(SQRT((Inputs!$C$52+(Scenario_Data!D70))^2+Inputs!$C$52^2-2*(Inputs!$C$52+(Scenario_Data!D70))*Inputs!$C$52*COS(SQRT((Scenario_Data!V70)^2+Inputs!$C$6^2)/Inputs!$C$52))*1000)/Inputs!$C$21*1000000</f>
        <v>2856.707437171217</v>
      </c>
      <c r="AM70">
        <f>Scenario_Data!W70</f>
        <v>-346.40000000000003</v>
      </c>
      <c r="AN70">
        <f>2*(SQRT((Inputs!$C$52+(Scenario_Data!E70))^2+Inputs!$C$52^2-2*(Inputs!$C$52+(Scenario_Data!E70))*Inputs!$C$52*COS(SQRT((Scenario_Data!W70)^2+Inputs!$C$6^2)/Inputs!$C$52))*1000)/Inputs!$C$21*1000000</f>
        <v>2824.8397867428093</v>
      </c>
      <c r="AP70">
        <f>Scenario_Data!T70</f>
        <v>-25.980000000000004</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2685.2667592520247</v>
      </c>
      <c r="AR70">
        <f>Scenario_Data!U70</f>
        <v>-173.20000000000002</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1387.9562667314381</v>
      </c>
      <c r="AT70">
        <f>Scenario_Data!V70</f>
        <v>-346.40000000000003</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2856.4586636516369</v>
      </c>
      <c r="AV70">
        <f>Scenario_Data!W70</f>
        <v>-346.40000000000003</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2824.5997932549617</v>
      </c>
    </row>
    <row r="71" spans="1:49">
      <c r="A71">
        <f>Chart_Data!K71</f>
        <v>-25.5</v>
      </c>
      <c r="B71">
        <f>Chart_Data!N71-Chart_Data!L71</f>
        <v>102.62475841942188</v>
      </c>
      <c r="D71">
        <f>Chart_Data!G71</f>
        <v>-25.5</v>
      </c>
      <c r="E71">
        <f>Chart_Data!H71</f>
        <v>271.72277085419893</v>
      </c>
      <c r="F71">
        <f>Chart_Data!I71</f>
        <v>271.72277085419893</v>
      </c>
      <c r="G71">
        <f>Chart_Data!J71</f>
        <v>-104.31813701930129</v>
      </c>
      <c r="I71">
        <f>Scenario_Data!A71</f>
        <v>-0.42499999999999999</v>
      </c>
      <c r="J71">
        <f>Scenario_Data!H71-(((SQRT((Inputs!$C$52+(Inputs!$H$6))^2+Inputs!$C$52^2-2*(Inputs!$C$52+(Inputs!$H$6))*Inputs!$C$52*COS(SQRT((Scenario_Data!T71)^2+Inputs!$C$6^2)/Inputs!$C$52)))-(Inputs!$H$6))*1000/Inputs!$C$12)</f>
        <v>-1.601553853415453</v>
      </c>
      <c r="K71">
        <f>Scenario_Data!I71-(((SQRT((Inputs!$C$52+(Inputs!$H$7))^2+Inputs!$C$52^2-2*(Inputs!$C$52+(Inputs!$H$7))*Inputs!$C$52*COS(SQRT((Scenario_Data!U71)^2+Inputs!$C$6^2)/Inputs!$C$52)))-(Inputs!$H$7))*1000/Inputs!$C$12)</f>
        <v>-21990.411244520408</v>
      </c>
      <c r="L71">
        <f>Scenario_Data!J71-(((SQRT((Inputs!$C$52+(Inputs!$H$8))^2+Inputs!$C$52^2-2*(Inputs!$C$52+(Inputs!$H$8))*Inputs!$C$52*COS(SQRT((Scenario_Data!V71)^2+Inputs!$C$6^2)/Inputs!$C$52)))-(Inputs!$H$8))*1000/Inputs!$C$12)</f>
        <v>-57117.53151668291</v>
      </c>
      <c r="M71">
        <f>Scenario_Data!K71-(((SQRT((Inputs!$C$52+(Inputs!$H$9))^2+Inputs!$C$52^2-2*(Inputs!$C$52+(Inputs!$H$9))*Inputs!$C$52*COS(SQRT((Scenario_Data!W71)^2+Inputs!$C$6^2)/Inputs!$C$52)))-(Inputs!$H$9))*1000/Inputs!$C$12)</f>
        <v>-59720.042102486768</v>
      </c>
      <c r="O71">
        <f>Scenario_Data!T71</f>
        <v>-25.5</v>
      </c>
      <c r="P71">
        <f>2*(Scenario_Data!B71*1000)/Inputs!$C$21*1000000</f>
        <v>2673.3327627608296</v>
      </c>
      <c r="Q71">
        <f>Scenario_Data!U71</f>
        <v>-170.00000000000003</v>
      </c>
      <c r="R71">
        <f>2*(Scenario_Data!C71*1000)/Inputs!$C$21*1000000</f>
        <v>673.31997391341986</v>
      </c>
      <c r="S71">
        <f>Scenario_Data!V71</f>
        <v>-340.00000000000006</v>
      </c>
      <c r="T71">
        <f>2*(Scenario_Data!D71*1000)/Inputs!$C$21*1000000</f>
        <v>1396.3201502554145</v>
      </c>
      <c r="U71">
        <f>Scenario_Data!W71</f>
        <v>-340.00000000000006</v>
      </c>
      <c r="V71">
        <f>2*(Scenario_Data!E71*1000)/Inputs!$C$21*1000000</f>
        <v>1341.6573341548174</v>
      </c>
      <c r="X71">
        <f>Scenario_Data!T71</f>
        <v>-25.5</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2674.0286984605818</v>
      </c>
      <c r="Z71">
        <f>Scenario_Data!U71</f>
        <v>-170.00000000000003</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673.52943021065596</v>
      </c>
      <c r="AB71">
        <f>Scenario_Data!V71</f>
        <v>-340.00000000000006</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1395.9069815926184</v>
      </c>
      <c r="AD71">
        <f>Scenario_Data!W71</f>
        <v>-340.00000000000006</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1341.2441654920215</v>
      </c>
      <c r="AG71">
        <f>Scenario_Data!T71</f>
        <v>-25.5</v>
      </c>
      <c r="AH71">
        <f>2*(SQRT((Inputs!$C$52+(Scenario_Data!B71))^2+Inputs!$C$52^2-2*(Inputs!$C$52+(Scenario_Data!B71))*Inputs!$C$52*COS(SQRT((Scenario_Data!T71)^2+Inputs!$C$6^2)/Inputs!$C$52))*1000)/Inputs!$C$21*1000000</f>
        <v>2686.6397104802963</v>
      </c>
      <c r="AI71">
        <f>Scenario_Data!U71</f>
        <v>-170.00000000000003</v>
      </c>
      <c r="AJ71">
        <f>2*(SQRT((Inputs!$C$52+(Scenario_Data!C71))^2+Inputs!$C$52^2-2*(Inputs!$C$52+(Scenario_Data!C71))*Inputs!$C$52*COS(SQRT((Scenario_Data!U71)^2+Inputs!$C$6^2)/Inputs!$C$52))*1000)/Inputs!$C$21*1000000</f>
        <v>1360.4994034490926</v>
      </c>
      <c r="AK71">
        <f>Scenario_Data!V71</f>
        <v>-340.00000000000006</v>
      </c>
      <c r="AL71">
        <f>2*(SQRT((Inputs!$C$52+(Scenario_Data!D71))^2+Inputs!$C$52^2-2*(Inputs!$C$52+(Scenario_Data!D71))*Inputs!$C$52*COS(SQRT((Scenario_Data!V71)^2+Inputs!$C$6^2)/Inputs!$C$52))*1000)/Inputs!$C$21*1000000</f>
        <v>2791.5575527526471</v>
      </c>
      <c r="AM71">
        <f>Scenario_Data!W71</f>
        <v>-340.00000000000006</v>
      </c>
      <c r="AN71">
        <f>2*(SQRT((Inputs!$C$52+(Scenario_Data!E71))^2+Inputs!$C$52^2-2*(Inputs!$C$52+(Scenario_Data!E71))*Inputs!$C$52*COS(SQRT((Scenario_Data!W71)^2+Inputs!$C$6^2)/Inputs!$C$52))*1000)/Inputs!$C$21*1000000</f>
        <v>2759.7247264813568</v>
      </c>
      <c r="AP71">
        <f>Scenario_Data!T71</f>
        <v>-25.5</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2684.8382682822116</v>
      </c>
      <c r="AR71">
        <f>Scenario_Data!U71</f>
        <v>-170.00000000000003</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1360.1592081481224</v>
      </c>
      <c r="AT71">
        <f>Scenario_Data!V71</f>
        <v>-340.00000000000006</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2791.0833339882856</v>
      </c>
      <c r="AV71">
        <f>Scenario_Data!W71</f>
        <v>-340.00000000000006</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2759.2679936296245</v>
      </c>
    </row>
    <row r="72" spans="1:49">
      <c r="A72">
        <f>Chart_Data!K72</f>
        <v>-25</v>
      </c>
      <c r="B72">
        <f>Chart_Data!N72-Chart_Data!L72</f>
        <v>95.962728503082303</v>
      </c>
      <c r="D72">
        <f>Chart_Data!G72</f>
        <v>-25</v>
      </c>
      <c r="E72">
        <f>Chart_Data!H72</f>
        <v>260.27138413189709</v>
      </c>
      <c r="F72">
        <f>Chart_Data!I72</f>
        <v>260.27138413189709</v>
      </c>
      <c r="G72">
        <f>Chart_Data!J72</f>
        <v>-97.552975883581098</v>
      </c>
      <c r="I72">
        <f>Scenario_Data!A72</f>
        <v>-0.41699999999999998</v>
      </c>
      <c r="J72">
        <f>Scenario_Data!H72-(((SQRT((Inputs!$C$52+(Inputs!$H$6))^2+Inputs!$C$52^2-2*(Inputs!$C$52+(Inputs!$H$6))*Inputs!$C$52*COS(SQRT((Scenario_Data!T72)^2+Inputs!$C$6^2)/Inputs!$C$52)))-(Inputs!$H$6))*1000/Inputs!$C$12)</f>
        <v>-1.512843152252799</v>
      </c>
      <c r="K72">
        <f>Scenario_Data!I72-(((SQRT((Inputs!$C$52+(Inputs!$H$7))^2+Inputs!$C$52^2-2*(Inputs!$C$52+(Inputs!$H$7))*Inputs!$C$52*COS(SQRT((Scenario_Data!U72)^2+Inputs!$C$6^2)/Inputs!$C$52)))-(Inputs!$H$7))*1000/Inputs!$C$12)</f>
        <v>-21187.933007764404</v>
      </c>
      <c r="L72">
        <f>Scenario_Data!J72-(((SQRT((Inputs!$C$52+(Inputs!$H$8))^2+Inputs!$C$52^2-2*(Inputs!$C$52+(Inputs!$H$8))*Inputs!$C$52*COS(SQRT((Scenario_Data!V72)^2+Inputs!$C$6^2)/Inputs!$C$52)))-(Inputs!$H$8))*1000/Inputs!$C$12)</f>
        <v>-55309.28240772686</v>
      </c>
      <c r="M72">
        <f>Scenario_Data!K72-(((SQRT((Inputs!$C$52+(Inputs!$H$9))^2+Inputs!$C$52^2-2*(Inputs!$C$52+(Inputs!$H$9))*Inputs!$C$52*COS(SQRT((Scenario_Data!W72)^2+Inputs!$C$6^2)/Inputs!$C$52)))-(Inputs!$H$9))*1000/Inputs!$C$12)</f>
        <v>-57872.108972824644</v>
      </c>
      <c r="O72">
        <f>Scenario_Data!T72</f>
        <v>-25.020000000000003</v>
      </c>
      <c r="P72">
        <f>2*(Scenario_Data!B72*1000)/Inputs!$C$21*1000000</f>
        <v>2673.1530117412094</v>
      </c>
      <c r="Q72">
        <f>Scenario_Data!U72</f>
        <v>-166.8</v>
      </c>
      <c r="R72">
        <f>2*(Scenario_Data!C72*1000)/Inputs!$C$21*1000000</f>
        <v>656.91769337306016</v>
      </c>
      <c r="S72">
        <f>Scenario_Data!V72</f>
        <v>-333.6</v>
      </c>
      <c r="T72">
        <f>2*(Scenario_Data!D72*1000)/Inputs!$C$21*1000000</f>
        <v>1352.955216771998</v>
      </c>
      <c r="U72">
        <f>Scenario_Data!W72</f>
        <v>-333.6</v>
      </c>
      <c r="V72">
        <f>2*(Scenario_Data!E72*1000)/Inputs!$C$21*1000000</f>
        <v>1297.8430231223497</v>
      </c>
      <c r="X72">
        <f>Scenario_Data!T72</f>
        <v>-25.020000000000003</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2673.8364151669812</v>
      </c>
      <c r="Z72">
        <f>Scenario_Data!U72</f>
        <v>-166.8</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657.15792890890543</v>
      </c>
      <c r="AB72">
        <f>Scenario_Data!V72</f>
        <v>-333.6</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1352.5285718842533</v>
      </c>
      <c r="AD72">
        <f>Scenario_Data!W72</f>
        <v>-333.6</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1297.4163782346052</v>
      </c>
      <c r="AG72">
        <f>Scenario_Data!T72</f>
        <v>-25.020000000000003</v>
      </c>
      <c r="AH72">
        <f>2*(SQRT((Inputs!$C$52+(Scenario_Data!B72))^2+Inputs!$C$52^2-2*(Inputs!$C$52+(Scenario_Data!B72))*Inputs!$C$52*COS(SQRT((Scenario_Data!T72)^2+Inputs!$C$6^2)/Inputs!$C$52))*1000)/Inputs!$C$21*1000000</f>
        <v>2686.2082405845767</v>
      </c>
      <c r="AI72">
        <f>Scenario_Data!U72</f>
        <v>-166.8</v>
      </c>
      <c r="AJ72">
        <f>2*(SQRT((Inputs!$C$52+(Scenario_Data!C72))^2+Inputs!$C$52^2-2*(Inputs!$C$52+(Scenario_Data!C72))*Inputs!$C$52*COS(SQRT((Scenario_Data!U72)^2+Inputs!$C$6^2)/Inputs!$C$52))*1000)/Inputs!$C$21*1000000</f>
        <v>1332.7340115462373</v>
      </c>
      <c r="AK72">
        <f>Scenario_Data!V72</f>
        <v>-333.6</v>
      </c>
      <c r="AL72">
        <f>2*(SQRT((Inputs!$C$52+(Scenario_Data!D72))^2+Inputs!$C$52^2-2*(Inputs!$C$52+(Scenario_Data!D72))*Inputs!$C$52*COS(SQRT((Scenario_Data!V72)^2+Inputs!$C$6^2)/Inputs!$C$52))*1000)/Inputs!$C$21*1000000</f>
        <v>2727.0872248769224</v>
      </c>
      <c r="AM72">
        <f>Scenario_Data!W72</f>
        <v>-333.6</v>
      </c>
      <c r="AN72">
        <f>2*(SQRT((Inputs!$C$52+(Scenario_Data!E72))^2+Inputs!$C$52^2-2*(Inputs!$C$52+(Scenario_Data!E72))*Inputs!$C$52*COS(SQRT((Scenario_Data!W72)^2+Inputs!$C$6^2)/Inputs!$C$52))*1000)/Inputs!$C$21*1000000</f>
        <v>2695.3016989076077</v>
      </c>
      <c r="AP72">
        <f>Scenario_Data!T72</f>
        <v>-25.020000000000003</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2684.3442588116868</v>
      </c>
      <c r="AR72">
        <f>Scenario_Data!U72</f>
        <v>-166.8</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1332.4930771425575</v>
      </c>
      <c r="AT72">
        <f>Scenario_Data!V72</f>
        <v>-333.6</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2726.5981963853515</v>
      </c>
      <c r="AV72">
        <f>Scenario_Data!W72</f>
        <v>-333.6</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2694.8315049743364</v>
      </c>
    </row>
    <row r="73" spans="1:49">
      <c r="A73">
        <f>Chart_Data!K73</f>
        <v>-24.5</v>
      </c>
      <c r="B73">
        <f>Chart_Data!N73-Chart_Data!L73</f>
        <v>111.95944336496797</v>
      </c>
      <c r="D73">
        <f>Chart_Data!G73</f>
        <v>-24.5</v>
      </c>
      <c r="E73">
        <f>Chart_Data!H73</f>
        <v>276.49363528969542</v>
      </c>
      <c r="F73">
        <f>Chart_Data!I73</f>
        <v>276.49363528969542</v>
      </c>
      <c r="G73">
        <f>Chart_Data!J73</f>
        <v>-113.61582851930044</v>
      </c>
      <c r="I73">
        <f>Scenario_Data!A73</f>
        <v>-0.40799999999999997</v>
      </c>
      <c r="J73">
        <f>Scenario_Data!H73-(((SQRT((Inputs!$C$52+(Inputs!$H$6))^2+Inputs!$C$52^2-2*(Inputs!$C$52+(Inputs!$H$6))*Inputs!$C$52*COS(SQRT((Scenario_Data!T73)^2+Inputs!$C$6^2)/Inputs!$C$52)))-(Inputs!$H$6))*1000/Inputs!$C$12)</f>
        <v>-1.4176461878619193</v>
      </c>
      <c r="K73">
        <f>Scenario_Data!I73-(((SQRT((Inputs!$C$52+(Inputs!$H$7))^2+Inputs!$C$52^2-2*(Inputs!$C$52+(Inputs!$H$7))*Inputs!$C$52*COS(SQRT((Scenario_Data!U73)^2+Inputs!$C$6^2)/Inputs!$C$52)))-(Inputs!$H$7))*1000/Inputs!$C$12)</f>
        <v>-20297.883237372946</v>
      </c>
      <c r="L73">
        <f>Scenario_Data!J73-(((SQRT((Inputs!$C$52+(Inputs!$H$8))^2+Inputs!$C$52^2-2*(Inputs!$C$52+(Inputs!$H$8))*Inputs!$C$52*COS(SQRT((Scenario_Data!V73)^2+Inputs!$C$6^2)/Inputs!$C$52)))-(Inputs!$H$8))*1000/Inputs!$C$12)</f>
        <v>-53290.673072524471</v>
      </c>
      <c r="M73">
        <f>Scenario_Data!K73-(((SQRT((Inputs!$C$52+(Inputs!$H$9))^2+Inputs!$C$52^2-2*(Inputs!$C$52+(Inputs!$H$9))*Inputs!$C$52*COS(SQRT((Scenario_Data!W73)^2+Inputs!$C$6^2)/Inputs!$C$52)))-(Inputs!$H$9))*1000/Inputs!$C$12)</f>
        <v>-55808.06323941442</v>
      </c>
      <c r="O73">
        <f>Scenario_Data!T73</f>
        <v>-24.479999999999997</v>
      </c>
      <c r="P73">
        <f>2*(Scenario_Data!B73*1000)/Inputs!$C$21*1000000</f>
        <v>2672.9548746686619</v>
      </c>
      <c r="Q73">
        <f>Scenario_Data!U73</f>
        <v>-163.19999999999996</v>
      </c>
      <c r="R73">
        <f>2*(Scenario_Data!C73*1000)/Inputs!$C$21*1000000</f>
        <v>638.83768550308218</v>
      </c>
      <c r="S73">
        <f>Scenario_Data!V73</f>
        <v>-326.39999999999992</v>
      </c>
      <c r="T73">
        <f>2*(Scenario_Data!D73*1000)/Inputs!$C$21*1000000</f>
        <v>1305.154648019864</v>
      </c>
      <c r="U73">
        <f>Scenario_Data!W73</f>
        <v>-326.39999999999992</v>
      </c>
      <c r="V73">
        <f>2*(Scenario_Data!E73*1000)/Inputs!$C$21*1000000</f>
        <v>1249.5471116888466</v>
      </c>
      <c r="X73">
        <f>Scenario_Data!T73</f>
        <v>-24.479999999999997</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2673.7029376385944</v>
      </c>
      <c r="Z73">
        <f>Scenario_Data!U73</f>
        <v>-163.19999999999996</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638.70335285133183</v>
      </c>
      <c r="AB73">
        <f>Scenario_Data!V73</f>
        <v>-326.39999999999992</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1304.9764199784206</v>
      </c>
      <c r="AD73">
        <f>Scenario_Data!W73</f>
        <v>-326.39999999999992</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1249.3688836474032</v>
      </c>
      <c r="AG73">
        <f>Scenario_Data!T73</f>
        <v>-24.479999999999997</v>
      </c>
      <c r="AH73">
        <f>2*(SQRT((Inputs!$C$52+(Scenario_Data!B73))^2+Inputs!$C$52^2-2*(Inputs!$C$52+(Scenario_Data!B73))*Inputs!$C$52*COS(SQRT((Scenario_Data!T73)^2+Inputs!$C$6^2)/Inputs!$C$52))*1000)/Inputs!$C$21*1000000</f>
        <v>2685.7325784389564</v>
      </c>
      <c r="AI73">
        <f>Scenario_Data!U73</f>
        <v>-163.19999999999996</v>
      </c>
      <c r="AJ73">
        <f>2*(SQRT((Inputs!$C$52+(Scenario_Data!C73))^2+Inputs!$C$52^2-2*(Inputs!$C$52+(Scenario_Data!C73))*Inputs!$C$52*COS(SQRT((Scenario_Data!U73)^2+Inputs!$C$6^2)/Inputs!$C$52))*1000)/Inputs!$C$21*1000000</f>
        <v>1301.7473946103885</v>
      </c>
      <c r="AK73">
        <f>Scenario_Data!V73</f>
        <v>-326.39999999999992</v>
      </c>
      <c r="AL73">
        <f>2*(SQRT((Inputs!$C$52+(Scenario_Data!D73))^2+Inputs!$C$52^2-2*(Inputs!$C$52+(Scenario_Data!D73))*Inputs!$C$52*COS(SQRT((Scenario_Data!V73)^2+Inputs!$C$6^2)/Inputs!$C$52))*1000)/Inputs!$C$21*1000000</f>
        <v>2655.3615925812765</v>
      </c>
      <c r="AM73">
        <f>Scenario_Data!W73</f>
        <v>-326.39999999999992</v>
      </c>
      <c r="AN73">
        <f>2*(SQRT((Inputs!$C$52+(Scenario_Data!E73))^2+Inputs!$C$52^2-2*(Inputs!$C$52+(Scenario_Data!E73))*Inputs!$C$52*COS(SQRT((Scenario_Data!W73)^2+Inputs!$C$6^2)/Inputs!$C$52))*1000)/Inputs!$C$21*1000000</f>
        <v>2623.643900129246</v>
      </c>
      <c r="AP73">
        <f>Scenario_Data!T73</f>
        <v>-24.479999999999997</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2684.0091118985915</v>
      </c>
      <c r="AR73">
        <f>Scenario_Data!U73</f>
        <v>-163.19999999999996</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1301.4430776136699</v>
      </c>
      <c r="AT73">
        <f>Scenario_Data!V73</f>
        <v>-326.39999999999992</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2655.1337085230689</v>
      </c>
      <c r="AV73">
        <f>Scenario_Data!W73</f>
        <v>-326.39999999999992</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2623.425230126642</v>
      </c>
    </row>
    <row r="74" spans="1:49">
      <c r="A74">
        <f>Chart_Data!K74</f>
        <v>-24</v>
      </c>
      <c r="B74">
        <f>Chart_Data!N74-Chart_Data!L74</f>
        <v>109.9110637934084</v>
      </c>
      <c r="D74">
        <f>Chart_Data!G74</f>
        <v>-24</v>
      </c>
      <c r="E74">
        <f>Chart_Data!H74</f>
        <v>268.57917598156757</v>
      </c>
      <c r="F74">
        <f>Chart_Data!I74</f>
        <v>268.57917598156757</v>
      </c>
      <c r="G74">
        <f>Chart_Data!J74</f>
        <v>-111.48853690711687</v>
      </c>
      <c r="I74">
        <f>Scenario_Data!A74</f>
        <v>-0.4</v>
      </c>
      <c r="J74">
        <f>Scenario_Data!H74-(((SQRT((Inputs!$C$52+(Inputs!$H$6))^2+Inputs!$C$52^2-2*(Inputs!$C$52+(Inputs!$H$6))*Inputs!$C$52*COS(SQRT((Scenario_Data!T74)^2+Inputs!$C$6^2)/Inputs!$C$52)))-(Inputs!$H$6))*1000/Inputs!$C$12)</f>
        <v>-1.3369812749583616</v>
      </c>
      <c r="K74">
        <f>Scenario_Data!I74-(((SQRT((Inputs!$C$52+(Inputs!$H$7))^2+Inputs!$C$52^2-2*(Inputs!$C$52+(Inputs!$H$7))*Inputs!$C$52*COS(SQRT((Scenario_Data!U74)^2+Inputs!$C$6^2)/Inputs!$C$52)))-(Inputs!$H$7))*1000/Inputs!$C$12)</f>
        <v>-19518.319974547761</v>
      </c>
      <c r="L74">
        <f>Scenario_Data!J74-(((SQRT((Inputs!$C$52+(Inputs!$H$8))^2+Inputs!$C$52^2-2*(Inputs!$C$52+(Inputs!$H$8))*Inputs!$C$52*COS(SQRT((Scenario_Data!V74)^2+Inputs!$C$6^2)/Inputs!$C$52)))-(Inputs!$H$8))*1000/Inputs!$C$12)</f>
        <v>-51511.044325088587</v>
      </c>
      <c r="M74">
        <f>Scenario_Data!K74-(((SQRT((Inputs!$C$52+(Inputs!$H$9))^2+Inputs!$C$52^2-2*(Inputs!$C$52+(Inputs!$H$9))*Inputs!$C$52*COS(SQRT((Scenario_Data!W74)^2+Inputs!$C$6^2)/Inputs!$C$52)))-(Inputs!$H$9))*1000/Inputs!$C$12)</f>
        <v>-53987.343983635947</v>
      </c>
      <c r="O74">
        <f>Scenario_Data!T74</f>
        <v>-24</v>
      </c>
      <c r="P74">
        <f>2*(Scenario_Data!B74*1000)/Inputs!$C$21*1000000</f>
        <v>2672.7823820037529</v>
      </c>
      <c r="Q74">
        <f>Scenario_Data!U74</f>
        <v>-160</v>
      </c>
      <c r="R74">
        <f>2*(Scenario_Data!C74*1000)/Inputs!$C$21*1000000</f>
        <v>623.09772983014795</v>
      </c>
      <c r="S74">
        <f>Scenario_Data!V74</f>
        <v>-320</v>
      </c>
      <c r="T74">
        <f>2*(Scenario_Data!D74*1000)/Inputs!$C$21*1000000</f>
        <v>1263.5407926106002</v>
      </c>
      <c r="U74">
        <f>Scenario_Data!W74</f>
        <v>-320</v>
      </c>
      <c r="V74">
        <f>2*(Scenario_Data!E74*1000)/Inputs!$C$21*1000000</f>
        <v>1207.5020246173106</v>
      </c>
      <c r="X74">
        <f>Scenario_Data!T74</f>
        <v>-24</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2673.5261534625206</v>
      </c>
      <c r="Z74">
        <f>Scenario_Data!U74</f>
        <v>-160</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622.95581929458547</v>
      </c>
      <c r="AB74">
        <f>Scenario_Data!V74</f>
        <v>-320</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1262.9447905211184</v>
      </c>
      <c r="AD74">
        <f>Scenario_Data!W74</f>
        <v>-320</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1206.9060225278288</v>
      </c>
      <c r="AG74">
        <f>Scenario_Data!T74</f>
        <v>-24</v>
      </c>
      <c r="AH74">
        <f>2*(SQRT((Inputs!$C$52+(Scenario_Data!B74))^2+Inputs!$C$52^2-2*(Inputs!$C$52+(Scenario_Data!B74))*Inputs!$C$52*COS(SQRT((Scenario_Data!T74)^2+Inputs!$C$6^2)/Inputs!$C$52))*1000)/Inputs!$C$21*1000000</f>
        <v>2685.318429856306</v>
      </c>
      <c r="AI74">
        <f>Scenario_Data!U74</f>
        <v>-160</v>
      </c>
      <c r="AJ74">
        <f>2*(SQRT((Inputs!$C$52+(Scenario_Data!C74))^2+Inputs!$C$52^2-2*(Inputs!$C$52+(Scenario_Data!C74))*Inputs!$C$52*COS(SQRT((Scenario_Data!U74)^2+Inputs!$C$6^2)/Inputs!$C$52))*1000)/Inputs!$C$21*1000000</f>
        <v>1274.4238323326915</v>
      </c>
      <c r="AK74">
        <f>Scenario_Data!V74</f>
        <v>-320</v>
      </c>
      <c r="AL74">
        <f>2*(SQRT((Inputs!$C$52+(Scenario_Data!D74))^2+Inputs!$C$52^2-2*(Inputs!$C$52+(Scenario_Data!D74))*Inputs!$C$52*COS(SQRT((Scenario_Data!V74)^2+Inputs!$C$6^2)/Inputs!$C$52))*1000)/Inputs!$C$21*1000000</f>
        <v>2592.3117154336151</v>
      </c>
      <c r="AM74">
        <f>Scenario_Data!W74</f>
        <v>-320</v>
      </c>
      <c r="AN74">
        <f>2*(SQRT((Inputs!$C$52+(Scenario_Data!E74))^2+Inputs!$C$52^2-2*(Inputs!$C$52+(Scenario_Data!E74))*Inputs!$C$52*COS(SQRT((Scenario_Data!W74)^2+Inputs!$C$6^2)/Inputs!$C$52))*1000)/Inputs!$C$21*1000000</f>
        <v>2560.6670284536167</v>
      </c>
      <c r="AP74">
        <f>Scenario_Data!T74</f>
        <v>-24</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2683.537186227637</v>
      </c>
      <c r="AR74">
        <f>Scenario_Data!U74</f>
        <v>-160</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1274.0147754263153</v>
      </c>
      <c r="AT74">
        <f>Scenario_Data!V74</f>
        <v>-320</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2591.7076432416902</v>
      </c>
      <c r="AV74">
        <f>Scenario_Data!W74</f>
        <v>-320</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2560.0884884495222</v>
      </c>
    </row>
    <row r="75" spans="1:49">
      <c r="A75">
        <f>Chart_Data!K75</f>
        <v>-23.5</v>
      </c>
      <c r="B75">
        <f>Chart_Data!N75-Chart_Data!L75</f>
        <v>124.07412737469122</v>
      </c>
      <c r="D75">
        <f>Chart_Data!G75</f>
        <v>-23.5</v>
      </c>
      <c r="E75">
        <f>Chart_Data!H75</f>
        <v>273.93459884711217</v>
      </c>
      <c r="F75">
        <f>Chart_Data!I75</f>
        <v>273.93459884711217</v>
      </c>
      <c r="G75">
        <f>Chart_Data!J75</f>
        <v>-125.65162794647964</v>
      </c>
      <c r="I75">
        <f>Scenario_Data!A75</f>
        <v>-0.39200000000000002</v>
      </c>
      <c r="J75">
        <f>Scenario_Data!H75-(((SQRT((Inputs!$C$52+(Inputs!$H$6))^2+Inputs!$C$52^2-2*(Inputs!$C$52+(Inputs!$H$6))*Inputs!$C$52*COS(SQRT((Scenario_Data!T75)^2+Inputs!$C$6^2)/Inputs!$C$52)))-(Inputs!$H$6))*1000/Inputs!$C$12)</f>
        <v>-1.2599122492363222</v>
      </c>
      <c r="K75">
        <f>Scenario_Data!I75-(((SQRT((Inputs!$C$52+(Inputs!$H$7))^2+Inputs!$C$52^2-2*(Inputs!$C$52+(Inputs!$H$7))*Inputs!$C$52*COS(SQRT((Scenario_Data!U75)^2+Inputs!$C$6^2)/Inputs!$C$52)))-(Inputs!$H$7))*1000/Inputs!$C$12)</f>
        <v>-18749.923928481905</v>
      </c>
      <c r="L75">
        <f>Scenario_Data!J75-(((SQRT((Inputs!$C$52+(Inputs!$H$8))^2+Inputs!$C$52^2-2*(Inputs!$C$52+(Inputs!$H$8))*Inputs!$C$52*COS(SQRT((Scenario_Data!V75)^2+Inputs!$C$6^2)/Inputs!$C$52)))-(Inputs!$H$8))*1000/Inputs!$C$12)</f>
        <v>-49745.975650615117</v>
      </c>
      <c r="M75">
        <f>Scenario_Data!K75-(((SQRT((Inputs!$C$52+(Inputs!$H$9))^2+Inputs!$C$52^2-2*(Inputs!$C$52+(Inputs!$H$9))*Inputs!$C$52*COS(SQRT((Scenario_Data!W75)^2+Inputs!$C$6^2)/Inputs!$C$52)))-(Inputs!$H$9))*1000/Inputs!$C$12)</f>
        <v>-52180.525354744386</v>
      </c>
      <c r="O75">
        <f>Scenario_Data!T75</f>
        <v>-23.520000000000003</v>
      </c>
      <c r="P75">
        <f>2*(Scenario_Data!B75*1000)/Inputs!$C$21*1000000</f>
        <v>2672.6133050351787</v>
      </c>
      <c r="Q75">
        <f>Scenario_Data!U75</f>
        <v>-156.80000000000001</v>
      </c>
      <c r="R75">
        <f>2*(Scenario_Data!C75*1000)/Inputs!$C$21*1000000</f>
        <v>607.66945644776706</v>
      </c>
      <c r="S75">
        <f>Scenario_Data!V75</f>
        <v>-313.60000000000002</v>
      </c>
      <c r="T75">
        <f>2*(Scenario_Data!D75*1000)/Inputs!$C$21*1000000</f>
        <v>1222.750973942113</v>
      </c>
      <c r="U75">
        <f>Scenario_Data!W75</f>
        <v>-313.60000000000002</v>
      </c>
      <c r="V75">
        <f>2*(Scenario_Data!E75*1000)/Inputs!$C$21*1000000</f>
        <v>1166.2895135273884</v>
      </c>
      <c r="X75">
        <f>Scenario_Data!T75</f>
        <v>-23.520000000000003</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2673.5228751299887</v>
      </c>
      <c r="Z75">
        <f>Scenario_Data!U75</f>
        <v>-156.80000000000001</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607.69841650728927</v>
      </c>
      <c r="AB75">
        <f>Scenario_Data!V75</f>
        <v>-313.60000000000002</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1222.5976275941218</v>
      </c>
      <c r="AD75">
        <f>Scenario_Data!W75</f>
        <v>-313.60000000000002</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1166.1361671793973</v>
      </c>
      <c r="AG75">
        <f>Scenario_Data!T75</f>
        <v>-23.520000000000003</v>
      </c>
      <c r="AH75">
        <f>2*(SQRT((Inputs!$C$52+(Scenario_Data!B75))^2+Inputs!$C$52^2-2*(Inputs!$C$52+(Scenario_Data!B75))*Inputs!$C$52*COS(SQRT((Scenario_Data!T75)^2+Inputs!$C$6^2)/Inputs!$C$52))*1000)/Inputs!$C$21*1000000</f>
        <v>2684.9124368195003</v>
      </c>
      <c r="AI75">
        <f>Scenario_Data!U75</f>
        <v>-156.80000000000001</v>
      </c>
      <c r="AJ75">
        <f>2*(SQRT((Inputs!$C$52+(Scenario_Data!C75))^2+Inputs!$C$52^2-2*(Inputs!$C$52+(Scenario_Data!C75))*Inputs!$C$52*COS(SQRT((Scenario_Data!U75)^2+Inputs!$C$6^2)/Inputs!$C$52))*1000)/Inputs!$C$21*1000000</f>
        <v>1247.305949695761</v>
      </c>
      <c r="AK75">
        <f>Scenario_Data!V75</f>
        <v>-313.60000000000002</v>
      </c>
      <c r="AL75">
        <f>2*(SQRT((Inputs!$C$52+(Scenario_Data!D75))^2+Inputs!$C$52^2-2*(Inputs!$C$52+(Scenario_Data!D75))*Inputs!$C$52*COS(SQRT((Scenario_Data!V75)^2+Inputs!$C$6^2)/Inputs!$C$52))*1000)/Inputs!$C$21*1000000</f>
        <v>2529.9188951271449</v>
      </c>
      <c r="AM75">
        <f>Scenario_Data!W75</f>
        <v>-313.60000000000002</v>
      </c>
      <c r="AN75">
        <f>2*(SQRT((Inputs!$C$52+(Scenario_Data!E75))^2+Inputs!$C$52^2-2*(Inputs!$C$52+(Scenario_Data!E75))*Inputs!$C$52*COS(SQRT((Scenario_Data!W75)^2+Inputs!$C$6^2)/Inputs!$C$52))*1000)/Inputs!$C$21*1000000</f>
        <v>2498.3588768603126</v>
      </c>
      <c r="AP75">
        <f>Scenario_Data!T75</f>
        <v>-23.520000000000003</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2682.9593998812611</v>
      </c>
      <c r="AR75">
        <f>Scenario_Data!U75</f>
        <v>-156.80000000000001</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1246.7289435174778</v>
      </c>
      <c r="AT75">
        <f>Scenario_Data!V75</f>
        <v>-313.60000000000002</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2529.6567125397137</v>
      </c>
      <c r="AV75">
        <f>Scenario_Data!W75</f>
        <v>-313.60000000000002</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2498.1082649566547</v>
      </c>
    </row>
    <row r="76" spans="1:49">
      <c r="A76">
        <f>Chart_Data!K76</f>
        <v>-23</v>
      </c>
      <c r="B76">
        <f>Chart_Data!N76-Chart_Data!L76</f>
        <v>130.9673287407926</v>
      </c>
      <c r="D76">
        <f>Chart_Data!G76</f>
        <v>-23</v>
      </c>
      <c r="E76">
        <f>Chart_Data!H76</f>
        <v>279.55588840772998</v>
      </c>
      <c r="F76">
        <f>Chart_Data!I76</f>
        <v>279.55588840772998</v>
      </c>
      <c r="G76">
        <f>Chart_Data!J76</f>
        <v>-132.54578984267809</v>
      </c>
      <c r="I76">
        <f>Scenario_Data!A76</f>
        <v>-0.38300000000000001</v>
      </c>
      <c r="J76">
        <f>Scenario_Data!H76-(((SQRT((Inputs!$C$52+(Inputs!$H$6))^2+Inputs!$C$52^2-2*(Inputs!$C$52+(Inputs!$H$6))*Inputs!$C$52*COS(SQRT((Scenario_Data!T76)^2+Inputs!$C$6^2)/Inputs!$C$52)))-(Inputs!$H$6))*1000/Inputs!$C$12)</f>
        <v>-1.1773600760669751</v>
      </c>
      <c r="K76">
        <f>Scenario_Data!I76-(((SQRT((Inputs!$C$52+(Inputs!$H$7))^2+Inputs!$C$52^2-2*(Inputs!$C$52+(Inputs!$H$7))*Inputs!$C$52*COS(SQRT((Scenario_Data!U76)^2+Inputs!$C$6^2)/Inputs!$C$52)))-(Inputs!$H$7))*1000/Inputs!$C$12)</f>
        <v>-17899.13841594477</v>
      </c>
      <c r="L76">
        <f>Scenario_Data!J76-(((SQRT((Inputs!$C$52+(Inputs!$H$8))^2+Inputs!$C$52^2-2*(Inputs!$C$52+(Inputs!$H$8))*Inputs!$C$52*COS(SQRT((Scenario_Data!V76)^2+Inputs!$C$6^2)/Inputs!$C$52)))-(Inputs!$H$8))*1000/Inputs!$C$12)</f>
        <v>-47778.57575572333</v>
      </c>
      <c r="M76">
        <f>Scenario_Data!K76-(((SQRT((Inputs!$C$52+(Inputs!$H$9))^2+Inputs!$C$52^2-2*(Inputs!$C$52+(Inputs!$H$9))*Inputs!$C$52*COS(SQRT((Scenario_Data!W76)^2+Inputs!$C$6^2)/Inputs!$C$52)))-(Inputs!$H$9))*1000/Inputs!$C$12)</f>
        <v>-50165.371473339706</v>
      </c>
      <c r="O76">
        <f>Scenario_Data!T76</f>
        <v>-22.980000000000004</v>
      </c>
      <c r="P76">
        <f>2*(Scenario_Data!B76*1000)/Inputs!$C$21*1000000</f>
        <v>2672.4271762700582</v>
      </c>
      <c r="Q76">
        <f>Scenario_Data!U76</f>
        <v>-153.19999999999999</v>
      </c>
      <c r="R76">
        <f>2*(Scenario_Data!C76*1000)/Inputs!$C$21*1000000</f>
        <v>590.68520663051504</v>
      </c>
      <c r="S76">
        <f>Scenario_Data!V76</f>
        <v>-306.39999999999998</v>
      </c>
      <c r="T76">
        <f>2*(Scenario_Data!D76*1000)/Inputs!$C$21*1000000</f>
        <v>1177.8474093567754</v>
      </c>
      <c r="U76">
        <f>Scenario_Data!W76</f>
        <v>-306.39999999999998</v>
      </c>
      <c r="V76">
        <f>2*(Scenario_Data!E76*1000)/Inputs!$C$21*1000000</f>
        <v>1120.9206270292493</v>
      </c>
      <c r="X76">
        <f>Scenario_Data!T76</f>
        <v>-22.980000000000004</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2673.2921080293481</v>
      </c>
      <c r="Z76">
        <f>Scenario_Data!U76</f>
        <v>-153.19999999999999</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590.66197110767814</v>
      </c>
      <c r="AB76">
        <f>Scenario_Data!V76</f>
        <v>-306.39999999999998</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1177.5797561447957</v>
      </c>
      <c r="AD76">
        <f>Scenario_Data!W76</f>
        <v>-306.39999999999998</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1120.6529738172696</v>
      </c>
      <c r="AG76">
        <f>Scenario_Data!T76</f>
        <v>-22.980000000000004</v>
      </c>
      <c r="AH76">
        <f>2*(SQRT((Inputs!$C$52+(Scenario_Data!B76))^2+Inputs!$C$52^2-2*(Inputs!$C$52+(Scenario_Data!B76))*Inputs!$C$52*COS(SQRT((Scenario_Data!T76)^2+Inputs!$C$6^2)/Inputs!$C$52))*1000)/Inputs!$C$21*1000000</f>
        <v>2684.4654464452342</v>
      </c>
      <c r="AI76">
        <f>Scenario_Data!U76</f>
        <v>-153.19999999999999</v>
      </c>
      <c r="AJ76">
        <f>2*(SQRT((Inputs!$C$52+(Scenario_Data!C76))^2+Inputs!$C$52^2-2*(Inputs!$C$52+(Scenario_Data!C76))*Inputs!$C$52*COS(SQRT((Scenario_Data!U76)^2+Inputs!$C$6^2)/Inputs!$C$52))*1000)/Inputs!$C$21*1000000</f>
        <v>1217.0425226665805</v>
      </c>
      <c r="AK76">
        <f>Scenario_Data!V76</f>
        <v>-306.39999999999998</v>
      </c>
      <c r="AL76">
        <f>2*(SQRT((Inputs!$C$52+(Scenario_Data!D76))^2+Inputs!$C$52^2-2*(Inputs!$C$52+(Scenario_Data!D76))*Inputs!$C$52*COS(SQRT((Scenario_Data!V76)^2+Inputs!$C$6^2)/Inputs!$C$52))*1000)/Inputs!$C$21*1000000</f>
        <v>2460.5030623996822</v>
      </c>
      <c r="AM76">
        <f>Scenario_Data!W76</f>
        <v>-306.39999999999998</v>
      </c>
      <c r="AN76">
        <f>2*(SQRT((Inputs!$C$52+(Scenario_Data!E76))^2+Inputs!$C$52^2-2*(Inputs!$C$52+(Scenario_Data!E76))*Inputs!$C$52*COS(SQRT((Scenario_Data!W76)^2+Inputs!$C$6^2)/Inputs!$C$52))*1000)/Inputs!$C$21*1000000</f>
        <v>2429.0518438601966</v>
      </c>
      <c r="AP76">
        <f>Scenario_Data!T76</f>
        <v>-22.980000000000004</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2682.5936759748174</v>
      </c>
      <c r="AR76">
        <f>Scenario_Data!U76</f>
        <v>-153.19999999999999</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1216.5900679551614</v>
      </c>
      <c r="AT76">
        <f>Scenario_Data!V76</f>
        <v>-306.39999999999998</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2460.1080312741733</v>
      </c>
      <c r="AV76">
        <f>Scenario_Data!W76</f>
        <v>-306.39999999999998</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2428.6751332041599</v>
      </c>
    </row>
    <row r="77" spans="1:49">
      <c r="A77">
        <f>Chart_Data!K77</f>
        <v>-22.5</v>
      </c>
      <c r="B77">
        <f>Chart_Data!N77-Chart_Data!L77</f>
        <v>136.70768045990502</v>
      </c>
      <c r="D77">
        <f>Chart_Data!G77</f>
        <v>-22.5</v>
      </c>
      <c r="E77">
        <f>Chart_Data!H77</f>
        <v>286.69936407981004</v>
      </c>
      <c r="F77">
        <f>Chart_Data!I77</f>
        <v>286.69936407981004</v>
      </c>
      <c r="G77">
        <f>Chart_Data!J77</f>
        <v>-138.29494668428998</v>
      </c>
      <c r="I77">
        <f>Scenario_Data!A77</f>
        <v>-0.375</v>
      </c>
      <c r="J77">
        <f>Scenario_Data!H77-(((SQRT((Inputs!$C$52+(Inputs!$H$6))^2+Inputs!$C$52^2-2*(Inputs!$C$52+(Inputs!$H$6))*Inputs!$C$52*COS(SQRT((Scenario_Data!T77)^2+Inputs!$C$6^2)/Inputs!$C$52)))-(Inputs!$H$6))*1000/Inputs!$C$12)</f>
        <v>-1.1075409744717035</v>
      </c>
      <c r="K77">
        <f>Scenario_Data!I77-(((SQRT((Inputs!$C$52+(Inputs!$H$7))^2+Inputs!$C$52^2-2*(Inputs!$C$52+(Inputs!$H$7))*Inputs!$C$52*COS(SQRT((Scenario_Data!U77)^2+Inputs!$C$6^2)/Inputs!$C$52)))-(Inputs!$H$7))*1000/Inputs!$C$12)</f>
        <v>-17155.307880334622</v>
      </c>
      <c r="L77">
        <f>Scenario_Data!J77-(((SQRT((Inputs!$C$52+(Inputs!$H$8))^2+Inputs!$C$52^2-2*(Inputs!$C$52+(Inputs!$H$8))*Inputs!$C$52*COS(SQRT((Scenario_Data!V77)^2+Inputs!$C$6^2)/Inputs!$C$52)))-(Inputs!$H$8))*1000/Inputs!$C$12)</f>
        <v>-46046.862259196627</v>
      </c>
      <c r="M77">
        <f>Scenario_Data!K77-(((SQRT((Inputs!$C$52+(Inputs!$H$9))^2+Inputs!$C$52^2-2*(Inputs!$C$52+(Inputs!$H$9))*Inputs!$C$52*COS(SQRT((Scenario_Data!W77)^2+Inputs!$C$6^2)/Inputs!$C$52)))-(Inputs!$H$9))*1000/Inputs!$C$12)</f>
        <v>-48390.515274855643</v>
      </c>
      <c r="O77">
        <f>Scenario_Data!T77</f>
        <v>-22.5</v>
      </c>
      <c r="P77">
        <f>2*(Scenario_Data!B77*1000)/Inputs!$C$21*1000000</f>
        <v>2672.2653576561956</v>
      </c>
      <c r="Q77">
        <f>Scenario_Data!U77</f>
        <v>-150</v>
      </c>
      <c r="R77">
        <f>2*(Scenario_Data!C77*1000)/Inputs!$C$21*1000000</f>
        <v>575.91925811555939</v>
      </c>
      <c r="S77">
        <f>Scenario_Data!V77</f>
        <v>-300</v>
      </c>
      <c r="T77">
        <f>2*(Scenario_Data!D77*1000)/Inputs!$C$21*1000000</f>
        <v>1138.8086687624409</v>
      </c>
      <c r="U77">
        <f>Scenario_Data!W77</f>
        <v>-300</v>
      </c>
      <c r="V77">
        <f>2*(Scenario_Data!E77*1000)/Inputs!$C$21*1000000</f>
        <v>1081.4773399002586</v>
      </c>
      <c r="X77">
        <f>Scenario_Data!T77</f>
        <v>-22.5</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2673.18796223142</v>
      </c>
      <c r="Z77">
        <f>Scenario_Data!U77</f>
        <v>-150</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576.22258813122494</v>
      </c>
      <c r="AB77">
        <f>Scenario_Data!V77</f>
        <v>-300</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1138.4256657523622</v>
      </c>
      <c r="AD77">
        <f>Scenario_Data!W77</f>
        <v>-300</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1081.0943368901799</v>
      </c>
      <c r="AG77">
        <f>Scenario_Data!T77</f>
        <v>-22.5</v>
      </c>
      <c r="AH77">
        <f>2*(SQRT((Inputs!$C$52+(Scenario_Data!B77))^2+Inputs!$C$52^2-2*(Inputs!$C$52+(Scenario_Data!B77))*Inputs!$C$52*COS(SQRT((Scenario_Data!T77)^2+Inputs!$C$6^2)/Inputs!$C$52))*1000)/Inputs!$C$21*1000000</f>
        <v>2684.0767928598584</v>
      </c>
      <c r="AI77">
        <f>Scenario_Data!U77</f>
        <v>-150</v>
      </c>
      <c r="AJ77">
        <f>2*(SQRT((Inputs!$C$52+(Scenario_Data!C77))^2+Inputs!$C$52^2-2*(Inputs!$C$52+(Scenario_Data!C77))*Inputs!$C$52*COS(SQRT((Scenario_Data!U77)^2+Inputs!$C$6^2)/Inputs!$C$52))*1000)/Inputs!$C$21*1000000</f>
        <v>1190.3573781400514</v>
      </c>
      <c r="AK77">
        <f>Scenario_Data!V77</f>
        <v>-300</v>
      </c>
      <c r="AL77">
        <f>2*(SQRT((Inputs!$C$52+(Scenario_Data!D77))^2+Inputs!$C$52^2-2*(Inputs!$C$52+(Scenario_Data!D77))*Inputs!$C$52*COS(SQRT((Scenario_Data!V77)^2+Inputs!$C$6^2)/Inputs!$C$52))*1000)/Inputs!$C$21*1000000</f>
        <v>2399.4815554213374</v>
      </c>
      <c r="AM77">
        <f>Scenario_Data!W77</f>
        <v>-300</v>
      </c>
      <c r="AN77">
        <f>2*(SQRT((Inputs!$C$52+(Scenario_Data!E77))^2+Inputs!$C$52^2-2*(Inputs!$C$52+(Scenario_Data!E77))*Inputs!$C$52*COS(SQRT((Scenario_Data!W77)^2+Inputs!$C$6^2)/Inputs!$C$52))*1000)/Inputs!$C$21*1000000</f>
        <v>2368.1387047809635</v>
      </c>
      <c r="AP77">
        <f>Scenario_Data!T77</f>
        <v>-22.5</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2682.1747296808348</v>
      </c>
      <c r="AR77">
        <f>Scenario_Data!U77</f>
        <v>-150</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1190.1745889310876</v>
      </c>
      <c r="AT77">
        <f>Scenario_Data!V77</f>
        <v>-300</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2399.0378578441891</v>
      </c>
      <c r="AV77">
        <f>Scenario_Data!W77</f>
        <v>-300</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2367.7165122313922</v>
      </c>
    </row>
    <row r="78" spans="1:49">
      <c r="A78">
        <f>Chart_Data!K78</f>
        <v>-22</v>
      </c>
      <c r="B78">
        <f>Chart_Data!N78-Chart_Data!L78</f>
        <v>142.38034814799482</v>
      </c>
      <c r="D78">
        <f>Chart_Data!G78</f>
        <v>-22</v>
      </c>
      <c r="E78">
        <f>Chart_Data!H78</f>
        <v>316.60820817766938</v>
      </c>
      <c r="F78">
        <f>Chart_Data!I78</f>
        <v>316.60820817766938</v>
      </c>
      <c r="G78">
        <f>Chart_Data!J78</f>
        <v>-144.0992283446906</v>
      </c>
      <c r="I78">
        <f>Scenario_Data!A78</f>
        <v>-0.36699999999999999</v>
      </c>
      <c r="J78">
        <f>Scenario_Data!H78-(((SQRT((Inputs!$C$52+(Inputs!$H$6))^2+Inputs!$C$52^2-2*(Inputs!$C$52+(Inputs!$H$6))*Inputs!$C$52*COS(SQRT((Scenario_Data!T78)^2+Inputs!$C$6^2)/Inputs!$C$52)))-(Inputs!$H$6))*1000/Inputs!$C$12)</f>
        <v>-1.0409543459660426</v>
      </c>
      <c r="K78">
        <f>Scenario_Data!I78-(((SQRT((Inputs!$C$52+(Inputs!$H$7))^2+Inputs!$C$52^2-2*(Inputs!$C$52+(Inputs!$H$7))*Inputs!$C$52*COS(SQRT((Scenario_Data!U78)^2+Inputs!$C$6^2)/Inputs!$C$52)))-(Inputs!$H$7))*1000/Inputs!$C$12)</f>
        <v>-16423.437974026107</v>
      </c>
      <c r="L78">
        <f>Scenario_Data!J78-(((SQRT((Inputs!$C$52+(Inputs!$H$8))^2+Inputs!$C$52^2-2*(Inputs!$C$52+(Inputs!$H$8))*Inputs!$C$52*COS(SQRT((Scenario_Data!V78)^2+Inputs!$C$6^2)/Inputs!$C$52)))-(Inputs!$H$8))*1000/Inputs!$C$12)</f>
        <v>-44332.017687418411</v>
      </c>
      <c r="M78">
        <f>Scenario_Data!K78-(((SQRT((Inputs!$C$52+(Inputs!$H$9))^2+Inputs!$C$52^2-2*(Inputs!$C$52+(Inputs!$H$9))*Inputs!$C$52*COS(SQRT((Scenario_Data!W78)^2+Inputs!$C$6^2)/Inputs!$C$52)))-(Inputs!$H$9))*1000/Inputs!$C$12)</f>
        <v>-46631.877946633278</v>
      </c>
      <c r="O78">
        <f>Scenario_Data!T78</f>
        <v>-22.019999999999996</v>
      </c>
      <c r="P78">
        <f>2*(Scenario_Data!B78*1000)/Inputs!$C$21*1000000</f>
        <v>2672.1069547386678</v>
      </c>
      <c r="Q78">
        <f>Scenario_Data!U78</f>
        <v>-146.80000000000001</v>
      </c>
      <c r="R78">
        <f>2*(Scenario_Data!C78*1000)/Inputs!$C$21*1000000</f>
        <v>561.46499189115696</v>
      </c>
      <c r="S78">
        <f>Scenario_Data!V78</f>
        <v>-293.60000000000002</v>
      </c>
      <c r="T78">
        <f>2*(Scenario_Data!D78*1000)/Inputs!$C$21*1000000</f>
        <v>1100.5939649088839</v>
      </c>
      <c r="U78">
        <f>Scenario_Data!W78</f>
        <v>-293.60000000000002</v>
      </c>
      <c r="V78">
        <f>2*(Scenario_Data!E78*1000)/Inputs!$C$21*1000000</f>
        <v>1042.8666287528822</v>
      </c>
      <c r="X78">
        <f>Scenario_Data!T78</f>
        <v>-22.019999999999996</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2673.1305400369843</v>
      </c>
      <c r="Z78">
        <f>Scenario_Data!U78</f>
        <v>-146.80000000000001</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561.82224623232139</v>
      </c>
      <c r="AB78">
        <f>Scenario_Data!V78</f>
        <v>-293.60000000000002</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1100.589696399725</v>
      </c>
      <c r="AD78">
        <f>Scenario_Data!W78</f>
        <v>-293.60000000000002</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1042.8623602437233</v>
      </c>
      <c r="AG78">
        <f>Scenario_Data!T78</f>
        <v>-22.019999999999996</v>
      </c>
      <c r="AH78">
        <f>2*(SQRT((Inputs!$C$52+(Scenario_Data!B78))^2+Inputs!$C$52^2-2*(Inputs!$C$52+(Scenario_Data!B78))*Inputs!$C$52*COS(SQRT((Scenario_Data!T78)^2+Inputs!$C$6^2)/Inputs!$C$52))*1000)/Inputs!$C$21*1000000</f>
        <v>2683.6963030990701</v>
      </c>
      <c r="AI78">
        <f>Scenario_Data!U78</f>
        <v>-146.80000000000001</v>
      </c>
      <c r="AJ78">
        <f>2*(SQRT((Inputs!$C$52+(Scenario_Data!C78))^2+Inputs!$C$52^2-2*(Inputs!$C$52+(Scenario_Data!C78))*Inputs!$C$52*COS(SQRT((Scenario_Data!U78)^2+Inputs!$C$6^2)/Inputs!$C$52))*1000)/Inputs!$C$21*1000000</f>
        <v>1163.8740325347778</v>
      </c>
      <c r="AK78">
        <f>Scenario_Data!V78</f>
        <v>-293.60000000000002</v>
      </c>
      <c r="AL78">
        <f>2*(SQRT((Inputs!$C$52+(Scenario_Data!D78))^2+Inputs!$C$52^2-2*(Inputs!$C$52+(Scenario_Data!D78))*Inputs!$C$52*COS(SQRT((Scenario_Data!V78)^2+Inputs!$C$6^2)/Inputs!$C$52))*1000)/Inputs!$C$21*1000000</f>
        <v>2339.0933871403463</v>
      </c>
      <c r="AM78">
        <f>Scenario_Data!W78</f>
        <v>-293.60000000000002</v>
      </c>
      <c r="AN78">
        <f>2*(SQRT((Inputs!$C$52+(Scenario_Data!E78))^2+Inputs!$C$52^2-2*(Inputs!$C$52+(Scenario_Data!E78))*Inputs!$C$52*COS(SQRT((Scenario_Data!W78)^2+Inputs!$C$6^2)/Inputs!$C$52))*1000)/Inputs!$C$21*1000000</f>
        <v>2307.869477325939</v>
      </c>
      <c r="AP78">
        <f>Scenario_Data!T78</f>
        <v>-22.019999999999996</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2681.633377970777</v>
      </c>
      <c r="AR78">
        <f>Scenario_Data!U78</f>
        <v>-146.80000000000001</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1163.6467818706994</v>
      </c>
      <c r="AT78">
        <f>Scenario_Data!V78</f>
        <v>-293.60000000000002</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2338.8485456735179</v>
      </c>
      <c r="AV78">
        <f>Scenario_Data!W78</f>
        <v>-293.60000000000002</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2307.6370328025259</v>
      </c>
    </row>
    <row r="79" spans="1:49">
      <c r="A79">
        <f>Chart_Data!K79</f>
        <v>-21.5</v>
      </c>
      <c r="B79">
        <f>Chart_Data!N79-Chart_Data!L79</f>
        <v>155.16461387832436</v>
      </c>
      <c r="D79">
        <f>Chart_Data!G79</f>
        <v>-21.5</v>
      </c>
      <c r="E79">
        <f>Chart_Data!H79</f>
        <v>332.44947759769417</v>
      </c>
      <c r="F79">
        <f>Chart_Data!I79</f>
        <v>332.44947759769417</v>
      </c>
      <c r="G79">
        <f>Chart_Data!J79</f>
        <v>-156.9345481530768</v>
      </c>
      <c r="I79">
        <f>Scenario_Data!A79</f>
        <v>-0.35799999999999998</v>
      </c>
      <c r="J79">
        <f>Scenario_Data!H79-(((SQRT((Inputs!$C$52+(Inputs!$H$6))^2+Inputs!$C$52^2-2*(Inputs!$C$52+(Inputs!$H$6))*Inputs!$C$52*COS(SQRT((Scenario_Data!T79)^2+Inputs!$C$6^2)/Inputs!$C$52)))-(Inputs!$H$6))*1000/Inputs!$C$12)</f>
        <v>-0.96976937592569357</v>
      </c>
      <c r="K79">
        <f>Scenario_Data!I79-(((SQRT((Inputs!$C$52+(Inputs!$H$7))^2+Inputs!$C$52^2-2*(Inputs!$C$52+(Inputs!$H$7))*Inputs!$C$52*COS(SQRT((Scenario_Data!U79)^2+Inputs!$C$6^2)/Inputs!$C$52)))-(Inputs!$H$7))*1000/Inputs!$C$12)</f>
        <v>-15614.70610330964</v>
      </c>
      <c r="L79">
        <f>Scenario_Data!J79-(((SQRT((Inputs!$C$52+(Inputs!$H$8))^2+Inputs!$C$52^2-2*(Inputs!$C$52+(Inputs!$H$8))*Inputs!$C$52*COS(SQRT((Scenario_Data!V79)^2+Inputs!$C$6^2)/Inputs!$C$52)))-(Inputs!$H$8))*1000/Inputs!$C$12)</f>
        <v>-42423.945096951415</v>
      </c>
      <c r="M79">
        <f>Scenario_Data!K79-(((SQRT((Inputs!$C$52+(Inputs!$H$9))^2+Inputs!$C$52^2-2*(Inputs!$C$52+(Inputs!$H$9))*Inputs!$C$52*COS(SQRT((Scenario_Data!W79)^2+Inputs!$C$6^2)/Inputs!$C$52)))-(Inputs!$H$9))*1000/Inputs!$C$12)</f>
        <v>-44673.766867657614</v>
      </c>
      <c r="O79">
        <f>Scenario_Data!T79</f>
        <v>-21.479999999999997</v>
      </c>
      <c r="P79">
        <f>2*(Scenario_Data!B79*1000)/Inputs!$C$21*1000000</f>
        <v>2671.9328342809749</v>
      </c>
      <c r="Q79">
        <f>Scenario_Data!U79</f>
        <v>-143.19999999999999</v>
      </c>
      <c r="R79">
        <f>2*(Scenario_Data!C79*1000)/Inputs!$C$21*1000000</f>
        <v>545.576500126631</v>
      </c>
      <c r="S79">
        <f>Scenario_Data!V79</f>
        <v>-286.39999999999998</v>
      </c>
      <c r="T79">
        <f>2*(Scenario_Data!D79*1000)/Inputs!$C$21*1000000</f>
        <v>1058.5874044903424</v>
      </c>
      <c r="U79">
        <f>Scenario_Data!W79</f>
        <v>-286.39999999999998</v>
      </c>
      <c r="V79">
        <f>2*(Scenario_Data!E79*1000)/Inputs!$C$21*1000000</f>
        <v>1000.4247671901072</v>
      </c>
      <c r="X79">
        <f>Scenario_Data!T79</f>
        <v>-21.479999999999997</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2672.9477639052798</v>
      </c>
      <c r="Z79">
        <f>Scenario_Data!U79</f>
        <v>-143.19999999999999</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545.46838456100261</v>
      </c>
      <c r="AB79">
        <f>Scenario_Data!V79</f>
        <v>-286.39999999999998</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1058.3002345586074</v>
      </c>
      <c r="AD79">
        <f>Scenario_Data!W79</f>
        <v>-286.39999999999998</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1000.1375972583725</v>
      </c>
      <c r="AG79">
        <f>Scenario_Data!T79</f>
        <v>-21.479999999999997</v>
      </c>
      <c r="AH79">
        <f>2*(SQRT((Inputs!$C$52+(Scenario_Data!B79))^2+Inputs!$C$52^2-2*(Inputs!$C$52+(Scenario_Data!B79))*Inputs!$C$52*COS(SQRT((Scenario_Data!T79)^2+Inputs!$C$6^2)/Inputs!$C$52))*1000)/Inputs!$C$21*1000000</f>
        <v>2683.2780136005345</v>
      </c>
      <c r="AI79">
        <f>Scenario_Data!U79</f>
        <v>-143.19999999999999</v>
      </c>
      <c r="AJ79">
        <f>2*(SQRT((Inputs!$C$52+(Scenario_Data!C79))^2+Inputs!$C$52^2-2*(Inputs!$C$52+(Scenario_Data!C79))*Inputs!$C$52*COS(SQRT((Scenario_Data!U79)^2+Inputs!$C$6^2)/Inputs!$C$52))*1000)/Inputs!$C$21*1000000</f>
        <v>1134.3202022333339</v>
      </c>
      <c r="AK79">
        <f>Scenario_Data!V79</f>
        <v>-286.39999999999998</v>
      </c>
      <c r="AL79">
        <f>2*(SQRT((Inputs!$C$52+(Scenario_Data!D79))^2+Inputs!$C$52^2-2*(Inputs!$C$52+(Scenario_Data!D79))*Inputs!$C$52*COS(SQRT((Scenario_Data!V79)^2+Inputs!$C$6^2)/Inputs!$C$52))*1000)/Inputs!$C$21*1000000</f>
        <v>2271.9039940577863</v>
      </c>
      <c r="AM79">
        <f>Scenario_Data!W79</f>
        <v>-286.39999999999998</v>
      </c>
      <c r="AN79">
        <f>2*(SQRT((Inputs!$C$52+(Scenario_Data!E79))^2+Inputs!$C$52^2-2*(Inputs!$C$52+(Scenario_Data!E79))*Inputs!$C$52*COS(SQRT((Scenario_Data!W79)^2+Inputs!$C$6^2)/Inputs!$C$52))*1000)/Inputs!$C$21*1000000</f>
        <v>2240.8260060943512</v>
      </c>
      <c r="AP79">
        <f>Scenario_Data!T79</f>
        <v>-21.479999999999997</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2681.0742778958761</v>
      </c>
      <c r="AR79">
        <f>Scenario_Data!U79</f>
        <v>-143.19999999999999</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1133.8107705131229</v>
      </c>
      <c r="AT79">
        <f>Scenario_Data!V79</f>
        <v>-286.39999999999998</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2271.4757396841865</v>
      </c>
      <c r="AV79">
        <f>Scenario_Data!W79</f>
        <v>-286.39999999999998</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2240.4205489602696</v>
      </c>
    </row>
    <row r="80" spans="1:49">
      <c r="A80">
        <f>Chart_Data!K80</f>
        <v>-21</v>
      </c>
      <c r="B80">
        <f>Chart_Data!N80-Chart_Data!L80</f>
        <v>140.71817235691083</v>
      </c>
      <c r="D80">
        <f>Chart_Data!G80</f>
        <v>-21</v>
      </c>
      <c r="E80">
        <f>Chart_Data!H80</f>
        <v>317.91812880175183</v>
      </c>
      <c r="F80">
        <f>Chart_Data!I80</f>
        <v>317.91812880175183</v>
      </c>
      <c r="G80">
        <f>Chart_Data!J80</f>
        <v>-142.37794992196604</v>
      </c>
      <c r="I80">
        <f>Scenario_Data!A80</f>
        <v>-0.35</v>
      </c>
      <c r="J80">
        <f>Scenario_Data!H80-(((SQRT((Inputs!$C$52+(Inputs!$H$6))^2+Inputs!$C$52^2-2*(Inputs!$C$52+(Inputs!$H$6))*Inputs!$C$52*COS(SQRT((Scenario_Data!T80)^2+Inputs!$C$6^2)/Inputs!$C$52)))-(Inputs!$H$6))*1000/Inputs!$C$12)</f>
        <v>-0.90968416440080091</v>
      </c>
      <c r="K80">
        <f>Scenario_Data!I80-(((SQRT((Inputs!$C$52+(Inputs!$H$7))^2+Inputs!$C$52^2-2*(Inputs!$C$52+(Inputs!$H$7))*Inputs!$C$52*COS(SQRT((Scenario_Data!U80)^2+Inputs!$C$6^2)/Inputs!$C$52)))-(Inputs!$H$7))*1000/Inputs!$C$12)</f>
        <v>-14909.123361914171</v>
      </c>
      <c r="L80">
        <f>Scenario_Data!J80-(((SQRT((Inputs!$C$52+(Inputs!$H$8))^2+Inputs!$C$52^2-2*(Inputs!$C$52+(Inputs!$H$8))*Inputs!$C$52*COS(SQRT((Scenario_Data!V80)^2+Inputs!$C$6^2)/Inputs!$C$52)))-(Inputs!$H$8))*1000/Inputs!$C$12)</f>
        <v>-40747.537049505336</v>
      </c>
      <c r="M80">
        <f>Scenario_Data!K80-(((SQRT((Inputs!$C$52+(Inputs!$H$9))^2+Inputs!$C$52^2-2*(Inputs!$C$52+(Inputs!$H$9))*Inputs!$C$52*COS(SQRT((Scenario_Data!W80)^2+Inputs!$C$6^2)/Inputs!$C$52)))-(Inputs!$H$9))*1000/Inputs!$C$12)</f>
        <v>-42952.199792501269</v>
      </c>
      <c r="O80">
        <f>Scenario_Data!T80</f>
        <v>-21</v>
      </c>
      <c r="P80">
        <f>2*(Scenario_Data!B80*1000)/Inputs!$C$21*1000000</f>
        <v>2671.7816897181583</v>
      </c>
      <c r="Q80">
        <f>Scenario_Data!U80</f>
        <v>-140</v>
      </c>
      <c r="R80">
        <f>2*(Scenario_Data!C80*1000)/Inputs!$C$21*1000000</f>
        <v>531.78455876965381</v>
      </c>
      <c r="S80">
        <f>Scenario_Data!V80</f>
        <v>-280</v>
      </c>
      <c r="T80">
        <f>2*(Scenario_Data!D80*1000)/Inputs!$C$21*1000000</f>
        <v>1022.1237787109374</v>
      </c>
      <c r="U80">
        <f>Scenario_Data!W80</f>
        <v>-280</v>
      </c>
      <c r="V80">
        <f>2*(Scenario_Data!E80*1000)/Inputs!$C$21*1000000</f>
        <v>963.58328000366168</v>
      </c>
      <c r="X80">
        <f>Scenario_Data!T80</f>
        <v>-21</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2672.7315331589957</v>
      </c>
      <c r="Z80">
        <f>Scenario_Data!U80</f>
        <v>-140</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531.44205975631633</v>
      </c>
      <c r="AB80">
        <f>Scenario_Data!V80</f>
        <v>-280</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1021.9153193332289</v>
      </c>
      <c r="AD80">
        <f>Scenario_Data!W80</f>
        <v>-280</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963.37482062595336</v>
      </c>
      <c r="AG80">
        <f>Scenario_Data!T80</f>
        <v>-21</v>
      </c>
      <c r="AH80">
        <f>2*(SQRT((Inputs!$C$52+(Scenario_Data!B80))^2+Inputs!$C$52^2-2*(Inputs!$C$52+(Scenario_Data!B80))*Inputs!$C$52*COS(SQRT((Scenario_Data!T80)^2+Inputs!$C$6^2)/Inputs!$C$52))*1000)/Inputs!$C$21*1000000</f>
        <v>2682.9148803352541</v>
      </c>
      <c r="AI80">
        <f>Scenario_Data!U80</f>
        <v>-140</v>
      </c>
      <c r="AJ80">
        <f>2*(SQRT((Inputs!$C$52+(Scenario_Data!C80))^2+Inputs!$C$52^2-2*(Inputs!$C$52+(Scenario_Data!C80))*Inputs!$C$52*COS(SQRT((Scenario_Data!U80)^2+Inputs!$C$6^2)/Inputs!$C$52))*1000)/Inputs!$C$21*1000000</f>
        <v>1108.2624133501783</v>
      </c>
      <c r="AK80">
        <f>Scenario_Data!V80</f>
        <v>-280</v>
      </c>
      <c r="AL80">
        <f>2*(SQRT((Inputs!$C$52+(Scenario_Data!D80))^2+Inputs!$C$52^2-2*(Inputs!$C$52+(Scenario_Data!D80))*Inputs!$C$52*COS(SQRT((Scenario_Data!V80)^2+Inputs!$C$6^2)/Inputs!$C$52))*1000)/Inputs!$C$21*1000000</f>
        <v>2212.8355811384035</v>
      </c>
      <c r="AM80">
        <f>Scenario_Data!W80</f>
        <v>-280</v>
      </c>
      <c r="AN80">
        <f>2*(SQRT((Inputs!$C$52+(Scenario_Data!E80))^2+Inputs!$C$52^2-2*(Inputs!$C$52+(Scenario_Data!E80))*Inputs!$C$52*COS(SQRT((Scenario_Data!W80)^2+Inputs!$C$6^2)/Inputs!$C$52))*1000)/Inputs!$C$21*1000000</f>
        <v>2181.8975570992638</v>
      </c>
      <c r="AP80">
        <f>Scenario_Data!T80</f>
        <v>-21</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2680.8050317196712</v>
      </c>
      <c r="AR80">
        <f>Scenario_Data!U80</f>
        <v>-140</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1107.6634767328169</v>
      </c>
      <c r="AT80">
        <f>Scenario_Data!V80</f>
        <v>-280</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2212.418081073065</v>
      </c>
      <c r="AV80">
        <f>Scenario_Data!W80</f>
        <v>-280</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2181.5032877091103</v>
      </c>
    </row>
    <row r="81" spans="1:49">
      <c r="A81">
        <f>Chart_Data!K81</f>
        <v>-20.5</v>
      </c>
      <c r="B81">
        <f>Chart_Data!N81-Chart_Data!L81</f>
        <v>138.79258237955816</v>
      </c>
      <c r="D81">
        <f>Chart_Data!G81</f>
        <v>-20.5</v>
      </c>
      <c r="E81">
        <f>Chart_Data!H81</f>
        <v>343.37986587370784</v>
      </c>
      <c r="F81">
        <f>Chart_Data!I81</f>
        <v>343.37986587370784</v>
      </c>
      <c r="G81">
        <f>Chart_Data!J81</f>
        <v>-140.55086511584989</v>
      </c>
      <c r="I81">
        <f>Scenario_Data!A81</f>
        <v>-0.34200000000000003</v>
      </c>
      <c r="J81">
        <f>Scenario_Data!H81-(((SQRT((Inputs!$C$52+(Inputs!$H$6))^2+Inputs!$C$52^2-2*(Inputs!$C$52+(Inputs!$H$6))*Inputs!$C$52*COS(SQRT((Scenario_Data!T81)^2+Inputs!$C$6^2)/Inputs!$C$52)))-(Inputs!$H$6))*1000/Inputs!$C$12)</f>
        <v>-0.8524904108952569</v>
      </c>
      <c r="K81">
        <f>Scenario_Data!I81-(((SQRT((Inputs!$C$52+(Inputs!$H$7))^2+Inputs!$C$52^2-2*(Inputs!$C$52+(Inputs!$H$7))*Inputs!$C$52*COS(SQRT((Scenario_Data!U81)^2+Inputs!$C$6^2)/Inputs!$C$52)))-(Inputs!$H$7))*1000/Inputs!$C$12)</f>
        <v>-14216.32826550211</v>
      </c>
      <c r="L81">
        <f>Scenario_Data!J81-(((SQRT((Inputs!$C$52+(Inputs!$H$8))^2+Inputs!$C$52^2-2*(Inputs!$C$52+(Inputs!$H$8))*Inputs!$C$52*COS(SQRT((Scenario_Data!V81)^2+Inputs!$C$6^2)/Inputs!$C$52)))-(Inputs!$H$8))*1000/Inputs!$C$12)</f>
        <v>-39090.472738230674</v>
      </c>
      <c r="M81">
        <f>Scenario_Data!K81-(((SQRT((Inputs!$C$52+(Inputs!$H$9))^2+Inputs!$C$52^2-2*(Inputs!$C$52+(Inputs!$H$9))*Inputs!$C$52*COS(SQRT((Scenario_Data!W81)^2+Inputs!$C$6^2)/Inputs!$C$52)))-(Inputs!$H$9))*1000/Inputs!$C$12)</f>
        <v>-41249.342022155164</v>
      </c>
      <c r="O81">
        <f>Scenario_Data!T81</f>
        <v>-20.520000000000003</v>
      </c>
      <c r="P81">
        <f>2*(Scenario_Data!B81*1000)/Inputs!$C$21*1000000</f>
        <v>2671.6339608516769</v>
      </c>
      <c r="Q81">
        <f>Scenario_Data!U81</f>
        <v>-136.80000000000001</v>
      </c>
      <c r="R81">
        <f>2*(Scenario_Data!C81*1000)/Inputs!$C$21*1000000</f>
        <v>518.30429970323007</v>
      </c>
      <c r="S81">
        <f>Scenario_Data!V81</f>
        <v>-273.60000000000002</v>
      </c>
      <c r="T81">
        <f>2*(Scenario_Data!D81*1000)/Inputs!$C$21*1000000</f>
        <v>986.48418967231009</v>
      </c>
      <c r="U81">
        <f>Scenario_Data!W81</f>
        <v>-273.60000000000002</v>
      </c>
      <c r="V81">
        <f>2*(Scenario_Data!E81*1000)/Inputs!$C$21*1000000</f>
        <v>927.57436879883096</v>
      </c>
      <c r="X81">
        <f>Scenario_Data!T81</f>
        <v>-20.520000000000003</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2672.6976301058958</v>
      </c>
      <c r="Z81">
        <f>Scenario_Data!U81</f>
        <v>-136.80000000000001</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518.30702957057997</v>
      </c>
      <c r="AB81">
        <f>Scenario_Data!V81</f>
        <v>-273.60000000000002</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986.64556882876252</v>
      </c>
      <c r="AD81">
        <f>Scenario_Data!W81</f>
        <v>-273.60000000000002</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927.73574795528327</v>
      </c>
      <c r="AG81">
        <f>Scenario_Data!T81</f>
        <v>-20.520000000000003</v>
      </c>
      <c r="AH81">
        <f>2*(SQRT((Inputs!$C$52+(Scenario_Data!B81))^2+Inputs!$C$52^2-2*(Inputs!$C$52+(Scenario_Data!B81))*Inputs!$C$52*COS(SQRT((Scenario_Data!T81)^2+Inputs!$C$6^2)/Inputs!$C$52))*1000)/Inputs!$C$21*1000000</f>
        <v>2682.5599186564959</v>
      </c>
      <c r="AI81">
        <f>Scenario_Data!U81</f>
        <v>-136.80000000000001</v>
      </c>
      <c r="AJ81">
        <f>2*(SQRT((Inputs!$C$52+(Scenario_Data!C81))^2+Inputs!$C$52^2-2*(Inputs!$C$52+(Scenario_Data!C81))*Inputs!$C$52*COS(SQRT((Scenario_Data!U81)^2+Inputs!$C$6^2)/Inputs!$C$52))*1000)/Inputs!$C$21*1000000</f>
        <v>1082.4036420950645</v>
      </c>
      <c r="AK81">
        <f>Scenario_Data!V81</f>
        <v>-273.60000000000002</v>
      </c>
      <c r="AL81">
        <f>2*(SQRT((Inputs!$C$52+(Scenario_Data!D81))^2+Inputs!$C$52^2-2*(Inputs!$C$52+(Scenario_Data!D81))*Inputs!$C$52*COS(SQRT((Scenario_Data!V81)^2+Inputs!$C$6^2)/Inputs!$C$52))*1000)/Inputs!$C$21*1000000</f>
        <v>2154.3757519290621</v>
      </c>
      <c r="AM81">
        <f>Scenario_Data!W81</f>
        <v>-273.60000000000002</v>
      </c>
      <c r="AN81">
        <f>2*(SQRT((Inputs!$C$52+(Scenario_Data!E81))^2+Inputs!$C$52^2-2*(Inputs!$C$52+(Scenario_Data!E81))*Inputs!$C$52*COS(SQRT((Scenario_Data!W81)^2+Inputs!$C$6^2)/Inputs!$C$52))*1000)/Inputs!$C$21*1000000</f>
        <v>2123.5868153942761</v>
      </c>
      <c r="AP81">
        <f>Scenario_Data!T81</f>
        <v>-20.520000000000003</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2680.3072133612891</v>
      </c>
      <c r="AR81">
        <f>Scenario_Data!U81</f>
        <v>-136.80000000000001</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1081.9289025291496</v>
      </c>
      <c r="AT81">
        <f>Scenario_Data!V81</f>
        <v>-273.60000000000002</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2154.0690645390168</v>
      </c>
      <c r="AV81">
        <f>Scenario_Data!W81</f>
        <v>-273.60000000000002</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2123.2979627605791</v>
      </c>
    </row>
    <row r="82" spans="1:49">
      <c r="A82">
        <f>Chart_Data!K82</f>
        <v>-20</v>
      </c>
      <c r="B82">
        <f>Chart_Data!N82-Chart_Data!L82</f>
        <v>144.62990488789717</v>
      </c>
      <c r="D82">
        <f>Chart_Data!G82</f>
        <v>-20</v>
      </c>
      <c r="E82">
        <f>Chart_Data!H82</f>
        <v>338.15830709982725</v>
      </c>
      <c r="F82">
        <f>Chart_Data!I82</f>
        <v>338.15830709982725</v>
      </c>
      <c r="G82">
        <f>Chart_Data!J82</f>
        <v>-146.32822187126578</v>
      </c>
      <c r="I82">
        <f>Scenario_Data!A82</f>
        <v>-0.33300000000000002</v>
      </c>
      <c r="J82">
        <f>Scenario_Data!H82-(((SQRT((Inputs!$C$52+(Inputs!$H$6))^2+Inputs!$C$52^2-2*(Inputs!$C$52+(Inputs!$H$6))*Inputs!$C$52*COS(SQRT((Scenario_Data!T82)^2+Inputs!$C$6^2)/Inputs!$C$52)))-(Inputs!$H$6))*1000/Inputs!$C$12)</f>
        <v>-0.79147378083268904</v>
      </c>
      <c r="K82">
        <f>Scenario_Data!I82-(((SQRT((Inputs!$C$52+(Inputs!$H$7))^2+Inputs!$C$52^2-2*(Inputs!$C$52+(Inputs!$H$7))*Inputs!$C$52*COS(SQRT((Scenario_Data!U82)^2+Inputs!$C$6^2)/Inputs!$C$52)))-(Inputs!$H$7))*1000/Inputs!$C$12)</f>
        <v>-13452.557524737211</v>
      </c>
      <c r="L82">
        <f>Scenario_Data!J82-(((SQRT((Inputs!$C$52+(Inputs!$H$8))^2+Inputs!$C$52^2-2*(Inputs!$C$52+(Inputs!$H$8))*Inputs!$C$52*COS(SQRT((Scenario_Data!V82)^2+Inputs!$C$6^2)/Inputs!$C$52)))-(Inputs!$H$8))*1000/Inputs!$C$12)</f>
        <v>-37250.428651962691</v>
      </c>
      <c r="M82">
        <f>Scenario_Data!K82-(((SQRT((Inputs!$C$52+(Inputs!$H$9))^2+Inputs!$C$52^2-2*(Inputs!$C$52+(Inputs!$H$9))*Inputs!$C$52*COS(SQRT((Scenario_Data!W82)^2+Inputs!$C$6^2)/Inputs!$C$52)))-(Inputs!$H$9))*1000/Inputs!$C$12)</f>
        <v>-39357.029917001288</v>
      </c>
      <c r="O82">
        <f>Scenario_Data!T82</f>
        <v>-19.979999999999997</v>
      </c>
      <c r="P82">
        <f>2*(Scenario_Data!B82*1000)/Inputs!$C$21*1000000</f>
        <v>2671.4718487014106</v>
      </c>
      <c r="Q82">
        <f>Scenario_Data!U82</f>
        <v>-133.19999999999999</v>
      </c>
      <c r="R82">
        <f>2*(Scenario_Data!C82*1000)/Inputs!$C$21*1000000</f>
        <v>503.51156599142996</v>
      </c>
      <c r="S82">
        <f>Scenario_Data!V82</f>
        <v>-266.39999999999998</v>
      </c>
      <c r="T82">
        <f>2*(Scenario_Data!D82*1000)/Inputs!$C$21*1000000</f>
        <v>947.37463342056446</v>
      </c>
      <c r="U82">
        <f>Scenario_Data!W82</f>
        <v>-266.39999999999998</v>
      </c>
      <c r="V82">
        <f>2*(Scenario_Data!E82*1000)/Inputs!$C$21*1000000</f>
        <v>888.05953217141951</v>
      </c>
      <c r="X82">
        <f>Scenario_Data!T82</f>
        <v>-19.979999999999997</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2672.4754623052013</v>
      </c>
      <c r="Z82">
        <f>Scenario_Data!U82</f>
        <v>-133.19999999999999</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503.5300716509127</v>
      </c>
      <c r="AB82">
        <f>Scenario_Data!V82</f>
        <v>-266.39999999999998</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946.93028901938692</v>
      </c>
      <c r="AD82">
        <f>Scenario_Data!W82</f>
        <v>-266.39999999999998</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887.61518777024196</v>
      </c>
      <c r="AG82">
        <f>Scenario_Data!T82</f>
        <v>-19.979999999999997</v>
      </c>
      <c r="AH82">
        <f>2*(SQRT((Inputs!$C$52+(Scenario_Data!B82))^2+Inputs!$C$52^2-2*(Inputs!$C$52+(Scenario_Data!B82))*Inputs!$C$52*COS(SQRT((Scenario_Data!T82)^2+Inputs!$C$6^2)/Inputs!$C$52))*1000)/Inputs!$C$21*1000000</f>
        <v>2682.1703573214322</v>
      </c>
      <c r="AI82">
        <f>Scenario_Data!U82</f>
        <v>-133.19999999999999</v>
      </c>
      <c r="AJ82">
        <f>2*(SQRT((Inputs!$C$52+(Scenario_Data!C82))^2+Inputs!$C$52^2-2*(Inputs!$C$52+(Scenario_Data!C82))*Inputs!$C$52*COS(SQRT((Scenario_Data!U82)^2+Inputs!$C$6^2)/Inputs!$C$52))*1000)/Inputs!$C$21*1000000</f>
        <v>1053.5497018470367</v>
      </c>
      <c r="AK82">
        <f>Scenario_Data!V82</f>
        <v>-266.39999999999998</v>
      </c>
      <c r="AL82">
        <f>2*(SQRT((Inputs!$C$52+(Scenario_Data!D82))^2+Inputs!$C$52^2-2*(Inputs!$C$52+(Scenario_Data!D82))*Inputs!$C$52*COS(SQRT((Scenario_Data!V82)^2+Inputs!$C$6^2)/Inputs!$C$52))*1000)/Inputs!$C$21*1000000</f>
        <v>2089.3258107719435</v>
      </c>
      <c r="AM82">
        <f>Scenario_Data!W82</f>
        <v>-266.39999999999998</v>
      </c>
      <c r="AN82">
        <f>2*(SQRT((Inputs!$C$52+(Scenario_Data!E82))^2+Inputs!$C$52^2-2*(Inputs!$C$52+(Scenario_Data!E82))*Inputs!$C$52*COS(SQRT((Scenario_Data!W82)^2+Inputs!$C$6^2)/Inputs!$C$52))*1000)/Inputs!$C$21*1000000</f>
        <v>2058.7148075309083</v>
      </c>
      <c r="AP82">
        <f>Scenario_Data!T82</f>
        <v>-19.979999999999997</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2679.9104357341862</v>
      </c>
      <c r="AR82">
        <f>Scenario_Data!U82</f>
        <v>-133.19999999999999</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1053.2379157384207</v>
      </c>
      <c r="AT82">
        <f>Scenario_Data!V82</f>
        <v>-266.39999999999998</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2088.8534893517472</v>
      </c>
      <c r="AV82">
        <f>Scenario_Data!W82</f>
        <v>-266.39999999999998</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2058.2713726578759</v>
      </c>
    </row>
    <row r="83" spans="1:49">
      <c r="A83">
        <f>Chart_Data!K83</f>
        <v>-19.5</v>
      </c>
      <c r="B83">
        <f>Chart_Data!N83-Chart_Data!L83</f>
        <v>138.25591202163065</v>
      </c>
      <c r="D83">
        <f>Chart_Data!G83</f>
        <v>-19.5</v>
      </c>
      <c r="E83">
        <f>Chart_Data!H83</f>
        <v>363.81454233492502</v>
      </c>
      <c r="F83">
        <f>Chart_Data!I83</f>
        <v>363.81454233492502</v>
      </c>
      <c r="G83">
        <f>Chart_Data!J83</f>
        <v>-140.04833812864371</v>
      </c>
      <c r="I83">
        <f>Scenario_Data!A83</f>
        <v>-0.32500000000000001</v>
      </c>
      <c r="J83">
        <f>Scenario_Data!H83-(((SQRT((Inputs!$C$52+(Inputs!$H$6))^2+Inputs!$C$52^2-2*(Inputs!$C$52+(Inputs!$H$6))*Inputs!$C$52*COS(SQRT((Scenario_Data!T83)^2+Inputs!$C$6^2)/Inputs!$C$52)))-(Inputs!$H$6))*1000/Inputs!$C$12)</f>
        <v>-0.74008074998198481</v>
      </c>
      <c r="K83">
        <f>Scenario_Data!I83-(((SQRT((Inputs!$C$52+(Inputs!$H$7))^2+Inputs!$C$52^2-2*(Inputs!$C$52+(Inputs!$H$7))*Inputs!$C$52*COS(SQRT((Scenario_Data!U83)^2+Inputs!$C$6^2)/Inputs!$C$52)))-(Inputs!$H$7))*1000/Inputs!$C$12)</f>
        <v>-12787.842801368242</v>
      </c>
      <c r="L83">
        <f>Scenario_Data!J83-(((SQRT((Inputs!$C$52+(Inputs!$H$8))^2+Inputs!$C$52^2-2*(Inputs!$C$52+(Inputs!$H$8))*Inputs!$C$52*COS(SQRT((Scenario_Data!V83)^2+Inputs!$C$6^2)/Inputs!$C$52)))-(Inputs!$H$8))*1000/Inputs!$C$12)</f>
        <v>-35637.240500205327</v>
      </c>
      <c r="M83">
        <f>Scenario_Data!K83-(((SQRT((Inputs!$C$52+(Inputs!$H$9))^2+Inputs!$C$52^2-2*(Inputs!$C$52+(Inputs!$H$9))*Inputs!$C$52*COS(SQRT((Scenario_Data!W83)^2+Inputs!$C$6^2)/Inputs!$C$52)))-(Inputs!$H$9))*1000/Inputs!$C$12)</f>
        <v>-37696.722160192003</v>
      </c>
      <c r="O83">
        <f>Scenario_Data!T83</f>
        <v>-19.5</v>
      </c>
      <c r="P83">
        <f>2*(Scenario_Data!B83*1000)/Inputs!$C$21*1000000</f>
        <v>2671.3313781896409</v>
      </c>
      <c r="Q83">
        <f>Scenario_Data!U83</f>
        <v>-130</v>
      </c>
      <c r="R83">
        <f>2*(Scenario_Data!C83*1000)/Inputs!$C$21*1000000</f>
        <v>490.69363179243157</v>
      </c>
      <c r="S83">
        <f>Scenario_Data!V83</f>
        <v>-260</v>
      </c>
      <c r="T83">
        <f>2*(Scenario_Data!D83*1000)/Inputs!$C$21*1000000</f>
        <v>913.48612245608945</v>
      </c>
      <c r="U83">
        <f>Scenario_Data!W83</f>
        <v>-260</v>
      </c>
      <c r="V83">
        <f>2*(Scenario_Data!E83*1000)/Inputs!$C$21*1000000</f>
        <v>853.81984492751985</v>
      </c>
      <c r="X83">
        <f>Scenario_Data!T83</f>
        <v>-19.5</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2672.2656801334788</v>
      </c>
      <c r="Z83">
        <f>Scenario_Data!U83</f>
        <v>-130</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490.6119523498117</v>
      </c>
      <c r="AB83">
        <f>Scenario_Data!V83</f>
        <v>-260</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913.38844435295391</v>
      </c>
      <c r="AD83">
        <f>Scenario_Data!W83</f>
        <v>-260</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853.72216682438443</v>
      </c>
      <c r="AG83">
        <f>Scenario_Data!T83</f>
        <v>-19.5</v>
      </c>
      <c r="AH83">
        <f>2*(SQRT((Inputs!$C$52+(Scenario_Data!B83))^2+Inputs!$C$52^2-2*(Inputs!$C$52+(Scenario_Data!B83))*Inputs!$C$52*COS(SQRT((Scenario_Data!T83)^2+Inputs!$C$6^2)/Inputs!$C$52))*1000)/Inputs!$C$21*1000000</f>
        <v>2681.8327680804646</v>
      </c>
      <c r="AI83">
        <f>Scenario_Data!U83</f>
        <v>-130</v>
      </c>
      <c r="AJ83">
        <f>2*(SQRT((Inputs!$C$52+(Scenario_Data!C83))^2+Inputs!$C$52^2-2*(Inputs!$C$52+(Scenario_Data!C83))*Inputs!$C$52*COS(SQRT((Scenario_Data!U83)^2+Inputs!$C$6^2)/Inputs!$C$52))*1000)/Inputs!$C$21*1000000</f>
        <v>1028.1121624339564</v>
      </c>
      <c r="AK83">
        <f>Scenario_Data!V83</f>
        <v>-260</v>
      </c>
      <c r="AL83">
        <f>2*(SQRT((Inputs!$C$52+(Scenario_Data!D83))^2+Inputs!$C$52^2-2*(Inputs!$C$52+(Scenario_Data!D83))*Inputs!$C$52*COS(SQRT((Scenario_Data!V83)^2+Inputs!$C$6^2)/Inputs!$C$52))*1000)/Inputs!$C$21*1000000</f>
        <v>2032.1322695231349</v>
      </c>
      <c r="AM83">
        <f>Scenario_Data!W83</f>
        <v>-260</v>
      </c>
      <c r="AN83">
        <f>2*(SQRT((Inputs!$C$52+(Scenario_Data!E83))^2+Inputs!$C$52^2-2*(Inputs!$C$52+(Scenario_Data!E83))*Inputs!$C$52*COS(SQRT((Scenario_Data!W83)^2+Inputs!$C$6^2)/Inputs!$C$52))*1000)/Inputs!$C$21*1000000</f>
        <v>2001.6878257232431</v>
      </c>
      <c r="AP83">
        <f>Scenario_Data!T83</f>
        <v>-19.5</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2679.4176164876385</v>
      </c>
      <c r="AR83">
        <f>Scenario_Data!U83</f>
        <v>-130</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1027.767895171937</v>
      </c>
      <c r="AT83">
        <f>Scenario_Data!V83</f>
        <v>-260</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2031.6981626888248</v>
      </c>
      <c r="AV83">
        <f>Scenario_Data!W83</f>
        <v>-260</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2001.2814752782569</v>
      </c>
    </row>
    <row r="84" spans="1:49">
      <c r="A84">
        <f>Chart_Data!K84</f>
        <v>-19</v>
      </c>
      <c r="B84">
        <f>Chart_Data!N84-Chart_Data!L84</f>
        <v>143.08942338681692</v>
      </c>
      <c r="D84">
        <f>Chart_Data!G84</f>
        <v>-19</v>
      </c>
      <c r="E84">
        <f>Chart_Data!H84</f>
        <v>371.18641988342398</v>
      </c>
      <c r="F84">
        <f>Chart_Data!I84</f>
        <v>371.18641988342398</v>
      </c>
      <c r="G84">
        <f>Chart_Data!J84</f>
        <v>-144.88352309984418</v>
      </c>
      <c r="I84">
        <f>Scenario_Data!A84</f>
        <v>-0.317</v>
      </c>
      <c r="J84">
        <f>Scenario_Data!H84-(((SQRT((Inputs!$C$52+(Inputs!$H$6))^2+Inputs!$C$52^2-2*(Inputs!$C$52+(Inputs!$H$6))*Inputs!$C$52*COS(SQRT((Scenario_Data!T84)^2+Inputs!$C$6^2)/Inputs!$C$52)))-(Inputs!$H$6))*1000/Inputs!$C$12)</f>
        <v>-0.69126076184193153</v>
      </c>
      <c r="K84">
        <f>Scenario_Data!I84-(((SQRT((Inputs!$C$52+(Inputs!$H$7))^2+Inputs!$C$52^2-2*(Inputs!$C$52+(Inputs!$H$7))*Inputs!$C$52*COS(SQRT((Scenario_Data!U84)^2+Inputs!$C$6^2)/Inputs!$C$52)))-(Inputs!$H$7))*1000/Inputs!$C$12)</f>
        <v>-12136.776407525518</v>
      </c>
      <c r="L84">
        <f>Scenario_Data!J84-(((SQRT((Inputs!$C$52+(Inputs!$H$8))^2+Inputs!$C$52^2-2*(Inputs!$C$52+(Inputs!$H$8))*Inputs!$C$52*COS(SQRT((Scenario_Data!V84)^2+Inputs!$C$6^2)/Inputs!$C$52)))-(Inputs!$H$8))*1000/Inputs!$C$12)</f>
        <v>-34046.041947946462</v>
      </c>
      <c r="M84">
        <f>Scenario_Data!K84-(((SQRT((Inputs!$C$52+(Inputs!$H$9))^2+Inputs!$C$52^2-2*(Inputs!$C$52+(Inputs!$H$9))*Inputs!$C$52*COS(SQRT((Scenario_Data!W84)^2+Inputs!$C$6^2)/Inputs!$C$52)))-(Inputs!$H$9))*1000/Inputs!$C$12)</f>
        <v>-36057.791762901921</v>
      </c>
      <c r="O84">
        <f>Scenario_Data!T84</f>
        <v>-19.019999999999996</v>
      </c>
      <c r="P84">
        <f>2*(Scenario_Data!B84*1000)/Inputs!$C$21*1000000</f>
        <v>2671.1943233742059</v>
      </c>
      <c r="Q84">
        <f>Scenario_Data!U84</f>
        <v>-126.79999999999995</v>
      </c>
      <c r="R84">
        <f>2*(Scenario_Data!C84*1000)/Inputs!$C$21*1000000</f>
        <v>478.18737988398607</v>
      </c>
      <c r="S84">
        <f>Scenario_Data!V84</f>
        <v>-253.59999999999991</v>
      </c>
      <c r="T84">
        <f>2*(Scenario_Data!D84*1000)/Inputs!$C$21*1000000</f>
        <v>880.42164823239102</v>
      </c>
      <c r="U84">
        <f>Scenario_Data!W84</f>
        <v>-253.59999999999991</v>
      </c>
      <c r="V84">
        <f>2*(Scenario_Data!E84*1000)/Inputs!$C$21*1000000</f>
        <v>820.4127336652341</v>
      </c>
      <c r="X84">
        <f>Scenario_Data!T84</f>
        <v>-19.019999999999996</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2672.1155658418929</v>
      </c>
      <c r="Z84">
        <f>Scenario_Data!U84</f>
        <v>-126.79999999999995</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478.15408387641003</v>
      </c>
      <c r="AB84">
        <f>Scenario_Data!V84</f>
        <v>-253.59999999999991</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880.52295629152457</v>
      </c>
      <c r="AD84">
        <f>Scenario_Data!W84</f>
        <v>-253.59999999999991</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820.51404172436776</v>
      </c>
      <c r="AG84">
        <f>Scenario_Data!T84</f>
        <v>-19.019999999999996</v>
      </c>
      <c r="AH84">
        <f>2*(SQRT((Inputs!$C$52+(Scenario_Data!B84))^2+Inputs!$C$52^2-2*(Inputs!$C$52+(Scenario_Data!B84))*Inputs!$C$52*COS(SQRT((Scenario_Data!T84)^2+Inputs!$C$6^2)/Inputs!$C$52))*1000)/Inputs!$C$21*1000000</f>
        <v>2681.5033576678143</v>
      </c>
      <c r="AI84">
        <f>Scenario_Data!U84</f>
        <v>-126.79999999999995</v>
      </c>
      <c r="AJ84">
        <f>2*(SQRT((Inputs!$C$52+(Scenario_Data!C84))^2+Inputs!$C$52^2-2*(Inputs!$C$52+(Scenario_Data!C84))*Inputs!$C$52*COS(SQRT((Scenario_Data!U84)^2+Inputs!$C$6^2)/Inputs!$C$52))*1000)/Inputs!$C$21*1000000</f>
        <v>1002.8724909144175</v>
      </c>
      <c r="AK84">
        <f>Scenario_Data!V84</f>
        <v>-253.59999999999991</v>
      </c>
      <c r="AL84">
        <f>2*(SQRT((Inputs!$C$52+(Scenario_Data!D84))^2+Inputs!$C$52^2-2*(Inputs!$C$52+(Scenario_Data!D84))*Inputs!$C$52*COS(SQRT((Scenario_Data!V84)^2+Inputs!$C$6^2)/Inputs!$C$52))*1000)/Inputs!$C$21*1000000</f>
        <v>1975.5218318440923</v>
      </c>
      <c r="AM84">
        <f>Scenario_Data!W84</f>
        <v>-253.59999999999991</v>
      </c>
      <c r="AN84">
        <f>2*(SQRT((Inputs!$C$52+(Scenario_Data!E84))^2+Inputs!$C$52^2-2*(Inputs!$C$52+(Scenario_Data!E84))*Inputs!$C$52*COS(SQRT((Scenario_Data!W84)^2+Inputs!$C$6^2)/Inputs!$C$52))*1000)/Inputs!$C$21*1000000</f>
        <v>1945.2511482815198</v>
      </c>
      <c r="AP84">
        <f>Scenario_Data!T84</f>
        <v>-19.019999999999996</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2679.1011383607356</v>
      </c>
      <c r="AR84">
        <f>Scenario_Data!U84</f>
        <v>-126.79999999999995</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1002.3635175983735</v>
      </c>
      <c r="AT84">
        <f>Scenario_Data!V84</f>
        <v>-253.59999999999991</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1975.2592929672044</v>
      </c>
      <c r="AV84">
        <f>Scenario_Data!W84</f>
        <v>-253.59999999999991</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1945.0061543286497</v>
      </c>
    </row>
    <row r="85" spans="1:49">
      <c r="A85">
        <f>Chart_Data!K85</f>
        <v>-18.5</v>
      </c>
      <c r="B85">
        <f>Chart_Data!N85-Chart_Data!L85</f>
        <v>134.92945436293479</v>
      </c>
      <c r="D85">
        <f>Chart_Data!G85</f>
        <v>-18.5</v>
      </c>
      <c r="E85">
        <f>Chart_Data!H85</f>
        <v>365.6884368087795</v>
      </c>
      <c r="F85">
        <f>Chart_Data!I85</f>
        <v>365.6884368087795</v>
      </c>
      <c r="G85">
        <f>Chart_Data!J85</f>
        <v>-136.66366560462208</v>
      </c>
      <c r="I85">
        <f>Scenario_Data!A85</f>
        <v>-0.308</v>
      </c>
      <c r="J85">
        <f>Scenario_Data!H85-(((SQRT((Inputs!$C$52+(Inputs!$H$6))^2+Inputs!$C$52^2-2*(Inputs!$C$52+(Inputs!$H$6))*Inputs!$C$52*COS(SQRT((Scenario_Data!T85)^2+Inputs!$C$6^2)/Inputs!$C$52)))-(Inputs!$H$6))*1000/Inputs!$C$12)</f>
        <v>-0.63929306925479068</v>
      </c>
      <c r="K85">
        <f>Scenario_Data!I85-(((SQRT((Inputs!$C$52+(Inputs!$H$7))^2+Inputs!$C$52^2-2*(Inputs!$C$52+(Inputs!$H$7))*Inputs!$C$52*COS(SQRT((Scenario_Data!U85)^2+Inputs!$C$6^2)/Inputs!$C$52)))-(Inputs!$H$7))*1000/Inputs!$C$12)</f>
        <v>-11420.992588521869</v>
      </c>
      <c r="L85">
        <f>Scenario_Data!J85-(((SQRT((Inputs!$C$52+(Inputs!$H$8))^2+Inputs!$C$52^2-2*(Inputs!$C$52+(Inputs!$H$8))*Inputs!$C$52*COS(SQRT((Scenario_Data!V85)^2+Inputs!$C$6^2)/Inputs!$C$52)))-(Inputs!$H$8))*1000/Inputs!$C$12)</f>
        <v>-32283.3287901734</v>
      </c>
      <c r="M85">
        <f>Scenario_Data!K85-(((SQRT((Inputs!$C$52+(Inputs!$H$9))^2+Inputs!$C$52^2-2*(Inputs!$C$52+(Inputs!$H$9))*Inputs!$C$52*COS(SQRT((Scenario_Data!W85)^2+Inputs!$C$6^2)/Inputs!$C$52)))-(Inputs!$H$9))*1000/Inputs!$C$12)</f>
        <v>-34240.659083493854</v>
      </c>
      <c r="O85">
        <f>Scenario_Data!T85</f>
        <v>-18.480000000000004</v>
      </c>
      <c r="P85">
        <f>2*(Scenario_Data!B85*1000)/Inputs!$C$21*1000000</f>
        <v>2671.0442195313667</v>
      </c>
      <c r="Q85">
        <f>Scenario_Data!U85</f>
        <v>-123.20000000000005</v>
      </c>
      <c r="R85">
        <f>2*(Scenario_Data!C85*1000)/Inputs!$C$21*1000000</f>
        <v>464.49040422491237</v>
      </c>
      <c r="S85">
        <f>Scenario_Data!V85</f>
        <v>-246.40000000000009</v>
      </c>
      <c r="T85">
        <f>2*(Scenario_Data!D85*1000)/Inputs!$C$21*1000000</f>
        <v>844.20909614744266</v>
      </c>
      <c r="U85">
        <f>Scenario_Data!W85</f>
        <v>-246.40000000000009</v>
      </c>
      <c r="V85">
        <f>2*(Scenario_Data!E85*1000)/Inputs!$C$21*1000000</f>
        <v>783.82492197318754</v>
      </c>
      <c r="X85">
        <f>Scenario_Data!T85</f>
        <v>-18.480000000000004</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2671.9751728842639</v>
      </c>
      <c r="Z85">
        <f>Scenario_Data!U85</f>
        <v>-123.20000000000005</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464.26488226134251</v>
      </c>
      <c r="AB85">
        <f>Scenario_Data!V85</f>
        <v>-246.40000000000009</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843.85241150892091</v>
      </c>
      <c r="AD85">
        <f>Scenario_Data!W85</f>
        <v>-246.40000000000009</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783.46823733466601</v>
      </c>
      <c r="AG85">
        <f>Scenario_Data!T85</f>
        <v>-18.480000000000004</v>
      </c>
      <c r="AH85">
        <f>2*(SQRT((Inputs!$C$52+(Scenario_Data!B85))^2+Inputs!$C$52^2-2*(Inputs!$C$52+(Scenario_Data!B85))*Inputs!$C$52*COS(SQRT((Scenario_Data!T85)^2+Inputs!$C$6^2)/Inputs!$C$52))*1000)/Inputs!$C$21*1000000</f>
        <v>2681.1425499551765</v>
      </c>
      <c r="AI85">
        <f>Scenario_Data!U85</f>
        <v>-123.20000000000005</v>
      </c>
      <c r="AJ85">
        <f>2*(SQRT((Inputs!$C$52+(Scenario_Data!C85))^2+Inputs!$C$52^2-2*(Inputs!$C$52+(Scenario_Data!C85))*Inputs!$C$52*COS(SQRT((Scenario_Data!U85)^2+Inputs!$C$6^2)/Inputs!$C$52))*1000)/Inputs!$C$21*1000000</f>
        <v>974.71450211271815</v>
      </c>
      <c r="AK85">
        <f>Scenario_Data!V85</f>
        <v>-246.40000000000009</v>
      </c>
      <c r="AL85">
        <f>2*(SQRT((Inputs!$C$52+(Scenario_Data!D85))^2+Inputs!$C$52^2-2*(Inputs!$C$52+(Scenario_Data!D85))*Inputs!$C$52*COS(SQRT((Scenario_Data!V85)^2+Inputs!$C$6^2)/Inputs!$C$52))*1000)/Inputs!$C$21*1000000</f>
        <v>1912.5218325119242</v>
      </c>
      <c r="AM85">
        <f>Scenario_Data!W85</f>
        <v>-246.40000000000009</v>
      </c>
      <c r="AN85">
        <f>2*(SQRT((Inputs!$C$52+(Scenario_Data!E85))^2+Inputs!$C$52^2-2*(Inputs!$C$52+(Scenario_Data!E85))*Inputs!$C$52*COS(SQRT((Scenario_Data!W85)^2+Inputs!$C$6^2)/Inputs!$C$52))*1000)/Inputs!$C$21*1000000</f>
        <v>1882.4543117385992</v>
      </c>
      <c r="AP85">
        <f>Scenario_Data!T85</f>
        <v>-18.480000000000004</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2678.620330554761</v>
      </c>
      <c r="AR85">
        <f>Scenario_Data!U85</f>
        <v>-123.20000000000005</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974.1534456502709</v>
      </c>
      <c r="AT85">
        <f>Scenario_Data!V85</f>
        <v>-246.40000000000009</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1911.982365755576</v>
      </c>
      <c r="AV85">
        <f>Scenario_Data!W85</f>
        <v>-246.40000000000009</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1881.9527809601716</v>
      </c>
    </row>
    <row r="86" spans="1:49">
      <c r="A86">
        <f>Chart_Data!K86</f>
        <v>-18</v>
      </c>
      <c r="B86">
        <f>Chart_Data!N86-Chart_Data!L86</f>
        <v>147.29813428303765</v>
      </c>
      <c r="D86">
        <f>Chart_Data!G86</f>
        <v>-18</v>
      </c>
      <c r="E86">
        <f>Chart_Data!H86</f>
        <v>392.02205415360987</v>
      </c>
      <c r="F86">
        <f>Chart_Data!I86</f>
        <v>392.02205415360987</v>
      </c>
      <c r="G86">
        <f>Chart_Data!J86</f>
        <v>-149.12259877495586</v>
      </c>
      <c r="I86">
        <f>Scenario_Data!A86</f>
        <v>-0.3</v>
      </c>
      <c r="J86">
        <f>Scenario_Data!H86-(((SQRT((Inputs!$C$52+(Inputs!$H$6))^2+Inputs!$C$52^2-2*(Inputs!$C$52+(Inputs!$H$6))*Inputs!$C$52*COS(SQRT((Scenario_Data!T86)^2+Inputs!$C$6^2)/Inputs!$C$52)))-(Inputs!$H$6))*1000/Inputs!$C$12)</f>
        <v>-0.59562134887653428</v>
      </c>
      <c r="K86">
        <f>Scenario_Data!I86-(((SQRT((Inputs!$C$52+(Inputs!$H$7))^2+Inputs!$C$52^2-2*(Inputs!$C$52+(Inputs!$H$7))*Inputs!$C$52*COS(SQRT((Scenario_Data!U86)^2+Inputs!$C$6^2)/Inputs!$C$52)))-(Inputs!$H$7))*1000/Inputs!$C$12)</f>
        <v>-10799.871032643307</v>
      </c>
      <c r="L86">
        <f>Scenario_Data!J86-(((SQRT((Inputs!$C$52+(Inputs!$H$8))^2+Inputs!$C$52^2-2*(Inputs!$C$52+(Inputs!$H$8))*Inputs!$C$52*COS(SQRT((Scenario_Data!V86)^2+Inputs!$C$6^2)/Inputs!$C$52)))-(Inputs!$H$8))*1000/Inputs!$C$12)</f>
        <v>-30741.814145394601</v>
      </c>
      <c r="M86">
        <f>Scenario_Data!K86-(((SQRT((Inputs!$C$52+(Inputs!$H$9))^2+Inputs!$C$52^2-2*(Inputs!$C$52+(Inputs!$H$9))*Inputs!$C$52*COS(SQRT((Scenario_Data!W86)^2+Inputs!$C$6^2)/Inputs!$C$52)))-(Inputs!$H$9))*1000/Inputs!$C$12)</f>
        <v>-32650.140682705838</v>
      </c>
      <c r="O86">
        <f>Scenario_Data!T86</f>
        <v>-18</v>
      </c>
      <c r="P86">
        <f>2*(Scenario_Data!B86*1000)/Inputs!$C$21*1000000</f>
        <v>2670.9144230706429</v>
      </c>
      <c r="Q86">
        <f>Scenario_Data!U86</f>
        <v>-120</v>
      </c>
      <c r="R86">
        <f>2*(Scenario_Data!C86*1000)/Inputs!$C$21*1000000</f>
        <v>452.64647718389233</v>
      </c>
      <c r="S86">
        <f>Scenario_Data!V86</f>
        <v>-240</v>
      </c>
      <c r="T86">
        <f>2*(Scenario_Data!D86*1000)/Inputs!$C$21*1000000</f>
        <v>812.8956999978966</v>
      </c>
      <c r="U86">
        <f>Scenario_Data!W86</f>
        <v>-240</v>
      </c>
      <c r="V86">
        <f>2*(Scenario_Data!E86*1000)/Inputs!$C$21*1000000</f>
        <v>752.18703467183286</v>
      </c>
      <c r="X86">
        <f>Scenario_Data!T86</f>
        <v>-18</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2671.9092619653225</v>
      </c>
      <c r="Z86">
        <f>Scenario_Data!U86</f>
        <v>-120</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452.12513673633737</v>
      </c>
      <c r="AB86">
        <f>Scenario_Data!V86</f>
        <v>-240</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813.20584870524624</v>
      </c>
      <c r="AD86">
        <f>Scenario_Data!W86</f>
        <v>-240</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752.49718337918262</v>
      </c>
      <c r="AG86">
        <f>Scenario_Data!T86</f>
        <v>-18</v>
      </c>
      <c r="AH86">
        <f>2*(SQRT((Inputs!$C$52+(Scenario_Data!B86))^2+Inputs!$C$52^2-2*(Inputs!$C$52+(Scenario_Data!B86))*Inputs!$C$52*COS(SQRT((Scenario_Data!T86)^2+Inputs!$C$6^2)/Inputs!$C$52))*1000)/Inputs!$C$21*1000000</f>
        <v>2680.8305268137187</v>
      </c>
      <c r="AI86">
        <f>Scenario_Data!U86</f>
        <v>-120</v>
      </c>
      <c r="AJ86">
        <f>2*(SQRT((Inputs!$C$52+(Scenario_Data!C86))^2+Inputs!$C$52^2-2*(Inputs!$C$52+(Scenario_Data!C86))*Inputs!$C$52*COS(SQRT((Scenario_Data!U86)^2+Inputs!$C$6^2)/Inputs!$C$52))*1000)/Inputs!$C$21*1000000</f>
        <v>949.89595685143365</v>
      </c>
      <c r="AK86">
        <f>Scenario_Data!V86</f>
        <v>-240</v>
      </c>
      <c r="AL86">
        <f>2*(SQRT((Inputs!$C$52+(Scenario_Data!D86))^2+Inputs!$C$52^2-2*(Inputs!$C$52+(Scenario_Data!D86))*Inputs!$C$52*COS(SQRT((Scenario_Data!V86)^2+Inputs!$C$6^2)/Inputs!$C$52))*1000)/Inputs!$C$21*1000000</f>
        <v>1857.1231620816707</v>
      </c>
      <c r="AM86">
        <f>Scenario_Data!W86</f>
        <v>-240</v>
      </c>
      <c r="AN86">
        <f>2*(SQRT((Inputs!$C$52+(Scenario_Data!E86))^2+Inputs!$C$52^2-2*(Inputs!$C$52+(Scenario_Data!E86))*Inputs!$C$52*COS(SQRT((Scenario_Data!W86)^2+Inputs!$C$6^2)/Inputs!$C$52))*1000)/Inputs!$C$21*1000000</f>
        <v>1827.2421550832848</v>
      </c>
      <c r="AP86">
        <f>Scenario_Data!T86</f>
        <v>-18</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2678.2274086948387</v>
      </c>
      <c r="AR86">
        <f>Scenario_Data!U86</f>
        <v>-120</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949.34392635173151</v>
      </c>
      <c r="AT86">
        <f>Scenario_Data!V86</f>
        <v>-240</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1856.953435568455</v>
      </c>
      <c r="AV86">
        <f>Scenario_Data!W86</f>
        <v>-240</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1827.0848976277341</v>
      </c>
    </row>
    <row r="87" spans="1:49">
      <c r="A87">
        <f>Chart_Data!K87</f>
        <v>-17.5</v>
      </c>
      <c r="B87">
        <f>Chart_Data!N87-Chart_Data!L87</f>
        <v>137.25939183843724</v>
      </c>
      <c r="D87">
        <f>Chart_Data!G87</f>
        <v>-17.5</v>
      </c>
      <c r="E87">
        <f>Chart_Data!H87</f>
        <v>397.07097057156574</v>
      </c>
      <c r="F87">
        <f>Chart_Data!I87</f>
        <v>397.07097057156574</v>
      </c>
      <c r="G87">
        <f>Chart_Data!J87</f>
        <v>-139.0731304771746</v>
      </c>
      <c r="I87">
        <f>Scenario_Data!A87</f>
        <v>-0.29199999999999998</v>
      </c>
      <c r="J87">
        <f>Scenario_Data!H87-(((SQRT((Inputs!$C$52+(Inputs!$H$6))^2+Inputs!$C$52^2-2*(Inputs!$C$52+(Inputs!$H$6))*Inputs!$C$52*COS(SQRT((Scenario_Data!T87)^2+Inputs!$C$6^2)/Inputs!$C$52)))-(Inputs!$H$6))*1000/Inputs!$C$12)</f>
        <v>-0.55422705180376397</v>
      </c>
      <c r="K87">
        <f>Scenario_Data!I87-(((SQRT((Inputs!$C$52+(Inputs!$H$7))^2+Inputs!$C$52^2-2*(Inputs!$C$52+(Inputs!$H$7))*Inputs!$C$52*COS(SQRT((Scenario_Data!U87)^2+Inputs!$C$6^2)/Inputs!$C$52)))-(Inputs!$H$7))*1000/Inputs!$C$12)</f>
        <v>-10193.291736298073</v>
      </c>
      <c r="L87">
        <f>Scenario_Data!J87-(((SQRT((Inputs!$C$52+(Inputs!$H$8))^2+Inputs!$C$52^2-2*(Inputs!$C$52+(Inputs!$H$8))*Inputs!$C$52*COS(SQRT((Scenario_Data!V87)^2+Inputs!$C$6^2)/Inputs!$C$52)))-(Inputs!$H$8))*1000/Inputs!$C$12)</f>
        <v>-29225.110156037001</v>
      </c>
      <c r="M87">
        <f>Scenario_Data!K87-(((SQRT((Inputs!$C$52+(Inputs!$H$9))^2+Inputs!$C$52^2-2*(Inputs!$C$52+(Inputs!$H$9))*Inputs!$C$52*COS(SQRT((Scenario_Data!W87)^2+Inputs!$C$6^2)/Inputs!$C$52)))-(Inputs!$H$9))*1000/Inputs!$C$12)</f>
        <v>-31083.849529375264</v>
      </c>
      <c r="O87">
        <f>Scenario_Data!T87</f>
        <v>-17.520000000000003</v>
      </c>
      <c r="P87">
        <f>2*(Scenario_Data!B87*1000)/Inputs!$C$21*1000000</f>
        <v>2670.7880423062543</v>
      </c>
      <c r="Q87">
        <f>Scenario_Data!U87</f>
        <v>-116.80000000000001</v>
      </c>
      <c r="R87">
        <f>2*(Scenario_Data!C87*1000)/Inputs!$C$21*1000000</f>
        <v>441.11423243342574</v>
      </c>
      <c r="S87">
        <f>Scenario_Data!V87</f>
        <v>-233.60000000000002</v>
      </c>
      <c r="T87">
        <f>2*(Scenario_Data!D87*1000)/Inputs!$C$21*1000000</f>
        <v>782.4063405891286</v>
      </c>
      <c r="U87">
        <f>Scenario_Data!W87</f>
        <v>-233.60000000000002</v>
      </c>
      <c r="V87">
        <f>2*(Scenario_Data!E87*1000)/Inputs!$C$21*1000000</f>
        <v>721.38172335209333</v>
      </c>
      <c r="X87">
        <f>Scenario_Data!T87</f>
        <v>-17.520000000000003</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2671.6172551078062</v>
      </c>
      <c r="Z87">
        <f>Scenario_Data!U87</f>
        <v>-116.80000000000001</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440.789520058493</v>
      </c>
      <c r="AB87">
        <f>Scenario_Data!V87</f>
        <v>-233.60000000000002</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782.23831898070887</v>
      </c>
      <c r="AD87">
        <f>Scenario_Data!W87</f>
        <v>-233.60000000000002</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721.2137017436736</v>
      </c>
      <c r="AG87">
        <f>Scenario_Data!T87</f>
        <v>-17.520000000000003</v>
      </c>
      <c r="AH87">
        <f>2*(SQRT((Inputs!$C$52+(Scenario_Data!B87))^2+Inputs!$C$52^2-2*(Inputs!$C$52+(Scenario_Data!B87))*Inputs!$C$52*COS(SQRT((Scenario_Data!T87)^2+Inputs!$C$6^2)/Inputs!$C$52))*1000)/Inputs!$C$21*1000000</f>
        <v>2680.526689218967</v>
      </c>
      <c r="AI87">
        <f>Scenario_Data!U87</f>
        <v>-116.80000000000001</v>
      </c>
      <c r="AJ87">
        <f>2*(SQRT((Inputs!$C$52+(Scenario_Data!C87))^2+Inputs!$C$52^2-2*(Inputs!$C$52+(Scenario_Data!C87))*Inputs!$C$52*COS(SQRT((Scenario_Data!U87)^2+Inputs!$C$6^2)/Inputs!$C$52))*1000)/Inputs!$C$21*1000000</f>
        <v>925.27653395464438</v>
      </c>
      <c r="AK87">
        <f>Scenario_Data!V87</f>
        <v>-233.60000000000002</v>
      </c>
      <c r="AL87">
        <f>2*(SQRT((Inputs!$C$52+(Scenario_Data!D87))^2+Inputs!$C$52^2-2*(Inputs!$C$52+(Scenario_Data!D87))*Inputs!$C$52*COS(SQRT((Scenario_Data!V87)^2+Inputs!$C$6^2)/Inputs!$C$52))*1000)/Inputs!$C$21*1000000</f>
        <v>1802.2819043727304</v>
      </c>
      <c r="AM87">
        <f>Scenario_Data!W87</f>
        <v>-233.60000000000002</v>
      </c>
      <c r="AN87">
        <f>2*(SQRT((Inputs!$C$52+(Scenario_Data!E87))^2+Inputs!$C$52^2-2*(Inputs!$C$52+(Scenario_Data!E87))*Inputs!$C$52*COS(SQRT((Scenario_Data!W87)^2+Inputs!$C$6^2)/Inputs!$C$52))*1000)/Inputs!$C$21*1000000</f>
        <v>1772.5920499108024</v>
      </c>
      <c r="AP87">
        <f>Scenario_Data!T87</f>
        <v>-17.520000000000003</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2677.9011023671369</v>
      </c>
      <c r="AR87">
        <f>Scenario_Data!U87</f>
        <v>-116.80000000000001</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924.78663030799089</v>
      </c>
      <c r="AT87">
        <f>Scenario_Data!V87</f>
        <v>-233.60000000000002</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1801.9356748527755</v>
      </c>
      <c r="AV87">
        <f>Scenario_Data!W87</f>
        <v>-233.60000000000002</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1772.2724325966283</v>
      </c>
    </row>
    <row r="88" spans="1:49">
      <c r="A88">
        <f>Chart_Data!K88</f>
        <v>-17</v>
      </c>
      <c r="B88">
        <f>Chart_Data!N88-Chart_Data!L88</f>
        <v>123.99875892548812</v>
      </c>
      <c r="D88">
        <f>Chart_Data!G88</f>
        <v>-17</v>
      </c>
      <c r="E88">
        <f>Chart_Data!H88</f>
        <v>381.37310246850825</v>
      </c>
      <c r="F88">
        <f>Chart_Data!I88</f>
        <v>381.37310246850825</v>
      </c>
      <c r="G88">
        <f>Chart_Data!J88</f>
        <v>-125.70874899839603</v>
      </c>
      <c r="I88">
        <f>Scenario_Data!A88</f>
        <v>-0.28299999999999997</v>
      </c>
      <c r="J88">
        <f>Scenario_Data!H88-(((SQRT((Inputs!$C$52+(Inputs!$H$6))^2+Inputs!$C$52^2-2*(Inputs!$C$52+(Inputs!$H$6))*Inputs!$C$52*COS(SQRT((Scenario_Data!T88)^2+Inputs!$C$6^2)/Inputs!$C$52)))-(Inputs!$H$6))*1000/Inputs!$C$12)</f>
        <v>-0.51026903842853244</v>
      </c>
      <c r="K88">
        <f>Scenario_Data!I88-(((SQRT((Inputs!$C$52+(Inputs!$H$7))^2+Inputs!$C$52^2-2*(Inputs!$C$52+(Inputs!$H$7))*Inputs!$C$52*COS(SQRT((Scenario_Data!U88)^2+Inputs!$C$6^2)/Inputs!$C$52)))-(Inputs!$H$7))*1000/Inputs!$C$12)</f>
        <v>-9528.6373739095652</v>
      </c>
      <c r="L88">
        <f>Scenario_Data!J88-(((SQRT((Inputs!$C$52+(Inputs!$H$8))^2+Inputs!$C$52^2-2*(Inputs!$C$52+(Inputs!$H$8))*Inputs!$C$52*COS(SQRT((Scenario_Data!V88)^2+Inputs!$C$6^2)/Inputs!$C$52)))-(Inputs!$H$8))*1000/Inputs!$C$12)</f>
        <v>-27549.64613181504</v>
      </c>
      <c r="M88">
        <f>Scenario_Data!K88-(((SQRT((Inputs!$C$52+(Inputs!$H$9))^2+Inputs!$C$52^2-2*(Inputs!$C$52+(Inputs!$H$9))*Inputs!$C$52*COS(SQRT((Scenario_Data!W88)^2+Inputs!$C$6^2)/Inputs!$C$52)))-(Inputs!$H$9))*1000/Inputs!$C$12)</f>
        <v>-29351.91580166448</v>
      </c>
      <c r="O88">
        <f>Scenario_Data!T88</f>
        <v>-16.979999999999997</v>
      </c>
      <c r="P88">
        <f>2*(Scenario_Data!B88*1000)/Inputs!$C$21*1000000</f>
        <v>2670.6499467708427</v>
      </c>
      <c r="Q88">
        <f>Scenario_Data!U88</f>
        <v>-113.19999999999999</v>
      </c>
      <c r="R88">
        <f>2*(Scenario_Data!C88*1000)/Inputs!$C$21*1000000</f>
        <v>428.51301482707748</v>
      </c>
      <c r="S88">
        <f>Scenario_Data!V88</f>
        <v>-226.39999999999998</v>
      </c>
      <c r="T88">
        <f>2*(Scenario_Data!D88*1000)/Inputs!$C$21*1000000</f>
        <v>749.09079267097502</v>
      </c>
      <c r="U88">
        <f>Scenario_Data!W88</f>
        <v>-226.39999999999998</v>
      </c>
      <c r="V88">
        <f>2*(Scenario_Data!E88*1000)/Inputs!$C$21*1000000</f>
        <v>687.72093659540951</v>
      </c>
      <c r="X88">
        <f>Scenario_Data!T88</f>
        <v>-16.979999999999997</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2671.4755777744185</v>
      </c>
      <c r="Z88">
        <f>Scenario_Data!U88</f>
        <v>-113.19999999999999</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428.42468286207787</v>
      </c>
      <c r="AB88">
        <f>Scenario_Data!V88</f>
        <v>-226.39999999999998</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748.93086768833803</v>
      </c>
      <c r="AD88">
        <f>Scenario_Data!W88</f>
        <v>-226.39999999999998</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687.56101161277263</v>
      </c>
      <c r="AG88">
        <f>Scenario_Data!T88</f>
        <v>-16.979999999999997</v>
      </c>
      <c r="AH88">
        <f>2*(SQRT((Inputs!$C$52+(Scenario_Data!B88))^2+Inputs!$C$52^2-2*(Inputs!$C$52+(Scenario_Data!B88))*Inputs!$C$52*COS(SQRT((Scenario_Data!T88)^2+Inputs!$C$6^2)/Inputs!$C$52))*1000)/Inputs!$C$21*1000000</f>
        <v>2680.1946587476814</v>
      </c>
      <c r="AI88">
        <f>Scenario_Data!U88</f>
        <v>-113.19999999999999</v>
      </c>
      <c r="AJ88">
        <f>2*(SQRT((Inputs!$C$52+(Scenario_Data!C88))^2+Inputs!$C$52^2-2*(Inputs!$C$52+(Scenario_Data!C88))*Inputs!$C$52*COS(SQRT((Scenario_Data!U88)^2+Inputs!$C$6^2)/Inputs!$C$52))*1000)/Inputs!$C$21*1000000</f>
        <v>897.81905962626126</v>
      </c>
      <c r="AK88">
        <f>Scenario_Data!V88</f>
        <v>-226.39999999999998</v>
      </c>
      <c r="AL88">
        <f>2*(SQRT((Inputs!$C$52+(Scenario_Data!D88))^2+Inputs!$C$52^2-2*(Inputs!$C$52+(Scenario_Data!D88))*Inputs!$C$52*COS(SQRT((Scenario_Data!V88)^2+Inputs!$C$6^2)/Inputs!$C$52))*1000)/Inputs!$C$21*1000000</f>
        <v>1741.2416393615815</v>
      </c>
      <c r="AM88">
        <f>Scenario_Data!W88</f>
        <v>-226.39999999999998</v>
      </c>
      <c r="AN88">
        <f>2*(SQRT((Inputs!$C$52+(Scenario_Data!E88))^2+Inputs!$C$52^2-2*(Inputs!$C$52+(Scenario_Data!E88))*Inputs!$C$52*COS(SQRT((Scenario_Data!W88)^2+Inputs!$C$6^2)/Inputs!$C$52))*1000)/Inputs!$C$21*1000000</f>
        <v>1711.7711368171172</v>
      </c>
      <c r="AP88">
        <f>Scenario_Data!T88</f>
        <v>-16.979999999999997</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2677.5923280337583</v>
      </c>
      <c r="AR88">
        <f>Scenario_Data!U88</f>
        <v>-113.19999999999999</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897.50242392505288</v>
      </c>
      <c r="AT88">
        <f>Scenario_Data!V88</f>
        <v>-226.39999999999998</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1740.8922865861819</v>
      </c>
      <c r="AV88">
        <f>Scenario_Data!W88</f>
        <v>-226.39999999999998</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1711.4500227839458</v>
      </c>
    </row>
    <row r="89" spans="1:49">
      <c r="A89">
        <f>Chart_Data!K89</f>
        <v>-16.5</v>
      </c>
      <c r="B89">
        <f>Chart_Data!N89-Chart_Data!L89</f>
        <v>122.1642571318593</v>
      </c>
      <c r="D89">
        <f>Chart_Data!G89</f>
        <v>-16.5</v>
      </c>
      <c r="E89">
        <f>Chart_Data!H89</f>
        <v>387.14310586746348</v>
      </c>
      <c r="F89">
        <f>Chart_Data!I89</f>
        <v>387.14310586746348</v>
      </c>
      <c r="G89">
        <f>Chart_Data!J89</f>
        <v>-123.86861357235706</v>
      </c>
      <c r="I89">
        <f>Scenario_Data!A89</f>
        <v>-0.27500000000000002</v>
      </c>
      <c r="J89">
        <f>Scenario_Data!H89-(((SQRT((Inputs!$C$52+(Inputs!$H$6))^2+Inputs!$C$52^2-2*(Inputs!$C$52+(Inputs!$H$6))*Inputs!$C$52*COS(SQRT((Scenario_Data!T89)^2+Inputs!$C$6^2)/Inputs!$C$52)))-(Inputs!$H$6))*1000/Inputs!$C$12)</f>
        <v>-0.47341919121004139</v>
      </c>
      <c r="K89">
        <f>Scenario_Data!I89-(((SQRT((Inputs!$C$52+(Inputs!$H$7))^2+Inputs!$C$52^2-2*(Inputs!$C$52+(Inputs!$H$7))*Inputs!$C$52*COS(SQRT((Scenario_Data!U89)^2+Inputs!$C$6^2)/Inputs!$C$52)))-(Inputs!$H$7))*1000/Inputs!$C$12)</f>
        <v>-8953.9368130908624</v>
      </c>
      <c r="L89">
        <f>Scenario_Data!J89-(((SQRT((Inputs!$C$52+(Inputs!$H$8))^2+Inputs!$C$52^2-2*(Inputs!$C$52+(Inputs!$H$8))*Inputs!$C$52*COS(SQRT((Scenario_Data!V89)^2+Inputs!$C$6^2)/Inputs!$C$52)))-(Inputs!$H$8))*1000/Inputs!$C$12)</f>
        <v>-26088.809681649203</v>
      </c>
      <c r="M89">
        <f>Scenario_Data!K89-(((SQRT((Inputs!$C$52+(Inputs!$H$9))^2+Inputs!$C$52^2-2*(Inputs!$C$52+(Inputs!$H$9))*Inputs!$C$52*COS(SQRT((Scenario_Data!W89)^2+Inputs!$C$6^2)/Inputs!$C$52)))-(Inputs!$H$9))*1000/Inputs!$C$12)</f>
        <v>-27840.288392506118</v>
      </c>
      <c r="O89">
        <f>Scenario_Data!T89</f>
        <v>-16.5</v>
      </c>
      <c r="P89">
        <f>2*(Scenario_Data!B89*1000)/Inputs!$C$21*1000000</f>
        <v>2670.5308243611653</v>
      </c>
      <c r="Q89">
        <f>Scenario_Data!U89</f>
        <v>-110</v>
      </c>
      <c r="R89">
        <f>2*(Scenario_Data!C89*1000)/Inputs!$C$21*1000000</f>
        <v>417.64309494403631</v>
      </c>
      <c r="S89">
        <f>Scenario_Data!V89</f>
        <v>-220</v>
      </c>
      <c r="T89">
        <f>2*(Scenario_Data!D89*1000)/Inputs!$C$21*1000000</f>
        <v>720.35251133635927</v>
      </c>
      <c r="U89">
        <f>Scenario_Data!W89</f>
        <v>-220</v>
      </c>
      <c r="V89">
        <f>2*(Scenario_Data!E89*1000)/Inputs!$C$21*1000000</f>
        <v>658.68484923660094</v>
      </c>
      <c r="X89">
        <f>Scenario_Data!T89</f>
        <v>-16.5</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2671.3571868013596</v>
      </c>
      <c r="Z89">
        <f>Scenario_Data!U89</f>
        <v>-110</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417.67037608062077</v>
      </c>
      <c r="AB89">
        <f>Scenario_Data!V89</f>
        <v>-220</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720.43324191293686</v>
      </c>
      <c r="AD89">
        <f>Scenario_Data!W89</f>
        <v>-220</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658.76557981317865</v>
      </c>
      <c r="AG89">
        <f>Scenario_Data!T89</f>
        <v>-16.5</v>
      </c>
      <c r="AH89">
        <f>2*(SQRT((Inputs!$C$52+(Scenario_Data!B89))^2+Inputs!$C$52^2-2*(Inputs!$C$52+(Scenario_Data!B89))*Inputs!$C$52*COS(SQRT((Scenario_Data!T89)^2+Inputs!$C$6^2)/Inputs!$C$52))*1000)/Inputs!$C$21*1000000</f>
        <v>2679.9082221420913</v>
      </c>
      <c r="AI89">
        <f>Scenario_Data!U89</f>
        <v>-110</v>
      </c>
      <c r="AJ89">
        <f>2*(SQRT((Inputs!$C$52+(Scenario_Data!C89))^2+Inputs!$C$52^2-2*(Inputs!$C$52+(Scenario_Data!C89))*Inputs!$C$52*COS(SQRT((Scenario_Data!U89)^2+Inputs!$C$6^2)/Inputs!$C$52))*1000)/Inputs!$C$21*1000000</f>
        <v>873.62687375191115</v>
      </c>
      <c r="AK89">
        <f>Scenario_Data!V89</f>
        <v>-220</v>
      </c>
      <c r="AL89">
        <f>2*(SQRT((Inputs!$C$52+(Scenario_Data!D89))^2+Inputs!$C$52^2-2*(Inputs!$C$52+(Scenario_Data!D89))*Inputs!$C$52*COS(SQRT((Scenario_Data!V89)^2+Inputs!$C$6^2)/Inputs!$C$52))*1000)/Inputs!$C$21*1000000</f>
        <v>1687.5579776583929</v>
      </c>
      <c r="AM89">
        <f>Scenario_Data!W89</f>
        <v>-220</v>
      </c>
      <c r="AN89">
        <f>2*(SQRT((Inputs!$C$52+(Scenario_Data!E89))^2+Inputs!$C$52^2-2*(Inputs!$C$52+(Scenario_Data!E89))*Inputs!$C$52*COS(SQRT((Scenario_Data!W89)^2+Inputs!$C$6^2)/Inputs!$C$52))*1000)/Inputs!$C$21*1000000</f>
        <v>1658.2850643618456</v>
      </c>
      <c r="AP89">
        <f>Scenario_Data!T89</f>
        <v>-16.5</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2677.3368515879529</v>
      </c>
      <c r="AR89">
        <f>Scenario_Data!U89</f>
        <v>-110</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873.27080004631364</v>
      </c>
      <c r="AT89">
        <f>Scenario_Data!V89</f>
        <v>-220</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1687.4158648553757</v>
      </c>
      <c r="AV89">
        <f>Scenario_Data!W89</f>
        <v>-220</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1658.1549567841441</v>
      </c>
    </row>
    <row r="90" spans="1:49">
      <c r="A90">
        <f>Chart_Data!K90</f>
        <v>-16</v>
      </c>
      <c r="B90">
        <f>Chart_Data!N90-Chart_Data!L90</f>
        <v>95.693433377809242</v>
      </c>
      <c r="D90">
        <f>Chart_Data!G90</f>
        <v>-16</v>
      </c>
      <c r="E90">
        <f>Chart_Data!H90</f>
        <v>413.29561486427639</v>
      </c>
      <c r="F90">
        <f>Chart_Data!I90</f>
        <v>413.29561486427639</v>
      </c>
      <c r="G90">
        <f>Chart_Data!J90</f>
        <v>-97.48037396441562</v>
      </c>
      <c r="I90">
        <f>Scenario_Data!A90</f>
        <v>-0.26700000000000002</v>
      </c>
      <c r="J90">
        <f>Scenario_Data!H90-(((SQRT((Inputs!$C$52+(Inputs!$H$6))^2+Inputs!$C$52^2-2*(Inputs!$C$52+(Inputs!$H$6))*Inputs!$C$52*COS(SQRT((Scenario_Data!T90)^2+Inputs!$C$6^2)/Inputs!$C$52)))-(Inputs!$H$6))*1000/Inputs!$C$12)</f>
        <v>-0.43857412502381976</v>
      </c>
      <c r="K90">
        <f>Scenario_Data!I90-(((SQRT((Inputs!$C$52+(Inputs!$H$7))^2+Inputs!$C$52^2-2*(Inputs!$C$52+(Inputs!$H$7))*Inputs!$C$52*COS(SQRT((Scenario_Data!U90)^2+Inputs!$C$6^2)/Inputs!$C$52)))-(Inputs!$H$7))*1000/Inputs!$C$12)</f>
        <v>-8394.7042158108161</v>
      </c>
      <c r="L90">
        <f>Scenario_Data!J90-(((SQRT((Inputs!$C$52+(Inputs!$H$8))^2+Inputs!$C$52^2-2*(Inputs!$C$52+(Inputs!$H$8))*Inputs!$C$52*COS(SQRT((Scenario_Data!V90)^2+Inputs!$C$6^2)/Inputs!$C$52)))-(Inputs!$H$8))*1000/Inputs!$C$12)</f>
        <v>-24655.783322873118</v>
      </c>
      <c r="M90">
        <f>Scenario_Data!K90-(((SQRT((Inputs!$C$52+(Inputs!$H$9))^2+Inputs!$C$52^2-2*(Inputs!$C$52+(Inputs!$H$9))*Inputs!$C$52*COS(SQRT((Scenario_Data!W90)^2+Inputs!$C$6^2)/Inputs!$C$52)))-(Inputs!$H$9))*1000/Inputs!$C$12)</f>
        <v>-26355.92282022885</v>
      </c>
      <c r="O90">
        <f>Scenario_Data!T90</f>
        <v>-16.020000000000003</v>
      </c>
      <c r="P90">
        <f>2*(Scenario_Data!B90*1000)/Inputs!$C$21*1000000</f>
        <v>2670.4151176478226</v>
      </c>
      <c r="Q90">
        <f>Scenario_Data!U90</f>
        <v>-106.80000000000001</v>
      </c>
      <c r="R90">
        <f>2*(Scenario_Data!C90*1000)/Inputs!$C$21*1000000</f>
        <v>407.08485735154818</v>
      </c>
      <c r="S90">
        <f>Scenario_Data!V90</f>
        <v>-213.60000000000002</v>
      </c>
      <c r="T90">
        <f>2*(Scenario_Data!D90*1000)/Inputs!$C$21*1000000</f>
        <v>692.43826674252091</v>
      </c>
      <c r="U90">
        <f>Scenario_Data!W90</f>
        <v>-213.60000000000002</v>
      </c>
      <c r="V90">
        <f>2*(Scenario_Data!E90*1000)/Inputs!$C$21*1000000</f>
        <v>630.48133785940684</v>
      </c>
      <c r="X90">
        <f>Scenario_Data!T90</f>
        <v>-16.020000000000003</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2671.2248800209791</v>
      </c>
      <c r="Z90">
        <f>Scenario_Data!U90</f>
        <v>-106.80000000000001</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406.74702738970677</v>
      </c>
      <c r="AB90">
        <f>Scenario_Data!V90</f>
        <v>-213.60000000000002</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691.96705519544912</v>
      </c>
      <c r="AD90">
        <f>Scenario_Data!W90</f>
        <v>-213.60000000000002</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630.01012631233505</v>
      </c>
      <c r="AG90">
        <f>Scenario_Data!T90</f>
        <v>-16.020000000000003</v>
      </c>
      <c r="AH90">
        <f>2*(SQRT((Inputs!$C$52+(Scenario_Data!B90))^2+Inputs!$C$52^2-2*(Inputs!$C$52+(Scenario_Data!B90))*Inputs!$C$52*COS(SQRT((Scenario_Data!T90)^2+Inputs!$C$6^2)/Inputs!$C$52))*1000)/Inputs!$C$21*1000000</f>
        <v>2679.6299772752322</v>
      </c>
      <c r="AI90">
        <f>Scenario_Data!U90</f>
        <v>-106.80000000000001</v>
      </c>
      <c r="AJ90">
        <f>2*(SQRT((Inputs!$C$52+(Scenario_Data!C90))^2+Inputs!$C$52^2-2*(Inputs!$C$52+(Scenario_Data!C90))*Inputs!$C$52*COS(SQRT((Scenario_Data!U90)^2+Inputs!$C$6^2)/Inputs!$C$52))*1000)/Inputs!$C$21*1000000</f>
        <v>849.63861157700319</v>
      </c>
      <c r="AK90">
        <f>Scenario_Data!V90</f>
        <v>-213.60000000000002</v>
      </c>
      <c r="AL90">
        <f>2*(SQRT((Inputs!$C$52+(Scenario_Data!D90))^2+Inputs!$C$52^2-2*(Inputs!$C$52+(Scenario_Data!D90))*Inputs!$C$52*COS(SQRT((Scenario_Data!V90)^2+Inputs!$C$6^2)/Inputs!$C$52))*1000)/Inputs!$C$21*1000000</f>
        <v>1634.406668398929</v>
      </c>
      <c r="AM90">
        <f>Scenario_Data!W90</f>
        <v>-213.60000000000002</v>
      </c>
      <c r="AN90">
        <f>2*(SQRT((Inputs!$C$52+(Scenario_Data!E90))^2+Inputs!$C$52^2-2*(Inputs!$C$52+(Scenario_Data!E90))*Inputs!$C$52*COS(SQRT((Scenario_Data!W90)^2+Inputs!$C$6^2)/Inputs!$C$52))*1000)/Inputs!$C$21*1000000</f>
        <v>1605.3325327342354</v>
      </c>
      <c r="AP90">
        <f>Scenario_Data!T90</f>
        <v>-16.020000000000003</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2676.8935781249206</v>
      </c>
      <c r="AR90">
        <f>Scenario_Data!U90</f>
        <v>-106.80000000000001</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849.12984187462246</v>
      </c>
      <c r="AT90">
        <f>Scenario_Data!V90</f>
        <v>-213.60000000000002</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1633.9682240085044</v>
      </c>
      <c r="AV90">
        <f>Scenario_Data!W90</f>
        <v>-213.60000000000002</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1604.9328537633521</v>
      </c>
    </row>
    <row r="91" spans="1:49">
      <c r="A91">
        <f>Chart_Data!K91</f>
        <v>-15.5</v>
      </c>
      <c r="B91">
        <f>Chart_Data!N91-Chart_Data!L91</f>
        <v>107.59636634063799</v>
      </c>
      <c r="D91">
        <f>Chart_Data!G91</f>
        <v>-15.5</v>
      </c>
      <c r="E91">
        <f>Chart_Data!H91</f>
        <v>405.17934846817269</v>
      </c>
      <c r="F91">
        <f>Chart_Data!I91</f>
        <v>405.17934846817269</v>
      </c>
      <c r="G91">
        <f>Chart_Data!J91</f>
        <v>-109.31712972071381</v>
      </c>
      <c r="I91">
        <f>Scenario_Data!A91</f>
        <v>-0.25800000000000001</v>
      </c>
      <c r="J91">
        <f>Scenario_Data!H91-(((SQRT((Inputs!$C$52+(Inputs!$H$6))^2+Inputs!$C$52^2-2*(Inputs!$C$52+(Inputs!$H$6))*Inputs!$C$52*COS(SQRT((Scenario_Data!T91)^2+Inputs!$C$6^2)/Inputs!$C$52)))-(Inputs!$H$6))*1000/Inputs!$C$12)</f>
        <v>-0.4016673031354685</v>
      </c>
      <c r="K91">
        <f>Scenario_Data!I91-(((SQRT((Inputs!$C$52+(Inputs!$H$7))^2+Inputs!$C$52^2-2*(Inputs!$C$52+(Inputs!$H$7))*Inputs!$C$52*COS(SQRT((Scenario_Data!U91)^2+Inputs!$C$6^2)/Inputs!$C$52)))-(Inputs!$H$7))*1000/Inputs!$C$12)</f>
        <v>-7784.4332514201305</v>
      </c>
      <c r="L91">
        <f>Scenario_Data!J91-(((SQRT((Inputs!$C$52+(Inputs!$H$8))^2+Inputs!$C$52^2-2*(Inputs!$C$52+(Inputs!$H$8))*Inputs!$C$52*COS(SQRT((Scenario_Data!V91)^2+Inputs!$C$6^2)/Inputs!$C$52)))-(Inputs!$H$8))*1000/Inputs!$C$12)</f>
        <v>-23078.113644632846</v>
      </c>
      <c r="M91">
        <f>Scenario_Data!K91-(((SQRT((Inputs!$C$52+(Inputs!$H$9))^2+Inputs!$C$52^2-2*(Inputs!$C$52+(Inputs!$H$9))*Inputs!$C$52*COS(SQRT((Scenario_Data!W91)^2+Inputs!$C$6^2)/Inputs!$C$52)))-(Inputs!$H$9))*1000/Inputs!$C$12)</f>
        <v>-24719.85672730935</v>
      </c>
      <c r="O91">
        <f>Scenario_Data!T91</f>
        <v>-15.480000000000004</v>
      </c>
      <c r="P91">
        <f>2*(Scenario_Data!B91*1000)/Inputs!$C$21*1000000</f>
        <v>2670.2890304198377</v>
      </c>
      <c r="Q91">
        <f>Scenario_Data!U91</f>
        <v>-103.19999999999999</v>
      </c>
      <c r="R91">
        <f>2*(Scenario_Data!C91*1000)/Inputs!$C$21*1000000</f>
        <v>395.57939779792588</v>
      </c>
      <c r="S91">
        <f>Scenario_Data!V91</f>
        <v>-206.39999999999998</v>
      </c>
      <c r="T91">
        <f>2*(Scenario_Data!D91*1000)/Inputs!$C$21*1000000</f>
        <v>662.01972299116323</v>
      </c>
      <c r="U91">
        <f>Scenario_Data!W91</f>
        <v>-206.39999999999998</v>
      </c>
      <c r="V91">
        <f>2*(Scenario_Data!E91*1000)/Inputs!$C$21*1000000</f>
        <v>599.74757603808689</v>
      </c>
      <c r="X91">
        <f>Scenario_Data!T91</f>
        <v>-15.480000000000004</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2670.8930621337031</v>
      </c>
      <c r="Z91">
        <f>Scenario_Data!U91</f>
        <v>-103.19999999999999</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395.08927018210937</v>
      </c>
      <c r="AB91">
        <f>Scenario_Data!V91</f>
        <v>-206.39999999999998</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661.68999948461476</v>
      </c>
      <c r="AD91">
        <f>Scenario_Data!W91</f>
        <v>-206.39999999999998</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599.4178525315383</v>
      </c>
      <c r="AG91">
        <f>Scenario_Data!T91</f>
        <v>-15.480000000000004</v>
      </c>
      <c r="AH91">
        <f>2*(SQRT((Inputs!$C$52+(Scenario_Data!B91))^2+Inputs!$C$52^2-2*(Inputs!$C$52+(Scenario_Data!B91))*Inputs!$C$52*COS(SQRT((Scenario_Data!T91)^2+Inputs!$C$6^2)/Inputs!$C$52))*1000)/Inputs!$C$21*1000000</f>
        <v>2679.3267458137466</v>
      </c>
      <c r="AI91">
        <f>Scenario_Data!U91</f>
        <v>-103.19999999999999</v>
      </c>
      <c r="AJ91">
        <f>2*(SQRT((Inputs!$C$52+(Scenario_Data!C91))^2+Inputs!$C$52^2-2*(Inputs!$C$52+(Scenario_Data!C91))*Inputs!$C$52*COS(SQRT((Scenario_Data!U91)^2+Inputs!$C$6^2)/Inputs!$C$52))*1000)/Inputs!$C$21*1000000</f>
        <v>822.89876155971092</v>
      </c>
      <c r="AK91">
        <f>Scenario_Data!V91</f>
        <v>-206.39999999999998</v>
      </c>
      <c r="AL91">
        <f>2*(SQRT((Inputs!$C$52+(Scenario_Data!D91))^2+Inputs!$C$52^2-2*(Inputs!$C$52+(Scenario_Data!D91))*Inputs!$C$52*COS(SQRT((Scenario_Data!V91)^2+Inputs!$C$6^2)/Inputs!$C$52))*1000)/Inputs!$C$21*1000000</f>
        <v>1575.2382195812656</v>
      </c>
      <c r="AM91">
        <f>Scenario_Data!W91</f>
        <v>-206.39999999999998</v>
      </c>
      <c r="AN91">
        <f>2*(SQRT((Inputs!$C$52+(Scenario_Data!E91))^2+Inputs!$C$52^2-2*(Inputs!$C$52+(Scenario_Data!E91))*Inputs!$C$52*COS(SQRT((Scenario_Data!W91)^2+Inputs!$C$6^2)/Inputs!$C$52))*1000)/Inputs!$C$21*1000000</f>
        <v>1546.3874430517001</v>
      </c>
      <c r="AP91">
        <f>Scenario_Data!T91</f>
        <v>-15.480000000000004</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2676.6826725277347</v>
      </c>
      <c r="AR91">
        <f>Scenario_Data!U91</f>
        <v>-103.19999999999999</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822.34501602136879</v>
      </c>
      <c r="AT91">
        <f>Scenario_Data!V91</f>
        <v>-206.39999999999998</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1574.9472856715226</v>
      </c>
      <c r="AV91">
        <f>Scenario_Data!W91</f>
        <v>-206.39999999999998</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1546.1235434612527</v>
      </c>
    </row>
    <row r="92" spans="1:49">
      <c r="A92">
        <f>Chart_Data!K92</f>
        <v>-15</v>
      </c>
      <c r="B92">
        <f>Chart_Data!N92-Chart_Data!L92</f>
        <v>88.756788598213006</v>
      </c>
      <c r="D92">
        <f>Chart_Data!G92</f>
        <v>-15</v>
      </c>
      <c r="E92">
        <f>Chart_Data!H92</f>
        <v>416.63024006091615</v>
      </c>
      <c r="F92">
        <f>Chart_Data!I92</f>
        <v>416.63024006091615</v>
      </c>
      <c r="G92">
        <f>Chart_Data!J92</f>
        <v>-90.495309029444954</v>
      </c>
      <c r="I92">
        <f>Scenario_Data!A92</f>
        <v>-0.25</v>
      </c>
      <c r="J92">
        <f>Scenario_Data!H92-(((SQRT((Inputs!$C$52+(Inputs!$H$6))^2+Inputs!$C$52^2-2*(Inputs!$C$52+(Inputs!$H$6))*Inputs!$C$52*COS(SQRT((Scenario_Data!T92)^2+Inputs!$C$6^2)/Inputs!$C$52)))-(Inputs!$H$6))*1000/Inputs!$C$12)</f>
        <v>-0.37081187517208036</v>
      </c>
      <c r="K92">
        <f>Scenario_Data!I92-(((SQRT((Inputs!$C$52+(Inputs!$H$7))^2+Inputs!$C$52^2-2*(Inputs!$C$52+(Inputs!$H$7))*Inputs!$C$52*COS(SQRT((Scenario_Data!U92)^2+Inputs!$C$6^2)/Inputs!$C$52)))-(Inputs!$H$7))*1000/Inputs!$C$12)</f>
        <v>-7259.0775623812369</v>
      </c>
      <c r="L92">
        <f>Scenario_Data!J92-(((SQRT((Inputs!$C$52+(Inputs!$H$8))^2+Inputs!$C$52^2-2*(Inputs!$C$52+(Inputs!$H$8))*Inputs!$C$52*COS(SQRT((Scenario_Data!V92)^2+Inputs!$C$6^2)/Inputs!$C$52)))-(Inputs!$H$8))*1000/Inputs!$C$12)</f>
        <v>-21707.520208299306</v>
      </c>
      <c r="M92">
        <f>Scenario_Data!K92-(((SQRT((Inputs!$C$52+(Inputs!$H$9))^2+Inputs!$C$52^2-2*(Inputs!$C$52+(Inputs!$H$9))*Inputs!$C$52*COS(SQRT((Scenario_Data!W92)^2+Inputs!$C$6^2)/Inputs!$C$52)))-(Inputs!$H$9))*1000/Inputs!$C$12)</f>
        <v>-23296.801058357276</v>
      </c>
      <c r="O92">
        <f>Scenario_Data!T92</f>
        <v>-15</v>
      </c>
      <c r="P92">
        <f>2*(Scenario_Data!B92*1000)/Inputs!$C$21*1000000</f>
        <v>2670.1805820612071</v>
      </c>
      <c r="Q92">
        <f>Scenario_Data!U92</f>
        <v>-100</v>
      </c>
      <c r="R92">
        <f>2*(Scenario_Data!C92*1000)/Inputs!$C$21*1000000</f>
        <v>385.68348507286333</v>
      </c>
      <c r="S92">
        <f>Scenario_Data!V92</f>
        <v>-200</v>
      </c>
      <c r="T92">
        <f>2*(Scenario_Data!D92*1000)/Inputs!$C$21*1000000</f>
        <v>635.85655647147735</v>
      </c>
      <c r="U92">
        <f>Scenario_Data!W92</f>
        <v>-200</v>
      </c>
      <c r="V92">
        <f>2*(Scenario_Data!E92*1000)/Inputs!$C$21*1000000</f>
        <v>573.31328862182386</v>
      </c>
      <c r="X92">
        <f>Scenario_Data!T92</f>
        <v>-15</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2670.7843017787291</v>
      </c>
      <c r="Z92">
        <f>Scenario_Data!U92</f>
        <v>-100</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385.36613803777971</v>
      </c>
      <c r="AB92">
        <f>Scenario_Data!V92</f>
        <v>-200</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635.69825524385692</v>
      </c>
      <c r="AD92">
        <f>Scenario_Data!W92</f>
        <v>-200</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573.15498739420343</v>
      </c>
      <c r="AG92">
        <f>Scenario_Data!T92</f>
        <v>-15</v>
      </c>
      <c r="AH92">
        <f>2*(SQRT((Inputs!$C$52+(Scenario_Data!B92))^2+Inputs!$C$52^2-2*(Inputs!$C$52+(Scenario_Data!B92))*Inputs!$C$52*COS(SQRT((Scenario_Data!T92)^2+Inputs!$C$6^2)/Inputs!$C$52))*1000)/Inputs!$C$21*1000000</f>
        <v>2679.0659145324939</v>
      </c>
      <c r="AI92">
        <f>Scenario_Data!U92</f>
        <v>-100</v>
      </c>
      <c r="AJ92">
        <f>2*(SQRT((Inputs!$C$52+(Scenario_Data!C92))^2+Inputs!$C$52^2-2*(Inputs!$C$52+(Scenario_Data!C92))*Inputs!$C$52*COS(SQRT((Scenario_Data!U92)^2+Inputs!$C$6^2)/Inputs!$C$52))*1000)/Inputs!$C$21*1000000</f>
        <v>799.35304652578816</v>
      </c>
      <c r="AK92">
        <f>Scenario_Data!V92</f>
        <v>-200</v>
      </c>
      <c r="AL92">
        <f>2*(SQRT((Inputs!$C$52+(Scenario_Data!D92))^2+Inputs!$C$52^2-2*(Inputs!$C$52+(Scenario_Data!D92))*Inputs!$C$52*COS(SQRT((Scenario_Data!V92)^2+Inputs!$C$6^2)/Inputs!$C$52))*1000)/Inputs!$C$21*1000000</f>
        <v>1523.1929864371127</v>
      </c>
      <c r="AM92">
        <f>Scenario_Data!W92</f>
        <v>-200</v>
      </c>
      <c r="AN92">
        <f>2*(SQRT((Inputs!$C$52+(Scenario_Data!E92))^2+Inputs!$C$52^2-2*(Inputs!$C$52+(Scenario_Data!E92))*Inputs!$C$52*COS(SQRT((Scenario_Data!W92)^2+Inputs!$C$6^2)/Inputs!$C$52))*1000)/Inputs!$C$21*1000000</f>
        <v>1494.538848738704</v>
      </c>
      <c r="AP92">
        <f>Scenario_Data!T92</f>
        <v>-15</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2676.2980549112249</v>
      </c>
      <c r="AR92">
        <f>Scenario_Data!U92</f>
        <v>-100</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798.90009501225063</v>
      </c>
      <c r="AT92">
        <f>Scenario_Data!V92</f>
        <v>-200</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1522.8401884505734</v>
      </c>
      <c r="AV92">
        <f>Scenario_Data!W92</f>
        <v>-200</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1494.2203317731464</v>
      </c>
    </row>
    <row r="93" spans="1:49">
      <c r="A93">
        <f>Chart_Data!K93</f>
        <v>-14.5</v>
      </c>
      <c r="B93">
        <f>Chart_Data!N93-Chart_Data!L93</f>
        <v>84.908234970624108</v>
      </c>
      <c r="D93">
        <f>Chart_Data!G93</f>
        <v>-14.5</v>
      </c>
      <c r="E93">
        <f>Chart_Data!H93</f>
        <v>425.31373753688456</v>
      </c>
      <c r="F93">
        <f>Chart_Data!I93</f>
        <v>425.31373753688456</v>
      </c>
      <c r="G93">
        <f>Chart_Data!J93</f>
        <v>-86.652484826799366</v>
      </c>
      <c r="I93">
        <f>Scenario_Data!A93</f>
        <v>-0.24199999999999999</v>
      </c>
      <c r="J93">
        <f>Scenario_Data!H93-(((SQRT((Inputs!$C$52+(Inputs!$H$6))^2+Inputs!$C$52^2-2*(Inputs!$C$52+(Inputs!$H$6))*Inputs!$C$52*COS(SQRT((Scenario_Data!T93)^2+Inputs!$C$6^2)/Inputs!$C$52)))-(Inputs!$H$6))*1000/Inputs!$C$12)</f>
        <v>-0.34171172867979749</v>
      </c>
      <c r="K93">
        <f>Scenario_Data!I93-(((SQRT((Inputs!$C$52+(Inputs!$H$7))^2+Inputs!$C$52^2-2*(Inputs!$C$52+(Inputs!$H$7))*Inputs!$C$52*COS(SQRT((Scenario_Data!U93)^2+Inputs!$C$6^2)/Inputs!$C$52)))-(Inputs!$H$7))*1000/Inputs!$C$12)</f>
        <v>-6750.1435304916085</v>
      </c>
      <c r="L93">
        <f>Scenario_Data!J93-(((SQRT((Inputs!$C$52+(Inputs!$H$8))^2+Inputs!$C$52^2-2*(Inputs!$C$52+(Inputs!$H$8))*Inputs!$C$52*COS(SQRT((Scenario_Data!V93)^2+Inputs!$C$6^2)/Inputs!$C$52)))-(Inputs!$H$8))*1000/Inputs!$C$12)</f>
        <v>-20367.917072372351</v>
      </c>
      <c r="M93">
        <f>Scenario_Data!K93-(((SQRT((Inputs!$C$52+(Inputs!$H$9))^2+Inputs!$C$52^2-2*(Inputs!$C$52+(Inputs!$H$9))*Inputs!$C$52*COS(SQRT((Scenario_Data!W93)^2+Inputs!$C$6^2)/Inputs!$C$52)))-(Inputs!$H$9))*1000/Inputs!$C$12)</f>
        <v>-21904.22804430117</v>
      </c>
      <c r="O93">
        <f>Scenario_Data!T93</f>
        <v>-14.519999999999996</v>
      </c>
      <c r="P93">
        <f>2*(Scenario_Data!B93*1000)/Inputs!$C$21*1000000</f>
        <v>2670.0755493989109</v>
      </c>
      <c r="Q93">
        <f>Scenario_Data!U93</f>
        <v>-96.800000000000011</v>
      </c>
      <c r="R93">
        <f>2*(Scenario_Data!C93*1000)/Inputs!$C$21*1000000</f>
        <v>376.09925463835384</v>
      </c>
      <c r="S93">
        <f>Scenario_Data!V93</f>
        <v>-193.60000000000002</v>
      </c>
      <c r="T93">
        <f>2*(Scenario_Data!D93*1000)/Inputs!$C$21*1000000</f>
        <v>610.51742669256885</v>
      </c>
      <c r="U93">
        <f>Scenario_Data!W93</f>
        <v>-193.60000000000002</v>
      </c>
      <c r="V93">
        <f>2*(Scenario_Data!E93*1000)/Inputs!$C$21*1000000</f>
        <v>547.71157718717541</v>
      </c>
      <c r="X93">
        <f>Scenario_Data!T93</f>
        <v>-14.519999999999996</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2670.7108751368901</v>
      </c>
      <c r="Z93">
        <f>Scenario_Data!U93</f>
        <v>-96.800000000000011</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376.13515915351996</v>
      </c>
      <c r="AB93">
        <f>Scenario_Data!V93</f>
        <v>-193.60000000000002</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609.84988496189897</v>
      </c>
      <c r="AD93">
        <f>Scenario_Data!W93</f>
        <v>-193.60000000000002</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547.04403545650553</v>
      </c>
      <c r="AG93">
        <f>Scenario_Data!T93</f>
        <v>-14.519999999999996</v>
      </c>
      <c r="AH93">
        <f>2*(SQRT((Inputs!$C$52+(Scenario_Data!B93))^2+Inputs!$C$52^2-2*(Inputs!$C$52+(Scenario_Data!B93))*Inputs!$C$52*COS(SQRT((Scenario_Data!T93)^2+Inputs!$C$6^2)/Inputs!$C$52))*1000)/Inputs!$C$21*1000000</f>
        <v>2678.8132806528729</v>
      </c>
      <c r="AI93">
        <f>Scenario_Data!U93</f>
        <v>-96.800000000000011</v>
      </c>
      <c r="AJ93">
        <f>2*(SQRT((Inputs!$C$52+(Scenario_Data!C93))^2+Inputs!$C$52^2-2*(Inputs!$C$52+(Scenario_Data!C93))*Inputs!$C$52*COS(SQRT((Scenario_Data!U93)^2+Inputs!$C$6^2)/Inputs!$C$52))*1000)/Inputs!$C$21*1000000</f>
        <v>776.02132681113301</v>
      </c>
      <c r="AK93">
        <f>Scenario_Data!V93</f>
        <v>-193.60000000000002</v>
      </c>
      <c r="AL93">
        <f>2*(SQRT((Inputs!$C$52+(Scenario_Data!D93))^2+Inputs!$C$52^2-2*(Inputs!$C$52+(Scenario_Data!D93))*Inputs!$C$52*COS(SQRT((Scenario_Data!V93)^2+Inputs!$C$6^2)/Inputs!$C$52))*1000)/Inputs!$C$21*1000000</f>
        <v>1471.657065923119</v>
      </c>
      <c r="AM93">
        <f>Scenario_Data!W93</f>
        <v>-193.60000000000002</v>
      </c>
      <c r="AN93">
        <f>2*(SQRT((Inputs!$C$52+(Scenario_Data!E93))^2+Inputs!$C$52^2-2*(Inputs!$C$52+(Scenario_Data!E93))*Inputs!$C$52*COS(SQRT((Scenario_Data!W93)^2+Inputs!$C$6^2)/Inputs!$C$52))*1000)/Inputs!$C$21*1000000</f>
        <v>1443.1960281662846</v>
      </c>
      <c r="AP93">
        <f>Scenario_Data!T93</f>
        <v>-14.519999999999996</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2676.0772755395565</v>
      </c>
      <c r="AR93">
        <f>Scenario_Data!U93</f>
        <v>-96.800000000000011</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775.77566578672599</v>
      </c>
      <c r="AT93">
        <f>Scenario_Data!V93</f>
        <v>-193.60000000000002</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1471.2359482529555</v>
      </c>
      <c r="AV93">
        <f>Scenario_Data!W93</f>
        <v>-193.60000000000002</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1442.8176951311209</v>
      </c>
    </row>
    <row r="94" spans="1:49">
      <c r="A94">
        <f>Chart_Data!K94</f>
        <v>-14</v>
      </c>
      <c r="B94">
        <f>Chart_Data!N94-Chart_Data!L94</f>
        <v>82.668820361240989</v>
      </c>
      <c r="D94">
        <f>Chart_Data!G94</f>
        <v>-14</v>
      </c>
      <c r="E94">
        <f>Chart_Data!H94</f>
        <v>420.95759288927439</v>
      </c>
      <c r="F94">
        <f>Chart_Data!I94</f>
        <v>420.95759288927439</v>
      </c>
      <c r="G94">
        <f>Chart_Data!J94</f>
        <v>-84.365972581405018</v>
      </c>
      <c r="I94">
        <f>Scenario_Data!A94</f>
        <v>-0.23300000000000001</v>
      </c>
      <c r="J94">
        <f>Scenario_Data!H94-(((SQRT((Inputs!$C$52+(Inputs!$H$6))^2+Inputs!$C$52^2-2*(Inputs!$C$52+(Inputs!$H$6))*Inputs!$C$52*COS(SQRT((Scenario_Data!T94)^2+Inputs!$C$6^2)/Inputs!$C$52)))-(Inputs!$H$6))*1000/Inputs!$C$12)</f>
        <v>-0.31097897475410718</v>
      </c>
      <c r="K94">
        <f>Scenario_Data!I94-(((SQRT((Inputs!$C$52+(Inputs!$H$7))^2+Inputs!$C$52^2-2*(Inputs!$C$52+(Inputs!$H$7))*Inputs!$C$52*COS(SQRT((Scenario_Data!U94)^2+Inputs!$C$6^2)/Inputs!$C$52)))-(Inputs!$H$7))*1000/Inputs!$C$12)</f>
        <v>-6197.6076393513285</v>
      </c>
      <c r="L94">
        <f>Scenario_Data!J94-(((SQRT((Inputs!$C$52+(Inputs!$H$8))^2+Inputs!$C$52^2-2*(Inputs!$C$52+(Inputs!$H$8))*Inputs!$C$52*COS(SQRT((Scenario_Data!V94)^2+Inputs!$C$6^2)/Inputs!$C$52)))-(Inputs!$H$8))*1000/Inputs!$C$12)</f>
        <v>-18899.222425472472</v>
      </c>
      <c r="M94">
        <f>Scenario_Data!K94-(((SQRT((Inputs!$C$52+(Inputs!$H$9))^2+Inputs!$C$52^2-2*(Inputs!$C$52+(Inputs!$H$9))*Inputs!$C$52*COS(SQRT((Scenario_Data!W94)^2+Inputs!$C$6^2)/Inputs!$C$52)))-(Inputs!$H$9))*1000/Inputs!$C$12)</f>
        <v>-20375.352826851115</v>
      </c>
      <c r="O94">
        <f>Scenario_Data!T94</f>
        <v>-13.979999999999997</v>
      </c>
      <c r="P94">
        <f>2*(Scenario_Data!B94*1000)/Inputs!$C$21*1000000</f>
        <v>2669.9614704783535</v>
      </c>
      <c r="Q94">
        <f>Scenario_Data!U94</f>
        <v>-93.199999999999989</v>
      </c>
      <c r="R94">
        <f>2*(Scenario_Data!C94*1000)/Inputs!$C$21*1000000</f>
        <v>365.68955313745749</v>
      </c>
      <c r="S94">
        <f>Scenario_Data!V94</f>
        <v>-186.39999999999998</v>
      </c>
      <c r="T94">
        <f>2*(Scenario_Data!D94*1000)/Inputs!$C$21*1000000</f>
        <v>582.9958871080072</v>
      </c>
      <c r="U94">
        <f>Scenario_Data!W94</f>
        <v>-186.39999999999998</v>
      </c>
      <c r="V94">
        <f>2*(Scenario_Data!E94*1000)/Inputs!$C$21*1000000</f>
        <v>519.90484030121934</v>
      </c>
      <c r="X94">
        <f>Scenario_Data!T94</f>
        <v>-13.979999999999997</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2670.5085985921796</v>
      </c>
      <c r="Z94">
        <f>Scenario_Data!U94</f>
        <v>-93.199999999999989</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365.6912781317871</v>
      </c>
      <c r="AB94">
        <f>Scenario_Data!V94</f>
        <v>-186.39999999999998</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582.82512814340009</v>
      </c>
      <c r="AD94">
        <f>Scenario_Data!W94</f>
        <v>-186.39999999999998</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519.73408133661223</v>
      </c>
      <c r="AG94">
        <f>Scenario_Data!T94</f>
        <v>-13.979999999999997</v>
      </c>
      <c r="AH94">
        <f>2*(SQRT((Inputs!$C$52+(Scenario_Data!B94))^2+Inputs!$C$52^2-2*(Inputs!$C$52+(Scenario_Data!B94))*Inputs!$C$52*COS(SQRT((Scenario_Data!T94)^2+Inputs!$C$6^2)/Inputs!$C$52))*1000)/Inputs!$C$21*1000000</f>
        <v>2678.53886810944</v>
      </c>
      <c r="AI94">
        <f>Scenario_Data!U94</f>
        <v>-93.199999999999989</v>
      </c>
      <c r="AJ94">
        <f>2*(SQRT((Inputs!$C$52+(Scenario_Data!C94))^2+Inputs!$C$52^2-2*(Inputs!$C$52+(Scenario_Data!C94))*Inputs!$C$52*COS(SQRT((Scenario_Data!U94)^2+Inputs!$C$6^2)/Inputs!$C$52))*1000)/Inputs!$C$21*1000000</f>
        <v>750.03486285335612</v>
      </c>
      <c r="AK94">
        <f>Scenario_Data!V94</f>
        <v>-186.39999999999998</v>
      </c>
      <c r="AL94">
        <f>2*(SQRT((Inputs!$C$52+(Scenario_Data!D94))^2+Inputs!$C$52^2-2*(Inputs!$C$52+(Scenario_Data!D94))*Inputs!$C$52*COS(SQRT((Scenario_Data!V94)^2+Inputs!$C$6^2)/Inputs!$C$52))*1000)/Inputs!$C$21*1000000</f>
        <v>1414.2797453815531</v>
      </c>
      <c r="AM94">
        <f>Scenario_Data!W94</f>
        <v>-186.39999999999998</v>
      </c>
      <c r="AN94">
        <f>2*(SQRT((Inputs!$C$52+(Scenario_Data!E94))^2+Inputs!$C$52^2-2*(Inputs!$C$52+(Scenario_Data!E94))*Inputs!$C$52*COS(SQRT((Scenario_Data!W94)^2+Inputs!$C$6^2)/Inputs!$C$52))*1000)/Inputs!$C$21*1000000</f>
        <v>1386.0293710733336</v>
      </c>
      <c r="AP94">
        <f>Scenario_Data!T94</f>
        <v>-13.979999999999997</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2675.7482372623963</v>
      </c>
      <c r="AR94">
        <f>Scenario_Data!U94</f>
        <v>-93.199999999999989</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749.72198990354002</v>
      </c>
      <c r="AT94">
        <f>Scenario_Data!V94</f>
        <v>-186.39999999999998</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1413.9478129220597</v>
      </c>
      <c r="AV94">
        <f>Scenario_Data!W94</f>
        <v>-186.39999999999998</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1385.7328673887378</v>
      </c>
    </row>
    <row r="95" spans="1:49">
      <c r="A95">
        <f>Chart_Data!K95</f>
        <v>-13.5</v>
      </c>
      <c r="B95">
        <f>Chart_Data!N95-Chart_Data!L95</f>
        <v>59.371781486156976</v>
      </c>
      <c r="D95">
        <f>Chart_Data!G95</f>
        <v>-13.5</v>
      </c>
      <c r="E95">
        <f>Chart_Data!H95</f>
        <v>418.77001789703809</v>
      </c>
      <c r="F95">
        <f>Chart_Data!I95</f>
        <v>418.77001789703809</v>
      </c>
      <c r="G95">
        <f>Chart_Data!J95</f>
        <v>-61.032054933534482</v>
      </c>
      <c r="I95">
        <f>Scenario_Data!A95</f>
        <v>-0.22500000000000001</v>
      </c>
      <c r="J95">
        <f>Scenario_Data!H95-(((SQRT((Inputs!$C$52+(Inputs!$H$6))^2+Inputs!$C$52^2-2*(Inputs!$C$52+(Inputs!$H$6))*Inputs!$C$52*COS(SQRT((Scenario_Data!T95)^2+Inputs!$C$6^2)/Inputs!$C$52)))-(Inputs!$H$6))*1000/Inputs!$C$12)</f>
        <v>-0.28536299915617747</v>
      </c>
      <c r="K95">
        <f>Scenario_Data!I95-(((SQRT((Inputs!$C$52+(Inputs!$H$7))^2+Inputs!$C$52^2-2*(Inputs!$C$52+(Inputs!$H$7))*Inputs!$C$52*COS(SQRT((Scenario_Data!U95)^2+Inputs!$C$6^2)/Inputs!$C$52)))-(Inputs!$H$7))*1000/Inputs!$C$12)</f>
        <v>-5724.6003963935982</v>
      </c>
      <c r="L95">
        <f>Scenario_Data!J95-(((SQRT((Inputs!$C$52+(Inputs!$H$8))^2+Inputs!$C$52^2-2*(Inputs!$C$52+(Inputs!$H$8))*Inputs!$C$52*COS(SQRT((Scenario_Data!V95)^2+Inputs!$C$6^2)/Inputs!$C$52)))-(Inputs!$H$8))*1000/Inputs!$C$12)</f>
        <v>-17629.003880901917</v>
      </c>
      <c r="M95">
        <f>Scenario_Data!K95-(((SQRT((Inputs!$C$52+(Inputs!$H$9))^2+Inputs!$C$52^2-2*(Inputs!$C$52+(Inputs!$H$9))*Inputs!$C$52*COS(SQRT((Scenario_Data!W95)^2+Inputs!$C$6^2)/Inputs!$C$52)))-(Inputs!$H$9))*1000/Inputs!$C$12)</f>
        <v>-19051.132271648297</v>
      </c>
      <c r="O95">
        <f>Scenario_Data!T95</f>
        <v>-13.5</v>
      </c>
      <c r="P95">
        <f>2*(Scenario_Data!B95*1000)/Inputs!$C$21*1000000</f>
        <v>2669.8636961707689</v>
      </c>
      <c r="Q95">
        <f>Scenario_Data!U95</f>
        <v>-90</v>
      </c>
      <c r="R95">
        <f>2*(Scenario_Data!C95*1000)/Inputs!$C$21*1000000</f>
        <v>356.76764757037353</v>
      </c>
      <c r="S95">
        <f>Scenario_Data!V95</f>
        <v>-180</v>
      </c>
      <c r="T95">
        <f>2*(Scenario_Data!D95*1000)/Inputs!$C$21*1000000</f>
        <v>559.40783540325083</v>
      </c>
      <c r="U95">
        <f>Scenario_Data!W95</f>
        <v>-180</v>
      </c>
      <c r="V95">
        <f>2*(Scenario_Data!E95*1000)/Inputs!$C$21*1000000</f>
        <v>496.07235282750179</v>
      </c>
      <c r="X95">
        <f>Scenario_Data!T95</f>
        <v>-13.5</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2670.2708582144087</v>
      </c>
      <c r="Z95">
        <f>Scenario_Data!U95</f>
        <v>-90</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356.4473590251373</v>
      </c>
      <c r="AB95">
        <f>Scenario_Data!V95</f>
        <v>-180</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559.21212141093656</v>
      </c>
      <c r="AD95">
        <f>Scenario_Data!W95</f>
        <v>-180</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495.87663883518746</v>
      </c>
      <c r="AG95">
        <f>Scenario_Data!T95</f>
        <v>-13.5</v>
      </c>
      <c r="AH95">
        <f>2*(SQRT((Inputs!$C$52+(Scenario_Data!B95))^2+Inputs!$C$52^2-2*(Inputs!$C$52+(Scenario_Data!B95))*Inputs!$C$52*COS(SQRT((Scenario_Data!T95)^2+Inputs!$C$6^2)/Inputs!$C$52))*1000)/Inputs!$C$21*1000000</f>
        <v>2678.3036592847507</v>
      </c>
      <c r="AI95">
        <f>Scenario_Data!U95</f>
        <v>-90</v>
      </c>
      <c r="AJ95">
        <f>2*(SQRT((Inputs!$C$52+(Scenario_Data!C95))^2+Inputs!$C$52^2-2*(Inputs!$C$52+(Scenario_Data!C95))*Inputs!$C$52*COS(SQRT((Scenario_Data!U95)^2+Inputs!$C$6^2)/Inputs!$C$52))*1000)/Inputs!$C$21*1000000</f>
        <v>727.17474536725172</v>
      </c>
      <c r="AK95">
        <f>Scenario_Data!V95</f>
        <v>-180</v>
      </c>
      <c r="AL95">
        <f>2*(SQRT((Inputs!$C$52+(Scenario_Data!D95))^2+Inputs!$C$52^2-2*(Inputs!$C$52+(Scenario_Data!D95))*Inputs!$C$52*COS(SQRT((Scenario_Data!V95)^2+Inputs!$C$6^2)/Inputs!$C$52))*1000)/Inputs!$C$21*1000000</f>
        <v>1363.8048794660731</v>
      </c>
      <c r="AM95">
        <f>Scenario_Data!W95</f>
        <v>-180</v>
      </c>
      <c r="AN95">
        <f>2*(SQRT((Inputs!$C$52+(Scenario_Data!E95))^2+Inputs!$C$52^2-2*(Inputs!$C$52+(Scenario_Data!E95))*Inputs!$C$52*COS(SQRT((Scenario_Data!W95)^2+Inputs!$C$6^2)/Inputs!$C$52))*1000)/Inputs!$C$21*1000000</f>
        <v>1335.7335814317601</v>
      </c>
      <c r="AP95">
        <f>Scenario_Data!T95</f>
        <v>-13.5</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2675.5210025946371</v>
      </c>
      <c r="AR95">
        <f>Scenario_Data!U95</f>
        <v>-90</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726.84076843162893</v>
      </c>
      <c r="AT95">
        <f>Scenario_Data!V95</f>
        <v>-180</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1363.4686402752654</v>
      </c>
      <c r="AV95">
        <f>Scenario_Data!W95</f>
        <v>-180</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1335.4348399634109</v>
      </c>
    </row>
    <row r="96" spans="1:49">
      <c r="A96">
        <f>Chart_Data!K96</f>
        <v>-13</v>
      </c>
      <c r="B96">
        <f>Chart_Data!N96-Chart_Data!L96</f>
        <v>62.404091952712747</v>
      </c>
      <c r="D96">
        <f>Chart_Data!G96</f>
        <v>-13</v>
      </c>
      <c r="E96">
        <f>Chart_Data!H96</f>
        <v>432.88444582509743</v>
      </c>
      <c r="F96">
        <f>Chart_Data!I96</f>
        <v>432.88444582509743</v>
      </c>
      <c r="G96">
        <f>Chart_Data!J96</f>
        <v>-64.092434824295424</v>
      </c>
      <c r="I96">
        <f>Scenario_Data!A96</f>
        <v>-0.217</v>
      </c>
      <c r="J96">
        <f>Scenario_Data!H96-(((SQRT((Inputs!$C$52+(Inputs!$H$6))^2+Inputs!$C$52^2-2*(Inputs!$C$52+(Inputs!$H$6))*Inputs!$C$52*COS(SQRT((Scenario_Data!T96)^2+Inputs!$C$6^2)/Inputs!$C$52)))-(Inputs!$H$6))*1000/Inputs!$C$12)</f>
        <v>-0.26127610188143535</v>
      </c>
      <c r="K96">
        <f>Scenario_Data!I96-(((SQRT((Inputs!$C$52+(Inputs!$H$7))^2+Inputs!$C$52^2-2*(Inputs!$C$52+(Inputs!$H$7))*Inputs!$C$52*COS(SQRT((Scenario_Data!U96)^2+Inputs!$C$6^2)/Inputs!$C$52)))-(Inputs!$H$7))*1000/Inputs!$C$12)</f>
        <v>-5268.9875445368234</v>
      </c>
      <c r="L96">
        <f>Scenario_Data!J96-(((SQRT((Inputs!$C$52+(Inputs!$H$8))^2+Inputs!$C$52^2-2*(Inputs!$C$52+(Inputs!$H$8))*Inputs!$C$52*COS(SQRT((Scenario_Data!V96)^2+Inputs!$C$6^2)/Inputs!$C$52)))-(Inputs!$H$8))*1000/Inputs!$C$12)</f>
        <v>-16393.138607990768</v>
      </c>
      <c r="M96">
        <f>Scenario_Data!K96-(((SQRT((Inputs!$C$52+(Inputs!$H$9))^2+Inputs!$C$52^2-2*(Inputs!$C$52+(Inputs!$H$9))*Inputs!$C$52*COS(SQRT((Scenario_Data!W96)^2+Inputs!$C$6^2)/Inputs!$C$52)))-(Inputs!$H$9))*1000/Inputs!$C$12)</f>
        <v>-17760.80185039583</v>
      </c>
      <c r="O96">
        <f>Scenario_Data!T96</f>
        <v>-13.019999999999996</v>
      </c>
      <c r="P96">
        <f>2*(Scenario_Data!B96*1000)/Inputs!$C$21*1000000</f>
        <v>2669.769337559519</v>
      </c>
      <c r="Q96">
        <f>Scenario_Data!U96</f>
        <v>-86.800000000000011</v>
      </c>
      <c r="R96">
        <f>2*(Scenario_Data!C96*1000)/Inputs!$C$21*1000000</f>
        <v>348.15742429384272</v>
      </c>
      <c r="S96">
        <f>Scenario_Data!V96</f>
        <v>-173.60000000000002</v>
      </c>
      <c r="T96">
        <f>2*(Scenario_Data!D96*1000)/Inputs!$C$21*1000000</f>
        <v>536.64382043927219</v>
      </c>
      <c r="U96">
        <f>Scenario_Data!W96</f>
        <v>-173.60000000000002</v>
      </c>
      <c r="V96">
        <f>2*(Scenario_Data!E96*1000)/Inputs!$C$21*1000000</f>
        <v>473.07244133539882</v>
      </c>
      <c r="X96">
        <f>Scenario_Data!T96</f>
        <v>-13.019999999999996</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2670.1536854385186</v>
      </c>
      <c r="Z96">
        <f>Scenario_Data!U96</f>
        <v>-86.800000000000011</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347.79823047108033</v>
      </c>
      <c r="AB96">
        <f>Scenario_Data!V96</f>
        <v>-173.60000000000002</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536.20036896901183</v>
      </c>
      <c r="AD96">
        <f>Scenario_Data!W96</f>
        <v>-173.60000000000002</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472.62898986513858</v>
      </c>
      <c r="AG96">
        <f>Scenario_Data!T96</f>
        <v>-13.019999999999996</v>
      </c>
      <c r="AH96">
        <f>2*(SQRT((Inputs!$C$52+(Scenario_Data!B96))^2+Inputs!$C$52^2-2*(Inputs!$C$52+(Scenario_Data!B96))*Inputs!$C$52*COS(SQRT((Scenario_Data!T96)^2+Inputs!$C$6^2)/Inputs!$C$52))*1000)/Inputs!$C$21*1000000</f>
        <v>2678.0766529929315</v>
      </c>
      <c r="AI96">
        <f>Scenario_Data!U96</f>
        <v>-86.800000000000011</v>
      </c>
      <c r="AJ96">
        <f>2*(SQRT((Inputs!$C$52+(Scenario_Data!C96))^2+Inputs!$C$52^2-2*(Inputs!$C$52+(Scenario_Data!C96))*Inputs!$C$52*COS(SQRT((Scenario_Data!U96)^2+Inputs!$C$6^2)/Inputs!$C$52))*1000)/Inputs!$C$21*1000000</f>
        <v>704.54661686923862</v>
      </c>
      <c r="AK96">
        <f>Scenario_Data!V96</f>
        <v>-173.60000000000002</v>
      </c>
      <c r="AL96">
        <f>2*(SQRT((Inputs!$C$52+(Scenario_Data!D96))^2+Inputs!$C$52^2-2*(Inputs!$C$52+(Scenario_Data!D96))*Inputs!$C$52*COS(SQRT((Scenario_Data!V96)^2+Inputs!$C$6^2)/Inputs!$C$52))*1000)/Inputs!$C$21*1000000</f>
        <v>1313.820661862484</v>
      </c>
      <c r="AM96">
        <f>Scenario_Data!W96</f>
        <v>-173.60000000000002</v>
      </c>
      <c r="AN96">
        <f>2*(SQRT((Inputs!$C$52+(Scenario_Data!E96))^2+Inputs!$C$52^2-2*(Inputs!$C$52+(Scenario_Data!E96))*Inputs!$C$52*COS(SQRT((Scenario_Data!W96)^2+Inputs!$C$6^2)/Inputs!$C$52))*1000)/Inputs!$C$21*1000000</f>
        <v>1285.9182668026356</v>
      </c>
      <c r="AP96">
        <f>Scenario_Data!T96</f>
        <v>-13.019999999999996</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2675.2435096732338</v>
      </c>
      <c r="AR96">
        <f>Scenario_Data!U96</f>
        <v>-86.800000000000011</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704.11343477229673</v>
      </c>
      <c r="AT96">
        <f>Scenario_Data!V96</f>
        <v>-173.60000000000002</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1313.3523256405263</v>
      </c>
      <c r="AV96">
        <f>Scenario_Data!W96</f>
        <v>-173.60000000000002</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1285.5045115158039</v>
      </c>
    </row>
    <row r="97" spans="1:49">
      <c r="A97">
        <f>Chart_Data!K97</f>
        <v>-12.5</v>
      </c>
      <c r="B97">
        <f>Chart_Data!N97-Chart_Data!L97</f>
        <v>68.461065372714472</v>
      </c>
      <c r="D97">
        <f>Chart_Data!G97</f>
        <v>-12.5</v>
      </c>
      <c r="E97">
        <f>Chart_Data!H97</f>
        <v>448.86831612559951</v>
      </c>
      <c r="F97">
        <f>Chart_Data!I97</f>
        <v>448.86831612559951</v>
      </c>
      <c r="G97">
        <f>Chart_Data!J97</f>
        <v>-70.183922281311382</v>
      </c>
      <c r="I97">
        <f>Scenario_Data!A97</f>
        <v>-0.20799999999999999</v>
      </c>
      <c r="J97">
        <f>Scenario_Data!H97-(((SQRT((Inputs!$C$52+(Inputs!$H$6))^2+Inputs!$C$52^2-2*(Inputs!$C$52+(Inputs!$H$6))*Inputs!$C$52*COS(SQRT((Scenario_Data!T97)^2+Inputs!$C$6^2)/Inputs!$C$52)))-(Inputs!$H$6))*1000/Inputs!$C$12)</f>
        <v>-0.23592219111435497</v>
      </c>
      <c r="K97">
        <f>Scenario_Data!I97-(((SQRT((Inputs!$C$52+(Inputs!$H$7))^2+Inputs!$C$52^2-2*(Inputs!$C$52+(Inputs!$H$7))*Inputs!$C$52*COS(SQRT((Scenario_Data!U97)^2+Inputs!$C$6^2)/Inputs!$C$52)))-(Inputs!$H$7))*1000/Inputs!$C$12)</f>
        <v>-4777.603842826582</v>
      </c>
      <c r="L97">
        <f>Scenario_Data!J97-(((SQRT((Inputs!$C$52+(Inputs!$H$8))^2+Inputs!$C$52^2-2*(Inputs!$C$52+(Inputs!$H$8))*Inputs!$C$52*COS(SQRT((Scenario_Data!V97)^2+Inputs!$C$6^2)/Inputs!$C$52)))-(Inputs!$H$8))*1000/Inputs!$C$12)</f>
        <v>-15045.242230124342</v>
      </c>
      <c r="M97">
        <f>Scenario_Data!K97-(((SQRT((Inputs!$C$52+(Inputs!$H$9))^2+Inputs!$C$52^2-2*(Inputs!$C$52+(Inputs!$H$9))*Inputs!$C$52*COS(SQRT((Scenario_Data!W97)^2+Inputs!$C$6^2)/Inputs!$C$52)))-(Inputs!$H$9))*1000/Inputs!$C$12)</f>
        <v>-16351.096914099966</v>
      </c>
      <c r="O97">
        <f>Scenario_Data!T97</f>
        <v>-12.479999999999997</v>
      </c>
      <c r="P97">
        <f>2*(Scenario_Data!B97*1000)/Inputs!$C$21*1000000</f>
        <v>2669.6672669463883</v>
      </c>
      <c r="Q97">
        <f>Scenario_Data!U97</f>
        <v>-83.199999999999989</v>
      </c>
      <c r="R97">
        <f>2*(Scenario_Data!C97*1000)/Inputs!$C$21*1000000</f>
        <v>338.84348084567222</v>
      </c>
      <c r="S97">
        <f>Scenario_Data!V97</f>
        <v>-166.39999999999998</v>
      </c>
      <c r="T97">
        <f>2*(Scenario_Data!D97*1000)/Inputs!$C$21*1000000</f>
        <v>512.01928502150633</v>
      </c>
      <c r="U97">
        <f>Scenario_Data!W97</f>
        <v>-166.39999999999998</v>
      </c>
      <c r="V97">
        <f>2*(Scenario_Data!E97*1000)/Inputs!$C$21*1000000</f>
        <v>448.19272938480651</v>
      </c>
      <c r="X97">
        <f>Scenario_Data!T97</f>
        <v>-12.479999999999997</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2670.1402141895642</v>
      </c>
      <c r="Z97">
        <f>Scenario_Data!U97</f>
        <v>-83.199999999999989</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338.4523662185664</v>
      </c>
      <c r="AB97">
        <f>Scenario_Data!V97</f>
        <v>-166.39999999999998</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512.3169245672517</v>
      </c>
      <c r="AD97">
        <f>Scenario_Data!W97</f>
        <v>-166.39999999999998</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448.49036893055194</v>
      </c>
      <c r="AG97">
        <f>Scenario_Data!T97</f>
        <v>-12.479999999999997</v>
      </c>
      <c r="AH97">
        <f>2*(SQRT((Inputs!$C$52+(Scenario_Data!B97))^2+Inputs!$C$52^2-2*(Inputs!$C$52+(Scenario_Data!B97))*Inputs!$C$52*COS(SQRT((Scenario_Data!T97)^2+Inputs!$C$6^2)/Inputs!$C$52))*1000)/Inputs!$C$21*1000000</f>
        <v>2677.8310774067595</v>
      </c>
      <c r="AI97">
        <f>Scenario_Data!U97</f>
        <v>-83.199999999999989</v>
      </c>
      <c r="AJ97">
        <f>2*(SQRT((Inputs!$C$52+(Scenario_Data!C97))^2+Inputs!$C$52^2-2*(Inputs!$C$52+(Scenario_Data!C97))*Inputs!$C$52*COS(SQRT((Scenario_Data!U97)^2+Inputs!$C$6^2)/Inputs!$C$52))*1000)/Inputs!$C$21*1000000</f>
        <v>679.37735188566262</v>
      </c>
      <c r="AK97">
        <f>Scenario_Data!V97</f>
        <v>-166.39999999999998</v>
      </c>
      <c r="AL97">
        <f>2*(SQRT((Inputs!$C$52+(Scenario_Data!D97))^2+Inputs!$C$52^2-2*(Inputs!$C$52+(Scenario_Data!D97))*Inputs!$C$52*COS(SQRT((Scenario_Data!V97)^2+Inputs!$C$6^2)/Inputs!$C$52))*1000)/Inputs!$C$21*1000000</f>
        <v>1258.1693986938863</v>
      </c>
      <c r="AM97">
        <f>Scenario_Data!W97</f>
        <v>-166.39999999999998</v>
      </c>
      <c r="AN97">
        <f>2*(SQRT((Inputs!$C$52+(Scenario_Data!E97))^2+Inputs!$C$52^2-2*(Inputs!$C$52+(Scenario_Data!E97))*Inputs!$C$52*COS(SQRT((Scenario_Data!W97)^2+Inputs!$C$6^2)/Inputs!$C$52))*1000)/Inputs!$C$21*1000000</f>
        <v>1230.4415066288307</v>
      </c>
      <c r="AP97">
        <f>Scenario_Data!T97</f>
        <v>-12.479999999999997</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2674.8308245474545</v>
      </c>
      <c r="AR97">
        <f>Scenario_Data!U97</f>
        <v>-83.199999999999989</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678.77072367215521</v>
      </c>
      <c r="AT97">
        <f>Scenario_Data!V97</f>
        <v>-166.39999999999998</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1257.9527051449093</v>
      </c>
      <c r="AV97">
        <f>Scenario_Data!W97</f>
        <v>-166.39999999999998</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1230.2512960142781</v>
      </c>
    </row>
    <row r="98" spans="1:49">
      <c r="A98">
        <f>Chart_Data!K98</f>
        <v>-12</v>
      </c>
      <c r="B98">
        <f>Chart_Data!N98-Chart_Data!L98</f>
        <v>45.903038773874755</v>
      </c>
      <c r="D98">
        <f>Chart_Data!G98</f>
        <v>-12</v>
      </c>
      <c r="E98">
        <f>Chart_Data!H98</f>
        <v>437.99189931001791</v>
      </c>
      <c r="F98">
        <f>Chart_Data!I98</f>
        <v>437.99189931001791</v>
      </c>
      <c r="G98">
        <f>Chart_Data!J98</f>
        <v>-47.557945529629748</v>
      </c>
      <c r="I98">
        <f>Scenario_Data!A98</f>
        <v>-0.2</v>
      </c>
      <c r="J98">
        <f>Scenario_Data!H98-(((SQRT((Inputs!$C$52+(Inputs!$H$6))^2+Inputs!$C$52^2-2*(Inputs!$C$52+(Inputs!$H$6))*Inputs!$C$52*COS(SQRT((Scenario_Data!T98)^2+Inputs!$C$6^2)/Inputs!$C$52)))-(Inputs!$H$6))*1000/Inputs!$C$12)</f>
        <v>-0.21486365220766857</v>
      </c>
      <c r="K98">
        <f>Scenario_Data!I98-(((SQRT((Inputs!$C$52+(Inputs!$H$7))^2+Inputs!$C$52^2-2*(Inputs!$C$52+(Inputs!$H$7))*Inputs!$C$52*COS(SQRT((Scenario_Data!U98)^2+Inputs!$C$6^2)/Inputs!$C$52)))-(Inputs!$H$7))*1000/Inputs!$C$12)</f>
        <v>-4359.9901999884787</v>
      </c>
      <c r="L98">
        <f>Scenario_Data!J98-(((SQRT((Inputs!$C$52+(Inputs!$H$8))^2+Inputs!$C$52^2-2*(Inputs!$C$52+(Inputs!$H$8))*Inputs!$C$52*COS(SQRT((Scenario_Data!V98)^2+Inputs!$C$6^2)/Inputs!$C$52)))-(Inputs!$H$8))*1000/Inputs!$C$12)</f>
        <v>-13886.103797269352</v>
      </c>
      <c r="M98">
        <f>Scenario_Data!K98-(((SQRT((Inputs!$C$52+(Inputs!$H$9))^2+Inputs!$C$52^2-2*(Inputs!$C$52+(Inputs!$H$9))*Inputs!$C$52*COS(SQRT((Scenario_Data!W98)^2+Inputs!$C$6^2)/Inputs!$C$52)))-(Inputs!$H$9))*1000/Inputs!$C$12)</f>
        <v>-15136.55814203358</v>
      </c>
      <c r="O98">
        <f>Scenario_Data!T98</f>
        <v>-12</v>
      </c>
      <c r="P98">
        <f>2*(Scenario_Data!B98*1000)/Inputs!$C$21*1000000</f>
        <v>2669.5801666898506</v>
      </c>
      <c r="Q98">
        <f>Scenario_Data!U98</f>
        <v>-80</v>
      </c>
      <c r="R98">
        <f>2*(Scenario_Data!C98*1000)/Inputs!$C$21*1000000</f>
        <v>330.89558243656683</v>
      </c>
      <c r="S98">
        <f>Scenario_Data!V98</f>
        <v>-160</v>
      </c>
      <c r="T98">
        <f>2*(Scenario_Data!D98*1000)/Inputs!$C$21*1000000</f>
        <v>491.00634813167994</v>
      </c>
      <c r="U98">
        <f>Scenario_Data!W98</f>
        <v>-160</v>
      </c>
      <c r="V98">
        <f>2*(Scenario_Data!E98*1000)/Inputs!$C$21*1000000</f>
        <v>426.96204185363462</v>
      </c>
      <c r="X98">
        <f>Scenario_Data!T98</f>
        <v>-12</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2669.897439151252</v>
      </c>
      <c r="Z98">
        <f>Scenario_Data!U98</f>
        <v>-80</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330.81553538368979</v>
      </c>
      <c r="AB98">
        <f>Scenario_Data!V98</f>
        <v>-160</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490.86443759611723</v>
      </c>
      <c r="AD98">
        <f>Scenario_Data!W98</f>
        <v>-160</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426.82013131807196</v>
      </c>
      <c r="AG98">
        <f>Scenario_Data!T98</f>
        <v>-12</v>
      </c>
      <c r="AH98">
        <f>2*(SQRT((Inputs!$C$52+(Scenario_Data!B98))^2+Inputs!$C$52^2-2*(Inputs!$C$52+(Scenario_Data!B98))*Inputs!$C$52*COS(SQRT((Scenario_Data!T98)^2+Inputs!$C$6^2)/Inputs!$C$52))*1000)/Inputs!$C$21*1000000</f>
        <v>2677.6215065069619</v>
      </c>
      <c r="AI98">
        <f>Scenario_Data!U98</f>
        <v>-80</v>
      </c>
      <c r="AJ98">
        <f>2*(SQRT((Inputs!$C$52+(Scenario_Data!C98))^2+Inputs!$C$52^2-2*(Inputs!$C$52+(Scenario_Data!C98))*Inputs!$C$52*COS(SQRT((Scenario_Data!U98)^2+Inputs!$C$6^2)/Inputs!$C$52))*1000)/Inputs!$C$21*1000000</f>
        <v>657.27068851642468</v>
      </c>
      <c r="AK98">
        <f>Scenario_Data!V98</f>
        <v>-160</v>
      </c>
      <c r="AL98">
        <f>2*(SQRT((Inputs!$C$52+(Scenario_Data!D98))^2+Inputs!$C$52^2-2*(Inputs!$C$52+(Scenario_Data!D98))*Inputs!$C$52*COS(SQRT((Scenario_Data!V98)^2+Inputs!$C$6^2)/Inputs!$C$52))*1000)/Inputs!$C$21*1000000</f>
        <v>1209.2143519498034</v>
      </c>
      <c r="AM98">
        <f>Scenario_Data!W98</f>
        <v>-160</v>
      </c>
      <c r="AN98">
        <f>2*(SQRT((Inputs!$C$52+(Scenario_Data!E98))^2+Inputs!$C$52^2-2*(Inputs!$C$52+(Scenario_Data!E98))*Inputs!$C$52*COS(SQRT((Scenario_Data!W98)^2+Inputs!$C$6^2)/Inputs!$C$52))*1000)/Inputs!$C$21*1000000</f>
        <v>1181.6244054437507</v>
      </c>
      <c r="AP98">
        <f>Scenario_Data!T98</f>
        <v>-12</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2674.7105794245053</v>
      </c>
      <c r="AR98">
        <f>Scenario_Data!U98</f>
        <v>-80</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656.77019713308391</v>
      </c>
      <c r="AT98">
        <f>Scenario_Data!V98</f>
        <v>-160</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1208.8837969605011</v>
      </c>
      <c r="AV98">
        <f>Scenario_Data!W98</f>
        <v>-160</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1181.3360267787766</v>
      </c>
    </row>
    <row r="99" spans="1:49">
      <c r="A99">
        <f>Chart_Data!K99</f>
        <v>-11.5</v>
      </c>
      <c r="B99">
        <f>Chart_Data!N99-Chart_Data!L99</f>
        <v>46.360067612825787</v>
      </c>
      <c r="D99">
        <f>Chart_Data!G99</f>
        <v>-11.5</v>
      </c>
      <c r="E99">
        <f>Chart_Data!H99</f>
        <v>458.91089147275255</v>
      </c>
      <c r="F99">
        <f>Chart_Data!I99</f>
        <v>458.91089147275255</v>
      </c>
      <c r="G99">
        <f>Chart_Data!J99</f>
        <v>-48.067808115448663</v>
      </c>
      <c r="I99">
        <f>Scenario_Data!A99</f>
        <v>-0.192</v>
      </c>
      <c r="J99">
        <f>Scenario_Data!H99-(((SQRT((Inputs!$C$52+(Inputs!$H$6))^2+Inputs!$C$52^2-2*(Inputs!$C$52+(Inputs!$H$6))*Inputs!$C$52*COS(SQRT((Scenario_Data!T99)^2+Inputs!$C$6^2)/Inputs!$C$52)))-(Inputs!$H$6))*1000/Inputs!$C$12)</f>
        <v>-0.1951314257202057</v>
      </c>
      <c r="K99">
        <f>Scenario_Data!I99-(((SQRT((Inputs!$C$52+(Inputs!$H$7))^2+Inputs!$C$52^2-2*(Inputs!$C$52+(Inputs!$H$7))*Inputs!$C$52*COS(SQRT((Scenario_Data!U99)^2+Inputs!$C$6^2)/Inputs!$C$52)))-(Inputs!$H$7))*1000/Inputs!$C$12)</f>
        <v>-3960.7421763302191</v>
      </c>
      <c r="L99">
        <f>Scenario_Data!J99-(((SQRT((Inputs!$C$52+(Inputs!$H$8))^2+Inputs!$C$52^2-2*(Inputs!$C$52+(Inputs!$H$8))*Inputs!$C$52*COS(SQRT((Scenario_Data!V99)^2+Inputs!$C$6^2)/Inputs!$C$52)))-(Inputs!$H$8))*1000/Inputs!$C$12)</f>
        <v>-12764.866565310112</v>
      </c>
      <c r="M99">
        <f>Scenario_Data!K99-(((SQRT((Inputs!$C$52+(Inputs!$H$9))^2+Inputs!$C$52^2-2*(Inputs!$C$52+(Inputs!$H$9))*Inputs!$C$52*COS(SQRT((Scenario_Data!W99)^2+Inputs!$C$6^2)/Inputs!$C$52)))-(Inputs!$H$9))*1000/Inputs!$C$12)</f>
        <v>-13959.503640642601</v>
      </c>
      <c r="O99">
        <f>Scenario_Data!T99</f>
        <v>-11.519999999999996</v>
      </c>
      <c r="P99">
        <f>2*(Scenario_Data!B99*1000)/Inputs!$C$21*1000000</f>
        <v>2669.4964821296471</v>
      </c>
      <c r="Q99">
        <f>Scenario_Data!U99</f>
        <v>-76.799999999999955</v>
      </c>
      <c r="R99">
        <f>2*(Scenario_Data!C99*1000)/Inputs!$C$21*1000000</f>
        <v>323.25936631801449</v>
      </c>
      <c r="S99">
        <f>Scenario_Data!V99</f>
        <v>-153.59999999999991</v>
      </c>
      <c r="T99">
        <f>2*(Scenario_Data!D99*1000)/Inputs!$C$21*1000000</f>
        <v>470.81744798263048</v>
      </c>
      <c r="U99">
        <f>Scenario_Data!W99</f>
        <v>-153.59999999999991</v>
      </c>
      <c r="V99">
        <f>2*(Scenario_Data!E99*1000)/Inputs!$C$21*1000000</f>
        <v>406.56393030407702</v>
      </c>
      <c r="X99">
        <f>Scenario_Data!T99</f>
        <v>-11.519999999999996</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2669.7518575562381</v>
      </c>
      <c r="Z99">
        <f>Scenario_Data!U99</f>
        <v>-76.799999999999955</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323.37933770340271</v>
      </c>
      <c r="AB99">
        <f>Scenario_Data!V99</f>
        <v>-153.59999999999991</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470.8262366207249</v>
      </c>
      <c r="AD99">
        <f>Scenario_Data!W99</f>
        <v>-153.59999999999991</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406.57271894217143</v>
      </c>
      <c r="AG99">
        <f>Scenario_Data!T99</f>
        <v>-11.519999999999996</v>
      </c>
      <c r="AH99">
        <f>2*(SQRT((Inputs!$C$52+(Scenario_Data!B99))^2+Inputs!$C$52^2-2*(Inputs!$C$52+(Scenario_Data!B99))*Inputs!$C$52*COS(SQRT((Scenario_Data!T99)^2+Inputs!$C$6^2)/Inputs!$C$52))*1000)/Inputs!$C$21*1000000</f>
        <v>2677.4201427373237</v>
      </c>
      <c r="AI99">
        <f>Scenario_Data!U99</f>
        <v>-76.799999999999955</v>
      </c>
      <c r="AJ99">
        <f>2*(SQRT((Inputs!$C$52+(Scenario_Data!C99))^2+Inputs!$C$52^2-2*(Inputs!$C$52+(Scenario_Data!C99))*Inputs!$C$52*COS(SQRT((Scenario_Data!U99)^2+Inputs!$C$6^2)/Inputs!$C$52))*1000)/Inputs!$C$21*1000000</f>
        <v>635.42608587189397</v>
      </c>
      <c r="AK99">
        <f>Scenario_Data!V99</f>
        <v>-153.59999999999991</v>
      </c>
      <c r="AL99">
        <f>2*(SQRT((Inputs!$C$52+(Scenario_Data!D99))^2+Inputs!$C$52^2-2*(Inputs!$C$52+(Scenario_Data!D99))*Inputs!$C$52*COS(SQRT((Scenario_Data!V99)^2+Inputs!$C$6^2)/Inputs!$C$52))*1000)/Inputs!$C$21*1000000</f>
        <v>1160.7398106982935</v>
      </c>
      <c r="AM99">
        <f>Scenario_Data!W99</f>
        <v>-153.59999999999991</v>
      </c>
      <c r="AN99">
        <f>2*(SQRT((Inputs!$C$52+(Scenario_Data!E99))^2+Inputs!$C$52^2-2*(Inputs!$C$52+(Scenario_Data!E99))*Inputs!$C$52*COS(SQRT((Scenario_Data!W99)^2+Inputs!$C$6^2)/Inputs!$C$52))*1000)/Inputs!$C$21*1000000</f>
        <v>1133.2680310356866</v>
      </c>
      <c r="AP99">
        <f>Scenario_Data!T99</f>
        <v>-11.519999999999996</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2674.359012410629</v>
      </c>
      <c r="AR99">
        <f>Scenario_Data!U99</f>
        <v>-76.799999999999955</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635.15479923340808</v>
      </c>
      <c r="AT99">
        <f>Scenario_Data!V99</f>
        <v>-153.59999999999991</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1160.3541102258998</v>
      </c>
      <c r="AV99">
        <f>Scenario_Data!W99</f>
        <v>-153.59999999999991</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1132.9336684812708</v>
      </c>
    </row>
    <row r="100" spans="1:49">
      <c r="A100">
        <f>Chart_Data!K100</f>
        <v>-11</v>
      </c>
      <c r="B100">
        <f>Chart_Data!N100-Chart_Data!L100</f>
        <v>41.593952857360478</v>
      </c>
      <c r="D100">
        <f>Chart_Data!G100</f>
        <v>-11</v>
      </c>
      <c r="E100">
        <f>Chart_Data!H100</f>
        <v>462.54124928234683</v>
      </c>
      <c r="F100">
        <f>Chart_Data!I100</f>
        <v>462.54124928234683</v>
      </c>
      <c r="G100">
        <f>Chart_Data!J100</f>
        <v>-43.289835573332148</v>
      </c>
      <c r="I100">
        <f>Scenario_Data!A100</f>
        <v>-0.183</v>
      </c>
      <c r="J100">
        <f>Scenario_Data!H100-(((SQRT((Inputs!$C$52+(Inputs!$H$6))^2+Inputs!$C$52^2-2*(Inputs!$C$52+(Inputs!$H$6))*Inputs!$C$52*COS(SQRT((Scenario_Data!T100)^2+Inputs!$C$6^2)/Inputs!$C$52)))-(Inputs!$H$6))*1000/Inputs!$C$12)</f>
        <v>-0.17444351947665382</v>
      </c>
      <c r="K100">
        <f>Scenario_Data!I100-(((SQRT((Inputs!$C$52+(Inputs!$H$7))^2+Inputs!$C$52^2-2*(Inputs!$C$52+(Inputs!$H$7))*Inputs!$C$52*COS(SQRT((Scenario_Data!U100)^2+Inputs!$C$6^2)/Inputs!$C$52)))-(Inputs!$H$7))*1000/Inputs!$C$12)</f>
        <v>-3533.9191182778195</v>
      </c>
      <c r="L100">
        <f>Scenario_Data!J100-(((SQRT((Inputs!$C$52+(Inputs!$H$8))^2+Inputs!$C$52^2-2*(Inputs!$C$52+(Inputs!$H$8))*Inputs!$C$52*COS(SQRT((Scenario_Data!V100)^2+Inputs!$C$6^2)/Inputs!$C$52)))-(Inputs!$H$8))*1000/Inputs!$C$12)</f>
        <v>-11550.242027722496</v>
      </c>
      <c r="M100">
        <f>Scenario_Data!K100-(((SQRT((Inputs!$C$52+(Inputs!$H$9))^2+Inputs!$C$52^2-2*(Inputs!$C$52+(Inputs!$H$9))*Inputs!$C$52*COS(SQRT((Scenario_Data!W100)^2+Inputs!$C$6^2)/Inputs!$C$52)))-(Inputs!$H$9))*1000/Inputs!$C$12)</f>
        <v>-12681.604714695779</v>
      </c>
      <c r="O100">
        <f>Scenario_Data!T100</f>
        <v>-10.980000000000004</v>
      </c>
      <c r="P100">
        <f>2*(Scenario_Data!B100*1000)/Inputs!$C$21*1000000</f>
        <v>2669.4064198239439</v>
      </c>
      <c r="Q100">
        <f>Scenario_Data!U100</f>
        <v>-73.200000000000045</v>
      </c>
      <c r="R100">
        <f>2*(Scenario_Data!C100*1000)/Inputs!$C$21*1000000</f>
        <v>315.04118092257016</v>
      </c>
      <c r="S100">
        <f>Scenario_Data!V100</f>
        <v>-146.40000000000009</v>
      </c>
      <c r="T100">
        <f>2*(Scenario_Data!D100*1000)/Inputs!$C$21*1000000</f>
        <v>449.08991673166133</v>
      </c>
      <c r="U100">
        <f>Scenario_Data!W100</f>
        <v>-146.40000000000009</v>
      </c>
      <c r="V100">
        <f>2*(Scenario_Data!E100*1000)/Inputs!$C$21*1000000</f>
        <v>384.6112432888491</v>
      </c>
      <c r="X100">
        <f>Scenario_Data!T100</f>
        <v>-10.980000000000004</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2669.6399802909527</v>
      </c>
      <c r="Z100">
        <f>Scenario_Data!U100</f>
        <v>-73.200000000000045</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314.94112454596194</v>
      </c>
      <c r="AB100">
        <f>Scenario_Data!V100</f>
        <v>-146.40000000000009</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449.38514116972078</v>
      </c>
      <c r="AD100">
        <f>Scenario_Data!W100</f>
        <v>-146.40000000000009</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384.90646772690855</v>
      </c>
      <c r="AG100">
        <f>Scenario_Data!T100</f>
        <v>-10.980000000000004</v>
      </c>
      <c r="AH100">
        <f>2*(SQRT((Inputs!$C$52+(Scenario_Data!B100))^2+Inputs!$C$52^2-2*(Inputs!$C$52+(Scenario_Data!B100))*Inputs!$C$52*COS(SQRT((Scenario_Data!T100)^2+Inputs!$C$6^2)/Inputs!$C$52))*1000)/Inputs!$C$21*1000000</f>
        <v>2677.2034202705154</v>
      </c>
      <c r="AI100">
        <f>Scenario_Data!U100</f>
        <v>-73.200000000000045</v>
      </c>
      <c r="AJ100">
        <f>2*(SQRT((Inputs!$C$52+(Scenario_Data!C100))^2+Inputs!$C$52^2-2*(Inputs!$C$52+(Scenario_Data!C100))*Inputs!$C$52*COS(SQRT((Scenario_Data!U100)^2+Inputs!$C$6^2)/Inputs!$C$52))*1000)/Inputs!$C$21*1000000</f>
        <v>611.18062071366592</v>
      </c>
      <c r="AK100">
        <f>Scenario_Data!V100</f>
        <v>-146.40000000000009</v>
      </c>
      <c r="AL100">
        <f>2*(SQRT((Inputs!$C$52+(Scenario_Data!D100))^2+Inputs!$C$52^2-2*(Inputs!$C$52+(Scenario_Data!D100))*Inputs!$C$52*COS(SQRT((Scenario_Data!V100)^2+Inputs!$C$6^2)/Inputs!$C$52))*1000)/Inputs!$C$21*1000000</f>
        <v>1106.7799512839299</v>
      </c>
      <c r="AM100">
        <f>Scenario_Data!W100</f>
        <v>-146.40000000000009</v>
      </c>
      <c r="AN100">
        <f>2*(SQRT((Inputs!$C$52+(Scenario_Data!E100))^2+Inputs!$C$52^2-2*(Inputs!$C$52+(Scenario_Data!E100))*Inputs!$C$52*COS(SQRT((Scenario_Data!W100)^2+Inputs!$C$6^2)/Inputs!$C$52))*1000)/Inputs!$C$21*1000000</f>
        <v>1079.4124988914414</v>
      </c>
      <c r="AP100">
        <f>Scenario_Data!T100</f>
        <v>-10.980000000000004</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2674.1900165683978</v>
      </c>
      <c r="AR100">
        <f>Scenario_Data!U100</f>
        <v>-73.200000000000045</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610.85101130020757</v>
      </c>
      <c r="AT100">
        <f>Scenario_Data!V100</f>
        <v>-146.40000000000009</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1106.5635226541449</v>
      </c>
      <c r="AV100">
        <f>Scenario_Data!W100</f>
        <v>-146.40000000000009</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1079.2262262421423</v>
      </c>
    </row>
    <row r="101" spans="1:49">
      <c r="A101">
        <f>Chart_Data!K101</f>
        <v>-10.5</v>
      </c>
      <c r="B101">
        <f>Chart_Data!N101-Chart_Data!L101</f>
        <v>50.397336839977299</v>
      </c>
      <c r="D101">
        <f>Chart_Data!G101</f>
        <v>-10.5</v>
      </c>
      <c r="E101">
        <f>Chart_Data!H101</f>
        <v>470.10163194835405</v>
      </c>
      <c r="F101">
        <f>Chart_Data!I101</f>
        <v>470.10163194835405</v>
      </c>
      <c r="G101">
        <f>Chart_Data!J101</f>
        <v>-52.096314636551988</v>
      </c>
      <c r="I101">
        <f>Scenario_Data!A101</f>
        <v>-0.17499999999999999</v>
      </c>
      <c r="J101">
        <f>Scenario_Data!H101-(((SQRT((Inputs!$C$52+(Inputs!$H$6))^2+Inputs!$C$52^2-2*(Inputs!$C$52+(Inputs!$H$6))*Inputs!$C$52*COS(SQRT((Scenario_Data!T101)^2+Inputs!$C$6^2)/Inputs!$C$52)))-(Inputs!$H$6))*1000/Inputs!$C$12)</f>
        <v>-0.15733377440119511</v>
      </c>
      <c r="K101">
        <f>Scenario_Data!I101-(((SQRT((Inputs!$C$52+(Inputs!$H$7))^2+Inputs!$C$52^2-2*(Inputs!$C$52+(Inputs!$H$7))*Inputs!$C$52*COS(SQRT((Scenario_Data!U101)^2+Inputs!$C$6^2)/Inputs!$C$52)))-(Inputs!$H$7))*1000/Inputs!$C$12)</f>
        <v>-3174.6987799832932</v>
      </c>
      <c r="L101">
        <f>Scenario_Data!J101-(((SQRT((Inputs!$C$52+(Inputs!$H$8))^2+Inputs!$C$52^2-2*(Inputs!$C$52+(Inputs!$H$8))*Inputs!$C$52*COS(SQRT((Scenario_Data!V101)^2+Inputs!$C$6^2)/Inputs!$C$52)))-(Inputs!$H$8))*1000/Inputs!$C$12)</f>
        <v>-10513.469745248251</v>
      </c>
      <c r="M101">
        <f>Scenario_Data!K101-(((SQRT((Inputs!$C$52+(Inputs!$H$9))^2+Inputs!$C$52^2-2*(Inputs!$C$52+(Inputs!$H$9))*Inputs!$C$52*COS(SQRT((Scenario_Data!W101)^2+Inputs!$C$6^2)/Inputs!$C$52)))-(Inputs!$H$9))*1000/Inputs!$C$12)</f>
        <v>-11588.17818289464</v>
      </c>
      <c r="O101">
        <f>Scenario_Data!T101</f>
        <v>-10.5</v>
      </c>
      <c r="P101">
        <f>2*(Scenario_Data!B101*1000)/Inputs!$C$21*1000000</f>
        <v>2669.3299936184521</v>
      </c>
      <c r="Q101">
        <f>Scenario_Data!U101</f>
        <v>-70</v>
      </c>
      <c r="R101">
        <f>2*(Scenario_Data!C101*1000)/Inputs!$C$21*1000000</f>
        <v>308.06728967144329</v>
      </c>
      <c r="S101">
        <f>Scenario_Data!V101</f>
        <v>-140</v>
      </c>
      <c r="T101">
        <f>2*(Scenario_Data!D101*1000)/Inputs!$C$21*1000000</f>
        <v>430.65209465676418</v>
      </c>
      <c r="U101">
        <f>Scenario_Data!W101</f>
        <v>-140</v>
      </c>
      <c r="V101">
        <f>2*(Scenario_Data!E101*1000)/Inputs!$C$21*1000000</f>
        <v>365.98235570022246</v>
      </c>
      <c r="X101">
        <f>Scenario_Data!T101</f>
        <v>-10.5</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2669.6775428195497</v>
      </c>
      <c r="Z101">
        <f>Scenario_Data!U101</f>
        <v>-70</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307.48456938359294</v>
      </c>
      <c r="AB101">
        <f>Scenario_Data!V101</f>
        <v>-140</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430.30959564342669</v>
      </c>
      <c r="AD101">
        <f>Scenario_Data!W101</f>
        <v>-140</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365.63985668688503</v>
      </c>
      <c r="AG101">
        <f>Scenario_Data!T101</f>
        <v>-10.5</v>
      </c>
      <c r="AH101">
        <f>2*(SQRT((Inputs!$C$52+(Scenario_Data!B101))^2+Inputs!$C$52^2-2*(Inputs!$C$52+(Scenario_Data!B101))*Inputs!$C$52*COS(SQRT((Scenario_Data!T101)^2+Inputs!$C$6^2)/Inputs!$C$52))*1000)/Inputs!$C$21*1000000</f>
        <v>2677.019501093122</v>
      </c>
      <c r="AI101">
        <f>Scenario_Data!U101</f>
        <v>-70</v>
      </c>
      <c r="AJ101">
        <f>2*(SQRT((Inputs!$C$52+(Scenario_Data!C101))^2+Inputs!$C$52^2-2*(Inputs!$C$52+(Scenario_Data!C101))*Inputs!$C$52*COS(SQRT((Scenario_Data!U101)^2+Inputs!$C$6^2)/Inputs!$C$52))*1000)/Inputs!$C$21*1000000</f>
        <v>589.93930874913281</v>
      </c>
      <c r="AK101">
        <f>Scenario_Data!V101</f>
        <v>-140</v>
      </c>
      <c r="AL101">
        <f>2*(SQRT((Inputs!$C$52+(Scenario_Data!D101))^2+Inputs!$C$52^2-2*(Inputs!$C$52+(Scenario_Data!D101))*Inputs!$C$52*COS(SQRT((Scenario_Data!V101)^2+Inputs!$C$6^2)/Inputs!$C$52))*1000)/Inputs!$C$21*1000000</f>
        <v>1059.3278163208254</v>
      </c>
      <c r="AM101">
        <f>Scenario_Data!W101</f>
        <v>-140</v>
      </c>
      <c r="AN101">
        <f>2*(SQRT((Inputs!$C$52+(Scenario_Data!E101))^2+Inputs!$C$52^2-2*(Inputs!$C$52+(Scenario_Data!E101))*Inputs!$C$52*COS(SQRT((Scenario_Data!W101)^2+Inputs!$C$6^2)/Inputs!$C$52))*1000)/Inputs!$C$21*1000000</f>
        <v>1032.0225937697833</v>
      </c>
      <c r="AP101">
        <f>Scenario_Data!T101</f>
        <v>-10.5</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2673.894654942711</v>
      </c>
      <c r="AR101">
        <f>Scenario_Data!U101</f>
        <v>-70</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589.28130689759246</v>
      </c>
      <c r="AT101">
        <f>Scenario_Data!V101</f>
        <v>-140</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1058.8311599750984</v>
      </c>
      <c r="AV101">
        <f>Scenario_Data!W101</f>
        <v>-140</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1031.5980886484233</v>
      </c>
    </row>
    <row r="102" spans="1:49">
      <c r="A102">
        <f>Chart_Data!K102</f>
        <v>-10</v>
      </c>
      <c r="B102">
        <f>Chart_Data!N102-Chart_Data!L102</f>
        <v>47.742627493343548</v>
      </c>
      <c r="D102">
        <f>Chart_Data!G102</f>
        <v>-10</v>
      </c>
      <c r="E102">
        <f>Chart_Data!H102</f>
        <v>471.51448488312155</v>
      </c>
      <c r="F102">
        <f>Chart_Data!I102</f>
        <v>471.51448488312155</v>
      </c>
      <c r="G102">
        <f>Chart_Data!J102</f>
        <v>-49.423131521111884</v>
      </c>
      <c r="I102">
        <f>Scenario_Data!A102</f>
        <v>-0.16700000000000001</v>
      </c>
      <c r="J102">
        <f>Scenario_Data!H102-(((SQRT((Inputs!$C$52+(Inputs!$H$6))^2+Inputs!$C$52^2-2*(Inputs!$C$52+(Inputs!$H$6))*Inputs!$C$52*COS(SQRT((Scenario_Data!T102)^2+Inputs!$C$6^2)/Inputs!$C$52)))-(Inputs!$H$6))*1000/Inputs!$C$12)</f>
        <v>-0.14137113236063215</v>
      </c>
      <c r="K102">
        <f>Scenario_Data!I102-(((SQRT((Inputs!$C$52+(Inputs!$H$7))^2+Inputs!$C$52^2-2*(Inputs!$C$52+(Inputs!$H$7))*Inputs!$C$52*COS(SQRT((Scenario_Data!U102)^2+Inputs!$C$6^2)/Inputs!$C$52)))-(Inputs!$H$7))*1000/Inputs!$C$12)</f>
        <v>-2834.7671819467178</v>
      </c>
      <c r="L102">
        <f>Scenario_Data!J102-(((SQRT((Inputs!$C$52+(Inputs!$H$8))^2+Inputs!$C$52^2-2*(Inputs!$C$52+(Inputs!$H$8))*Inputs!$C$52*COS(SQRT((Scenario_Data!V102)^2+Inputs!$C$6^2)/Inputs!$C$52)))-(Inputs!$H$8))*1000/Inputs!$C$12)</f>
        <v>-9518.3342443124784</v>
      </c>
      <c r="M102">
        <f>Scenario_Data!K102-(((SQRT((Inputs!$C$52+(Inputs!$H$9))^2+Inputs!$C$52^2-2*(Inputs!$C$52+(Inputs!$H$9))*Inputs!$C$52*COS(SQRT((Scenario_Data!W102)^2+Inputs!$C$6^2)/Inputs!$C$52)))-(Inputs!$H$9))*1000/Inputs!$C$12)</f>
        <v>-10536.017531248719</v>
      </c>
      <c r="O102">
        <f>Scenario_Data!T102</f>
        <v>-10.020000000000003</v>
      </c>
      <c r="P102">
        <f>2*(Scenario_Data!B102*1000)/Inputs!$C$21*1000000</f>
        <v>2669.2569831092951</v>
      </c>
      <c r="Q102">
        <f>Scenario_Data!U102</f>
        <v>-66.800000000000011</v>
      </c>
      <c r="R102">
        <f>2*(Scenario_Data!C102*1000)/Inputs!$C$21*1000000</f>
        <v>301.40508071086964</v>
      </c>
      <c r="S102">
        <f>Scenario_Data!V102</f>
        <v>-133.60000000000002</v>
      </c>
      <c r="T102">
        <f>2*(Scenario_Data!D102*1000)/Inputs!$C$21*1000000</f>
        <v>413.03830932264486</v>
      </c>
      <c r="U102">
        <f>Scenario_Data!W102</f>
        <v>-133.60000000000002</v>
      </c>
      <c r="V102">
        <f>2*(Scenario_Data!E102*1000)/Inputs!$C$21*1000000</f>
        <v>348.18604409321068</v>
      </c>
      <c r="X102">
        <f>Scenario_Data!T102</f>
        <v>-10.020000000000003</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2669.5329806107666</v>
      </c>
      <c r="Z102">
        <f>Scenario_Data!U102</f>
        <v>-66.800000000000011</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300.77094466978451</v>
      </c>
      <c r="AB102">
        <f>Scenario_Data!V102</f>
        <v>-133.60000000000002</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413.13501587361156</v>
      </c>
      <c r="AD102">
        <f>Scenario_Data!W102</f>
        <v>-133.60000000000002</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348.28275064417738</v>
      </c>
      <c r="AG102">
        <f>Scenario_Data!T102</f>
        <v>-10.020000000000003</v>
      </c>
      <c r="AH102">
        <f>2*(SQRT((Inputs!$C$52+(Scenario_Data!B102))^2+Inputs!$C$52^2-2*(Inputs!$C$52+(Scenario_Data!B102))*Inputs!$C$52*COS(SQRT((Scenario_Data!T102)^2+Inputs!$C$6^2)/Inputs!$C$52))*1000)/Inputs!$C$21*1000000</f>
        <v>2676.843793107199</v>
      </c>
      <c r="AI102">
        <f>Scenario_Data!U102</f>
        <v>-66.800000000000011</v>
      </c>
      <c r="AJ102">
        <f>2*(SQRT((Inputs!$C$52+(Scenario_Data!C102))^2+Inputs!$C$52^2-2*(Inputs!$C$52+(Scenario_Data!C102))*Inputs!$C$52*COS(SQRT((Scenario_Data!U102)^2+Inputs!$C$6^2)/Inputs!$C$52))*1000)/Inputs!$C$21*1000000</f>
        <v>569.00880810029753</v>
      </c>
      <c r="AK102">
        <f>Scenario_Data!V102</f>
        <v>-133.60000000000002</v>
      </c>
      <c r="AL102">
        <f>2*(SQRT((Inputs!$C$52+(Scenario_Data!D102))^2+Inputs!$C$52^2-2*(Inputs!$C$52+(Scenario_Data!D102))*Inputs!$C$52*COS(SQRT((Scenario_Data!V102)^2+Inputs!$C$6^2)/Inputs!$C$52))*1000)/Inputs!$C$21*1000000</f>
        <v>1012.362240937457</v>
      </c>
      <c r="AM102">
        <f>Scenario_Data!W102</f>
        <v>-133.60000000000002</v>
      </c>
      <c r="AN102">
        <f>2*(SQRT((Inputs!$C$52+(Scenario_Data!E102))^2+Inputs!$C$52^2-2*(Inputs!$C$52+(Scenario_Data!E102))*Inputs!$C$52*COS(SQRT((Scenario_Data!W102)^2+Inputs!$C$6^2)/Inputs!$C$52))*1000)/Inputs!$C$21*1000000</f>
        <v>985.08502580385175</v>
      </c>
      <c r="AP102">
        <f>Scenario_Data!T102</f>
        <v>-10.020000000000003</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2673.7596972090009</v>
      </c>
      <c r="AR102">
        <f>Scenario_Data!U102</f>
        <v>-66.800000000000011</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568.26718007725287</v>
      </c>
      <c r="AT102">
        <f>Scenario_Data!V102</f>
        <v>-133.60000000000002</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1012.0645953546137</v>
      </c>
      <c r="AV102">
        <f>Scenario_Data!W102</f>
        <v>-133.60000000000002</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984.83232316756278</v>
      </c>
    </row>
    <row r="103" spans="1:49">
      <c r="A103">
        <f>Chart_Data!K103</f>
        <v>-9.5</v>
      </c>
      <c r="B103">
        <f>Chart_Data!N103-Chart_Data!L103</f>
        <v>30.622778156968423</v>
      </c>
      <c r="D103">
        <f>Chart_Data!G103</f>
        <v>-9.5</v>
      </c>
      <c r="E103">
        <f>Chart_Data!H103</f>
        <v>470.58157381705621</v>
      </c>
      <c r="F103">
        <f>Chart_Data!I103</f>
        <v>470.58157381705621</v>
      </c>
      <c r="G103">
        <f>Chart_Data!J103</f>
        <v>-32.277557975083496</v>
      </c>
      <c r="I103">
        <f>Scenario_Data!A103</f>
        <v>-0.158</v>
      </c>
      <c r="J103">
        <f>Scenario_Data!H103-(((SQRT((Inputs!$C$52+(Inputs!$H$6))^2+Inputs!$C$52^2-2*(Inputs!$C$52+(Inputs!$H$6))*Inputs!$C$52*COS(SQRT((Scenario_Data!T103)^2+Inputs!$C$6^2)/Inputs!$C$52)))-(Inputs!$H$6))*1000/Inputs!$C$12)</f>
        <v>-0.12471921807230046</v>
      </c>
      <c r="K103">
        <f>Scenario_Data!I103-(((SQRT((Inputs!$C$52+(Inputs!$H$7))^2+Inputs!$C$52^2-2*(Inputs!$C$52+(Inputs!$H$7))*Inputs!$C$52*COS(SQRT((Scenario_Data!U103)^2+Inputs!$C$6^2)/Inputs!$C$52)))-(Inputs!$H$7))*1000/Inputs!$C$12)</f>
        <v>-2475.736579407454</v>
      </c>
      <c r="L103">
        <f>Scenario_Data!J103-(((SQRT((Inputs!$C$52+(Inputs!$H$8))^2+Inputs!$C$52^2-2*(Inputs!$C$52+(Inputs!$H$8))*Inputs!$C$52*COS(SQRT((Scenario_Data!V103)^2+Inputs!$C$6^2)/Inputs!$C$52)))-(Inputs!$H$8))*1000/Inputs!$C$12)</f>
        <v>-8450.1146067239897</v>
      </c>
      <c r="M103">
        <f>Scenario_Data!K103-(((SQRT((Inputs!$C$52+(Inputs!$H$9))^2+Inputs!$C$52^2-2*(Inputs!$C$52+(Inputs!$H$9))*Inputs!$C$52*COS(SQRT((Scenario_Data!W103)^2+Inputs!$C$6^2)/Inputs!$C$52)))-(Inputs!$H$9))*1000/Inputs!$C$12)</f>
        <v>-9403.2197680937752</v>
      </c>
      <c r="O103">
        <f>Scenario_Data!T103</f>
        <v>-9.480000000000004</v>
      </c>
      <c r="P103">
        <f>2*(Scenario_Data!B103*1000)/Inputs!$C$21*1000000</f>
        <v>2669.1789291110185</v>
      </c>
      <c r="Q103">
        <f>Scenario_Data!U103</f>
        <v>-63.199999999999989</v>
      </c>
      <c r="R103">
        <f>2*(Scenario_Data!C103*1000)/Inputs!$C$21*1000000</f>
        <v>294.2826533681511</v>
      </c>
      <c r="S103">
        <f>Scenario_Data!V103</f>
        <v>-126.39999999999998</v>
      </c>
      <c r="T103">
        <f>2*(Scenario_Data!D103*1000)/Inputs!$C$21*1000000</f>
        <v>394.20778223847111</v>
      </c>
      <c r="U103">
        <f>Scenario_Data!W103</f>
        <v>-126.39999999999998</v>
      </c>
      <c r="V103">
        <f>2*(Scenario_Data!E103*1000)/Inputs!$C$21*1000000</f>
        <v>329.16038201334601</v>
      </c>
      <c r="X103">
        <f>Scenario_Data!T103</f>
        <v>-9.480000000000004</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2669.511245132921</v>
      </c>
      <c r="Z103">
        <f>Scenario_Data!U103</f>
        <v>-63.199999999999989</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294.23661277989663</v>
      </c>
      <c r="AB103">
        <f>Scenario_Data!V103</f>
        <v>-126.39999999999998</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394.10574765913475</v>
      </c>
      <c r="AD103">
        <f>Scenario_Data!W103</f>
        <v>-126.39999999999998</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329.0583474340097</v>
      </c>
      <c r="AG103">
        <f>Scenario_Data!T103</f>
        <v>-9.480000000000004</v>
      </c>
      <c r="AH103">
        <f>2*(SQRT((Inputs!$C$52+(Scenario_Data!B103))^2+Inputs!$C$52^2-2*(Inputs!$C$52+(Scenario_Data!B103))*Inputs!$C$52*COS(SQRT((Scenario_Data!T103)^2+Inputs!$C$6^2)/Inputs!$C$52))*1000)/Inputs!$C$21*1000000</f>
        <v>2676.6559380375311</v>
      </c>
      <c r="AI103">
        <f>Scenario_Data!U103</f>
        <v>-63.199999999999989</v>
      </c>
      <c r="AJ103">
        <f>2*(SQRT((Inputs!$C$52+(Scenario_Data!C103))^2+Inputs!$C$52^2-2*(Inputs!$C$52+(Scenario_Data!C103))*Inputs!$C$52*COS(SQRT((Scenario_Data!U103)^2+Inputs!$C$6^2)/Inputs!$C$52))*1000)/Inputs!$C$21*1000000</f>
        <v>545.85993350873184</v>
      </c>
      <c r="AK103">
        <f>Scenario_Data!V103</f>
        <v>-126.39999999999998</v>
      </c>
      <c r="AL103">
        <f>2*(SQRT((Inputs!$C$52+(Scenario_Data!D103))^2+Inputs!$C$52^2-2*(Inputs!$C$52+(Scenario_Data!D103))*Inputs!$C$52*COS(SQRT((Scenario_Data!V103)^2+Inputs!$C$6^2)/Inputs!$C$52))*1000)/Inputs!$C$21*1000000</f>
        <v>960.11703342820601</v>
      </c>
      <c r="AM103">
        <f>Scenario_Data!W103</f>
        <v>-126.39999999999998</v>
      </c>
      <c r="AN103">
        <f>2*(SQRT((Inputs!$C$52+(Scenario_Data!E103))^2+Inputs!$C$52^2-2*(Inputs!$C$52+(Scenario_Data!E103))*Inputs!$C$52*COS(SQRT((Scenario_Data!W103)^2+Inputs!$C$6^2)/Inputs!$C$52))*1000)/Inputs!$C$21*1000000</f>
        <v>932.82274514534868</v>
      </c>
      <c r="AP103">
        <f>Scenario_Data!T103</f>
        <v>-9.480000000000004</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2673.572737760398</v>
      </c>
      <c r="AR103">
        <f>Scenario_Data!U103</f>
        <v>-63.199999999999989</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545.32357532591755</v>
      </c>
      <c r="AT103">
        <f>Scenario_Data!V103</f>
        <v>-126.39999999999998</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959.69924903664662</v>
      </c>
      <c r="AV103">
        <f>Scenario_Data!W103</f>
        <v>-126.39999999999998</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932.47086417565833</v>
      </c>
    </row>
    <row r="104" spans="1:49">
      <c r="A104">
        <f>Chart_Data!K104</f>
        <v>-9</v>
      </c>
      <c r="B104">
        <f>Chart_Data!N104-Chart_Data!L104</f>
        <v>45.753063767806793</v>
      </c>
      <c r="D104">
        <f>Chart_Data!G104</f>
        <v>-9</v>
      </c>
      <c r="E104">
        <f>Chart_Data!H104</f>
        <v>480.61828567521798</v>
      </c>
      <c r="F104">
        <f>Chart_Data!I104</f>
        <v>480.61828567521798</v>
      </c>
      <c r="G104">
        <f>Chart_Data!J104</f>
        <v>-47.421474838397501</v>
      </c>
      <c r="I104">
        <f>Scenario_Data!A104</f>
        <v>-0.15</v>
      </c>
      <c r="J104">
        <f>Scenario_Data!H104-(((SQRT((Inputs!$C$52+(Inputs!$H$6))^2+Inputs!$C$52^2-2*(Inputs!$C$52+(Inputs!$H$6))*Inputs!$C$52*COS(SQRT((Scenario_Data!T104)^2+Inputs!$C$6^2)/Inputs!$C$52)))-(Inputs!$H$6))*1000/Inputs!$C$12)</f>
        <v>-0.11102336728663431</v>
      </c>
      <c r="K104">
        <f>Scenario_Data!I104-(((SQRT((Inputs!$C$52+(Inputs!$H$7))^2+Inputs!$C$52^2-2*(Inputs!$C$52+(Inputs!$H$7))*Inputs!$C$52*COS(SQRT((Scenario_Data!U104)^2+Inputs!$C$6^2)/Inputs!$C$52)))-(Inputs!$H$7))*1000/Inputs!$C$12)</f>
        <v>-2177.6671843117474</v>
      </c>
      <c r="L104">
        <f>Scenario_Data!J104-(((SQRT((Inputs!$C$52+(Inputs!$H$8))^2+Inputs!$C$52^2-2*(Inputs!$C$52+(Inputs!$H$8))*Inputs!$C$52*COS(SQRT((Scenario_Data!V104)^2+Inputs!$C$6^2)/Inputs!$C$52)))-(Inputs!$H$8))*1000/Inputs!$C$12)</f>
        <v>-7547.5826717634845</v>
      </c>
      <c r="M104">
        <f>Scenario_Data!K104-(((SQRT((Inputs!$C$52+(Inputs!$H$9))^2+Inputs!$C$52^2-2*(Inputs!$C$52+(Inputs!$H$9))*Inputs!$C$52*COS(SQRT((Scenario_Data!W104)^2+Inputs!$C$6^2)/Inputs!$C$52)))-(Inputs!$H$9))*1000/Inputs!$C$12)</f>
        <v>-8442.9245038226654</v>
      </c>
      <c r="O104">
        <f>Scenario_Data!T104</f>
        <v>-9</v>
      </c>
      <c r="P104">
        <f>2*(Scenario_Data!B104*1000)/Inputs!$C$21*1000000</f>
        <v>2669.1131769565732</v>
      </c>
      <c r="Q104">
        <f>Scenario_Data!U104</f>
        <v>-60</v>
      </c>
      <c r="R104">
        <f>2*(Scenario_Data!C104*1000)/Inputs!$C$21*1000000</f>
        <v>288.28276927500292</v>
      </c>
      <c r="S104">
        <f>Scenario_Data!V104</f>
        <v>-120</v>
      </c>
      <c r="T104">
        <f>2*(Scenario_Data!D104*1000)/Inputs!$C$21*1000000</f>
        <v>378.34507497850399</v>
      </c>
      <c r="U104">
        <f>Scenario_Data!W104</f>
        <v>-120</v>
      </c>
      <c r="V104">
        <f>2*(Scenario_Data!E104*1000)/Inputs!$C$21*1000000</f>
        <v>313.13329436726525</v>
      </c>
      <c r="X104">
        <f>Scenario_Data!T104</f>
        <v>-9</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2669.4295389835215</v>
      </c>
      <c r="Z104">
        <f>Scenario_Data!U104</f>
        <v>-60</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288.26432799028123</v>
      </c>
      <c r="AB104">
        <f>Scenario_Data!V104</f>
        <v>-120</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377.82373453094897</v>
      </c>
      <c r="AD104">
        <f>Scenario_Data!W104</f>
        <v>-120</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312.61195391971023</v>
      </c>
      <c r="AG104">
        <f>Scenario_Data!T104</f>
        <v>-9</v>
      </c>
      <c r="AH104">
        <f>2*(SQRT((Inputs!$C$52+(Scenario_Data!B104))^2+Inputs!$C$52^2-2*(Inputs!$C$52+(Scenario_Data!B104))*Inputs!$C$52*COS(SQRT((Scenario_Data!T104)^2+Inputs!$C$6^2)/Inputs!$C$52))*1000)/Inputs!$C$21*1000000</f>
        <v>2676.4976827030932</v>
      </c>
      <c r="AI104">
        <f>Scenario_Data!U104</f>
        <v>-60</v>
      </c>
      <c r="AJ104">
        <f>2*(SQRT((Inputs!$C$52+(Scenario_Data!C104))^2+Inputs!$C$52^2-2*(Inputs!$C$52+(Scenario_Data!C104))*Inputs!$C$52*COS(SQRT((Scenario_Data!U104)^2+Inputs!$C$6^2)/Inputs!$C$52))*1000)/Inputs!$C$21*1000000</f>
        <v>525.66427144455326</v>
      </c>
      <c r="AK104">
        <f>Scenario_Data!V104</f>
        <v>-120</v>
      </c>
      <c r="AL104">
        <f>2*(SQRT((Inputs!$C$52+(Scenario_Data!D104))^2+Inputs!$C$52^2-2*(Inputs!$C$52+(Scenario_Data!D104))*Inputs!$C$52*COS(SQRT((Scenario_Data!V104)^2+Inputs!$C$6^2)/Inputs!$C$52))*1000)/Inputs!$C$21*1000000</f>
        <v>914.21509447541018</v>
      </c>
      <c r="AM104">
        <f>Scenario_Data!W104</f>
        <v>-120</v>
      </c>
      <c r="AN104">
        <f>2*(SQRT((Inputs!$C$52+(Scenario_Data!E104))^2+Inputs!$C$52^2-2*(Inputs!$C$52+(Scenario_Data!E104))*Inputs!$C$52*COS(SQRT((Scenario_Data!W104)^2+Inputs!$C$6^2)/Inputs!$C$52))*1000)/Inputs!$C$21*1000000</f>
        <v>886.85449472026994</v>
      </c>
      <c r="AP104">
        <f>Scenario_Data!T104</f>
        <v>-9</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2673.3024730717379</v>
      </c>
      <c r="AR104">
        <f>Scenario_Data!U104</f>
        <v>-60</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525.24182983237324</v>
      </c>
      <c r="AT104">
        <f>Scenario_Data!V104</f>
        <v>-120</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913.74304655812273</v>
      </c>
      <c r="AV104">
        <f>Scenario_Data!W104</f>
        <v>-120</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886.4597372531108</v>
      </c>
    </row>
    <row r="105" spans="1:49">
      <c r="A105">
        <f>Chart_Data!K105</f>
        <v>-8.5</v>
      </c>
      <c r="B105">
        <f>Chart_Data!N105-Chart_Data!L105</f>
        <v>60.269090797253341</v>
      </c>
      <c r="D105">
        <f>Chart_Data!G105</f>
        <v>-8.5</v>
      </c>
      <c r="E105">
        <f>Chart_Data!H105</f>
        <v>460.62061079043809</v>
      </c>
      <c r="F105">
        <f>Chart_Data!I105</f>
        <v>460.62061079043809</v>
      </c>
      <c r="G105">
        <f>Chart_Data!J105</f>
        <v>-61.848322891668573</v>
      </c>
      <c r="I105">
        <f>Scenario_Data!A105</f>
        <v>-0.14199999999999999</v>
      </c>
      <c r="J105">
        <f>Scenario_Data!H105-(((SQRT((Inputs!$C$52+(Inputs!$H$6))^2+Inputs!$C$52^2-2*(Inputs!$C$52+(Inputs!$H$6))*Inputs!$C$52*COS(SQRT((Scenario_Data!T105)^2+Inputs!$C$6^2)/Inputs!$C$52)))-(Inputs!$H$6))*1000/Inputs!$C$12)</f>
        <v>-9.8319082050352336E-2</v>
      </c>
      <c r="K105">
        <f>Scenario_Data!I105-(((SQRT((Inputs!$C$52+(Inputs!$H$7))^2+Inputs!$C$52^2-2*(Inputs!$C$52+(Inputs!$H$7))*Inputs!$C$52*COS(SQRT((Scenario_Data!U105)^2+Inputs!$C$6^2)/Inputs!$C$52)))-(Inputs!$H$7))*1000/Inputs!$C$12)</f>
        <v>-1899.6570192596373</v>
      </c>
      <c r="L105">
        <f>Scenario_Data!J105-(((SQRT((Inputs!$C$52+(Inputs!$H$8))^2+Inputs!$C$52^2-2*(Inputs!$C$52+(Inputs!$H$8))*Inputs!$C$52*COS(SQRT((Scenario_Data!V105)^2+Inputs!$C$6^2)/Inputs!$C$52)))-(Inputs!$H$8))*1000/Inputs!$C$12)</f>
        <v>-6690.6108063324282</v>
      </c>
      <c r="M105">
        <f>Scenario_Data!K105-(((SQRT((Inputs!$C$52+(Inputs!$H$9))^2+Inputs!$C$52^2-2*(Inputs!$C$52+(Inputs!$H$9))*Inputs!$C$52*COS(SQRT((Scenario_Data!W105)^2+Inputs!$C$6^2)/Inputs!$C$52)))-(Inputs!$H$9))*1000/Inputs!$C$12)</f>
        <v>-7527.8673822461351</v>
      </c>
      <c r="O105">
        <f>Scenario_Data!T105</f>
        <v>-8.5200000000000031</v>
      </c>
      <c r="P105">
        <f>2*(Scenario_Data!B105*1000)/Inputs!$C$21*1000000</f>
        <v>2669.0508404984621</v>
      </c>
      <c r="Q105">
        <f>Scenario_Data!U105</f>
        <v>-56.800000000000011</v>
      </c>
      <c r="R105">
        <f>2*(Scenario_Data!C105*1000)/Inputs!$C$21*1000000</f>
        <v>282.5945674724079</v>
      </c>
      <c r="S105">
        <f>Scenario_Data!V105</f>
        <v>-113.60000000000002</v>
      </c>
      <c r="T105">
        <f>2*(Scenario_Data!D105*1000)/Inputs!$C$21*1000000</f>
        <v>363.30640445931436</v>
      </c>
      <c r="U105">
        <f>Scenario_Data!W105</f>
        <v>-113.60000000000002</v>
      </c>
      <c r="V105">
        <f>2*(Scenario_Data!E105*1000)/Inputs!$C$21*1000000</f>
        <v>297.93878270279907</v>
      </c>
      <c r="X105">
        <f>Scenario_Data!T105</f>
        <v>-8.5200000000000031</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2669.3804992497408</v>
      </c>
      <c r="Z105">
        <f>Scenario_Data!U105</f>
        <v>-56.800000000000011</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282.22696445345809</v>
      </c>
      <c r="AB105">
        <f>Scenario_Data!V105</f>
        <v>-113.60000000000002</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363.28651770825104</v>
      </c>
      <c r="AD105">
        <f>Scenario_Data!W105</f>
        <v>-113.60000000000002</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297.91889595173575</v>
      </c>
      <c r="AG105">
        <f>Scenario_Data!T105</f>
        <v>-8.5200000000000031</v>
      </c>
      <c r="AH105">
        <f>2*(SQRT((Inputs!$C$52+(Scenario_Data!B105))^2+Inputs!$C$52^2-2*(Inputs!$C$52+(Scenario_Data!B105))*Inputs!$C$52*COS(SQRT((Scenario_Data!T105)^2+Inputs!$C$6^2)/Inputs!$C$52))*1000)/Inputs!$C$21*1000000</f>
        <v>2676.3476420836173</v>
      </c>
      <c r="AI105">
        <f>Scenario_Data!U105</f>
        <v>-56.800000000000011</v>
      </c>
      <c r="AJ105">
        <f>2*(SQRT((Inputs!$C$52+(Scenario_Data!C105))^2+Inputs!$C$52^2-2*(Inputs!$C$52+(Scenario_Data!C105))*Inputs!$C$52*COS(SQRT((Scenario_Data!U105)^2+Inputs!$C$6^2)/Inputs!$C$52))*1000)/Inputs!$C$21*1000000</f>
        <v>505.85734229616077</v>
      </c>
      <c r="AK105">
        <f>Scenario_Data!V105</f>
        <v>-113.60000000000002</v>
      </c>
      <c r="AL105">
        <f>2*(SQRT((Inputs!$C$52+(Scenario_Data!D105))^2+Inputs!$C$52^2-2*(Inputs!$C$52+(Scenario_Data!D105))*Inputs!$C$52*COS(SQRT((Scenario_Data!V105)^2+Inputs!$C$6^2)/Inputs!$C$52))*1000)/Inputs!$C$21*1000000</f>
        <v>868.83708028220633</v>
      </c>
      <c r="AM105">
        <f>Scenario_Data!W105</f>
        <v>-113.60000000000002</v>
      </c>
      <c r="AN105">
        <f>2*(SQRT((Inputs!$C$52+(Scenario_Data!E105))^2+Inputs!$C$52^2-2*(Inputs!$C$52+(Scenario_Data!E105))*Inputs!$C$52*COS(SQRT((Scenario_Data!W105)^2+Inputs!$C$6^2)/Inputs!$C$52))*1000)/Inputs!$C$21*1000000</f>
        <v>841.35327888293671</v>
      </c>
      <c r="AP105">
        <f>Scenario_Data!T105</f>
        <v>-8.5200000000000031</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2673.2073752697829</v>
      </c>
      <c r="AR105">
        <f>Scenario_Data!U105</f>
        <v>-56.800000000000011</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505.33032450173971</v>
      </c>
      <c r="AT105">
        <f>Scenario_Data!V105</f>
        <v>-113.60000000000002</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868.53954910038283</v>
      </c>
      <c r="AV105">
        <f>Scenario_Data!W105</f>
        <v>-113.60000000000002</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841.10617866958785</v>
      </c>
    </row>
    <row r="106" spans="1:49">
      <c r="A106">
        <f>Chart_Data!K106</f>
        <v>-8</v>
      </c>
      <c r="B106">
        <f>Chart_Data!N106-Chart_Data!L106</f>
        <v>37.729285031690893</v>
      </c>
      <c r="D106">
        <f>Chart_Data!G106</f>
        <v>-8</v>
      </c>
      <c r="E106">
        <f>Chart_Data!H106</f>
        <v>475.66592239631382</v>
      </c>
      <c r="F106">
        <f>Chart_Data!I106</f>
        <v>475.66592239631382</v>
      </c>
      <c r="G106">
        <f>Chart_Data!J106</f>
        <v>-39.340995770370029</v>
      </c>
      <c r="I106">
        <f>Scenario_Data!A106</f>
        <v>-0.13300000000000001</v>
      </c>
      <c r="J106">
        <f>Scenario_Data!H106-(((SQRT((Inputs!$C$52+(Inputs!$H$6))^2+Inputs!$C$52^2-2*(Inputs!$C$52+(Inputs!$H$6))*Inputs!$C$52*COS(SQRT((Scenario_Data!T106)^2+Inputs!$C$6^2)/Inputs!$C$52)))-(Inputs!$H$6))*1000/Inputs!$C$12)</f>
        <v>-8.5156359718553176E-2</v>
      </c>
      <c r="K106">
        <f>Scenario_Data!I106-(((SQRT((Inputs!$C$52+(Inputs!$H$7))^2+Inputs!$C$52^2-2*(Inputs!$C$52+(Inputs!$H$7))*Inputs!$C$52*COS(SQRT((Scenario_Data!U106)^2+Inputs!$C$6^2)/Inputs!$C$52)))-(Inputs!$H$7))*1000/Inputs!$C$12)</f>
        <v>-1611.0978519744349</v>
      </c>
      <c r="L106">
        <f>Scenario_Data!J106-(((SQRT((Inputs!$C$52+(Inputs!$H$8))^2+Inputs!$C$52^2-2*(Inputs!$C$52+(Inputs!$H$8))*Inputs!$C$52*COS(SQRT((Scenario_Data!V106)^2+Inputs!$C$6^2)/Inputs!$C$52)))-(Inputs!$H$8))*1000/Inputs!$C$12)</f>
        <v>-5782.5863929769912</v>
      </c>
      <c r="M106">
        <f>Scenario_Data!K106-(((SQRT((Inputs!$C$52+(Inputs!$H$9))^2+Inputs!$C$52^2-2*(Inputs!$C$52+(Inputs!$H$9))*Inputs!$C$52*COS(SQRT((Scenario_Data!W106)^2+Inputs!$C$6^2)/Inputs!$C$52)))-(Inputs!$H$9))*1000/Inputs!$C$12)</f>
        <v>-6554.1364146582637</v>
      </c>
      <c r="O106">
        <f>Scenario_Data!T106</f>
        <v>-7.980000000000004</v>
      </c>
      <c r="P106">
        <f>2*(Scenario_Data!B106*1000)/Inputs!$C$21*1000000</f>
        <v>2668.9847948076131</v>
      </c>
      <c r="Q106">
        <f>Scenario_Data!U106</f>
        <v>-53.199999999999989</v>
      </c>
      <c r="R106">
        <f>2*(Scenario_Data!C106*1000)/Inputs!$C$21*1000000</f>
        <v>276.56789818241526</v>
      </c>
      <c r="S106">
        <f>Scenario_Data!V106</f>
        <v>-106.39999999999998</v>
      </c>
      <c r="T106">
        <f>2*(Scenario_Data!D106*1000)/Inputs!$C$21*1000000</f>
        <v>347.37288154193652</v>
      </c>
      <c r="U106">
        <f>Scenario_Data!W106</f>
        <v>-106.39999999999998</v>
      </c>
      <c r="V106">
        <f>2*(Scenario_Data!E106*1000)/Inputs!$C$21*1000000</f>
        <v>281.84014555829816</v>
      </c>
      <c r="X106">
        <f>Scenario_Data!T106</f>
        <v>-7.980000000000004</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2669.2987438838682</v>
      </c>
      <c r="Z106">
        <f>Scenario_Data!U106</f>
        <v>-53.199999999999989</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276.28378915801528</v>
      </c>
      <c r="AB106">
        <f>Scenario_Data!V106</f>
        <v>-106.39999999999998</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347.02160342794394</v>
      </c>
      <c r="AD106">
        <f>Scenario_Data!W106</f>
        <v>-106.39999999999998</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281.48886744430553</v>
      </c>
      <c r="AG106">
        <f>Scenario_Data!T106</f>
        <v>-7.980000000000004</v>
      </c>
      <c r="AH106">
        <f>2*(SQRT((Inputs!$C$52+(Scenario_Data!B106))^2+Inputs!$C$52^2-2*(Inputs!$C$52+(Scenario_Data!B106))*Inputs!$C$52*COS(SQRT((Scenario_Data!T106)^2+Inputs!$C$6^2)/Inputs!$C$52))*1000)/Inputs!$C$21*1000000</f>
        <v>2676.1886667981512</v>
      </c>
      <c r="AI106">
        <f>Scenario_Data!U106</f>
        <v>-53.199999999999989</v>
      </c>
      <c r="AJ106">
        <f>2*(SQRT((Inputs!$C$52+(Scenario_Data!C106))^2+Inputs!$C$52^2-2*(Inputs!$C$52+(Scenario_Data!C106))*Inputs!$C$52*COS(SQRT((Scenario_Data!U106)^2+Inputs!$C$6^2)/Inputs!$C$52))*1000)/Inputs!$C$21*1000000</f>
        <v>484.08118424505756</v>
      </c>
      <c r="AK106">
        <f>Scenario_Data!V106</f>
        <v>-106.39999999999998</v>
      </c>
      <c r="AL106">
        <f>2*(SQRT((Inputs!$C$52+(Scenario_Data!D106))^2+Inputs!$C$52^2-2*(Inputs!$C$52+(Scenario_Data!D106))*Inputs!$C$52*COS(SQRT((Scenario_Data!V106)^2+Inputs!$C$6^2)/Inputs!$C$52))*1000)/Inputs!$C$21*1000000</f>
        <v>818.44200766992435</v>
      </c>
      <c r="AM106">
        <f>Scenario_Data!W106</f>
        <v>-106.39999999999998</v>
      </c>
      <c r="AN106">
        <f>2*(SQRT((Inputs!$C$52+(Scenario_Data!E106))^2+Inputs!$C$52^2-2*(Inputs!$C$52+(Scenario_Data!E106))*Inputs!$C$52*COS(SQRT((Scenario_Data!W106)^2+Inputs!$C$6^2)/Inputs!$C$52))*1000)/Inputs!$C$21*1000000</f>
        <v>790.73922174294944</v>
      </c>
      <c r="AP106">
        <f>Scenario_Data!T106</f>
        <v>-7.980000000000004</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2673.1725556374686</v>
      </c>
      <c r="AR106">
        <f>Scenario_Data!U106</f>
        <v>-53.199999999999989</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483.24555653411164</v>
      </c>
      <c r="AT106">
        <f>Scenario_Data!V106</f>
        <v>-106.39999999999998</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817.96886498585218</v>
      </c>
      <c r="AV106">
        <f>Scenario_Data!W106</f>
        <v>-106.39999999999998</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790.34943900575047</v>
      </c>
    </row>
    <row r="107" spans="1:49">
      <c r="A107">
        <f>Chart_Data!K107</f>
        <v>-7.5</v>
      </c>
      <c r="B107">
        <f>Chart_Data!N107-Chart_Data!L107</f>
        <v>41.648227056233168</v>
      </c>
      <c r="D107">
        <f>Chart_Data!G107</f>
        <v>-7.5</v>
      </c>
      <c r="E107">
        <f>Chart_Data!H107</f>
        <v>470.26409514391321</v>
      </c>
      <c r="F107">
        <f>Chart_Data!I107</f>
        <v>470.26409514391321</v>
      </c>
      <c r="G107">
        <f>Chart_Data!J107</f>
        <v>-43.223811451652651</v>
      </c>
      <c r="I107">
        <f>Scenario_Data!A107</f>
        <v>-0.125</v>
      </c>
      <c r="J107">
        <f>Scenario_Data!H107-(((SQRT((Inputs!$C$52+(Inputs!$H$6))^2+Inputs!$C$52^2-2*(Inputs!$C$52+(Inputs!$H$6))*Inputs!$C$52*COS(SQRT((Scenario_Data!T107)^2+Inputs!$C$6^2)/Inputs!$C$52)))-(Inputs!$H$6))*1000/Inputs!$C$12)</f>
        <v>-7.4413578671737923E-2</v>
      </c>
      <c r="K107">
        <f>Scenario_Data!I107-(((SQRT((Inputs!$C$52+(Inputs!$H$7))^2+Inputs!$C$52^2-2*(Inputs!$C$52+(Inputs!$H$7))*Inputs!$C$52*COS(SQRT((Scenario_Data!U107)^2+Inputs!$C$6^2)/Inputs!$C$52)))-(Inputs!$H$7))*1000/Inputs!$C$12)</f>
        <v>-1376.2576530040769</v>
      </c>
      <c r="L107">
        <f>Scenario_Data!J107-(((SQRT((Inputs!$C$52+(Inputs!$H$8))^2+Inputs!$C$52^2-2*(Inputs!$C$52+(Inputs!$H$8))*Inputs!$C$52*COS(SQRT((Scenario_Data!V107)^2+Inputs!$C$6^2)/Inputs!$C$52)))-(Inputs!$H$8))*1000/Inputs!$C$12)</f>
        <v>-5026.7415034051373</v>
      </c>
      <c r="M107">
        <f>Scenario_Data!K107-(((SQRT((Inputs!$C$52+(Inputs!$H$9))^2+Inputs!$C$52^2-2*(Inputs!$C$52+(Inputs!$H$9))*Inputs!$C$52*COS(SQRT((Scenario_Data!W107)^2+Inputs!$C$6^2)/Inputs!$C$52)))-(Inputs!$H$9))*1000/Inputs!$C$12)</f>
        <v>-5739.5919717311044</v>
      </c>
      <c r="O107">
        <f>Scenario_Data!T107</f>
        <v>-7.5</v>
      </c>
      <c r="P107">
        <f>2*(Scenario_Data!B107*1000)/Inputs!$C$21*1000000</f>
        <v>2668.9297167042141</v>
      </c>
      <c r="Q107">
        <f>Scenario_Data!U107</f>
        <v>-50</v>
      </c>
      <c r="R107">
        <f>2*(Scenario_Data!C107*1000)/Inputs!$C$21*1000000</f>
        <v>271.54202124724566</v>
      </c>
      <c r="S107">
        <f>Scenario_Data!V107</f>
        <v>-100</v>
      </c>
      <c r="T107">
        <f>2*(Scenario_Data!D107*1000)/Inputs!$C$21*1000000</f>
        <v>334.08528909689915</v>
      </c>
      <c r="U107">
        <f>Scenario_Data!W107</f>
        <v>-100</v>
      </c>
      <c r="V107">
        <f>2*(Scenario_Data!E107*1000)/Inputs!$C$21*1000000</f>
        <v>268.414857854763</v>
      </c>
      <c r="X107">
        <f>Scenario_Data!T107</f>
        <v>-7.5</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2669.218074935372</v>
      </c>
      <c r="Z107">
        <f>Scenario_Data!U107</f>
        <v>-50</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271.34832444874655</v>
      </c>
      <c r="AB107">
        <f>Scenario_Data!V107</f>
        <v>-100</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333.76794206181557</v>
      </c>
      <c r="AD107">
        <f>Scenario_Data!W107</f>
        <v>-100</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268.09751081967937</v>
      </c>
      <c r="AG107">
        <f>Scenario_Data!T107</f>
        <v>-7.5</v>
      </c>
      <c r="AH107">
        <f>2*(SQRT((Inputs!$C$52+(Scenario_Data!B107))^2+Inputs!$C$52^2-2*(Inputs!$C$52+(Scenario_Data!B107))*Inputs!$C$52*COS(SQRT((Scenario_Data!T107)^2+Inputs!$C$6^2)/Inputs!$C$52))*1000)/Inputs!$C$21*1000000</f>
        <v>2676.0560857448104</v>
      </c>
      <c r="AI107">
        <f>Scenario_Data!U107</f>
        <v>-50</v>
      </c>
      <c r="AJ107">
        <f>2*(SQRT((Inputs!$C$52+(Scenario_Data!C107))^2+Inputs!$C$52^2-2*(Inputs!$C$52+(Scenario_Data!C107))*Inputs!$C$52*COS(SQRT((Scenario_Data!U107)^2+Inputs!$C$6^2)/Inputs!$C$52))*1000)/Inputs!$C$21*1000000</f>
        <v>465.21831918360385</v>
      </c>
      <c r="AK107">
        <f>Scenario_Data!V107</f>
        <v>-100</v>
      </c>
      <c r="AL107">
        <f>2*(SQRT((Inputs!$C$52+(Scenario_Data!D107))^2+Inputs!$C$52^2-2*(Inputs!$C$52+(Scenario_Data!D107))*Inputs!$C$52*COS(SQRT((Scenario_Data!V107)^2+Inputs!$C$6^2)/Inputs!$C$52))*1000)/Inputs!$C$21*1000000</f>
        <v>774.26357736360831</v>
      </c>
      <c r="AM107">
        <f>Scenario_Data!W107</f>
        <v>-100</v>
      </c>
      <c r="AN107">
        <f>2*(SQRT((Inputs!$C$52+(Scenario_Data!E107))^2+Inputs!$C$52^2-2*(Inputs!$C$52+(Scenario_Data!E107))*Inputs!$C$52*COS(SQRT((Scenario_Data!W107)^2+Inputs!$C$6^2)/Inputs!$C$52))*1000)/Inputs!$C$21*1000000</f>
        <v>746.28169026439843</v>
      </c>
      <c r="AP107">
        <f>Scenario_Data!T107</f>
        <v>-7.5</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2672.9293325644585</v>
      </c>
      <c r="AR107">
        <f>Scenario_Data!U107</f>
        <v>-50</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464.18181230773371</v>
      </c>
      <c r="AT107">
        <f>Scenario_Data!V107</f>
        <v>-100</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773.86253249710478</v>
      </c>
      <c r="AV107">
        <f>Scenario_Data!W107</f>
        <v>-100</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745.95352702240598</v>
      </c>
    </row>
    <row r="108" spans="1:49">
      <c r="A108">
        <f>Chart_Data!K108</f>
        <v>-7</v>
      </c>
      <c r="B108">
        <f>Chart_Data!N108-Chart_Data!L108</f>
        <v>46.578034292227301</v>
      </c>
      <c r="D108">
        <f>Chart_Data!G108</f>
        <v>-7</v>
      </c>
      <c r="E108">
        <f>Chart_Data!H108</f>
        <v>442.95708145426426</v>
      </c>
      <c r="F108">
        <f>Chart_Data!I108</f>
        <v>442.95708145426426</v>
      </c>
      <c r="G108">
        <f>Chart_Data!J108</f>
        <v>-48.04634011268098</v>
      </c>
      <c r="I108">
        <f>Scenario_Data!A108</f>
        <v>-0.11700000000000001</v>
      </c>
      <c r="J108">
        <f>Scenario_Data!H108-(((SQRT((Inputs!$C$52+(Inputs!$H$6))^2+Inputs!$C$52^2-2*(Inputs!$C$52+(Inputs!$H$6))*Inputs!$C$52*COS(SQRT((Scenario_Data!T108)^2+Inputs!$C$6^2)/Inputs!$C$52)))-(Inputs!$H$6))*1000/Inputs!$C$12)</f>
        <v>-6.4530590996128012E-2</v>
      </c>
      <c r="K108">
        <f>Scenario_Data!I108-(((SQRT((Inputs!$C$52+(Inputs!$H$7))^2+Inputs!$C$52^2-2*(Inputs!$C$52+(Inputs!$H$7))*Inputs!$C$52*COS(SQRT((Scenario_Data!U108)^2+Inputs!$C$6^2)/Inputs!$C$52)))-(Inputs!$H$7))*1000/Inputs!$C$12)</f>
        <v>-1161.8662425758666</v>
      </c>
      <c r="L108">
        <f>Scenario_Data!J108-(((SQRT((Inputs!$C$52+(Inputs!$H$8))^2+Inputs!$C$52^2-2*(Inputs!$C$52+(Inputs!$H$8))*Inputs!$C$52*COS(SQRT((Scenario_Data!V108)^2+Inputs!$C$6^2)/Inputs!$C$52)))-(Inputs!$H$8))*1000/Inputs!$C$12)</f>
        <v>-4320.5432959684549</v>
      </c>
      <c r="M108">
        <f>Scenario_Data!K108-(((SQRT((Inputs!$C$52+(Inputs!$H$9))^2+Inputs!$C$52^2-2*(Inputs!$C$52+(Inputs!$H$9))*Inputs!$C$52*COS(SQRT((Scenario_Data!W108)^2+Inputs!$C$6^2)/Inputs!$C$52)))-(Inputs!$H$9))*1000/Inputs!$C$12)</f>
        <v>-4974.4518534386225</v>
      </c>
      <c r="O108">
        <f>Scenario_Data!T108</f>
        <v>-7.019999999999996</v>
      </c>
      <c r="P108">
        <f>2*(Scenario_Data!B108*1000)/Inputs!$C$21*1000000</f>
        <v>2668.8780542971494</v>
      </c>
      <c r="Q108">
        <f>Scenario_Data!U108</f>
        <v>-46.800000000000011</v>
      </c>
      <c r="R108">
        <f>2*(Scenario_Data!C108*1000)/Inputs!$C$21*1000000</f>
        <v>266.82782660262927</v>
      </c>
      <c r="S108">
        <f>Scenario_Data!V108</f>
        <v>-93.600000000000023</v>
      </c>
      <c r="T108">
        <f>2*(Scenario_Data!D108*1000)/Inputs!$C$21*1000000</f>
        <v>321.62173339263933</v>
      </c>
      <c r="U108">
        <f>Scenario_Data!W108</f>
        <v>-93.600000000000023</v>
      </c>
      <c r="V108">
        <f>2*(Scenario_Data!E108*1000)/Inputs!$C$21*1000000</f>
        <v>255.82214613284236</v>
      </c>
      <c r="X108">
        <f>Scenario_Data!T108</f>
        <v>-7.019999999999996</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2669.21282651006</v>
      </c>
      <c r="Z108">
        <f>Scenario_Data!U108</f>
        <v>-46.800000000000011</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266.44749315542441</v>
      </c>
      <c r="AB108">
        <f>Scenario_Data!V108</f>
        <v>-93.600000000000023</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321.74541917953098</v>
      </c>
      <c r="AD108">
        <f>Scenario_Data!W108</f>
        <v>-93.600000000000023</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255.9458319197341</v>
      </c>
      <c r="AG108">
        <f>Scenario_Data!T108</f>
        <v>-7.019999999999996</v>
      </c>
      <c r="AH108">
        <f>2*(SQRT((Inputs!$C$52+(Scenario_Data!B108))^2+Inputs!$C$52^2-2*(Inputs!$C$52+(Scenario_Data!B108))*Inputs!$C$52*COS(SQRT((Scenario_Data!T108)^2+Inputs!$C$6^2)/Inputs!$C$52))*1000)/Inputs!$C$21*1000000</f>
        <v>2675.93172239053</v>
      </c>
      <c r="AI108">
        <f>Scenario_Data!U108</f>
        <v>-46.800000000000011</v>
      </c>
      <c r="AJ108">
        <f>2*(SQRT((Inputs!$C$52+(Scenario_Data!C108))^2+Inputs!$C$52^2-2*(Inputs!$C$52+(Scenario_Data!C108))*Inputs!$C$52*COS(SQRT((Scenario_Data!U108)^2+Inputs!$C$6^2)/Inputs!$C$52))*1000)/Inputs!$C$21*1000000</f>
        <v>446.86749403358624</v>
      </c>
      <c r="AK108">
        <f>Scenario_Data!V108</f>
        <v>-93.600000000000023</v>
      </c>
      <c r="AL108">
        <f>2*(SQRT((Inputs!$C$52+(Scenario_Data!D108))^2+Inputs!$C$52^2-2*(Inputs!$C$52+(Scenario_Data!D108))*Inputs!$C$52*COS(SQRT((Scenario_Data!V108)^2+Inputs!$C$6^2)/Inputs!$C$52))*1000)/Inputs!$C$21*1000000</f>
        <v>730.70973255620993</v>
      </c>
      <c r="AM108">
        <f>Scenario_Data!W108</f>
        <v>-93.600000000000023</v>
      </c>
      <c r="AN108">
        <f>2*(SQRT((Inputs!$C$52+(Scenario_Data!E108))^2+Inputs!$C$52^2-2*(Inputs!$C$52+(Scenario_Data!E108))*Inputs!$C$52*COS(SQRT((Scenario_Data!W108)^2+Inputs!$C$6^2)/Inputs!$C$52))*1000)/Inputs!$C$21*1000000</f>
        <v>702.35477860817696</v>
      </c>
      <c r="AP108">
        <f>Scenario_Data!T108</f>
        <v>-7.019999999999996</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2672.8882972109009</v>
      </c>
      <c r="AR108">
        <f>Scenario_Data!U108</f>
        <v>-46.800000000000011</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445.93034998876044</v>
      </c>
      <c r="AT108">
        <f>Scenario_Data!V108</f>
        <v>-93.600000000000023</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730.45064756576733</v>
      </c>
      <c r="AV108">
        <f>Scenario_Data!W108</f>
        <v>-93.600000000000023</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702.14412105454505</v>
      </c>
    </row>
    <row r="109" spans="1:49">
      <c r="A109">
        <f>Chart_Data!K109</f>
        <v>-6.5</v>
      </c>
      <c r="B109">
        <f>Chart_Data!N109-Chart_Data!L109</f>
        <v>57.970376646698242</v>
      </c>
      <c r="D109">
        <f>Chart_Data!G109</f>
        <v>-6.5</v>
      </c>
      <c r="E109">
        <f>Chart_Data!H109</f>
        <v>455.81004784744528</v>
      </c>
      <c r="F109">
        <f>Chart_Data!I109</f>
        <v>455.81004784744528</v>
      </c>
      <c r="G109">
        <f>Chart_Data!J109</f>
        <v>-59.466303655605586</v>
      </c>
      <c r="I109">
        <f>Scenario_Data!A109</f>
        <v>-0.108</v>
      </c>
      <c r="J109">
        <f>Scenario_Data!H109-(((SQRT((Inputs!$C$52+(Inputs!$H$6))^2+Inputs!$C$52^2-2*(Inputs!$C$52+(Inputs!$H$6))*Inputs!$C$52*COS(SQRT((Scenario_Data!T109)^2+Inputs!$C$6^2)/Inputs!$C$52)))-(Inputs!$H$6))*1000/Inputs!$C$12)</f>
        <v>-5.4393810229043993E-2</v>
      </c>
      <c r="K109">
        <f>Scenario_Data!I109-(((SQRT((Inputs!$C$52+(Inputs!$H$7))^2+Inputs!$C$52^2-2*(Inputs!$C$52+(Inputs!$H$7))*Inputs!$C$52*COS(SQRT((Scenario_Data!U109)^2+Inputs!$C$6^2)/Inputs!$C$52)))-(Inputs!$H$7))*1000/Inputs!$C$12)</f>
        <v>-945.08643135841521</v>
      </c>
      <c r="L109">
        <f>Scenario_Data!J109-(((SQRT((Inputs!$C$52+(Inputs!$H$8))^2+Inputs!$C$52^2-2*(Inputs!$C$52+(Inputs!$H$8))*Inputs!$C$52*COS(SQRT((Scenario_Data!V109)^2+Inputs!$C$6^2)/Inputs!$C$52)))-(Inputs!$H$8))*1000/Inputs!$C$12)</f>
        <v>-3587.0630675248431</v>
      </c>
      <c r="M109">
        <f>Scenario_Data!K109-(((SQRT((Inputs!$C$52+(Inputs!$H$9))^2+Inputs!$C$52^2-2*(Inputs!$C$52+(Inputs!$H$9))*Inputs!$C$52*COS(SQRT((Scenario_Data!W109)^2+Inputs!$C$6^2)/Inputs!$C$52)))-(Inputs!$H$9))*1000/Inputs!$C$12)</f>
        <v>-4174.4317239557349</v>
      </c>
      <c r="O109">
        <f>Scenario_Data!T109</f>
        <v>-6.4799999999999969</v>
      </c>
      <c r="P109">
        <f>2*(Scenario_Data!B109*1000)/Inputs!$C$21*1000000</f>
        <v>2668.8240169137275</v>
      </c>
      <c r="Q109">
        <f>Scenario_Data!U109</f>
        <v>-43.199999999999989</v>
      </c>
      <c r="R109">
        <f>2*(Scenario_Data!C109*1000)/Inputs!$C$21*1000000</f>
        <v>261.89691536536253</v>
      </c>
      <c r="S109">
        <f>Scenario_Data!V109</f>
        <v>-86.399999999999977</v>
      </c>
      <c r="T109">
        <f>2*(Scenario_Data!D109*1000)/Inputs!$C$21*1000000</f>
        <v>308.58521464205745</v>
      </c>
      <c r="U109">
        <f>Scenario_Data!W109</f>
        <v>-86.399999999999977</v>
      </c>
      <c r="V109">
        <f>2*(Scenario_Data!E109*1000)/Inputs!$C$21*1000000</f>
        <v>242.6505339237053</v>
      </c>
      <c r="X109">
        <f>Scenario_Data!T109</f>
        <v>-6.4799999999999969</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2669.1536621213982</v>
      </c>
      <c r="Z109">
        <f>Scenario_Data!U109</f>
        <v>-43.199999999999989</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261.83320614424036</v>
      </c>
      <c r="AB109">
        <f>Scenario_Data!V109</f>
        <v>-86.399999999999977</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308.09338637329017</v>
      </c>
      <c r="AD109">
        <f>Scenario_Data!W109</f>
        <v>-86.399999999999977</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242.15870565493802</v>
      </c>
      <c r="AG109">
        <f>Scenario_Data!T109</f>
        <v>-6.4799999999999969</v>
      </c>
      <c r="AH109">
        <f>2*(SQRT((Inputs!$C$52+(Scenario_Data!B109))^2+Inputs!$C$52^2-2*(Inputs!$C$52+(Scenario_Data!B109))*Inputs!$C$52*COS(SQRT((Scenario_Data!T109)^2+Inputs!$C$6^2)/Inputs!$C$52))*1000)/Inputs!$C$21*1000000</f>
        <v>2675.801637380072</v>
      </c>
      <c r="AI109">
        <f>Scenario_Data!U109</f>
        <v>-43.199999999999989</v>
      </c>
      <c r="AJ109">
        <f>2*(SQRT((Inputs!$C$52+(Scenario_Data!C109))^2+Inputs!$C$52^2-2*(Inputs!$C$52+(Scenario_Data!C109))*Inputs!$C$52*COS(SQRT((Scenario_Data!U109)^2+Inputs!$C$6^2)/Inputs!$C$52))*1000)/Inputs!$C$21*1000000</f>
        <v>426.90066876687405</v>
      </c>
      <c r="AK109">
        <f>Scenario_Data!V109</f>
        <v>-86.399999999999977</v>
      </c>
      <c r="AL109">
        <f>2*(SQRT((Inputs!$C$52+(Scenario_Data!D109))^2+Inputs!$C$52^2-2*(Inputs!$C$52+(Scenario_Data!D109))*Inputs!$C$52*COS(SQRT((Scenario_Data!V109)^2+Inputs!$C$6^2)/Inputs!$C$52))*1000)/Inputs!$C$21*1000000</f>
        <v>682.52802138756863</v>
      </c>
      <c r="AM109">
        <f>Scenario_Data!W109</f>
        <v>-86.399999999999977</v>
      </c>
      <c r="AN109">
        <f>2*(SQRT((Inputs!$C$52+(Scenario_Data!E109))^2+Inputs!$C$52^2-2*(Inputs!$C$52+(Scenario_Data!E109))*Inputs!$C$52*COS(SQRT((Scenario_Data!W109)^2+Inputs!$C$6^2)/Inputs!$C$52))*1000)/Inputs!$C$21*1000000</f>
        <v>653.62041243254544</v>
      </c>
      <c r="AP109">
        <f>Scenario_Data!T109</f>
        <v>-6.4799999999999969</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2672.8488768179254</v>
      </c>
      <c r="AR109">
        <f>Scenario_Data!U109</f>
        <v>-43.199999999999989</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426.13145439102254</v>
      </c>
      <c r="AT109">
        <f>Scenario_Data!V109</f>
        <v>-86.399999999999977</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682.09606558096584</v>
      </c>
      <c r="AV109">
        <f>Scenario_Data!W109</f>
        <v>-86.399999999999977</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653.27165402849096</v>
      </c>
    </row>
    <row r="110" spans="1:49">
      <c r="A110">
        <f>Chart_Data!K110</f>
        <v>-6</v>
      </c>
      <c r="B110">
        <f>Chart_Data!N110-Chart_Data!L110</f>
        <v>59.64286286593574</v>
      </c>
      <c r="D110">
        <f>Chart_Data!G110</f>
        <v>-6</v>
      </c>
      <c r="E110">
        <f>Chart_Data!H110</f>
        <v>447.75344272198197</v>
      </c>
      <c r="F110">
        <f>Chart_Data!I110</f>
        <v>447.75344272198197</v>
      </c>
      <c r="G110">
        <f>Chart_Data!J110</f>
        <v>-61.098645360716475</v>
      </c>
      <c r="I110">
        <f>Scenario_Data!A110</f>
        <v>-0.1</v>
      </c>
      <c r="J110">
        <f>Scenario_Data!H110-(((SQRT((Inputs!$C$52+(Inputs!$H$6))^2+Inputs!$C$52^2-2*(Inputs!$C$52+(Inputs!$H$6))*Inputs!$C$52*COS(SQRT((Scenario_Data!T110)^2+Inputs!$C$6^2)/Inputs!$C$52)))-(Inputs!$H$6))*1000/Inputs!$C$12)</f>
        <v>-4.6217631182344121E-2</v>
      </c>
      <c r="K110">
        <f>Scenario_Data!I110-(((SQRT((Inputs!$C$52+(Inputs!$H$7))^2+Inputs!$C$52^2-2*(Inputs!$C$52+(Inputs!$H$7))*Inputs!$C$52*COS(SQRT((Scenario_Data!U110)^2+Inputs!$C$6^2)/Inputs!$C$52)))-(Inputs!$H$7))*1000/Inputs!$C$12)</f>
        <v>-773.9404461593731</v>
      </c>
      <c r="L110">
        <f>Scenario_Data!J110-(((SQRT((Inputs!$C$52+(Inputs!$H$8))^2+Inputs!$C$52^2-2*(Inputs!$C$52+(Inputs!$H$8))*Inputs!$C$52*COS(SQRT((Scenario_Data!V110)^2+Inputs!$C$6^2)/Inputs!$C$52)))-(Inputs!$H$8))*1000/Inputs!$C$12)</f>
        <v>-2990.7521080161314</v>
      </c>
      <c r="M110">
        <f>Scenario_Data!K110-(((SQRT((Inputs!$C$52+(Inputs!$H$9))^2+Inputs!$C$52^2-2*(Inputs!$C$52+(Inputs!$H$9))*Inputs!$C$52*COS(SQRT((Scenario_Data!W110)^2+Inputs!$C$6^2)/Inputs!$C$52)))-(Inputs!$H$9))*1000/Inputs!$C$12)</f>
        <v>-3518.8494159470647</v>
      </c>
      <c r="O110">
        <f>Scenario_Data!T110</f>
        <v>-6</v>
      </c>
      <c r="P110">
        <f>2*(Scenario_Data!B110*1000)/Inputs!$C$21*1000000</f>
        <v>2668.779612861375</v>
      </c>
      <c r="Q110">
        <f>Scenario_Data!U110</f>
        <v>-40</v>
      </c>
      <c r="R110">
        <f>2*(Scenario_Data!C110*1000)/Inputs!$C$21*1000000</f>
        <v>257.8450455881715</v>
      </c>
      <c r="S110">
        <f>Scenario_Data!V110</f>
        <v>-80</v>
      </c>
      <c r="T110">
        <f>2*(Scenario_Data!D110*1000)/Inputs!$C$21*1000000</f>
        <v>297.87273701194982</v>
      </c>
      <c r="U110">
        <f>Scenario_Data!W110</f>
        <v>-80</v>
      </c>
      <c r="V110">
        <f>2*(Scenario_Data!E110*1000)/Inputs!$C$21*1000000</f>
        <v>231.82704616271567</v>
      </c>
      <c r="X110">
        <f>Scenario_Data!T110</f>
        <v>-6</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2669.1872191485263</v>
      </c>
      <c r="Z110">
        <f>Scenario_Data!U110</f>
        <v>-40</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258.05340113702442</v>
      </c>
      <c r="AB110">
        <f>Scenario_Data!V110</f>
        <v>-80</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297.79268995907279</v>
      </c>
      <c r="AD110">
        <f>Scenario_Data!W110</f>
        <v>-80</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231.74699910983864</v>
      </c>
      <c r="AG110">
        <f>Scenario_Data!T110</f>
        <v>-6</v>
      </c>
      <c r="AH110">
        <f>2*(SQRT((Inputs!$C$52+(Scenario_Data!B110))^2+Inputs!$C$52^2-2*(Inputs!$C$52+(Scenario_Data!B110))*Inputs!$C$52*COS(SQRT((Scenario_Data!T110)^2+Inputs!$C$6^2)/Inputs!$C$52))*1000)/Inputs!$C$21*1000000</f>
        <v>2675.6947393589066</v>
      </c>
      <c r="AI110">
        <f>Scenario_Data!U110</f>
        <v>-40</v>
      </c>
      <c r="AJ110">
        <f>2*(SQRT((Inputs!$C$52+(Scenario_Data!C110))^2+Inputs!$C$52^2-2*(Inputs!$C$52+(Scenario_Data!C110))*Inputs!$C$52*COS(SQRT((Scenario_Data!U110)^2+Inputs!$C$6^2)/Inputs!$C$52))*1000)/Inputs!$C$21*1000000</f>
        <v>409.82236463418178</v>
      </c>
      <c r="AK110">
        <f>Scenario_Data!V110</f>
        <v>-80</v>
      </c>
      <c r="AL110">
        <f>2*(SQRT((Inputs!$C$52+(Scenario_Data!D110))^2+Inputs!$C$52^2-2*(Inputs!$C$52+(Scenario_Data!D110))*Inputs!$C$52*COS(SQRT((Scenario_Data!V110)^2+Inputs!$C$6^2)/Inputs!$C$52))*1000)/Inputs!$C$21*1000000</f>
        <v>640.5073835750494</v>
      </c>
      <c r="AM110">
        <f>Scenario_Data!W110</f>
        <v>-80</v>
      </c>
      <c r="AN110">
        <f>2*(SQRT((Inputs!$C$52+(Scenario_Data!E110))^2+Inputs!$C$52^2-2*(Inputs!$C$52+(Scenario_Data!E110))*Inputs!$C$52*COS(SQRT((Scenario_Data!W110)^2+Inputs!$C$6^2)/Inputs!$C$52))*1000)/Inputs!$C$21*1000000</f>
        <v>610.9686237412925</v>
      </c>
      <c r="AP110">
        <f>Scenario_Data!T110</f>
        <v>-6</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2672.7173618544525</v>
      </c>
      <c r="AR110">
        <f>Scenario_Data!U110</f>
        <v>-40</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409.00969233753852</v>
      </c>
      <c r="AT110">
        <f>Scenario_Data!V110</f>
        <v>-80</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640.0475870733427</v>
      </c>
      <c r="AV110">
        <f>Scenario_Data!W110</f>
        <v>-80</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610.59938371274075</v>
      </c>
    </row>
    <row r="111" spans="1:49">
      <c r="A111">
        <f>Chart_Data!K111</f>
        <v>-5.5</v>
      </c>
      <c r="B111">
        <f>Chart_Data!N111-Chart_Data!L111</f>
        <v>62.181293006953979</v>
      </c>
      <c r="D111">
        <f>Chart_Data!G111</f>
        <v>-5.5</v>
      </c>
      <c r="E111">
        <f>Chart_Data!H111</f>
        <v>437.23203216912464</v>
      </c>
      <c r="F111">
        <f>Chart_Data!I111</f>
        <v>437.23203216912464</v>
      </c>
      <c r="G111">
        <f>Chart_Data!J111</f>
        <v>-63.59054434613801</v>
      </c>
      <c r="I111">
        <f>Scenario_Data!A111</f>
        <v>-9.1999999999999998E-2</v>
      </c>
      <c r="J111">
        <f>Scenario_Data!H111-(((SQRT((Inputs!$C$52+(Inputs!$H$6))^2+Inputs!$C$52^2-2*(Inputs!$C$52+(Inputs!$H$6))*Inputs!$C$52*COS(SQRT((Scenario_Data!T111)^2+Inputs!$C$6^2)/Inputs!$C$52)))-(Inputs!$H$6))*1000/Inputs!$C$12)</f>
        <v>-3.8793322623632776E-2</v>
      </c>
      <c r="K111">
        <f>Scenario_Data!I111-(((SQRT((Inputs!$C$52+(Inputs!$H$7))^2+Inputs!$C$52^2-2*(Inputs!$C$52+(Inputs!$H$7))*Inputs!$C$52*COS(SQRT((Scenario_Data!U111)^2+Inputs!$C$6^2)/Inputs!$C$52)))-(Inputs!$H$7))*1000/Inputs!$C$12)</f>
        <v>-622.7876519774909</v>
      </c>
      <c r="L111">
        <f>Scenario_Data!J111-(((SQRT((Inputs!$C$52+(Inputs!$H$8))^2+Inputs!$C$52^2-2*(Inputs!$C$52+(Inputs!$H$8))*Inputs!$C$52*COS(SQRT((Scenario_Data!V111)^2+Inputs!$C$6^2)/Inputs!$C$52)))-(Inputs!$H$8))*1000/Inputs!$C$12)</f>
        <v>-2448.1742219196822</v>
      </c>
      <c r="M111">
        <f>Scenario_Data!K111-(((SQRT((Inputs!$C$52+(Inputs!$H$9))^2+Inputs!$C$52^2-2*(Inputs!$C$52+(Inputs!$H$9))*Inputs!$C$52*COS(SQRT((Scenario_Data!W111)^2+Inputs!$C$6^2)/Inputs!$C$52)))-(Inputs!$H$9))*1000/Inputs!$C$12)</f>
        <v>-2916.9995331569153</v>
      </c>
      <c r="O111">
        <f>Scenario_Data!T111</f>
        <v>-5.519999999999996</v>
      </c>
      <c r="P111">
        <f>2*(Scenario_Data!B111*1000)/Inputs!$C$21*1000000</f>
        <v>2668.7386245053572</v>
      </c>
      <c r="Q111">
        <f>Scenario_Data!U111</f>
        <v>-36.800000000000011</v>
      </c>
      <c r="R111">
        <f>2*(Scenario_Data!C111*1000)/Inputs!$C$21*1000000</f>
        <v>254.10485810153369</v>
      </c>
      <c r="S111">
        <f>Scenario_Data!V111</f>
        <v>-73.600000000000023</v>
      </c>
      <c r="T111">
        <f>2*(Scenario_Data!D111*1000)/Inputs!$C$21*1000000</f>
        <v>287.98429612261964</v>
      </c>
      <c r="U111">
        <f>Scenario_Data!W111</f>
        <v>-73.600000000000023</v>
      </c>
      <c r="V111">
        <f>2*(Scenario_Data!E111*1000)/Inputs!$C$21*1000000</f>
        <v>221.83613438334069</v>
      </c>
      <c r="X111">
        <f>Scenario_Data!T111</f>
        <v>-5.519999999999996</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2669.1819695313975</v>
      </c>
      <c r="Z111">
        <f>Scenario_Data!U111</f>
        <v>-36.800000000000011</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254.26353690986213</v>
      </c>
      <c r="AB111">
        <f>Scenario_Data!V111</f>
        <v>-73.600000000000023</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287.99444888229908</v>
      </c>
      <c r="AD111">
        <f>Scenario_Data!W111</f>
        <v>-73.600000000000023</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221.84628714302016</v>
      </c>
      <c r="AG111">
        <f>Scenario_Data!T111</f>
        <v>-5.519999999999996</v>
      </c>
      <c r="AH111">
        <f>2*(SQRT((Inputs!$C$52+(Scenario_Data!B111))^2+Inputs!$C$52^2-2*(Inputs!$C$52+(Scenario_Data!B111))*Inputs!$C$52*COS(SQRT((Scenario_Data!T111)^2+Inputs!$C$6^2)/Inputs!$C$52))*1000)/Inputs!$C$21*1000000</f>
        <v>2675.5960614801529</v>
      </c>
      <c r="AI111">
        <f>Scenario_Data!U111</f>
        <v>-36.800000000000011</v>
      </c>
      <c r="AJ111">
        <f>2*(SQRT((Inputs!$C$52+(Scenario_Data!C111))^2+Inputs!$C$52^2-2*(Inputs!$C$52+(Scenario_Data!C111))*Inputs!$C$52*COS(SQRT((Scenario_Data!U111)^2+Inputs!$C$6^2)/Inputs!$C$52))*1000)/Inputs!$C$21*1000000</f>
        <v>393.44746490213646</v>
      </c>
      <c r="AK111">
        <f>Scenario_Data!V111</f>
        <v>-73.600000000000023</v>
      </c>
      <c r="AL111">
        <f>2*(SQRT((Inputs!$C$52+(Scenario_Data!D111))^2+Inputs!$C$52^2-2*(Inputs!$C$52+(Scenario_Data!D111))*Inputs!$C$52*COS(SQRT((Scenario_Data!V111)^2+Inputs!$C$6^2)/Inputs!$C$52))*1000)/Inputs!$C$21*1000000</f>
        <v>599.34841039901539</v>
      </c>
      <c r="AM111">
        <f>Scenario_Data!W111</f>
        <v>-73.600000000000023</v>
      </c>
      <c r="AN111">
        <f>2*(SQRT((Inputs!$C$52+(Scenario_Data!E111))^2+Inputs!$C$52^2-2*(Inputs!$C$52+(Scenario_Data!E111))*Inputs!$C$52*COS(SQRT((Scenario_Data!W111)^2+Inputs!$C$6^2)/Inputs!$C$52))*1000)/Inputs!$C$21*1000000</f>
        <v>569.02276868174431</v>
      </c>
      <c r="AP111">
        <f>Scenario_Data!T111</f>
        <v>-5.519999999999996</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2672.7770442223359</v>
      </c>
      <c r="AR111">
        <f>Scenario_Data!U111</f>
        <v>-36.800000000000011</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392.42990322520836</v>
      </c>
      <c r="AT111">
        <f>Scenario_Data!V111</f>
        <v>-73.600000000000023</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599.06617619374094</v>
      </c>
      <c r="AV111">
        <f>Scenario_Data!W111</f>
        <v>-73.600000000000023</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568.79707280670505</v>
      </c>
    </row>
    <row r="112" spans="1:49">
      <c r="A112">
        <f>Chart_Data!K112</f>
        <v>-5</v>
      </c>
      <c r="B112">
        <f>Chart_Data!N112-Chart_Data!L112</f>
        <v>72.281939036210986</v>
      </c>
      <c r="D112">
        <f>Chart_Data!G112</f>
        <v>-5</v>
      </c>
      <c r="E112">
        <f>Chart_Data!H112</f>
        <v>426.49509936551561</v>
      </c>
      <c r="F112">
        <f>Chart_Data!I112</f>
        <v>426.49509936551561</v>
      </c>
      <c r="G112">
        <f>Chart_Data!J112</f>
        <v>-73.645604458171718</v>
      </c>
      <c r="I112">
        <f>Scenario_Data!A112</f>
        <v>-8.3000000000000004E-2</v>
      </c>
      <c r="J112">
        <f>Scenario_Data!H112-(((SQRT((Inputs!$C$52+(Inputs!$H$6))^2+Inputs!$C$52^2-2*(Inputs!$C$52+(Inputs!$H$6))*Inputs!$C$52*COS(SQRT((Scenario_Data!T112)^2+Inputs!$C$6^2)/Inputs!$C$52)))-(Inputs!$H$6))*1000/Inputs!$C$12)</f>
        <v>-3.1303072409855304E-2</v>
      </c>
      <c r="K112">
        <f>Scenario_Data!I112-(((SQRT((Inputs!$C$52+(Inputs!$H$7))^2+Inputs!$C$52^2-2*(Inputs!$C$52+(Inputs!$H$7))*Inputs!$C$52*COS(SQRT((Scenario_Data!U112)^2+Inputs!$C$6^2)/Inputs!$C$52)))-(Inputs!$H$7))*1000/Inputs!$C$12)</f>
        <v>-476.07728499047153</v>
      </c>
      <c r="L112">
        <f>Scenario_Data!J112-(((SQRT((Inputs!$C$52+(Inputs!$H$8))^2+Inputs!$C$52^2-2*(Inputs!$C$52+(Inputs!$H$8))*Inputs!$C$52*COS(SQRT((Scenario_Data!V112)^2+Inputs!$C$6^2)/Inputs!$C$52)))-(Inputs!$H$8))*1000/Inputs!$C$12)</f>
        <v>-1903.505948859045</v>
      </c>
      <c r="M112">
        <f>Scenario_Data!K112-(((SQRT((Inputs!$C$52+(Inputs!$H$9))^2+Inputs!$C$52^2-2*(Inputs!$C$52+(Inputs!$H$9))*Inputs!$C$52*COS(SQRT((Scenario_Data!W112)^2+Inputs!$C$6^2)/Inputs!$C$52)))-(Inputs!$H$9))*1000/Inputs!$C$12)</f>
        <v>-2305.8725854526674</v>
      </c>
      <c r="O112">
        <f>Scenario_Data!T112</f>
        <v>-4.9799999999999969</v>
      </c>
      <c r="P112">
        <f>2*(Scenario_Data!B112*1000)/Inputs!$C$21*1000000</f>
        <v>2668.6965954293619</v>
      </c>
      <c r="Q112">
        <f>Scenario_Data!U112</f>
        <v>-33.199999999999989</v>
      </c>
      <c r="R112">
        <f>2*(Scenario_Data!C112*1000)/Inputs!$C$21*1000000</f>
        <v>250.26970491699296</v>
      </c>
      <c r="S112">
        <f>Scenario_Data!V112</f>
        <v>-66.399999999999977</v>
      </c>
      <c r="T112">
        <f>2*(Scenario_Data!D112*1000)/Inputs!$C$21*1000000</f>
        <v>277.84478153883373</v>
      </c>
      <c r="U112">
        <f>Scenario_Data!W112</f>
        <v>-66.399999999999977</v>
      </c>
      <c r="V112">
        <f>2*(Scenario_Data!E112*1000)/Inputs!$C$21*1000000</f>
        <v>211.59154710956733</v>
      </c>
      <c r="X112">
        <f>Scenario_Data!T112</f>
        <v>-4.9799999999999969</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2669.1403160796563</v>
      </c>
      <c r="Z112">
        <f>Scenario_Data!U112</f>
        <v>-33.199999999999989</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250.22595087297077</v>
      </c>
      <c r="AB112">
        <f>Scenario_Data!V112</f>
        <v>-66.399999999999977</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277.34427520472127</v>
      </c>
      <c r="AD112">
        <f>Scenario_Data!W112</f>
        <v>-66.399999999999977</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211.09104077545487</v>
      </c>
      <c r="AG112">
        <f>Scenario_Data!T112</f>
        <v>-4.9799999999999969</v>
      </c>
      <c r="AH112">
        <f>2*(SQRT((Inputs!$C$52+(Scenario_Data!B112))^2+Inputs!$C$52^2-2*(Inputs!$C$52+(Scenario_Data!B112))*Inputs!$C$52*COS(SQRT((Scenario_Data!T112)^2+Inputs!$C$6^2)/Inputs!$C$52))*1000)/Inputs!$C$21*1000000</f>
        <v>2675.4948753344852</v>
      </c>
      <c r="AI112">
        <f>Scenario_Data!U112</f>
        <v>-33.199999999999989</v>
      </c>
      <c r="AJ112">
        <f>2*(SQRT((Inputs!$C$52+(Scenario_Data!C112))^2+Inputs!$C$52^2-2*(Inputs!$C$52+(Scenario_Data!C112))*Inputs!$C$52*COS(SQRT((Scenario_Data!U112)^2+Inputs!$C$6^2)/Inputs!$C$52))*1000)/Inputs!$C$21*1000000</f>
        <v>375.96606957909472</v>
      </c>
      <c r="AK112">
        <f>Scenario_Data!V112</f>
        <v>-66.399999999999977</v>
      </c>
      <c r="AL112">
        <f>2*(SQRT((Inputs!$C$52+(Scenario_Data!D112))^2+Inputs!$C$52^2-2*(Inputs!$C$52+(Scenario_Data!D112))*Inputs!$C$52*COS(SQRT((Scenario_Data!V112)^2+Inputs!$C$6^2)/Inputs!$C$52))*1000)/Inputs!$C$21*1000000</f>
        <v>554.23623167510391</v>
      </c>
      <c r="AM112">
        <f>Scenario_Data!W112</f>
        <v>-66.399999999999977</v>
      </c>
      <c r="AN112">
        <f>2*(SQRT((Inputs!$C$52+(Scenario_Data!E112))^2+Inputs!$C$52^2-2*(Inputs!$C$52+(Scenario_Data!E112))*Inputs!$C$52*COS(SQRT((Scenario_Data!W112)^2+Inputs!$C$6^2)/Inputs!$C$52))*1000)/Inputs!$C$21*1000000</f>
        <v>522.8056693168993</v>
      </c>
      <c r="AP112">
        <f>Scenario_Data!T112</f>
        <v>-4.9799999999999969</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2672.7206538052651</v>
      </c>
      <c r="AR112">
        <f>Scenario_Data!U112</f>
        <v>-33.199999999999989</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374.53187538648746</v>
      </c>
      <c r="AT112">
        <f>Scenario_Data!V112</f>
        <v>-66.399999999999977</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553.49789644653742</v>
      </c>
      <c r="AV112">
        <f>Scenario_Data!W112</f>
        <v>-66.399999999999977</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522.21773646365784</v>
      </c>
    </row>
    <row r="113" spans="1:49">
      <c r="A113">
        <f>Chart_Data!K113</f>
        <v>-4.5</v>
      </c>
      <c r="B113">
        <f>Chart_Data!N113-Chart_Data!L113</f>
        <v>71.745721400125433</v>
      </c>
      <c r="D113">
        <f>Chart_Data!G113</f>
        <v>-4.5</v>
      </c>
      <c r="E113">
        <f>Chart_Data!H113</f>
        <v>423.30568039506915</v>
      </c>
      <c r="F113">
        <f>Chart_Data!I113</f>
        <v>423.30568039506915</v>
      </c>
      <c r="G113">
        <f>Chart_Data!J113</f>
        <v>-73.089350881891278</v>
      </c>
      <c r="I113">
        <f>Scenario_Data!A113</f>
        <v>-7.4999999999999997E-2</v>
      </c>
      <c r="J113">
        <f>Scenario_Data!H113-(((SQRT((Inputs!$C$52+(Inputs!$H$6))^2+Inputs!$C$52^2-2*(Inputs!$C$52+(Inputs!$H$6))*Inputs!$C$52*COS(SQRT((Scenario_Data!T113)^2+Inputs!$C$6^2)/Inputs!$C$52)))-(Inputs!$H$6))*1000/Inputs!$C$12)</f>
        <v>-2.5381627713954913E-2</v>
      </c>
      <c r="K113">
        <f>Scenario_Data!I113-(((SQRT((Inputs!$C$52+(Inputs!$H$7))^2+Inputs!$C$52^2-2*(Inputs!$C$52+(Inputs!$H$7))*Inputs!$C$52*COS(SQRT((Scenario_Data!U113)^2+Inputs!$C$6^2)/Inputs!$C$52)))-(Inputs!$H$7))*1000/Inputs!$C$12)</f>
        <v>-365.6858715468552</v>
      </c>
      <c r="L113">
        <f>Scenario_Data!J113-(((SQRT((Inputs!$C$52+(Inputs!$H$8))^2+Inputs!$C$52^2-2*(Inputs!$C$52+(Inputs!$H$8))*Inputs!$C$52*COS(SQRT((Scenario_Data!V113)^2+Inputs!$C$6^2)/Inputs!$C$52)))-(Inputs!$H$8))*1000/Inputs!$C$12)</f>
        <v>-1478.9642244424758</v>
      </c>
      <c r="M113">
        <f>Scenario_Data!K113-(((SQRT((Inputs!$C$52+(Inputs!$H$9))^2+Inputs!$C$52^2-2*(Inputs!$C$52+(Inputs!$H$9))*Inputs!$C$52*COS(SQRT((Scenario_Data!W113)^2+Inputs!$C$6^2)/Inputs!$C$52)))-(Inputs!$H$9))*1000/Inputs!$C$12)</f>
        <v>-1822.7678078152858</v>
      </c>
      <c r="O113">
        <f>Scenario_Data!T113</f>
        <v>-4.5</v>
      </c>
      <c r="P113">
        <f>2*(Scenario_Data!B113*1000)/Inputs!$C$21*1000000</f>
        <v>2668.6628654280557</v>
      </c>
      <c r="Q113">
        <f>Scenario_Data!U113</f>
        <v>-30</v>
      </c>
      <c r="R113">
        <f>2*(Scenario_Data!C113*1000)/Inputs!$C$21*1000000</f>
        <v>247.19184229778054</v>
      </c>
      <c r="S113">
        <f>Scenario_Data!V113</f>
        <v>-60</v>
      </c>
      <c r="T113">
        <f>2*(Scenario_Data!D113*1000)/Inputs!$C$21*1000000</f>
        <v>269.70741872365579</v>
      </c>
      <c r="U113">
        <f>Scenario_Data!W113</f>
        <v>-60</v>
      </c>
      <c r="V113">
        <f>2*(Scenario_Data!E113*1000)/Inputs!$C$21*1000000</f>
        <v>203.36985929112333</v>
      </c>
      <c r="X113">
        <f>Scenario_Data!T113</f>
        <v>-4.5</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2669.150465091966</v>
      </c>
      <c r="Z113">
        <f>Scenario_Data!U113</f>
        <v>-30</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247.30870990646252</v>
      </c>
      <c r="AB113">
        <f>Scenario_Data!V113</f>
        <v>-60</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269.68897743893416</v>
      </c>
      <c r="AD113">
        <f>Scenario_Data!W113</f>
        <v>-60</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203.35141800640167</v>
      </c>
      <c r="AG113">
        <f>Scenario_Data!T113</f>
        <v>-4.5</v>
      </c>
      <c r="AH113">
        <f>2*(SQRT((Inputs!$C$52+(Scenario_Data!B113))^2+Inputs!$C$52^2-2*(Inputs!$C$52+(Scenario_Data!B113))*Inputs!$C$52*COS(SQRT((Scenario_Data!T113)^2+Inputs!$C$6^2)/Inputs!$C$52))*1000)/Inputs!$C$21*1000000</f>
        <v>2675.4136674055262</v>
      </c>
      <c r="AI113">
        <f>Scenario_Data!U113</f>
        <v>-30</v>
      </c>
      <c r="AJ113">
        <f>2*(SQRT((Inputs!$C$52+(Scenario_Data!C113))^2+Inputs!$C$52^2-2*(Inputs!$C$52+(Scenario_Data!C113))*Inputs!$C$52*COS(SQRT((Scenario_Data!U113)^2+Inputs!$C$6^2)/Inputs!$C$52))*1000)/Inputs!$C$21*1000000</f>
        <v>361.36283308427818</v>
      </c>
      <c r="AK113">
        <f>Scenario_Data!V113</f>
        <v>-60</v>
      </c>
      <c r="AL113">
        <f>2*(SQRT((Inputs!$C$52+(Scenario_Data!D113))^2+Inputs!$C$52^2-2*(Inputs!$C$52+(Scenario_Data!D113))*Inputs!$C$52*COS(SQRT((Scenario_Data!V113)^2+Inputs!$C$6^2)/Inputs!$C$52))*1000)/Inputs!$C$21*1000000</f>
        <v>515.38593594731606</v>
      </c>
      <c r="AM113">
        <f>Scenario_Data!W113</f>
        <v>-60</v>
      </c>
      <c r="AN113">
        <f>2*(SQRT((Inputs!$C$52+(Scenario_Data!E113))^2+Inputs!$C$52^2-2*(Inputs!$C$52+(Scenario_Data!E113))*Inputs!$C$52*COS(SQRT((Scenario_Data!W113)^2+Inputs!$C$6^2)/Inputs!$C$52))*1000)/Inputs!$C$21*1000000</f>
        <v>482.74430884328382</v>
      </c>
      <c r="AP113">
        <f>Scenario_Data!T113</f>
        <v>-4.5</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2672.5986396111089</v>
      </c>
      <c r="AR113">
        <f>Scenario_Data!U113</f>
        <v>-30</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359.84961427998934</v>
      </c>
      <c r="AT113">
        <f>Scenario_Data!V113</f>
        <v>-60</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514.98377625998137</v>
      </c>
      <c r="AV113">
        <f>Scenario_Data!W113</f>
        <v>-60</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482.42440731042831</v>
      </c>
    </row>
    <row r="114" spans="1:49">
      <c r="A114">
        <f>Chart_Data!K114</f>
        <v>-4</v>
      </c>
      <c r="B114">
        <f>Chart_Data!N114-Chart_Data!L114</f>
        <v>72.8933434872161</v>
      </c>
      <c r="D114">
        <f>Chart_Data!G114</f>
        <v>-4</v>
      </c>
      <c r="E114">
        <f>Chart_Data!H114</f>
        <v>426.01474675634427</v>
      </c>
      <c r="F114">
        <f>Chart_Data!I114</f>
        <v>426.01474675634427</v>
      </c>
      <c r="G114">
        <f>Chart_Data!J114</f>
        <v>-74.236730975515414</v>
      </c>
      <c r="I114">
        <f>Scenario_Data!A114</f>
        <v>-6.7000000000000004E-2</v>
      </c>
      <c r="J114">
        <f>Scenario_Data!H114-(((SQRT((Inputs!$C$52+(Inputs!$H$6))^2+Inputs!$C$52^2-2*(Inputs!$C$52+(Inputs!$H$6))*Inputs!$C$52*COS(SQRT((Scenario_Data!T114)^2+Inputs!$C$6^2)/Inputs!$C$52)))-(Inputs!$H$6))*1000/Inputs!$C$12)</f>
        <v>-2.0128040178406081E-2</v>
      </c>
      <c r="K114">
        <f>Scenario_Data!I114-(((SQRT((Inputs!$C$52+(Inputs!$H$7))^2+Inputs!$C$52^2-2*(Inputs!$C$52+(Inputs!$H$7))*Inputs!$C$52*COS(SQRT((Scenario_Data!U114)^2+Inputs!$C$6^2)/Inputs!$C$52)))-(Inputs!$H$7))*1000/Inputs!$C$12)</f>
        <v>-273.20619150514904</v>
      </c>
      <c r="L114">
        <f>Scenario_Data!J114-(((SQRT((Inputs!$C$52+(Inputs!$H$8))^2+Inputs!$C$52^2-2*(Inputs!$C$52+(Inputs!$H$8))*Inputs!$C$52*COS(SQRT((Scenario_Data!V114)^2+Inputs!$C$6^2)/Inputs!$C$52)))-(Inputs!$H$8))*1000/Inputs!$C$12)</f>
        <v>-1111.3665792034881</v>
      </c>
      <c r="M114">
        <f>Scenario_Data!K114-(((SQRT((Inputs!$C$52+(Inputs!$H$9))^2+Inputs!$C$52^2-2*(Inputs!$C$52+(Inputs!$H$9))*Inputs!$C$52*COS(SQRT((Scenario_Data!W114)^2+Inputs!$C$6^2)/Inputs!$C$52)))-(Inputs!$H$9))*1000/Inputs!$C$12)</f>
        <v>-1397.5520721561479</v>
      </c>
      <c r="O114">
        <f>Scenario_Data!T114</f>
        <v>-4.019999999999996</v>
      </c>
      <c r="P114">
        <f>2*(Scenario_Data!B114*1000)/Inputs!$C$21*1000000</f>
        <v>2668.6325511230839</v>
      </c>
      <c r="Q114">
        <f>Scenario_Data!U114</f>
        <v>-26.799999999999955</v>
      </c>
      <c r="R114">
        <f>2*(Scenario_Data!C114*1000)/Inputs!$C$21*1000000</f>
        <v>244.42566196912128</v>
      </c>
      <c r="S114">
        <f>Scenario_Data!V114</f>
        <v>-53.599999999999909</v>
      </c>
      <c r="T114">
        <f>2*(Scenario_Data!D114*1000)/Inputs!$C$21*1000000</f>
        <v>262.3940926492553</v>
      </c>
      <c r="U114">
        <f>Scenario_Data!W114</f>
        <v>-53.599999999999909</v>
      </c>
      <c r="V114">
        <f>2*(Scenario_Data!E114*1000)/Inputs!$C$21*1000000</f>
        <v>195.98074745429378</v>
      </c>
      <c r="X114">
        <f>Scenario_Data!T114</f>
        <v>-4.019999999999996</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2669.1164451494619</v>
      </c>
      <c r="Z114">
        <f>Scenario_Data!U114</f>
        <v>-26.799999999999955</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244.89455924676798</v>
      </c>
      <c r="AB114">
        <f>Scenario_Data!V114</f>
        <v>-53.599999999999909</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262.1373262830445</v>
      </c>
      <c r="AD114">
        <f>Scenario_Data!W114</f>
        <v>-53.599999999999909</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195.72398108808298</v>
      </c>
      <c r="AG114">
        <f>Scenario_Data!T114</f>
        <v>-4.019999999999996</v>
      </c>
      <c r="AH114">
        <f>2*(SQRT((Inputs!$C$52+(Scenario_Data!B114))^2+Inputs!$C$52^2-2*(Inputs!$C$52+(Scenario_Data!B114))*Inputs!$C$52*COS(SQRT((Scenario_Data!T114)^2+Inputs!$C$6^2)/Inputs!$C$52))*1000)/Inputs!$C$21*1000000</f>
        <v>2675.3406815205371</v>
      </c>
      <c r="AI114">
        <f>Scenario_Data!U114</f>
        <v>-26.799999999999955</v>
      </c>
      <c r="AJ114">
        <f>2*(SQRT((Inputs!$C$52+(Scenario_Data!C114))^2+Inputs!$C$52^2-2*(Inputs!$C$52+(Scenario_Data!C114))*Inputs!$C$52*COS(SQRT((Scenario_Data!U114)^2+Inputs!$C$6^2)/Inputs!$C$52))*1000)/Inputs!$C$21*1000000</f>
        <v>347.74512770791858</v>
      </c>
      <c r="AK114">
        <f>Scenario_Data!V114</f>
        <v>-53.599999999999909</v>
      </c>
      <c r="AL114">
        <f>2*(SQRT((Inputs!$C$52+(Scenario_Data!D114))^2+Inputs!$C$52^2-2*(Inputs!$C$52+(Scenario_Data!D114))*Inputs!$C$52*COS(SQRT((Scenario_Data!V114)^2+Inputs!$C$6^2)/Inputs!$C$52))*1000)/Inputs!$C$21*1000000</f>
        <v>477.94862974966588</v>
      </c>
      <c r="AM114">
        <f>Scenario_Data!W114</f>
        <v>-53.599999999999909</v>
      </c>
      <c r="AN114">
        <f>2*(SQRT((Inputs!$C$52+(Scenario_Data!E114))^2+Inputs!$C$52^2-2*(Inputs!$C$52+(Scenario_Data!E114))*Inputs!$C$52*COS(SQRT((Scenario_Data!W114)^2+Inputs!$C$6^2)/Inputs!$C$52))*1000)/Inputs!$C$21*1000000</f>
        <v>443.8466445893456</v>
      </c>
      <c r="AP114">
        <f>Scenario_Data!T114</f>
        <v>-4.019999999999996</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2672.6169862341058</v>
      </c>
      <c r="AR114">
        <f>Scenario_Data!U114</f>
        <v>-26.799999999999955</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346.3884478023773</v>
      </c>
      <c r="AT114">
        <f>Scenario_Data!V114</f>
        <v>-53.599999999999909</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477.16353031854209</v>
      </c>
      <c r="AV114">
        <f>Scenario_Data!W114</f>
        <v>-53.599999999999909</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443.22219695033067</v>
      </c>
    </row>
    <row r="115" spans="1:49">
      <c r="A115">
        <f>Chart_Data!K115</f>
        <v>-3.5</v>
      </c>
      <c r="B115">
        <f>Chart_Data!N115-Chart_Data!L115</f>
        <v>77.379548586023645</v>
      </c>
      <c r="D115">
        <f>Chart_Data!G115</f>
        <v>-3.5</v>
      </c>
      <c r="E115">
        <f>Chart_Data!H115</f>
        <v>404.9650488224043</v>
      </c>
      <c r="F115">
        <f>Chart_Data!I115</f>
        <v>404.9650488224043</v>
      </c>
      <c r="G115">
        <f>Chart_Data!J115</f>
        <v>-78.649068093608037</v>
      </c>
      <c r="I115">
        <f>Scenario_Data!A115</f>
        <v>-5.8000000000000003E-2</v>
      </c>
      <c r="J115">
        <f>Scenario_Data!H115-(((SQRT((Inputs!$C$52+(Inputs!$H$6))^2+Inputs!$C$52^2-2*(Inputs!$C$52+(Inputs!$H$6))*Inputs!$C$52*COS(SQRT((Scenario_Data!T115)^2+Inputs!$C$6^2)/Inputs!$C$52)))-(Inputs!$H$6))*1000/Inputs!$C$12)</f>
        <v>-1.4988976835297763E-2</v>
      </c>
      <c r="K115">
        <f>Scenario_Data!I115-(((SQRT((Inputs!$C$52+(Inputs!$H$7))^2+Inputs!$C$52^2-2*(Inputs!$C$52+(Inputs!$H$7))*Inputs!$C$52*COS(SQRT((Scenario_Data!U115)^2+Inputs!$C$6^2)/Inputs!$C$52)))-(Inputs!$H$7))*1000/Inputs!$C$12)</f>
        <v>-189.13531467878693</v>
      </c>
      <c r="L115">
        <f>Scenario_Data!J115-(((SQRT((Inputs!$C$52+(Inputs!$H$8))^2+Inputs!$C$52^2-2*(Inputs!$C$52+(Inputs!$H$8))*Inputs!$C$52*COS(SQRT((Scenario_Data!V115)^2+Inputs!$C$6^2)/Inputs!$C$52)))-(Inputs!$H$8))*1000/Inputs!$C$12)</f>
        <v>-766.31188824812671</v>
      </c>
      <c r="M115">
        <f>Scenario_Data!K115-(((SQRT((Inputs!$C$52+(Inputs!$H$9))^2+Inputs!$C$52^2-2*(Inputs!$C$52+(Inputs!$H$9))*Inputs!$C$52*COS(SQRT((Scenario_Data!W115)^2+Inputs!$C$6^2)/Inputs!$C$52)))-(Inputs!$H$9))*1000/Inputs!$C$12)</f>
        <v>-989.67471788156035</v>
      </c>
      <c r="O115">
        <f>Scenario_Data!T115</f>
        <v>-3.480000000000004</v>
      </c>
      <c r="P115">
        <f>2*(Scenario_Data!B115*1000)/Inputs!$C$21*1000000</f>
        <v>2668.6025303545161</v>
      </c>
      <c r="Q115">
        <f>Scenario_Data!U115</f>
        <v>-23.200000000000045</v>
      </c>
      <c r="R115">
        <f>2*(Scenario_Data!C115*1000)/Inputs!$C$21*1000000</f>
        <v>241.68626683730656</v>
      </c>
      <c r="S115">
        <f>Scenario_Data!V115</f>
        <v>-46.400000000000091</v>
      </c>
      <c r="T115">
        <f>2*(Scenario_Data!D115*1000)/Inputs!$C$21*1000000</f>
        <v>255.15158223226561</v>
      </c>
      <c r="U115">
        <f>Scenario_Data!W115</f>
        <v>-46.400000000000091</v>
      </c>
      <c r="V115">
        <f>2*(Scenario_Data!E115*1000)/Inputs!$C$21*1000000</f>
        <v>188.66318511588446</v>
      </c>
      <c r="X115">
        <f>Scenario_Data!T115</f>
        <v>-3.480000000000004</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2669.0711271464738</v>
      </c>
      <c r="Z115">
        <f>Scenario_Data!U115</f>
        <v>-23.200000000000045</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242.50974664246002</v>
      </c>
      <c r="AB115">
        <f>Scenario_Data!V115</f>
        <v>-46.400000000000091</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254.90519878903751</v>
      </c>
      <c r="AD115">
        <f>Scenario_Data!W115</f>
        <v>-46.400000000000091</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188.41680167265642</v>
      </c>
      <c r="AG115">
        <f>Scenario_Data!T115</f>
        <v>-3.480000000000004</v>
      </c>
      <c r="AH115">
        <f>2*(SQRT((Inputs!$C$52+(Scenario_Data!B115))^2+Inputs!$C$52^2-2*(Inputs!$C$52+(Scenario_Data!B115))*Inputs!$C$52*COS(SQRT((Scenario_Data!T115)^2+Inputs!$C$6^2)/Inputs!$C$52))*1000)/Inputs!$C$21*1000000</f>
        <v>2675.2684009246454</v>
      </c>
      <c r="AI115">
        <f>Scenario_Data!U115</f>
        <v>-23.200000000000045</v>
      </c>
      <c r="AJ115">
        <f>2*(SQRT((Inputs!$C$52+(Scenario_Data!C115))^2+Inputs!$C$52^2-2*(Inputs!$C$52+(Scenario_Data!C115))*Inputs!$C$52*COS(SQRT((Scenario_Data!U115)^2+Inputs!$C$6^2)/Inputs!$C$52))*1000)/Inputs!$C$21*1000000</f>
        <v>333.7408733876195</v>
      </c>
      <c r="AK115">
        <f>Scenario_Data!V115</f>
        <v>-46.400000000000091</v>
      </c>
      <c r="AL115">
        <f>2*(SQRT((Inputs!$C$52+(Scenario_Data!D115))^2+Inputs!$C$52^2-2*(Inputs!$C$52+(Scenario_Data!D115))*Inputs!$C$52*COS(SQRT((Scenario_Data!V115)^2+Inputs!$C$6^2)/Inputs!$C$52))*1000)/Inputs!$C$21*1000000</f>
        <v>437.89929731903487</v>
      </c>
      <c r="AM115">
        <f>Scenario_Data!W115</f>
        <v>-46.400000000000091</v>
      </c>
      <c r="AN115">
        <f>2*(SQRT((Inputs!$C$52+(Scenario_Data!E115))^2+Inputs!$C$52^2-2*(Inputs!$C$52+(Scenario_Data!E115))*Inputs!$C$52*COS(SQRT((Scenario_Data!W115)^2+Inputs!$C$6^2)/Inputs!$C$52))*1000)/Inputs!$C$21*1000000</f>
        <v>401.81820551497754</v>
      </c>
      <c r="AP115">
        <f>Scenario_Data!T115</f>
        <v>-3.480000000000004</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2672.4600191223049</v>
      </c>
      <c r="AR115">
        <f>Scenario_Data!U115</f>
        <v>-23.200000000000045</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332.31359909858111</v>
      </c>
      <c r="AT115">
        <f>Scenario_Data!V115</f>
        <v>-46.400000000000091</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437.01578228380879</v>
      </c>
      <c r="AV115">
        <f>Scenario_Data!W115</f>
        <v>-46.400000000000091</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401.11313686352298</v>
      </c>
    </row>
    <row r="116" spans="1:49">
      <c r="A116">
        <f>Chart_Data!K116</f>
        <v>-3</v>
      </c>
      <c r="B116">
        <f>Chart_Data!N116-Chart_Data!L116</f>
        <v>66.371488422262246</v>
      </c>
      <c r="D116">
        <f>Chart_Data!G116</f>
        <v>-3</v>
      </c>
      <c r="E116">
        <f>Chart_Data!H116</f>
        <v>420.14741895597808</v>
      </c>
      <c r="F116">
        <f>Chart_Data!I116</f>
        <v>420.14741895597808</v>
      </c>
      <c r="G116">
        <f>Chart_Data!J116</f>
        <v>-67.681977394603621</v>
      </c>
      <c r="I116">
        <f>Scenario_Data!A116</f>
        <v>-0.05</v>
      </c>
      <c r="J116">
        <f>Scenario_Data!H116-(((SQRT((Inputs!$C$52+(Inputs!$H$6))^2+Inputs!$C$52^2-2*(Inputs!$C$52+(Inputs!$H$6))*Inputs!$C$52*COS(SQRT((Scenario_Data!T116)^2+Inputs!$C$6^2)/Inputs!$C$52)))-(Inputs!$H$6))*1000/Inputs!$C$12)</f>
        <v>-1.1085185236197503E-2</v>
      </c>
      <c r="K116">
        <f>Scenario_Data!I116-(((SQRT((Inputs!$C$52+(Inputs!$H$7))^2+Inputs!$C$52^2-2*(Inputs!$C$52+(Inputs!$H$7))*Inputs!$C$52*COS(SQRT((Scenario_Data!U116)^2+Inputs!$C$6^2)/Inputs!$C$52)))-(Inputs!$H$7))*1000/Inputs!$C$12)</f>
        <v>-130.58382574901771</v>
      </c>
      <c r="L116">
        <f>Scenario_Data!J116-(((SQRT((Inputs!$C$52+(Inputs!$H$8))^2+Inputs!$C$52^2-2*(Inputs!$C$52+(Inputs!$H$8))*Inputs!$C$52*COS(SQRT((Scenario_Data!V116)^2+Inputs!$C$6^2)/Inputs!$C$52)))-(Inputs!$H$8))*1000/Inputs!$C$12)</f>
        <v>-520.01022342426404</v>
      </c>
      <c r="M116">
        <f>Scenario_Data!K116-(((SQRT((Inputs!$C$52+(Inputs!$H$9))^2+Inputs!$C$52^2-2*(Inputs!$C$52+(Inputs!$H$9))*Inputs!$C$52*COS(SQRT((Scenario_Data!W116)^2+Inputs!$C$6^2)/Inputs!$C$52)))-(Inputs!$H$9))*1000/Inputs!$C$12)</f>
        <v>-690.46185643132958</v>
      </c>
      <c r="O116">
        <f>Scenario_Data!T116</f>
        <v>-3</v>
      </c>
      <c r="P116">
        <f>2*(Scenario_Data!B116*1000)/Inputs!$C$21*1000000</f>
        <v>2668.579474404256</v>
      </c>
      <c r="Q116">
        <f>Scenario_Data!U116</f>
        <v>-20</v>
      </c>
      <c r="R116">
        <f>2*(Scenario_Data!C116*1000)/Inputs!$C$21*1000000</f>
        <v>239.58241137607271</v>
      </c>
      <c r="S116">
        <f>Scenario_Data!V116</f>
        <v>-40</v>
      </c>
      <c r="T116">
        <f>2*(Scenario_Data!D116*1000)/Inputs!$C$21*1000000</f>
        <v>249.58933423201725</v>
      </c>
      <c r="U116">
        <f>Scenario_Data!W116</f>
        <v>-40</v>
      </c>
      <c r="V116">
        <f>2*(Scenario_Data!E116*1000)/Inputs!$C$21*1000000</f>
        <v>183.04329723998595</v>
      </c>
      <c r="X116">
        <f>Scenario_Data!T116</f>
        <v>-3</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2669.0309999552733</v>
      </c>
      <c r="Z116">
        <f>Scenario_Data!U116</f>
        <v>-20</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240.55860819468157</v>
      </c>
      <c r="AB116">
        <f>Scenario_Data!V116</f>
        <v>-40</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249.79768978087017</v>
      </c>
      <c r="AD116">
        <f>Scenario_Data!W116</f>
        <v>-40</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183.25165278883884</v>
      </c>
      <c r="AG116">
        <f>Scenario_Data!T116</f>
        <v>-3</v>
      </c>
      <c r="AH116">
        <f>2*(SQRT((Inputs!$C$52+(Scenario_Data!B116))^2+Inputs!$C$52^2-2*(Inputs!$C$52+(Scenario_Data!B116))*Inputs!$C$52*COS(SQRT((Scenario_Data!T116)^2+Inputs!$C$6^2)/Inputs!$C$52))*1000)/Inputs!$C$21*1000000</f>
        <v>2675.2128884537788</v>
      </c>
      <c r="AI116">
        <f>Scenario_Data!U116</f>
        <v>-20</v>
      </c>
      <c r="AJ116">
        <f>2*(SQRT((Inputs!$C$52+(Scenario_Data!C116))^2+Inputs!$C$52^2-2*(Inputs!$C$52+(Scenario_Data!C116))*Inputs!$C$52*COS(SQRT((Scenario_Data!U116)^2+Inputs!$C$6^2)/Inputs!$C$52))*1000)/Inputs!$C$21*1000000</f>
        <v>322.5932252064959</v>
      </c>
      <c r="AK116">
        <f>Scenario_Data!V116</f>
        <v>-40</v>
      </c>
      <c r="AL116">
        <f>2*(SQRT((Inputs!$C$52+(Scenario_Data!D116))^2+Inputs!$C$52^2-2*(Inputs!$C$52+(Scenario_Data!D116))*Inputs!$C$52*COS(SQRT((Scenario_Data!V116)^2+Inputs!$C$6^2)/Inputs!$C$52))*1000)/Inputs!$C$21*1000000</f>
        <v>404.58204465567519</v>
      </c>
      <c r="AM116">
        <f>Scenario_Data!W116</f>
        <v>-40</v>
      </c>
      <c r="AN116">
        <f>2*(SQRT((Inputs!$C$52+(Scenario_Data!E116))^2+Inputs!$C$52^2-2*(Inputs!$C$52+(Scenario_Data!E116))*Inputs!$C$52*COS(SQRT((Scenario_Data!W116)^2+Inputs!$C$6^2)/Inputs!$C$52))*1000)/Inputs!$C$21*1000000</f>
        <v>366.42028097133147</v>
      </c>
      <c r="AP116">
        <f>Scenario_Data!T116</f>
        <v>-3</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2672.4187092220673</v>
      </c>
      <c r="AR116">
        <f>Scenario_Data!U116</f>
        <v>-20</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320.93709247237001</v>
      </c>
      <c r="AT116">
        <f>Scenario_Data!V116</f>
        <v>-40</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403.78577502854455</v>
      </c>
      <c r="AV116">
        <f>Scenario_Data!W116</f>
        <v>-40</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365.78076718889946</v>
      </c>
    </row>
    <row r="117" spans="1:49">
      <c r="A117">
        <f>Chart_Data!K117</f>
        <v>-2.5</v>
      </c>
      <c r="B117">
        <f>Chart_Data!N117-Chart_Data!L117</f>
        <v>48.52707596926308</v>
      </c>
      <c r="D117">
        <f>Chart_Data!G117</f>
        <v>-2.5</v>
      </c>
      <c r="E117">
        <f>Chart_Data!H117</f>
        <v>420.97624209783453</v>
      </c>
      <c r="F117">
        <f>Chart_Data!I117</f>
        <v>420.97624209783453</v>
      </c>
      <c r="G117">
        <f>Chart_Data!J117</f>
        <v>-49.834492958636119</v>
      </c>
      <c r="I117">
        <f>Scenario_Data!A117</f>
        <v>-4.2000000000000003E-2</v>
      </c>
      <c r="J117">
        <f>Scenario_Data!H117-(((SQRT((Inputs!$C$52+(Inputs!$H$6))^2+Inputs!$C$52^2-2*(Inputs!$C$52+(Inputs!$H$6))*Inputs!$C$52*COS(SQRT((Scenario_Data!T117)^2+Inputs!$C$6^2)/Inputs!$C$52)))-(Inputs!$H$6))*1000/Inputs!$C$12)</f>
        <v>-7.7892075411227779E-3</v>
      </c>
      <c r="K117">
        <f>Scenario_Data!I117-(((SQRT((Inputs!$C$52+(Inputs!$H$7))^2+Inputs!$C$52^2-2*(Inputs!$C$52+(Inputs!$H$7))*Inputs!$C$52*COS(SQRT((Scenario_Data!U117)^2+Inputs!$C$6^2)/Inputs!$C$52)))-(Inputs!$H$7))*1000/Inputs!$C$12)</f>
        <v>-85.532537980298912</v>
      </c>
      <c r="L117">
        <f>Scenario_Data!J117-(((SQRT((Inputs!$C$52+(Inputs!$H$8))^2+Inputs!$C$52^2-2*(Inputs!$C$52+(Inputs!$H$8))*Inputs!$C$52*COS(SQRT((Scenario_Data!V117)^2+Inputs!$C$6^2)/Inputs!$C$52)))-(Inputs!$H$8))*1000/Inputs!$C$12)</f>
        <v>-328.85027552274187</v>
      </c>
      <c r="M117">
        <f>Scenario_Data!K117-(((SQRT((Inputs!$C$52+(Inputs!$H$9))^2+Inputs!$C$52^2-2*(Inputs!$C$52+(Inputs!$H$9))*Inputs!$C$52*COS(SQRT((Scenario_Data!W117)^2+Inputs!$C$6^2)/Inputs!$C$52)))-(Inputs!$H$9))*1000/Inputs!$C$12)</f>
        <v>-450.68761011315837</v>
      </c>
      <c r="O117">
        <f>Scenario_Data!T117</f>
        <v>-2.5200000000000031</v>
      </c>
      <c r="P117">
        <f>2*(Scenario_Data!B117*1000)/Inputs!$C$21*1000000</f>
        <v>2668.5598341503305</v>
      </c>
      <c r="Q117">
        <f>Scenario_Data!U117</f>
        <v>-16.800000000000011</v>
      </c>
      <c r="R117">
        <f>2*(Scenario_Data!C117*1000)/Inputs!$C$21*1000000</f>
        <v>237.79023820539209</v>
      </c>
      <c r="S117">
        <f>Scenario_Data!V117</f>
        <v>-33.600000000000023</v>
      </c>
      <c r="T117">
        <f>2*(Scenario_Data!D117*1000)/Inputs!$C$21*1000000</f>
        <v>244.85112297254656</v>
      </c>
      <c r="U117">
        <f>Scenario_Data!W117</f>
        <v>-33.600000000000023</v>
      </c>
      <c r="V117">
        <f>2*(Scenario_Data!E117*1000)/Inputs!$C$21*1000000</f>
        <v>178.25598534570207</v>
      </c>
      <c r="X117">
        <f>Scenario_Data!T117</f>
        <v>-2.5200000000000031</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2668.8889151109515</v>
      </c>
      <c r="Z117">
        <f>Scenario_Data!U117</f>
        <v>-16.800000000000011</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238.60170190557463</v>
      </c>
      <c r="AB117">
        <f>Scenario_Data!V117</f>
        <v>-33.600000000000023</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244.83703512320048</v>
      </c>
      <c r="AD117">
        <f>Scenario_Data!W117</f>
        <v>-33.600000000000023</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178.24189749635596</v>
      </c>
      <c r="AG117">
        <f>Scenario_Data!T117</f>
        <v>-2.5200000000000031</v>
      </c>
      <c r="AH117">
        <f>2*(SQRT((Inputs!$C$52+(Scenario_Data!B117))^2+Inputs!$C$52^2-2*(Inputs!$C$52+(Scenario_Data!B117))*Inputs!$C$52*COS(SQRT((Scenario_Data!T117)^2+Inputs!$C$6^2)/Inputs!$C$52))*1000)/Inputs!$C$21*1000000</f>
        <v>2675.1655993857221</v>
      </c>
      <c r="AI117">
        <f>Scenario_Data!U117</f>
        <v>-16.800000000000011</v>
      </c>
      <c r="AJ117">
        <f>2*(SQRT((Inputs!$C$52+(Scenario_Data!C117))^2+Inputs!$C$52^2-2*(Inputs!$C$52+(Scenario_Data!C117))*Inputs!$C$52*COS(SQRT((Scenario_Data!U117)^2+Inputs!$C$6^2)/Inputs!$C$52))*1000)/Inputs!$C$21*1000000</f>
        <v>312.79808444872799</v>
      </c>
      <c r="AK117">
        <f>Scenario_Data!V117</f>
        <v>-33.600000000000023</v>
      </c>
      <c r="AL117">
        <f>2*(SQRT((Inputs!$C$52+(Scenario_Data!D117))^2+Inputs!$C$52^2-2*(Inputs!$C$52+(Scenario_Data!D117))*Inputs!$C$52*COS(SQRT((Scenario_Data!V117)^2+Inputs!$C$6^2)/Inputs!$C$52))*1000)/Inputs!$C$21*1000000</f>
        <v>373.95808704286753</v>
      </c>
      <c r="AM117">
        <f>Scenario_Data!W117</f>
        <v>-33.600000000000023</v>
      </c>
      <c r="AN117">
        <f>2*(SQRT((Inputs!$C$52+(Scenario_Data!E117))^2+Inputs!$C$52^2-2*(Inputs!$C$52+(Scenario_Data!E117))*Inputs!$C$52*COS(SQRT((Scenario_Data!W117)^2+Inputs!$C$6^2)/Inputs!$C$52))*1000)/Inputs!$C$21*1000000</f>
        <v>333.41947696346216</v>
      </c>
      <c r="AP117">
        <f>Scenario_Data!T117</f>
        <v>-2.5200000000000031</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2672.3765444545224</v>
      </c>
      <c r="AR117">
        <f>Scenario_Data!U117</f>
        <v>-16.800000000000011</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310.87780289071844</v>
      </c>
      <c r="AT117">
        <f>Scenario_Data!V117</f>
        <v>-33.600000000000023</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372.5309517744891</v>
      </c>
      <c r="AV117">
        <f>Scenario_Data!W117</f>
        <v>-33.600000000000023</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332.263191455232</v>
      </c>
    </row>
    <row r="118" spans="1:49">
      <c r="A118">
        <f>Chart_Data!K118</f>
        <v>-2</v>
      </c>
      <c r="B118">
        <f>Chart_Data!N118-Chart_Data!L118</f>
        <v>58.258002434762375</v>
      </c>
      <c r="D118">
        <f>Chart_Data!G118</f>
        <v>-2</v>
      </c>
      <c r="E118">
        <f>Chart_Data!H118</f>
        <v>435.98300826713626</v>
      </c>
      <c r="F118">
        <f>Chart_Data!I118</f>
        <v>435.98300826713626</v>
      </c>
      <c r="G118">
        <f>Chart_Data!J118</f>
        <v>-59.607279956221248</v>
      </c>
      <c r="I118">
        <f>Scenario_Data!A118</f>
        <v>-3.3000000000000002E-2</v>
      </c>
      <c r="J118">
        <f>Scenario_Data!H118-(((SQRT((Inputs!$C$52+(Inputs!$H$6))^2+Inputs!$C$52^2-2*(Inputs!$C$52+(Inputs!$H$6))*Inputs!$C$52*COS(SQRT((Scenario_Data!T118)^2+Inputs!$C$6^2)/Inputs!$C$52)))-(Inputs!$H$6))*1000/Inputs!$C$12)</f>
        <v>-4.7902418510830103E-3</v>
      </c>
      <c r="K118">
        <f>Scenario_Data!I118-(((SQRT((Inputs!$C$52+(Inputs!$H$7))^2+Inputs!$C$52^2-2*(Inputs!$C$52+(Inputs!$H$7))*Inputs!$C$52*COS(SQRT((Scenario_Data!U118)^2+Inputs!$C$6^2)/Inputs!$C$52)))-(Inputs!$H$7))*1000/Inputs!$C$12)</f>
        <v>-48.707150080789688</v>
      </c>
      <c r="L118">
        <f>Scenario_Data!J118-(((SQRT((Inputs!$C$52+(Inputs!$H$8))^2+Inputs!$C$52^2-2*(Inputs!$C$52+(Inputs!$H$8))*Inputs!$C$52*COS(SQRT((Scenario_Data!V118)^2+Inputs!$C$6^2)/Inputs!$C$52)))-(Inputs!$H$8))*1000/Inputs!$C$12)</f>
        <v>-175.28477054044197</v>
      </c>
      <c r="M118">
        <f>Scenario_Data!K118-(((SQRT((Inputs!$C$52+(Inputs!$H$9))^2+Inputs!$C$52^2-2*(Inputs!$C$52+(Inputs!$H$9))*Inputs!$C$52*COS(SQRT((Scenario_Data!W118)^2+Inputs!$C$6^2)/Inputs!$C$52)))-(Inputs!$H$9))*1000/Inputs!$C$12)</f>
        <v>-249.93122636938642</v>
      </c>
      <c r="O118">
        <f>Scenario_Data!T118</f>
        <v>-1.980000000000004</v>
      </c>
      <c r="P118">
        <f>2*(Scenario_Data!B118*1000)/Inputs!$C$21*1000000</f>
        <v>2668.5418216891899</v>
      </c>
      <c r="Q118">
        <f>Scenario_Data!U118</f>
        <v>-13.199999999999989</v>
      </c>
      <c r="R118">
        <f>2*(Scenario_Data!C118*1000)/Inputs!$C$21*1000000</f>
        <v>236.14660112630315</v>
      </c>
      <c r="S118">
        <f>Scenario_Data!V118</f>
        <v>-26.399999999999977</v>
      </c>
      <c r="T118">
        <f>2*(Scenario_Data!D118*1000)/Inputs!$C$21*1000000</f>
        <v>240.50561672235264</v>
      </c>
      <c r="U118">
        <f>Scenario_Data!W118</f>
        <v>-26.399999999999977</v>
      </c>
      <c r="V118">
        <f>2*(Scenario_Data!E118*1000)/Inputs!$C$21*1000000</f>
        <v>173.86544794265637</v>
      </c>
      <c r="X118">
        <f>Scenario_Data!T118</f>
        <v>-1.980000000000004</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2668.8599671350553</v>
      </c>
      <c r="Z118">
        <f>Scenario_Data!U118</f>
        <v>-13.199999999999989</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236.54055700599343</v>
      </c>
      <c r="AB118">
        <f>Scenario_Data!V118</f>
        <v>-26.399999999999977</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241.1070862491305</v>
      </c>
      <c r="AD118">
        <f>Scenario_Data!W118</f>
        <v>-26.399999999999977</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174.46691746943421</v>
      </c>
      <c r="AG118">
        <f>Scenario_Data!T118</f>
        <v>-1.980000000000004</v>
      </c>
      <c r="AH118">
        <f>2*(SQRT((Inputs!$C$52+(Scenario_Data!B118))^2+Inputs!$C$52^2-2*(Inputs!$C$52+(Scenario_Data!B118))*Inputs!$C$52*COS(SQRT((Scenario_Data!T118)^2+Inputs!$C$6^2)/Inputs!$C$52))*1000)/Inputs!$C$21*1000000</f>
        <v>2675.1222291167342</v>
      </c>
      <c r="AI118">
        <f>Scenario_Data!U118</f>
        <v>-13.199999999999989</v>
      </c>
      <c r="AJ118">
        <f>2*(SQRT((Inputs!$C$52+(Scenario_Data!C118))^2+Inputs!$C$52^2-2*(Inputs!$C$52+(Scenario_Data!C118))*Inputs!$C$52*COS(SQRT((Scenario_Data!U118)^2+Inputs!$C$6^2)/Inputs!$C$52))*1000)/Inputs!$C$21*1000000</f>
        <v>303.54886988121996</v>
      </c>
      <c r="AK118">
        <f>Scenario_Data!V118</f>
        <v>-26.399999999999977</v>
      </c>
      <c r="AL118">
        <f>2*(SQRT((Inputs!$C$52+(Scenario_Data!D118))^2+Inputs!$C$52^2-2*(Inputs!$C$52+(Scenario_Data!D118))*Inputs!$C$52*COS(SQRT((Scenario_Data!V118)^2+Inputs!$C$6^2)/Inputs!$C$52))*1000)/Inputs!$C$21*1000000</f>
        <v>343.5612623013572</v>
      </c>
      <c r="AM118">
        <f>Scenario_Data!W118</f>
        <v>-26.399999999999977</v>
      </c>
      <c r="AN118">
        <f>2*(SQRT((Inputs!$C$52+(Scenario_Data!E118))^2+Inputs!$C$52^2-2*(Inputs!$C$52+(Scenario_Data!E118))*Inputs!$C$52*COS(SQRT((Scenario_Data!W118)^2+Inputs!$C$6^2)/Inputs!$C$52))*1000)/Inputs!$C$21*1000000</f>
        <v>300.07341715264386</v>
      </c>
      <c r="AP118">
        <f>Scenario_Data!T118</f>
        <v>-1.980000000000004</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2672.2849887663119</v>
      </c>
      <c r="AR118">
        <f>Scenario_Data!U118</f>
        <v>-13.199999999999989</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301.35715791919762</v>
      </c>
      <c r="AT118">
        <f>Scenario_Data!V118</f>
        <v>-26.399999999999977</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342.25446091655817</v>
      </c>
      <c r="AV118">
        <f>Scenario_Data!W118</f>
        <v>-26.399999999999977</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298.99852445548879</v>
      </c>
    </row>
    <row r="119" spans="1:49">
      <c r="A119">
        <f>Chart_Data!K119</f>
        <v>-1.5</v>
      </c>
      <c r="B119">
        <f>Chart_Data!N119-Chart_Data!L119</f>
        <v>32.824071586063098</v>
      </c>
      <c r="D119">
        <f>Chart_Data!G119</f>
        <v>-1.5</v>
      </c>
      <c r="E119">
        <f>Chart_Data!H119</f>
        <v>431.10580672292525</v>
      </c>
      <c r="F119">
        <f>Chart_Data!I119</f>
        <v>431.10580672292525</v>
      </c>
      <c r="G119">
        <f>Chart_Data!J119</f>
        <v>-34.15455011761312</v>
      </c>
      <c r="I119">
        <f>Scenario_Data!A119</f>
        <v>-2.5000000000000001E-2</v>
      </c>
      <c r="J119">
        <f>Scenario_Data!H119-(((SQRT((Inputs!$C$52+(Inputs!$H$6))^2+Inputs!$C$52^2-2*(Inputs!$C$52+(Inputs!$H$6))*Inputs!$C$52*COS(SQRT((Scenario_Data!T119)^2+Inputs!$C$6^2)/Inputs!$C$52)))-(Inputs!$H$6))*1000/Inputs!$C$12)</f>
        <v>-2.7419606900593863E-3</v>
      </c>
      <c r="K119">
        <f>Scenario_Data!I119-(((SQRT((Inputs!$C$52+(Inputs!$H$7))^2+Inputs!$C$52^2-2*(Inputs!$C$52+(Inputs!$H$7))*Inputs!$C$52*COS(SQRT((Scenario_Data!U119)^2+Inputs!$C$6^2)/Inputs!$C$52)))-(Inputs!$H$7))*1000/Inputs!$C$12)</f>
        <v>-26.20922916708696</v>
      </c>
      <c r="L119">
        <f>Scenario_Data!J119-(((SQRT((Inputs!$C$52+(Inputs!$H$8))^2+Inputs!$C$52^2-2*(Inputs!$C$52+(Inputs!$H$8))*Inputs!$C$52*COS(SQRT((Scenario_Data!V119)^2+Inputs!$C$6^2)/Inputs!$C$52)))-(Inputs!$H$8))*1000/Inputs!$C$12)</f>
        <v>-86.794732464311892</v>
      </c>
      <c r="M119">
        <f>Scenario_Data!K119-(((SQRT((Inputs!$C$52+(Inputs!$H$9))^2+Inputs!$C$52^2-2*(Inputs!$C$52+(Inputs!$H$9))*Inputs!$C$52*COS(SQRT((Scenario_Data!W119)^2+Inputs!$C$6^2)/Inputs!$C$52)))-(Inputs!$H$9))*1000/Inputs!$C$12)</f>
        <v>-128.37390922902341</v>
      </c>
      <c r="O119">
        <f>Scenario_Data!T119</f>
        <v>-1.5</v>
      </c>
      <c r="P119">
        <f>2*(Scenario_Data!B119*1000)/Inputs!$C$21*1000000</f>
        <v>2668.5294397899765</v>
      </c>
      <c r="Q119">
        <f>Scenario_Data!U119</f>
        <v>-10</v>
      </c>
      <c r="R119">
        <f>2*(Scenario_Data!C119*1000)/Inputs!$C$21*1000000</f>
        <v>235.01675282304802</v>
      </c>
      <c r="S119">
        <f>Scenario_Data!V119</f>
        <v>-20</v>
      </c>
      <c r="T119">
        <f>2*(Scenario_Data!D119*1000)/Inputs!$C$21*1000000</f>
        <v>237.51848353703414</v>
      </c>
      <c r="U119">
        <f>Scenario_Data!W119</f>
        <v>-20</v>
      </c>
      <c r="V119">
        <f>2*(Scenario_Data!E119*1000)/Inputs!$C$21*1000000</f>
        <v>170.84736000930349</v>
      </c>
      <c r="X119">
        <f>Scenario_Data!T119</f>
        <v>-1.5</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2668.7572944221138</v>
      </c>
      <c r="Z119">
        <f>Scenario_Data!U119</f>
        <v>-10</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235.34646846600202</v>
      </c>
      <c r="AB119">
        <f>Scenario_Data!V119</f>
        <v>-20</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238.49468035564297</v>
      </c>
      <c r="AD119">
        <f>Scenario_Data!W119</f>
        <v>-20</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171.82355682791237</v>
      </c>
      <c r="AG119">
        <f>Scenario_Data!T119</f>
        <v>-1.5</v>
      </c>
      <c r="AH119">
        <f>2*(SQRT((Inputs!$C$52+(Scenario_Data!B119))^2+Inputs!$C$52^2-2*(Inputs!$C$52+(Scenario_Data!B119))*Inputs!$C$52*COS(SQRT((Scenario_Data!T119)^2+Inputs!$C$6^2)/Inputs!$C$52))*1000)/Inputs!$C$21*1000000</f>
        <v>2675.0924157732229</v>
      </c>
      <c r="AI119">
        <f>Scenario_Data!U119</f>
        <v>-10</v>
      </c>
      <c r="AJ119">
        <f>2*(SQRT((Inputs!$C$52+(Scenario_Data!C119))^2+Inputs!$C$52^2-2*(Inputs!$C$52+(Scenario_Data!C119))*Inputs!$C$52*COS(SQRT((Scenario_Data!U119)^2+Inputs!$C$6^2)/Inputs!$C$52))*1000)/Inputs!$C$21*1000000</f>
        <v>297.03061836832649</v>
      </c>
      <c r="AK119">
        <f>Scenario_Data!V119</f>
        <v>-20</v>
      </c>
      <c r="AL119">
        <f>2*(SQRT((Inputs!$C$52+(Scenario_Data!D119))^2+Inputs!$C$52^2-2*(Inputs!$C$52+(Scenario_Data!D119))*Inputs!$C$52*COS(SQRT((Scenario_Data!V119)^2+Inputs!$C$6^2)/Inputs!$C$52))*1000)/Inputs!$C$21*1000000</f>
        <v>321.04928767386309</v>
      </c>
      <c r="AM119">
        <f>Scenario_Data!W119</f>
        <v>-20</v>
      </c>
      <c r="AN119">
        <f>2*(SQRT((Inputs!$C$52+(Scenario_Data!E119))^2+Inputs!$C$52^2-2*(Inputs!$C$52+(Scenario_Data!E119))*Inputs!$C$52*COS(SQRT((Scenario_Data!W119)^2+Inputs!$C$6^2)/Inputs!$C$52))*1000)/Inputs!$C$21*1000000</f>
        <v>274.87151736535009</v>
      </c>
      <c r="AP119">
        <f>Scenario_Data!T119</f>
        <v>-1.5</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2672.2252634034899</v>
      </c>
      <c r="AR119">
        <f>Scenario_Data!U119</f>
        <v>-10</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294.56495100603121</v>
      </c>
      <c r="AT119">
        <f>Scenario_Data!V119</f>
        <v>-20</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319.39972411688655</v>
      </c>
      <c r="AV119">
        <f>Scenario_Data!W119</f>
        <v>-20</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273.49339989879672</v>
      </c>
    </row>
    <row r="120" spans="1:49">
      <c r="A120">
        <f>Chart_Data!K120</f>
        <v>-1</v>
      </c>
      <c r="B120">
        <f>Chart_Data!N120-Chart_Data!L120</f>
        <v>36.907458070122061</v>
      </c>
      <c r="D120">
        <f>Chart_Data!G120</f>
        <v>-1</v>
      </c>
      <c r="E120">
        <f>Chart_Data!H120</f>
        <v>440.99441024200883</v>
      </c>
      <c r="F120">
        <f>Chart_Data!I120</f>
        <v>440.99441024200883</v>
      </c>
      <c r="G120">
        <f>Chart_Data!J120</f>
        <v>-38.265792887993427</v>
      </c>
      <c r="I120">
        <f>Scenario_Data!A120</f>
        <v>-1.7000000000000001E-2</v>
      </c>
      <c r="J120">
        <f>Scenario_Data!H120-(((SQRT((Inputs!$C$52+(Inputs!$H$6))^2+Inputs!$C$52^2-2*(Inputs!$C$52+(Inputs!$H$6))*Inputs!$C$52*COS(SQRT((Scenario_Data!T120)^2+Inputs!$C$6^2)/Inputs!$C$52)))-(Inputs!$H$6))*1000/Inputs!$C$12)</f>
        <v>-1.2654526615278883E-3</v>
      </c>
      <c r="K120">
        <f>Scenario_Data!I120-(((SQRT((Inputs!$C$52+(Inputs!$H$7))^2+Inputs!$C$52^2-2*(Inputs!$C$52+(Inputs!$H$7))*Inputs!$C$52*COS(SQRT((Scenario_Data!U120)^2+Inputs!$C$6^2)/Inputs!$C$52)))-(Inputs!$H$7))*1000/Inputs!$C$12)</f>
        <v>-11.501173772391667</v>
      </c>
      <c r="L120">
        <f>Scenario_Data!J120-(((SQRT((Inputs!$C$52+(Inputs!$H$8))^2+Inputs!$C$52^2-2*(Inputs!$C$52+(Inputs!$H$8))*Inputs!$C$52*COS(SQRT((Scenario_Data!V120)^2+Inputs!$C$6^2)/Inputs!$C$52)))-(Inputs!$H$8))*1000/Inputs!$C$12)</f>
        <v>-34.567441559190229</v>
      </c>
      <c r="M120">
        <f>Scenario_Data!K120-(((SQRT((Inputs!$C$52+(Inputs!$H$9))^2+Inputs!$C$52^2-2*(Inputs!$C$52+(Inputs!$H$9))*Inputs!$C$52*COS(SQRT((Scenario_Data!W120)^2+Inputs!$C$6^2)/Inputs!$C$52)))-(Inputs!$H$9))*1000/Inputs!$C$12)</f>
        <v>-52.890554438504296</v>
      </c>
      <c r="O120">
        <f>Scenario_Data!T120</f>
        <v>-1.0200000000000031</v>
      </c>
      <c r="P120">
        <f>2*(Scenario_Data!B120*1000)/Inputs!$C$21*1000000</f>
        <v>2668.5204735870971</v>
      </c>
      <c r="Q120">
        <f>Scenario_Data!U120</f>
        <v>-6.8000000000000114</v>
      </c>
      <c r="R120">
        <f>2*(Scenario_Data!C120*1000)/Inputs!$C$21*1000000</f>
        <v>234.19858681034597</v>
      </c>
      <c r="S120">
        <f>Scenario_Data!V120</f>
        <v>-13.600000000000023</v>
      </c>
      <c r="T120">
        <f>2*(Scenario_Data!D120*1000)/Inputs!$C$21*1000000</f>
        <v>235.35538709249317</v>
      </c>
      <c r="U120">
        <f>Scenario_Data!W120</f>
        <v>-13.600000000000023</v>
      </c>
      <c r="V120">
        <f>2*(Scenario_Data!E120*1000)/Inputs!$C$21*1000000</f>
        <v>168.66184805756521</v>
      </c>
      <c r="X120">
        <f>Scenario_Data!T120</f>
        <v>-1.0200000000000031</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2668.6246227078218</v>
      </c>
      <c r="Z120">
        <f>Scenario_Data!U120</f>
        <v>-6.8000000000000114</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234.64317423280781</v>
      </c>
      <c r="AB120">
        <f>Scenario_Data!V120</f>
        <v>-13.600000000000023</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235.9173120128643</v>
      </c>
      <c r="AD120">
        <f>Scenario_Data!W120</f>
        <v>-13.600000000000023</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169.22377297793633</v>
      </c>
      <c r="AG120">
        <f>Scenario_Data!T120</f>
        <v>-1.0200000000000031</v>
      </c>
      <c r="AH120">
        <f>2*(SQRT((Inputs!$C$52+(Scenario_Data!B120))^2+Inputs!$C$52^2-2*(Inputs!$C$52+(Scenario_Data!B120))*Inputs!$C$52*COS(SQRT((Scenario_Data!T120)^2+Inputs!$C$6^2)/Inputs!$C$52))*1000)/Inputs!$C$21*1000000</f>
        <v>2675.0708266480583</v>
      </c>
      <c r="AI120">
        <f>Scenario_Data!U120</f>
        <v>-6.8000000000000114</v>
      </c>
      <c r="AJ120">
        <f>2*(SQRT((Inputs!$C$52+(Scenario_Data!C120))^2+Inputs!$C$52^2-2*(Inputs!$C$52+(Scenario_Data!C120))*Inputs!$C$52*COS(SQRT((Scenario_Data!U120)^2+Inputs!$C$6^2)/Inputs!$C$52))*1000)/Inputs!$C$21*1000000</f>
        <v>292.22322937692019</v>
      </c>
      <c r="AK120">
        <f>Scenario_Data!V120</f>
        <v>-13.600000000000023</v>
      </c>
      <c r="AL120">
        <f>2*(SQRT((Inputs!$C$52+(Scenario_Data!D120))^2+Inputs!$C$52^2-2*(Inputs!$C$52+(Scenario_Data!D120))*Inputs!$C$52*COS(SQRT((Scenario_Data!V120)^2+Inputs!$C$6^2)/Inputs!$C$52))*1000)/Inputs!$C$21*1000000</f>
        <v>303.73346224026676</v>
      </c>
      <c r="AM120">
        <f>Scenario_Data!W120</f>
        <v>-13.600000000000023</v>
      </c>
      <c r="AN120">
        <f>2*(SQRT((Inputs!$C$52+(Scenario_Data!E120))^2+Inputs!$C$52^2-2*(Inputs!$C$52+(Scenario_Data!E120))*Inputs!$C$52*COS(SQRT((Scenario_Data!W120)^2+Inputs!$C$6^2)/Inputs!$C$52))*1000)/Inputs!$C$21*1000000</f>
        <v>255.10349072494134</v>
      </c>
      <c r="AP120">
        <f>Scenario_Data!T120</f>
        <v>-1.0200000000000031</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2672.0265961152877</v>
      </c>
      <c r="AR120">
        <f>Scenario_Data!U120</f>
        <v>-6.8000000000000114</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289.82836487521752</v>
      </c>
      <c r="AT120">
        <f>Scenario_Data!V120</f>
        <v>-13.600000000000023</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301.59997247160845</v>
      </c>
      <c r="AV120">
        <f>Scenario_Data!W120</f>
        <v>-13.600000000000023</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253.29273098341292</v>
      </c>
    </row>
    <row r="121" spans="1:49">
      <c r="A121">
        <f>Chart_Data!K121</f>
        <v>-0.5</v>
      </c>
      <c r="B121">
        <f>Chart_Data!N121-Chart_Data!L121</f>
        <v>14.490732066080454</v>
      </c>
      <c r="D121">
        <f>Chart_Data!G121</f>
        <v>-0.5</v>
      </c>
      <c r="E121">
        <f>Chart_Data!H121</f>
        <v>474.23278667183286</v>
      </c>
      <c r="F121">
        <f>Chart_Data!I121</f>
        <v>474.23278667183286</v>
      </c>
      <c r="G121">
        <f>Chart_Data!J121</f>
        <v>-15.949828195457984</v>
      </c>
      <c r="I121">
        <f>Scenario_Data!A121</f>
        <v>-8.0000000000000002E-3</v>
      </c>
      <c r="J121">
        <f>Scenario_Data!H121-(((SQRT((Inputs!$C$52+(Inputs!$H$6))^2+Inputs!$C$52^2-2*(Inputs!$C$52+(Inputs!$H$6))*Inputs!$C$52*COS(SQRT((Scenario_Data!T121)^2+Inputs!$C$6^2)/Inputs!$C$52)))-(Inputs!$H$6))*1000/Inputs!$C$12)</f>
        <v>-2.7987863211365038E-4</v>
      </c>
      <c r="K121">
        <f>Scenario_Data!I121-(((SQRT((Inputs!$C$52+(Inputs!$H$7))^2+Inputs!$C$52^2-2*(Inputs!$C$52+(Inputs!$H$7))*Inputs!$C$52*COS(SQRT((Scenario_Data!U121)^2+Inputs!$C$6^2)/Inputs!$C$52)))-(Inputs!$H$7))*1000/Inputs!$C$12)</f>
        <v>-2.4515400940208565</v>
      </c>
      <c r="L121">
        <f>Scenario_Data!J121-(((SQRT((Inputs!$C$52+(Inputs!$H$8))^2+Inputs!$C$52^2-2*(Inputs!$C$52+(Inputs!$H$8))*Inputs!$C$52*COS(SQRT((Scenario_Data!V121)^2+Inputs!$C$6^2)/Inputs!$C$52)))-(Inputs!$H$8))*1000/Inputs!$C$12)</f>
        <v>-6.7016754171791035</v>
      </c>
      <c r="M121">
        <f>Scenario_Data!K121-(((SQRT((Inputs!$C$52+(Inputs!$H$9))^2+Inputs!$C$52^2-2*(Inputs!$C$52+(Inputs!$H$9))*Inputs!$C$52*COS(SQRT((Scenario_Data!W121)^2+Inputs!$C$6^2)/Inputs!$C$52)))-(Inputs!$H$9))*1000/Inputs!$C$12)</f>
        <v>-10.54136055730396</v>
      </c>
      <c r="O121">
        <f>Scenario_Data!T121</f>
        <v>-0.48000000000000398</v>
      </c>
      <c r="P121">
        <f>2*(Scenario_Data!B121*1000)/Inputs!$C$21*1000000</f>
        <v>2668.514469433384</v>
      </c>
      <c r="Q121">
        <f>Scenario_Data!U121</f>
        <v>-3.1999999999999886</v>
      </c>
      <c r="R121">
        <f>2*(Scenario_Data!C121*1000)/Inputs!$C$21*1000000</f>
        <v>233.65070778398297</v>
      </c>
      <c r="S121">
        <f>Scenario_Data!V121</f>
        <v>-6.3999999999999773</v>
      </c>
      <c r="T121">
        <f>2*(Scenario_Data!D121*1000)/Inputs!$C$21*1000000</f>
        <v>233.90688500909519</v>
      </c>
      <c r="U121">
        <f>Scenario_Data!W121</f>
        <v>-6.3999999999999773</v>
      </c>
      <c r="V121">
        <f>2*(Scenario_Data!E121*1000)/Inputs!$C$21*1000000</f>
        <v>167.19833558988333</v>
      </c>
      <c r="X121">
        <f>Scenario_Data!T121</f>
        <v>-0.48000000000000398</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2668.6746994182126</v>
      </c>
      <c r="Z121">
        <f>Scenario_Data!U121</f>
        <v>-3.1999999999999886</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234.10344532166638</v>
      </c>
      <c r="AB121">
        <f>Scenario_Data!V121</f>
        <v>-6.3999999999999773</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234.34957585937047</v>
      </c>
      <c r="AD121">
        <f>Scenario_Data!W121</f>
        <v>-6.3999999999999773</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167.64102644015861</v>
      </c>
      <c r="AG121">
        <f>Scenario_Data!T121</f>
        <v>-0.48000000000000398</v>
      </c>
      <c r="AH121">
        <f>2*(SQRT((Inputs!$C$52+(Scenario_Data!B121))^2+Inputs!$C$52^2-2*(Inputs!$C$52+(Scenario_Data!B121))*Inputs!$C$52*COS(SQRT((Scenario_Data!T121)^2+Inputs!$C$6^2)/Inputs!$C$52))*1000)/Inputs!$C$21*1000000</f>
        <v>2675.0563695731153</v>
      </c>
      <c r="AI121">
        <f>Scenario_Data!U121</f>
        <v>-3.1999999999999886</v>
      </c>
      <c r="AJ121">
        <f>2*(SQRT((Inputs!$C$52+(Scenario_Data!C121))^2+Inputs!$C$52^2-2*(Inputs!$C$52+(Scenario_Data!C121))*Inputs!$C$52*COS(SQRT((Scenario_Data!U121)^2+Inputs!$C$6^2)/Inputs!$C$52))*1000)/Inputs!$C$21*1000000</f>
        <v>288.96093772220826</v>
      </c>
      <c r="AK121">
        <f>Scenario_Data!V121</f>
        <v>-6.3999999999999773</v>
      </c>
      <c r="AL121">
        <f>2*(SQRT((Inputs!$C$52+(Scenario_Data!D121))^2+Inputs!$C$52^2-2*(Inputs!$C$52+(Scenario_Data!D121))*Inputs!$C$52*COS(SQRT((Scenario_Data!V121)^2+Inputs!$C$6^2)/Inputs!$C$52))*1000)/Inputs!$C$21*1000000</f>
        <v>291.57635730626026</v>
      </c>
      <c r="AM121">
        <f>Scenario_Data!W121</f>
        <v>-6.3999999999999773</v>
      </c>
      <c r="AN121">
        <f>2*(SQRT((Inputs!$C$52+(Scenario_Data!E121))^2+Inputs!$C$52^2-2*(Inputs!$C$52+(Scenario_Data!E121))*Inputs!$C$52*COS(SQRT((Scenario_Data!W121)^2+Inputs!$C$6^2)/Inputs!$C$52))*1000)/Inputs!$C$21*1000000</f>
        <v>240.97664531965657</v>
      </c>
      <c r="AP121">
        <f>Scenario_Data!T121</f>
        <v>-0.48000000000000398</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2671.9704462755117</v>
      </c>
      <c r="AR121">
        <f>Scenario_Data!U121</f>
        <v>-3.1999999999999886</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286.67680825861191</v>
      </c>
      <c r="AT121">
        <f>Scenario_Data!V121</f>
        <v>-6.3999999999999773</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289.24127915271742</v>
      </c>
      <c r="AV121">
        <f>Scenario_Data!W121</f>
        <v>-6.3999999999999773</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238.96678499620617</v>
      </c>
    </row>
    <row r="122" spans="1:49">
      <c r="A122">
        <f>Chart_Data!K122</f>
        <v>0</v>
      </c>
      <c r="B122">
        <f>Chart_Data!N122-Chart_Data!L122</f>
        <v>3.4704730016699727</v>
      </c>
      <c r="D122">
        <f>Chart_Data!G122</f>
        <v>0</v>
      </c>
      <c r="E122">
        <f>Chart_Data!H122</f>
        <v>480.44802858922253</v>
      </c>
      <c r="F122">
        <f>Chart_Data!I122</f>
        <v>480.44802858922253</v>
      </c>
      <c r="G122">
        <f>Chart_Data!J122</f>
        <v>-4.948127387128106</v>
      </c>
      <c r="I122">
        <f>Scenario_Data!A122</f>
        <v>0</v>
      </c>
      <c r="J122">
        <f>Scenario_Data!H122-(((SQRT((Inputs!$C$52+(Inputs!$H$6))^2+Inputs!$C$52^2-2*(Inputs!$C$52+(Inputs!$H$6))*Inputs!$C$52*COS(SQRT((Scenario_Data!T122)^2+Inputs!$C$6^2)/Inputs!$C$52)))-(Inputs!$H$6))*1000/Inputs!$C$12)</f>
        <v>0</v>
      </c>
      <c r="K122">
        <f>Scenario_Data!I122-(((SQRT((Inputs!$C$52+(Inputs!$H$7))^2+Inputs!$C$52^2-2*(Inputs!$C$52+(Inputs!$H$7))*Inputs!$C$52*COS(SQRT((Scenario_Data!U122)^2+Inputs!$C$6^2)/Inputs!$C$52)))-(Inputs!$H$7))*1000/Inputs!$C$12)</f>
        <v>0</v>
      </c>
      <c r="L122">
        <f>Scenario_Data!J122-(((SQRT((Inputs!$C$52+(Inputs!$H$8))^2+Inputs!$C$52^2-2*(Inputs!$C$52+(Inputs!$H$8))*Inputs!$C$52*COS(SQRT((Scenario_Data!V122)^2+Inputs!$C$6^2)/Inputs!$C$52)))-(Inputs!$H$8))*1000/Inputs!$C$12)</f>
        <v>0</v>
      </c>
      <c r="M122">
        <f>Scenario_Data!K122-(((SQRT((Inputs!$C$52+(Inputs!$H$9))^2+Inputs!$C$52^2-2*(Inputs!$C$52+(Inputs!$H$9))*Inputs!$C$52*COS(SQRT((Scenario_Data!W122)^2+Inputs!$C$6^2)/Inputs!$C$52)))-(Inputs!$H$9))*1000/Inputs!$C$12)</f>
        <v>0</v>
      </c>
      <c r="O122">
        <f>Scenario_Data!T122</f>
        <v>0</v>
      </c>
      <c r="P122">
        <f>2*(Scenario_Data!B122*1000)/Inputs!$C$21*1000000</f>
        <v>2668.5127615852166</v>
      </c>
      <c r="Q122">
        <f>Scenario_Data!U122</f>
        <v>0</v>
      </c>
      <c r="R122">
        <f>2*(Scenario_Data!C122*1000)/Inputs!$C$21*1000000</f>
        <v>233.49486663870644</v>
      </c>
      <c r="S122">
        <f>Scenario_Data!V122</f>
        <v>0</v>
      </c>
      <c r="T122">
        <f>2*(Scenario_Data!D122*1000)/Inputs!$C$21*1000000</f>
        <v>233.49486663870644</v>
      </c>
      <c r="U122">
        <f>Scenario_Data!W122</f>
        <v>0</v>
      </c>
      <c r="V122">
        <f>2*(Scenario_Data!E122*1000)/Inputs!$C$21*1000000</f>
        <v>166.78204759907604</v>
      </c>
      <c r="X122">
        <f>Scenario_Data!T122</f>
        <v>0</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2668.5457719379128</v>
      </c>
      <c r="Z122">
        <f>Scenario_Data!U122</f>
        <v>0</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233.52787699140268</v>
      </c>
      <c r="AB122">
        <f>Scenario_Data!V122</f>
        <v>0</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233.52787699140268</v>
      </c>
      <c r="AD122">
        <f>Scenario_Data!W122</f>
        <v>0</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166.81505795177227</v>
      </c>
      <c r="AG122">
        <f>Scenario_Data!T122</f>
        <v>0</v>
      </c>
      <c r="AH122">
        <f>2*(SQRT((Inputs!$C$52+(Scenario_Data!B122))^2+Inputs!$C$52^2-2*(Inputs!$C$52+(Scenario_Data!B122))*Inputs!$C$52*COS(SQRT((Scenario_Data!T122)^2+Inputs!$C$6^2)/Inputs!$C$52))*1000)/Inputs!$C$21*1000000</f>
        <v>2675.0522573279914</v>
      </c>
      <c r="AI122">
        <f>Scenario_Data!U122</f>
        <v>0</v>
      </c>
      <c r="AJ122">
        <f>2*(SQRT((Inputs!$C$52+(Scenario_Data!C122))^2+Inputs!$C$52^2-2*(Inputs!$C$52+(Scenario_Data!C122))*Inputs!$C$52*COS(SQRT((Scenario_Data!U122)^2+Inputs!$C$6^2)/Inputs!$C$52))*1000)/Inputs!$C$21*1000000</f>
        <v>288.02648974651419</v>
      </c>
      <c r="AK122">
        <f>Scenario_Data!V122</f>
        <v>0</v>
      </c>
      <c r="AL122">
        <f>2*(SQRT((Inputs!$C$52+(Scenario_Data!D122))^2+Inputs!$C$52^2-2*(Inputs!$C$52+(Scenario_Data!D122))*Inputs!$C$52*COS(SQRT((Scenario_Data!V122)^2+Inputs!$C$6^2)/Inputs!$C$52))*1000)/Inputs!$C$21*1000000</f>
        <v>288.02648974651419</v>
      </c>
      <c r="AM122">
        <f>Scenario_Data!W122</f>
        <v>0</v>
      </c>
      <c r="AN122">
        <f>2*(SQRT((Inputs!$C$52+(Scenario_Data!E122))^2+Inputs!$C$52^2-2*(Inputs!$C$52+(Scenario_Data!E122))*Inputs!$C$52*COS(SQRT((Scenario_Data!W122)^2+Inputs!$C$6^2)/Inputs!$C$52))*1000)/Inputs!$C$21*1000000</f>
        <v>236.80676373491008</v>
      </c>
      <c r="AP122">
        <f>Scenario_Data!T122</f>
        <v>0</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2671.8569109380314</v>
      </c>
      <c r="AR122">
        <f>Scenario_Data!U122</f>
        <v>0</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285.44962589236945</v>
      </c>
      <c r="AT122">
        <f>Scenario_Data!V122</f>
        <v>0</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285.44962589236945</v>
      </c>
      <c r="AV122">
        <f>Scenario_Data!W122</f>
        <v>0</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234.57893136334926</v>
      </c>
    </row>
    <row r="123" spans="1:49">
      <c r="A123">
        <f>Chart_Data!K123</f>
        <v>0.5</v>
      </c>
      <c r="B123">
        <f>Chart_Data!N123-Chart_Data!L123</f>
        <v>-3.7448872981941008</v>
      </c>
      <c r="D123">
        <f>Chart_Data!G123</f>
        <v>0.5</v>
      </c>
      <c r="E123">
        <f>Chart_Data!H123</f>
        <v>482.74518112800712</v>
      </c>
      <c r="F123">
        <f>Chart_Data!I123</f>
        <v>482.74518112800712</v>
      </c>
      <c r="G123">
        <f>Chart_Data!J123</f>
        <v>2.2595691323213032</v>
      </c>
      <c r="I123">
        <f>Scenario_Data!A123</f>
        <v>8.0000000000000002E-3</v>
      </c>
      <c r="J123">
        <f>Scenario_Data!H123-(((SQRT((Inputs!$C$52+(Inputs!$H$6))^2+Inputs!$C$52^2-2*(Inputs!$C$52+(Inputs!$H$6))*Inputs!$C$52*COS(SQRT((Scenario_Data!T123)^2+Inputs!$C$6^2)/Inputs!$C$52)))-(Inputs!$H$6))*1000/Inputs!$C$12)</f>
        <v>-2.7987863211365038E-4</v>
      </c>
      <c r="K123">
        <f>Scenario_Data!I123-(((SQRT((Inputs!$C$52+(Inputs!$H$7))^2+Inputs!$C$52^2-2*(Inputs!$C$52+(Inputs!$H$7))*Inputs!$C$52*COS(SQRT((Scenario_Data!U123)^2+Inputs!$C$6^2)/Inputs!$C$52)))-(Inputs!$H$7))*1000/Inputs!$C$12)</f>
        <v>-2.4515400940208565</v>
      </c>
      <c r="L123">
        <f>Scenario_Data!J123-(((SQRT((Inputs!$C$52+(Inputs!$H$8))^2+Inputs!$C$52^2-2*(Inputs!$C$52+(Inputs!$H$8))*Inputs!$C$52*COS(SQRT((Scenario_Data!V123)^2+Inputs!$C$6^2)/Inputs!$C$52)))-(Inputs!$H$8))*1000/Inputs!$C$12)</f>
        <v>-6.7016754171791035</v>
      </c>
      <c r="M123">
        <f>Scenario_Data!K123-(((SQRT((Inputs!$C$52+(Inputs!$H$9))^2+Inputs!$C$52^2-2*(Inputs!$C$52+(Inputs!$H$9))*Inputs!$C$52*COS(SQRT((Scenario_Data!W123)^2+Inputs!$C$6^2)/Inputs!$C$52)))-(Inputs!$H$9))*1000/Inputs!$C$12)</f>
        <v>-10.54136055730396</v>
      </c>
      <c r="O123">
        <f>Scenario_Data!T123</f>
        <v>0.48000000000000398</v>
      </c>
      <c r="P123">
        <f>2*(Scenario_Data!B123*1000)/Inputs!$C$21*1000000</f>
        <v>2668.514469433384</v>
      </c>
      <c r="Q123">
        <f>Scenario_Data!U123</f>
        <v>3.1999999999999886</v>
      </c>
      <c r="R123">
        <f>2*(Scenario_Data!C123*1000)/Inputs!$C$21*1000000</f>
        <v>233.65070778398297</v>
      </c>
      <c r="S123">
        <f>Scenario_Data!V123</f>
        <v>6.3999999999999773</v>
      </c>
      <c r="T123">
        <f>2*(Scenario_Data!D123*1000)/Inputs!$C$21*1000000</f>
        <v>233.90688500909519</v>
      </c>
      <c r="U123">
        <f>Scenario_Data!W123</f>
        <v>6.3999999999999773</v>
      </c>
      <c r="V123">
        <f>2*(Scenario_Data!E123*1000)/Inputs!$C$21*1000000</f>
        <v>167.19833558988333</v>
      </c>
      <c r="X123">
        <f>Scenario_Data!T123</f>
        <v>0.48000000000000398</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2668.4228325014228</v>
      </c>
      <c r="Z123">
        <f>Scenario_Data!U123</f>
        <v>3.1999999999999886</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233.03942030536456</v>
      </c>
      <c r="AB123">
        <f>Scenario_Data!V123</f>
        <v>6.3999999999999773</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233.45037452297623</v>
      </c>
      <c r="AD123">
        <f>Scenario_Data!W123</f>
        <v>6.3999999999999773</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166.74182510376431</v>
      </c>
      <c r="AG123">
        <f>Scenario_Data!T123</f>
        <v>0.48000000000000398</v>
      </c>
      <c r="AH123">
        <f>2*(SQRT((Inputs!$C$52+(Scenario_Data!B123))^2+Inputs!$C$52^2-2*(Inputs!$C$52+(Scenario_Data!B123))*Inputs!$C$52*COS(SQRT((Scenario_Data!T123)^2+Inputs!$C$6^2)/Inputs!$C$52))*1000)/Inputs!$C$21*1000000</f>
        <v>2675.0563695731153</v>
      </c>
      <c r="AI123">
        <f>Scenario_Data!U123</f>
        <v>3.1999999999999886</v>
      </c>
      <c r="AJ123">
        <f>2*(SQRT((Inputs!$C$52+(Scenario_Data!C123))^2+Inputs!$C$52^2-2*(Inputs!$C$52+(Scenario_Data!C123))*Inputs!$C$52*COS(SQRT((Scenario_Data!U123)^2+Inputs!$C$6^2)/Inputs!$C$52))*1000)/Inputs!$C$21*1000000</f>
        <v>288.96093772220826</v>
      </c>
      <c r="AK123">
        <f>Scenario_Data!V123</f>
        <v>6.3999999999999773</v>
      </c>
      <c r="AL123">
        <f>2*(SQRT((Inputs!$C$52+(Scenario_Data!D123))^2+Inputs!$C$52^2-2*(Inputs!$C$52+(Scenario_Data!D123))*Inputs!$C$52*COS(SQRT((Scenario_Data!V123)^2+Inputs!$C$6^2)/Inputs!$C$52))*1000)/Inputs!$C$21*1000000</f>
        <v>291.57635730626026</v>
      </c>
      <c r="AM123">
        <f>Scenario_Data!W123</f>
        <v>6.3999999999999773</v>
      </c>
      <c r="AN123">
        <f>2*(SQRT((Inputs!$C$52+(Scenario_Data!E123))^2+Inputs!$C$52^2-2*(Inputs!$C$52+(Scenario_Data!E123))*Inputs!$C$52*COS(SQRT((Scenario_Data!W123)^2+Inputs!$C$6^2)/Inputs!$C$52))*1000)/Inputs!$C$21*1000000</f>
        <v>240.97664531965657</v>
      </c>
      <c r="AP123">
        <f>Scenario_Data!T123</f>
        <v>0.48000000000000398</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2671.7347624653162</v>
      </c>
      <c r="AR123">
        <f>Scenario_Data!U123</f>
        <v>3.1999999999999886</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285.94379017860734</v>
      </c>
      <c r="AT123">
        <f>Scenario_Data!V123</f>
        <v>6.3999999999999773</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288.79557683680258</v>
      </c>
      <c r="AV123">
        <f>Scenario_Data!W123</f>
        <v>6.3999999999999773</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238.58427038631453</v>
      </c>
    </row>
    <row r="124" spans="1:49">
      <c r="A124">
        <f>Chart_Data!K124</f>
        <v>1</v>
      </c>
      <c r="B124">
        <f>Chart_Data!N124-Chart_Data!L124</f>
        <v>-44.609295210568973</v>
      </c>
      <c r="D124">
        <f>Chart_Data!G124</f>
        <v>1</v>
      </c>
      <c r="E124">
        <f>Chart_Data!H124</f>
        <v>497.58165314697214</v>
      </c>
      <c r="F124">
        <f>Chart_Data!I124</f>
        <v>497.58165314697214</v>
      </c>
      <c r="G124">
        <f>Chart_Data!J124</f>
        <v>43.076446221267872</v>
      </c>
      <c r="I124">
        <f>Scenario_Data!A124</f>
        <v>1.7000000000000001E-2</v>
      </c>
      <c r="J124">
        <f>Scenario_Data!H124-(((SQRT((Inputs!$C$52+(Inputs!$H$6))^2+Inputs!$C$52^2-2*(Inputs!$C$52+(Inputs!$H$6))*Inputs!$C$52*COS(SQRT((Scenario_Data!T124)^2+Inputs!$C$6^2)/Inputs!$C$52)))-(Inputs!$H$6))*1000/Inputs!$C$12)</f>
        <v>-1.2654526615278883E-3</v>
      </c>
      <c r="K124">
        <f>Scenario_Data!I124-(((SQRT((Inputs!$C$52+(Inputs!$H$7))^2+Inputs!$C$52^2-2*(Inputs!$C$52+(Inputs!$H$7))*Inputs!$C$52*COS(SQRT((Scenario_Data!U124)^2+Inputs!$C$6^2)/Inputs!$C$52)))-(Inputs!$H$7))*1000/Inputs!$C$12)</f>
        <v>-11.501173772391667</v>
      </c>
      <c r="L124">
        <f>Scenario_Data!J124-(((SQRT((Inputs!$C$52+(Inputs!$H$8))^2+Inputs!$C$52^2-2*(Inputs!$C$52+(Inputs!$H$8))*Inputs!$C$52*COS(SQRT((Scenario_Data!V124)^2+Inputs!$C$6^2)/Inputs!$C$52)))-(Inputs!$H$8))*1000/Inputs!$C$12)</f>
        <v>-34.567441559186591</v>
      </c>
      <c r="M124">
        <f>Scenario_Data!K124-(((SQRT((Inputs!$C$52+(Inputs!$H$9))^2+Inputs!$C$52^2-2*(Inputs!$C$52+(Inputs!$H$9))*Inputs!$C$52*COS(SQRT((Scenario_Data!W124)^2+Inputs!$C$6^2)/Inputs!$C$52)))-(Inputs!$H$9))*1000/Inputs!$C$12)</f>
        <v>-52.890554438502477</v>
      </c>
      <c r="O124">
        <f>Scenario_Data!T124</f>
        <v>1.019999999999996</v>
      </c>
      <c r="P124">
        <f>2*(Scenario_Data!B124*1000)/Inputs!$C$21*1000000</f>
        <v>2668.5204735870971</v>
      </c>
      <c r="Q124">
        <f>Scenario_Data!U124</f>
        <v>6.7999999999999545</v>
      </c>
      <c r="R124">
        <f>2*(Scenario_Data!C124*1000)/Inputs!$C$21*1000000</f>
        <v>234.19858681034597</v>
      </c>
      <c r="S124">
        <f>Scenario_Data!V124</f>
        <v>13.599999999999909</v>
      </c>
      <c r="T124">
        <f>2*(Scenario_Data!D124*1000)/Inputs!$C$21*1000000</f>
        <v>235.35538709249312</v>
      </c>
      <c r="U124">
        <f>Scenario_Data!W124</f>
        <v>13.599999999999909</v>
      </c>
      <c r="V124">
        <f>2*(Scenario_Data!E124*1000)/Inputs!$C$21*1000000</f>
        <v>168.66184805756518</v>
      </c>
      <c r="X124">
        <f>Scenario_Data!T124</f>
        <v>1.019999999999996</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2668.2784457720195</v>
      </c>
      <c r="Z124">
        <f>Scenario_Data!U124</f>
        <v>6.7999999999999545</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233.69251190455986</v>
      </c>
      <c r="AB124">
        <f>Scenario_Data!V124</f>
        <v>13.599999999999909</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235.19841567119786</v>
      </c>
      <c r="AD124">
        <f>Scenario_Data!W124</f>
        <v>13.599999999999909</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168.50487663626993</v>
      </c>
      <c r="AG124">
        <f>Scenario_Data!T124</f>
        <v>1.019999999999996</v>
      </c>
      <c r="AH124">
        <f>2*(SQRT((Inputs!$C$52+(Scenario_Data!B124))^2+Inputs!$C$52^2-2*(Inputs!$C$52+(Scenario_Data!B124))*Inputs!$C$52*COS(SQRT((Scenario_Data!T124)^2+Inputs!$C$6^2)/Inputs!$C$52))*1000)/Inputs!$C$21*1000000</f>
        <v>2675.0708266480583</v>
      </c>
      <c r="AI124">
        <f>Scenario_Data!U124</f>
        <v>6.7999999999999545</v>
      </c>
      <c r="AJ124">
        <f>2*(SQRT((Inputs!$C$52+(Scenario_Data!C124))^2+Inputs!$C$52^2-2*(Inputs!$C$52+(Scenario_Data!C124))*Inputs!$C$52*COS(SQRT((Scenario_Data!U124)^2+Inputs!$C$6^2)/Inputs!$C$52))*1000)/Inputs!$C$21*1000000</f>
        <v>292.22322937692019</v>
      </c>
      <c r="AK124">
        <f>Scenario_Data!V124</f>
        <v>13.599999999999909</v>
      </c>
      <c r="AL124">
        <f>2*(SQRT((Inputs!$C$52+(Scenario_Data!D124))^2+Inputs!$C$52^2-2*(Inputs!$C$52+(Scenario_Data!D124))*Inputs!$C$52*COS(SQRT((Scenario_Data!V124)^2+Inputs!$C$6^2)/Inputs!$C$52))*1000)/Inputs!$C$21*1000000</f>
        <v>303.73346224026676</v>
      </c>
      <c r="AM124">
        <f>Scenario_Data!W124</f>
        <v>13.599999999999909</v>
      </c>
      <c r="AN124">
        <f>2*(SQRT((Inputs!$C$52+(Scenario_Data!E124))^2+Inputs!$C$52^2-2*(Inputs!$C$52+(Scenario_Data!E124))*Inputs!$C$52*COS(SQRT((Scenario_Data!W124)^2+Inputs!$C$6^2)/Inputs!$C$52))*1000)/Inputs!$C$21*1000000</f>
        <v>255.10349072494134</v>
      </c>
      <c r="AP124">
        <f>Scenario_Data!T124</f>
        <v>1.019999999999996</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2671.6247904009706</v>
      </c>
      <c r="AR124">
        <f>Scenario_Data!U124</f>
        <v>6.7999999999999545</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289.50463278641934</v>
      </c>
      <c r="AT124">
        <f>Scenario_Data!V124</f>
        <v>13.599999999999909</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301.6329876220608</v>
      </c>
      <c r="AV124">
        <f>Scenario_Data!W124</f>
        <v>13.599999999999909</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253.32068605780916</v>
      </c>
    </row>
    <row r="125" spans="1:49">
      <c r="A125">
        <f>Chart_Data!K125</f>
        <v>1.5</v>
      </c>
      <c r="B125">
        <f>Chart_Data!N125-Chart_Data!L125</f>
        <v>-48.410441673202683</v>
      </c>
      <c r="D125">
        <f>Chart_Data!G125</f>
        <v>1.5</v>
      </c>
      <c r="E125">
        <f>Chart_Data!H125</f>
        <v>516.864115303311</v>
      </c>
      <c r="F125">
        <f>Chart_Data!I125</f>
        <v>516.864115303311</v>
      </c>
      <c r="G125">
        <f>Chart_Data!J125</f>
        <v>46.814954828478903</v>
      </c>
      <c r="I125">
        <f>Scenario_Data!A125</f>
        <v>2.5000000000000001E-2</v>
      </c>
      <c r="J125">
        <f>Scenario_Data!H125-(((SQRT((Inputs!$C$52+(Inputs!$H$6))^2+Inputs!$C$52^2-2*(Inputs!$C$52+(Inputs!$H$6))*Inputs!$C$52*COS(SQRT((Scenario_Data!T125)^2+Inputs!$C$6^2)/Inputs!$C$52)))-(Inputs!$H$6))*1000/Inputs!$C$12)</f>
        <v>-2.7419606900593863E-3</v>
      </c>
      <c r="K125">
        <f>Scenario_Data!I125-(((SQRT((Inputs!$C$52+(Inputs!$H$7))^2+Inputs!$C$52^2-2*(Inputs!$C$52+(Inputs!$H$7))*Inputs!$C$52*COS(SQRT((Scenario_Data!U125)^2+Inputs!$C$6^2)/Inputs!$C$52)))-(Inputs!$H$7))*1000/Inputs!$C$12)</f>
        <v>-26.20922916708696</v>
      </c>
      <c r="L125">
        <f>Scenario_Data!J125-(((SQRT((Inputs!$C$52+(Inputs!$H$8))^2+Inputs!$C$52^2-2*(Inputs!$C$52+(Inputs!$H$8))*Inputs!$C$52*COS(SQRT((Scenario_Data!V125)^2+Inputs!$C$6^2)/Inputs!$C$52)))-(Inputs!$H$8))*1000/Inputs!$C$12)</f>
        <v>-86.794732464307344</v>
      </c>
      <c r="M125">
        <f>Scenario_Data!K125-(((SQRT((Inputs!$C$52+(Inputs!$H$9))^2+Inputs!$C$52^2-2*(Inputs!$C$52+(Inputs!$H$9))*Inputs!$C$52*COS(SQRT((Scenario_Data!W125)^2+Inputs!$C$6^2)/Inputs!$C$52)))-(Inputs!$H$9))*1000/Inputs!$C$12)</f>
        <v>-128.37390922901977</v>
      </c>
      <c r="O125">
        <f>Scenario_Data!T125</f>
        <v>1.4999999999999929</v>
      </c>
      <c r="P125">
        <f>2*(Scenario_Data!B125*1000)/Inputs!$C$21*1000000</f>
        <v>2668.5294397899765</v>
      </c>
      <c r="Q125">
        <f>Scenario_Data!U125</f>
        <v>9.9999999999999432</v>
      </c>
      <c r="R125">
        <f>2*(Scenario_Data!C125*1000)/Inputs!$C$21*1000000</f>
        <v>235.01675282304802</v>
      </c>
      <c r="S125">
        <f>Scenario_Data!V125</f>
        <v>19.999999999999886</v>
      </c>
      <c r="T125">
        <f>2*(Scenario_Data!D125*1000)/Inputs!$C$21*1000000</f>
        <v>237.51848353703411</v>
      </c>
      <c r="U125">
        <f>Scenario_Data!W125</f>
        <v>19.999999999999886</v>
      </c>
      <c r="V125">
        <f>2*(Scenario_Data!E125*1000)/Inputs!$C$21*1000000</f>
        <v>170.84736000930343</v>
      </c>
      <c r="X125">
        <f>Scenario_Data!T125</f>
        <v>1.4999999999999929</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2668.2171240293146</v>
      </c>
      <c r="Z125">
        <f>Scenario_Data!U125</f>
        <v>9.9999999999999432</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235.07392198175725</v>
      </c>
      <c r="AB125">
        <f>Scenario_Data!V125</f>
        <v>19.999999999999886</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237.0225960137918</v>
      </c>
      <c r="AD125">
        <f>Scenario_Data!W125</f>
        <v>19.999999999999886</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170.3514724860612</v>
      </c>
      <c r="AG125">
        <f>Scenario_Data!T125</f>
        <v>1.4999999999999929</v>
      </c>
      <c r="AH125">
        <f>2*(SQRT((Inputs!$C$52+(Scenario_Data!B125))^2+Inputs!$C$52^2-2*(Inputs!$C$52+(Scenario_Data!B125))*Inputs!$C$52*COS(SQRT((Scenario_Data!T125)^2+Inputs!$C$6^2)/Inputs!$C$52))*1000)/Inputs!$C$21*1000000</f>
        <v>2675.0924157732229</v>
      </c>
      <c r="AI125">
        <f>Scenario_Data!U125</f>
        <v>9.9999999999999432</v>
      </c>
      <c r="AJ125">
        <f>2*(SQRT((Inputs!$C$52+(Scenario_Data!C125))^2+Inputs!$C$52^2-2*(Inputs!$C$52+(Scenario_Data!C125))*Inputs!$C$52*COS(SQRT((Scenario_Data!U125)^2+Inputs!$C$6^2)/Inputs!$C$52))*1000)/Inputs!$C$21*1000000</f>
        <v>297.03061836832649</v>
      </c>
      <c r="AK125">
        <f>Scenario_Data!V125</f>
        <v>19.999999999999886</v>
      </c>
      <c r="AL125">
        <f>2*(SQRT((Inputs!$C$52+(Scenario_Data!D125))^2+Inputs!$C$52^2-2*(Inputs!$C$52+(Scenario_Data!D125))*Inputs!$C$52*COS(SQRT((Scenario_Data!V125)^2+Inputs!$C$6^2)/Inputs!$C$52))*1000)/Inputs!$C$21*1000000</f>
        <v>321.04928767386309</v>
      </c>
      <c r="AM125">
        <f>Scenario_Data!W125</f>
        <v>19.999999999999886</v>
      </c>
      <c r="AN125">
        <f>2*(SQRT((Inputs!$C$52+(Scenario_Data!E125))^2+Inputs!$C$52^2-2*(Inputs!$C$52+(Scenario_Data!E125))*Inputs!$C$52*COS(SQRT((Scenario_Data!W125)^2+Inputs!$C$6^2)/Inputs!$C$52))*1000)/Inputs!$C$21*1000000</f>
        <v>274.87151736535009</v>
      </c>
      <c r="AP125">
        <f>Scenario_Data!T125</f>
        <v>1.4999999999999929</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2671.6549134965071</v>
      </c>
      <c r="AR125">
        <f>Scenario_Data!U125</f>
        <v>9.9999999999999432</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294.65525229787505</v>
      </c>
      <c r="AT125">
        <f>Scenario_Data!V125</f>
        <v>19.999999999999886</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318.90919270787663</v>
      </c>
      <c r="AV125">
        <f>Scenario_Data!W125</f>
        <v>19.999999999999886</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273.08464898019122</v>
      </c>
    </row>
    <row r="126" spans="1:49">
      <c r="A126">
        <f>Chart_Data!K126</f>
        <v>2</v>
      </c>
      <c r="B126">
        <f>Chart_Data!N126-Chart_Data!L126</f>
        <v>-67.212771614396502</v>
      </c>
      <c r="D126">
        <f>Chart_Data!G126</f>
        <v>2</v>
      </c>
      <c r="E126">
        <f>Chart_Data!H126</f>
        <v>534.50648407239817</v>
      </c>
      <c r="F126">
        <f>Chart_Data!I126</f>
        <v>534.50648407239817</v>
      </c>
      <c r="G126">
        <f>Chart_Data!J126</f>
        <v>65.558177903204651</v>
      </c>
      <c r="I126">
        <f>Scenario_Data!A126</f>
        <v>3.3000000000000002E-2</v>
      </c>
      <c r="J126">
        <f>Scenario_Data!H126-(((SQRT((Inputs!$C$52+(Inputs!$H$6))^2+Inputs!$C$52^2-2*(Inputs!$C$52+(Inputs!$H$6))*Inputs!$C$52*COS(SQRT((Scenario_Data!T126)^2+Inputs!$C$6^2)/Inputs!$C$52)))-(Inputs!$H$6))*1000/Inputs!$C$12)</f>
        <v>-4.7902418510830103E-3</v>
      </c>
      <c r="K126">
        <f>Scenario_Data!I126-(((SQRT((Inputs!$C$52+(Inputs!$H$7))^2+Inputs!$C$52^2-2*(Inputs!$C$52+(Inputs!$H$7))*Inputs!$C$52*COS(SQRT((Scenario_Data!U126)^2+Inputs!$C$6^2)/Inputs!$C$52)))-(Inputs!$H$7))*1000/Inputs!$C$12)</f>
        <v>-48.707150080789688</v>
      </c>
      <c r="L126">
        <f>Scenario_Data!J126-(((SQRT((Inputs!$C$52+(Inputs!$H$8))^2+Inputs!$C$52^2-2*(Inputs!$C$52+(Inputs!$H$8))*Inputs!$C$52*COS(SQRT((Scenario_Data!V126)^2+Inputs!$C$6^2)/Inputs!$C$52)))-(Inputs!$H$8))*1000/Inputs!$C$12)</f>
        <v>-175.28477054044197</v>
      </c>
      <c r="M126">
        <f>Scenario_Data!K126-(((SQRT((Inputs!$C$52+(Inputs!$H$9))^2+Inputs!$C$52^2-2*(Inputs!$C$52+(Inputs!$H$9))*Inputs!$C$52*COS(SQRT((Scenario_Data!W126)^2+Inputs!$C$6^2)/Inputs!$C$52)))-(Inputs!$H$9))*1000/Inputs!$C$12)</f>
        <v>-249.93122636938642</v>
      </c>
      <c r="O126">
        <f>Scenario_Data!T126</f>
        <v>1.9799999999999969</v>
      </c>
      <c r="P126">
        <f>2*(Scenario_Data!B126*1000)/Inputs!$C$21*1000000</f>
        <v>2668.5418216891899</v>
      </c>
      <c r="Q126">
        <f>Scenario_Data!U126</f>
        <v>13.199999999999989</v>
      </c>
      <c r="R126">
        <f>2*(Scenario_Data!C126*1000)/Inputs!$C$21*1000000</f>
        <v>236.14660112630315</v>
      </c>
      <c r="S126">
        <f>Scenario_Data!V126</f>
        <v>26.399999999999977</v>
      </c>
      <c r="T126">
        <f>2*(Scenario_Data!D126*1000)/Inputs!$C$21*1000000</f>
        <v>240.50561672235264</v>
      </c>
      <c r="U126">
        <f>Scenario_Data!W126</f>
        <v>26.399999999999977</v>
      </c>
      <c r="V126">
        <f>2*(Scenario_Data!E126*1000)/Inputs!$C$21*1000000</f>
        <v>173.86544794265637</v>
      </c>
      <c r="X126">
        <f>Scenario_Data!T126</f>
        <v>1.9799999999999969</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2668.1155856737228</v>
      </c>
      <c r="Z126">
        <f>Scenario_Data!U126</f>
        <v>13.199999999999989</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236.07895498772078</v>
      </c>
      <c r="AB126">
        <f>Scenario_Data!V126</f>
        <v>26.399999999999977</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240.09565006494091</v>
      </c>
      <c r="AD126">
        <f>Scenario_Data!W126</f>
        <v>26.399999999999977</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173.45548128524464</v>
      </c>
      <c r="AG126">
        <f>Scenario_Data!T126</f>
        <v>1.9799999999999969</v>
      </c>
      <c r="AH126">
        <f>2*(SQRT((Inputs!$C$52+(Scenario_Data!B126))^2+Inputs!$C$52^2-2*(Inputs!$C$52+(Scenario_Data!B126))*Inputs!$C$52*COS(SQRT((Scenario_Data!T126)^2+Inputs!$C$6^2)/Inputs!$C$52))*1000)/Inputs!$C$21*1000000</f>
        <v>2675.1222291167342</v>
      </c>
      <c r="AI126">
        <f>Scenario_Data!U126</f>
        <v>13.199999999999989</v>
      </c>
      <c r="AJ126">
        <f>2*(SQRT((Inputs!$C$52+(Scenario_Data!C126))^2+Inputs!$C$52^2-2*(Inputs!$C$52+(Scenario_Data!C126))*Inputs!$C$52*COS(SQRT((Scenario_Data!U126)^2+Inputs!$C$6^2)/Inputs!$C$52))*1000)/Inputs!$C$21*1000000</f>
        <v>303.54886988121996</v>
      </c>
      <c r="AK126">
        <f>Scenario_Data!V126</f>
        <v>26.399999999999977</v>
      </c>
      <c r="AL126">
        <f>2*(SQRT((Inputs!$C$52+(Scenario_Data!D126))^2+Inputs!$C$52^2-2*(Inputs!$C$52+(Scenario_Data!D126))*Inputs!$C$52*COS(SQRT((Scenario_Data!V126)^2+Inputs!$C$6^2)/Inputs!$C$52))*1000)/Inputs!$C$21*1000000</f>
        <v>343.5612623013572</v>
      </c>
      <c r="AM126">
        <f>Scenario_Data!W126</f>
        <v>26.399999999999977</v>
      </c>
      <c r="AN126">
        <f>2*(SQRT((Inputs!$C$52+(Scenario_Data!E126))^2+Inputs!$C$52^2-2*(Inputs!$C$52+(Scenario_Data!E126))*Inputs!$C$52*COS(SQRT((Scenario_Data!W126)^2+Inputs!$C$6^2)/Inputs!$C$52))*1000)/Inputs!$C$21*1000000</f>
        <v>300.07341715264386</v>
      </c>
      <c r="AP126">
        <f>Scenario_Data!T126</f>
        <v>1.9799999999999969</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2671.5544812824301</v>
      </c>
      <c r="AR126">
        <f>Scenario_Data!U126</f>
        <v>13.199999999999989</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301.38085055997664</v>
      </c>
      <c r="AT126">
        <f>Scenario_Data!V126</f>
        <v>26.399999999999977</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341.87709206203817</v>
      </c>
      <c r="AV126">
        <f>Scenario_Data!W126</f>
        <v>26.399999999999977</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298.68879997180886</v>
      </c>
    </row>
    <row r="127" spans="1:49">
      <c r="A127">
        <f>Chart_Data!K127</f>
        <v>2.5</v>
      </c>
      <c r="B127">
        <f>Chart_Data!N127-Chart_Data!L127</f>
        <v>-72.608719047947375</v>
      </c>
      <c r="D127">
        <f>Chart_Data!G127</f>
        <v>2.5</v>
      </c>
      <c r="E127">
        <f>Chart_Data!H127</f>
        <v>549.73081486924821</v>
      </c>
      <c r="F127">
        <f>Chart_Data!I127</f>
        <v>549.73081486924821</v>
      </c>
      <c r="G127">
        <f>Chart_Data!J127</f>
        <v>70.900883626482283</v>
      </c>
      <c r="I127">
        <f>Scenario_Data!A127</f>
        <v>4.2000000000000003E-2</v>
      </c>
      <c r="J127">
        <f>Scenario_Data!H127-(((SQRT((Inputs!$C$52+(Inputs!$H$6))^2+Inputs!$C$52^2-2*(Inputs!$C$52+(Inputs!$H$6))*Inputs!$C$52*COS(SQRT((Scenario_Data!T127)^2+Inputs!$C$6^2)/Inputs!$C$52)))-(Inputs!$H$6))*1000/Inputs!$C$12)</f>
        <v>-7.7892075411227779E-3</v>
      </c>
      <c r="K127">
        <f>Scenario_Data!I127-(((SQRT((Inputs!$C$52+(Inputs!$H$7))^2+Inputs!$C$52^2-2*(Inputs!$C$52+(Inputs!$H$7))*Inputs!$C$52*COS(SQRT((Scenario_Data!U127)^2+Inputs!$C$6^2)/Inputs!$C$52)))-(Inputs!$H$7))*1000/Inputs!$C$12)</f>
        <v>-85.532537980298912</v>
      </c>
      <c r="L127">
        <f>Scenario_Data!J127-(((SQRT((Inputs!$C$52+(Inputs!$H$8))^2+Inputs!$C$52^2-2*(Inputs!$C$52+(Inputs!$H$8))*Inputs!$C$52*COS(SQRT((Scenario_Data!V127)^2+Inputs!$C$6^2)/Inputs!$C$52)))-(Inputs!$H$8))*1000/Inputs!$C$12)</f>
        <v>-328.85027552274187</v>
      </c>
      <c r="M127">
        <f>Scenario_Data!K127-(((SQRT((Inputs!$C$52+(Inputs!$H$9))^2+Inputs!$C$52^2-2*(Inputs!$C$52+(Inputs!$H$9))*Inputs!$C$52*COS(SQRT((Scenario_Data!W127)^2+Inputs!$C$6^2)/Inputs!$C$52)))-(Inputs!$H$9))*1000/Inputs!$C$12)</f>
        <v>-450.68761011315837</v>
      </c>
      <c r="O127">
        <f>Scenario_Data!T127</f>
        <v>2.5200000000000031</v>
      </c>
      <c r="P127">
        <f>2*(Scenario_Data!B127*1000)/Inputs!$C$21*1000000</f>
        <v>2668.5598341503305</v>
      </c>
      <c r="Q127">
        <f>Scenario_Data!U127</f>
        <v>16.800000000000011</v>
      </c>
      <c r="R127">
        <f>2*(Scenario_Data!C127*1000)/Inputs!$C$21*1000000</f>
        <v>237.79023820539209</v>
      </c>
      <c r="S127">
        <f>Scenario_Data!V127</f>
        <v>33.600000000000023</v>
      </c>
      <c r="T127">
        <f>2*(Scenario_Data!D127*1000)/Inputs!$C$21*1000000</f>
        <v>244.85112297254656</v>
      </c>
      <c r="U127">
        <f>Scenario_Data!W127</f>
        <v>33.600000000000023</v>
      </c>
      <c r="V127">
        <f>2*(Scenario_Data!E127*1000)/Inputs!$C$21*1000000</f>
        <v>178.25598534570207</v>
      </c>
      <c r="X127">
        <f>Scenario_Data!T127</f>
        <v>2.5200000000000031</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2668.10404084736</v>
      </c>
      <c r="Z127">
        <f>Scenario_Data!U127</f>
        <v>16.800000000000011</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237.32784196765127</v>
      </c>
      <c r="AB127">
        <f>Scenario_Data!V127</f>
        <v>33.600000000000023</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244.71146714319224</v>
      </c>
      <c r="AD127">
        <f>Scenario_Data!W127</f>
        <v>33.600000000000023</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178.11632951634772</v>
      </c>
      <c r="AG127">
        <f>Scenario_Data!T127</f>
        <v>2.5200000000000031</v>
      </c>
      <c r="AH127">
        <f>2*(SQRT((Inputs!$C$52+(Scenario_Data!B127))^2+Inputs!$C$52^2-2*(Inputs!$C$52+(Scenario_Data!B127))*Inputs!$C$52*COS(SQRT((Scenario_Data!T127)^2+Inputs!$C$6^2)/Inputs!$C$52))*1000)/Inputs!$C$21*1000000</f>
        <v>2675.1655993857221</v>
      </c>
      <c r="AI127">
        <f>Scenario_Data!U127</f>
        <v>16.800000000000011</v>
      </c>
      <c r="AJ127">
        <f>2*(SQRT((Inputs!$C$52+(Scenario_Data!C127))^2+Inputs!$C$52^2-2*(Inputs!$C$52+(Scenario_Data!C127))*Inputs!$C$52*COS(SQRT((Scenario_Data!U127)^2+Inputs!$C$6^2)/Inputs!$C$52))*1000)/Inputs!$C$21*1000000</f>
        <v>312.79808444872799</v>
      </c>
      <c r="AK127">
        <f>Scenario_Data!V127</f>
        <v>33.600000000000023</v>
      </c>
      <c r="AL127">
        <f>2*(SQRT((Inputs!$C$52+(Scenario_Data!D127))^2+Inputs!$C$52^2-2*(Inputs!$C$52+(Scenario_Data!D127))*Inputs!$C$52*COS(SQRT((Scenario_Data!V127)^2+Inputs!$C$6^2)/Inputs!$C$52))*1000)/Inputs!$C$21*1000000</f>
        <v>373.95808704286753</v>
      </c>
      <c r="AM127">
        <f>Scenario_Data!W127</f>
        <v>33.600000000000023</v>
      </c>
      <c r="AN127">
        <f>2*(SQRT((Inputs!$C$52+(Scenario_Data!E127))^2+Inputs!$C$52^2-2*(Inputs!$C$52+(Scenario_Data!E127))*Inputs!$C$52*COS(SQRT((Scenario_Data!W127)^2+Inputs!$C$6^2)/Inputs!$C$52))*1000)/Inputs!$C$21*1000000</f>
        <v>333.41947696346216</v>
      </c>
      <c r="AP127">
        <f>Scenario_Data!T127</f>
        <v>2.5200000000000031</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2671.5552629166964</v>
      </c>
      <c r="AR127">
        <f>Scenario_Data!U127</f>
        <v>16.800000000000011</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310.74079426450356</v>
      </c>
      <c r="AT127">
        <f>Scenario_Data!V127</f>
        <v>33.600000000000023</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372.99975846273446</v>
      </c>
      <c r="AV127">
        <f>Scenario_Data!W127</f>
        <v>33.600000000000023</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332.64252675411603</v>
      </c>
    </row>
    <row r="128" spans="1:49">
      <c r="A128">
        <f>Chart_Data!K128</f>
        <v>3</v>
      </c>
      <c r="B128">
        <f>Chart_Data!N128-Chart_Data!L128</f>
        <v>-83.795829514196839</v>
      </c>
      <c r="D128">
        <f>Chart_Data!G128</f>
        <v>3</v>
      </c>
      <c r="E128">
        <f>Chart_Data!H128</f>
        <v>536.84310410266767</v>
      </c>
      <c r="F128">
        <f>Chart_Data!I128</f>
        <v>536.84310410266767</v>
      </c>
      <c r="G128">
        <f>Chart_Data!J128</f>
        <v>82.120865864262811</v>
      </c>
      <c r="I128">
        <f>Scenario_Data!A128</f>
        <v>0.05</v>
      </c>
      <c r="J128">
        <f>Scenario_Data!H128-(((SQRT((Inputs!$C$52+(Inputs!$H$6))^2+Inputs!$C$52^2-2*(Inputs!$C$52+(Inputs!$H$6))*Inputs!$C$52*COS(SQRT((Scenario_Data!T128)^2+Inputs!$C$6^2)/Inputs!$C$52)))-(Inputs!$H$6))*1000/Inputs!$C$12)</f>
        <v>-1.1085185236197503E-2</v>
      </c>
      <c r="K128">
        <f>Scenario_Data!I128-(((SQRT((Inputs!$C$52+(Inputs!$H$7))^2+Inputs!$C$52^2-2*(Inputs!$C$52+(Inputs!$H$7))*Inputs!$C$52*COS(SQRT((Scenario_Data!U128)^2+Inputs!$C$6^2)/Inputs!$C$52)))-(Inputs!$H$7))*1000/Inputs!$C$12)</f>
        <v>-130.58382574901771</v>
      </c>
      <c r="L128">
        <f>Scenario_Data!J128-(((SQRT((Inputs!$C$52+(Inputs!$H$8))^2+Inputs!$C$52^2-2*(Inputs!$C$52+(Inputs!$H$8))*Inputs!$C$52*COS(SQRT((Scenario_Data!V128)^2+Inputs!$C$6^2)/Inputs!$C$52)))-(Inputs!$H$8))*1000/Inputs!$C$12)</f>
        <v>-520.01022342426404</v>
      </c>
      <c r="M128">
        <f>Scenario_Data!K128-(((SQRT((Inputs!$C$52+(Inputs!$H$9))^2+Inputs!$C$52^2-2*(Inputs!$C$52+(Inputs!$H$9))*Inputs!$C$52*COS(SQRT((Scenario_Data!W128)^2+Inputs!$C$6^2)/Inputs!$C$52)))-(Inputs!$H$9))*1000/Inputs!$C$12)</f>
        <v>-690.46185643132958</v>
      </c>
      <c r="O128">
        <f>Scenario_Data!T128</f>
        <v>3</v>
      </c>
      <c r="P128">
        <f>2*(Scenario_Data!B128*1000)/Inputs!$C$21*1000000</f>
        <v>2668.579474404256</v>
      </c>
      <c r="Q128">
        <f>Scenario_Data!U128</f>
        <v>20</v>
      </c>
      <c r="R128">
        <f>2*(Scenario_Data!C128*1000)/Inputs!$C$21*1000000</f>
        <v>239.58241137607271</v>
      </c>
      <c r="S128">
        <f>Scenario_Data!V128</f>
        <v>40</v>
      </c>
      <c r="T128">
        <f>2*(Scenario_Data!D128*1000)/Inputs!$C$21*1000000</f>
        <v>249.58933423201725</v>
      </c>
      <c r="U128">
        <f>Scenario_Data!W128</f>
        <v>40</v>
      </c>
      <c r="V128">
        <f>2*(Scenario_Data!E128*1000)/Inputs!$C$21*1000000</f>
        <v>183.04329723998595</v>
      </c>
      <c r="X128">
        <f>Scenario_Data!T128</f>
        <v>3</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2668.031622957878</v>
      </c>
      <c r="Z128">
        <f>Scenario_Data!U128</f>
        <v>20</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239.08652386018932</v>
      </c>
      <c r="AB128">
        <f>Scenario_Data!V128</f>
        <v>40</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249.14725446361194</v>
      </c>
      <c r="AD128">
        <f>Scenario_Data!W128</f>
        <v>40</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182.60121747158061</v>
      </c>
      <c r="AG128">
        <f>Scenario_Data!T128</f>
        <v>3</v>
      </c>
      <c r="AH128">
        <f>2*(SQRT((Inputs!$C$52+(Scenario_Data!B128))^2+Inputs!$C$52^2-2*(Inputs!$C$52+(Scenario_Data!B128))*Inputs!$C$52*COS(SQRT((Scenario_Data!T128)^2+Inputs!$C$6^2)/Inputs!$C$52))*1000)/Inputs!$C$21*1000000</f>
        <v>2675.2128884537788</v>
      </c>
      <c r="AI128">
        <f>Scenario_Data!U128</f>
        <v>20</v>
      </c>
      <c r="AJ128">
        <f>2*(SQRT((Inputs!$C$52+(Scenario_Data!C128))^2+Inputs!$C$52^2-2*(Inputs!$C$52+(Scenario_Data!C128))*Inputs!$C$52*COS(SQRT((Scenario_Data!U128)^2+Inputs!$C$6^2)/Inputs!$C$52))*1000)/Inputs!$C$21*1000000</f>
        <v>322.5932252064959</v>
      </c>
      <c r="AK128">
        <f>Scenario_Data!V128</f>
        <v>40</v>
      </c>
      <c r="AL128">
        <f>2*(SQRT((Inputs!$C$52+(Scenario_Data!D128))^2+Inputs!$C$52^2-2*(Inputs!$C$52+(Scenario_Data!D128))*Inputs!$C$52*COS(SQRT((Scenario_Data!V128)^2+Inputs!$C$6^2)/Inputs!$C$52))*1000)/Inputs!$C$21*1000000</f>
        <v>404.58204465567519</v>
      </c>
      <c r="AM128">
        <f>Scenario_Data!W128</f>
        <v>40</v>
      </c>
      <c r="AN128">
        <f>2*(SQRT((Inputs!$C$52+(Scenario_Data!E128))^2+Inputs!$C$52^2-2*(Inputs!$C$52+(Scenario_Data!E128))*Inputs!$C$52*COS(SQRT((Scenario_Data!W128)^2+Inputs!$C$6^2)/Inputs!$C$52))*1000)/Inputs!$C$21*1000000</f>
        <v>366.42028097133147</v>
      </c>
      <c r="AP128">
        <f>Scenario_Data!T128</f>
        <v>3</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2671.6426309227986</v>
      </c>
      <c r="AR128">
        <f>Scenario_Data!U128</f>
        <v>20</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320.44458185581664</v>
      </c>
      <c r="AT128">
        <f>Scenario_Data!V128</f>
        <v>40</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403.35525783550514</v>
      </c>
      <c r="AV128">
        <f>Scenario_Data!W128</f>
        <v>40</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365.43560445237125</v>
      </c>
    </row>
    <row r="129" spans="1:49">
      <c r="A129">
        <f>Chart_Data!K129</f>
        <v>3.5</v>
      </c>
      <c r="B129">
        <f>Chart_Data!N129-Chart_Data!L129</f>
        <v>-100.38174553044831</v>
      </c>
      <c r="D129">
        <f>Chart_Data!G129</f>
        <v>3.5</v>
      </c>
      <c r="E129">
        <f>Chart_Data!H129</f>
        <v>562.91901967460217</v>
      </c>
      <c r="F129">
        <f>Chart_Data!I129</f>
        <v>562.91901967460217</v>
      </c>
      <c r="G129">
        <f>Chart_Data!J129</f>
        <v>98.61636326587373</v>
      </c>
      <c r="I129">
        <f>Scenario_Data!A129</f>
        <v>5.8000000000000003E-2</v>
      </c>
      <c r="J129">
        <f>Scenario_Data!H129-(((SQRT((Inputs!$C$52+(Inputs!$H$6))^2+Inputs!$C$52^2-2*(Inputs!$C$52+(Inputs!$H$6))*Inputs!$C$52*COS(SQRT((Scenario_Data!T129)^2+Inputs!$C$6^2)/Inputs!$C$52)))-(Inputs!$H$6))*1000/Inputs!$C$12)</f>
        <v>-1.4988976835297763E-2</v>
      </c>
      <c r="K129">
        <f>Scenario_Data!I129-(((SQRT((Inputs!$C$52+(Inputs!$H$7))^2+Inputs!$C$52^2-2*(Inputs!$C$52+(Inputs!$H$7))*Inputs!$C$52*COS(SQRT((Scenario_Data!U129)^2+Inputs!$C$6^2)/Inputs!$C$52)))-(Inputs!$H$7))*1000/Inputs!$C$12)</f>
        <v>-189.13531467878693</v>
      </c>
      <c r="L129">
        <f>Scenario_Data!J129-(((SQRT((Inputs!$C$52+(Inputs!$H$8))^2+Inputs!$C$52^2-2*(Inputs!$C$52+(Inputs!$H$8))*Inputs!$C$52*COS(SQRT((Scenario_Data!V129)^2+Inputs!$C$6^2)/Inputs!$C$52)))-(Inputs!$H$8))*1000/Inputs!$C$12)</f>
        <v>-766.31188824812671</v>
      </c>
      <c r="M129">
        <f>Scenario_Data!K129-(((SQRT((Inputs!$C$52+(Inputs!$H$9))^2+Inputs!$C$52^2-2*(Inputs!$C$52+(Inputs!$H$9))*Inputs!$C$52*COS(SQRT((Scenario_Data!W129)^2+Inputs!$C$6^2)/Inputs!$C$52)))-(Inputs!$H$9))*1000/Inputs!$C$12)</f>
        <v>-989.67471788156035</v>
      </c>
      <c r="O129">
        <f>Scenario_Data!T129</f>
        <v>3.480000000000004</v>
      </c>
      <c r="P129">
        <f>2*(Scenario_Data!B129*1000)/Inputs!$C$21*1000000</f>
        <v>2668.6025303545161</v>
      </c>
      <c r="Q129">
        <f>Scenario_Data!U129</f>
        <v>23.200000000000045</v>
      </c>
      <c r="R129">
        <f>2*(Scenario_Data!C129*1000)/Inputs!$C$21*1000000</f>
        <v>241.68626683730656</v>
      </c>
      <c r="S129">
        <f>Scenario_Data!V129</f>
        <v>46.400000000000091</v>
      </c>
      <c r="T129">
        <f>2*(Scenario_Data!D129*1000)/Inputs!$C$21*1000000</f>
        <v>255.15158223226561</v>
      </c>
      <c r="U129">
        <f>Scenario_Data!W129</f>
        <v>46.400000000000091</v>
      </c>
      <c r="V129">
        <f>2*(Scenario_Data!E129*1000)/Inputs!$C$21*1000000</f>
        <v>188.66318511588446</v>
      </c>
      <c r="X129">
        <f>Scenario_Data!T129</f>
        <v>3.480000000000004</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2667.9465338834552</v>
      </c>
      <c r="Z129">
        <f>Scenario_Data!U129</f>
        <v>23.200000000000045</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241.24252251869183</v>
      </c>
      <c r="AB129">
        <f>Scenario_Data!V129</f>
        <v>46.400000000000091</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255.21873989523931</v>
      </c>
      <c r="AD129">
        <f>Scenario_Data!W129</f>
        <v>46.400000000000091</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188.73034277885816</v>
      </c>
      <c r="AG129">
        <f>Scenario_Data!T129</f>
        <v>3.480000000000004</v>
      </c>
      <c r="AH129">
        <f>2*(SQRT((Inputs!$C$52+(Scenario_Data!B129))^2+Inputs!$C$52^2-2*(Inputs!$C$52+(Scenario_Data!B129))*Inputs!$C$52*COS(SQRT((Scenario_Data!T129)^2+Inputs!$C$6^2)/Inputs!$C$52))*1000)/Inputs!$C$21*1000000</f>
        <v>2675.2684009246454</v>
      </c>
      <c r="AI129">
        <f>Scenario_Data!U129</f>
        <v>23.200000000000045</v>
      </c>
      <c r="AJ129">
        <f>2*(SQRT((Inputs!$C$52+(Scenario_Data!C129))^2+Inputs!$C$52^2-2*(Inputs!$C$52+(Scenario_Data!C129))*Inputs!$C$52*COS(SQRT((Scenario_Data!U129)^2+Inputs!$C$6^2)/Inputs!$C$52))*1000)/Inputs!$C$21*1000000</f>
        <v>333.7408733876195</v>
      </c>
      <c r="AK129">
        <f>Scenario_Data!V129</f>
        <v>46.400000000000091</v>
      </c>
      <c r="AL129">
        <f>2*(SQRT((Inputs!$C$52+(Scenario_Data!D129))^2+Inputs!$C$52^2-2*(Inputs!$C$52+(Scenario_Data!D129))*Inputs!$C$52*COS(SQRT((Scenario_Data!V129)^2+Inputs!$C$6^2)/Inputs!$C$52))*1000)/Inputs!$C$21*1000000</f>
        <v>437.89929731903487</v>
      </c>
      <c r="AM129">
        <f>Scenario_Data!W129</f>
        <v>46.400000000000091</v>
      </c>
      <c r="AN129">
        <f>2*(SQRT((Inputs!$C$52+(Scenario_Data!E129))^2+Inputs!$C$52^2-2*(Inputs!$C$52+(Scenario_Data!E129))*Inputs!$C$52*COS(SQRT((Scenario_Data!W129)^2+Inputs!$C$6^2)/Inputs!$C$52))*1000)/Inputs!$C$21*1000000</f>
        <v>401.81820551497754</v>
      </c>
      <c r="AP129">
        <f>Scenario_Data!T129</f>
        <v>3.480000000000004</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2671.5287542409565</v>
      </c>
      <c r="AR129">
        <f>Scenario_Data!U129</f>
        <v>23.200000000000045</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331.64586416596222</v>
      </c>
      <c r="AT129">
        <f>Scenario_Data!V129</f>
        <v>46.400000000000091</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437.34229608591249</v>
      </c>
      <c r="AV129">
        <f>Scenario_Data!W129</f>
        <v>46.400000000000091</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401.37349365440116</v>
      </c>
    </row>
    <row r="130" spans="1:49">
      <c r="A130">
        <f>Chart_Data!K130</f>
        <v>4</v>
      </c>
      <c r="B130">
        <f>Chart_Data!N130-Chart_Data!L130</f>
        <v>-98.134872256696838</v>
      </c>
      <c r="D130">
        <f>Chart_Data!G130</f>
        <v>4</v>
      </c>
      <c r="E130">
        <f>Chart_Data!H130</f>
        <v>561.66976905744889</v>
      </c>
      <c r="F130">
        <f>Chart_Data!I130</f>
        <v>561.66976905744889</v>
      </c>
      <c r="G130">
        <f>Chart_Data!J130</f>
        <v>96.363113555281444</v>
      </c>
      <c r="I130">
        <f>Scenario_Data!A130</f>
        <v>6.7000000000000004E-2</v>
      </c>
      <c r="J130">
        <f>Scenario_Data!H130-(((SQRT((Inputs!$C$52+(Inputs!$H$6))^2+Inputs!$C$52^2-2*(Inputs!$C$52+(Inputs!$H$6))*Inputs!$C$52*COS(SQRT((Scenario_Data!T130)^2+Inputs!$C$6^2)/Inputs!$C$52)))-(Inputs!$H$6))*1000/Inputs!$C$12)</f>
        <v>-2.0128040178406081E-2</v>
      </c>
      <c r="K130">
        <f>Scenario_Data!I130-(((SQRT((Inputs!$C$52+(Inputs!$H$7))^2+Inputs!$C$52^2-2*(Inputs!$C$52+(Inputs!$H$7))*Inputs!$C$52*COS(SQRT((Scenario_Data!U130)^2+Inputs!$C$6^2)/Inputs!$C$52)))-(Inputs!$H$7))*1000/Inputs!$C$12)</f>
        <v>-273.20619150514904</v>
      </c>
      <c r="L130">
        <f>Scenario_Data!J130-(((SQRT((Inputs!$C$52+(Inputs!$H$8))^2+Inputs!$C$52^2-2*(Inputs!$C$52+(Inputs!$H$8))*Inputs!$C$52*COS(SQRT((Scenario_Data!V130)^2+Inputs!$C$6^2)/Inputs!$C$52)))-(Inputs!$H$8))*1000/Inputs!$C$12)</f>
        <v>-1111.3665792034881</v>
      </c>
      <c r="M130">
        <f>Scenario_Data!K130-(((SQRT((Inputs!$C$52+(Inputs!$H$9))^2+Inputs!$C$52^2-2*(Inputs!$C$52+(Inputs!$H$9))*Inputs!$C$52*COS(SQRT((Scenario_Data!W130)^2+Inputs!$C$6^2)/Inputs!$C$52)))-(Inputs!$H$9))*1000/Inputs!$C$12)</f>
        <v>-1397.5520721561479</v>
      </c>
      <c r="O130">
        <f>Scenario_Data!T130</f>
        <v>4.019999999999996</v>
      </c>
      <c r="P130">
        <f>2*(Scenario_Data!B130*1000)/Inputs!$C$21*1000000</f>
        <v>2668.6325511230839</v>
      </c>
      <c r="Q130">
        <f>Scenario_Data!U130</f>
        <v>26.799999999999955</v>
      </c>
      <c r="R130">
        <f>2*(Scenario_Data!C130*1000)/Inputs!$C$21*1000000</f>
        <v>244.42566196912128</v>
      </c>
      <c r="S130">
        <f>Scenario_Data!V130</f>
        <v>53.599999999999909</v>
      </c>
      <c r="T130">
        <f>2*(Scenario_Data!D130*1000)/Inputs!$C$21*1000000</f>
        <v>262.3940926492553</v>
      </c>
      <c r="U130">
        <f>Scenario_Data!W130</f>
        <v>53.599999999999909</v>
      </c>
      <c r="V130">
        <f>2*(Scenario_Data!E130*1000)/Inputs!$C$21*1000000</f>
        <v>195.98074745429378</v>
      </c>
      <c r="X130">
        <f>Scenario_Data!T130</f>
        <v>4.019999999999996</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2668.0413136983166</v>
      </c>
      <c r="Z130">
        <f>Scenario_Data!U130</f>
        <v>26.799999999999955</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243.91411166454145</v>
      </c>
      <c r="AB130">
        <f>Scenario_Data!V130</f>
        <v>53.599999999999909</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262.37433251239833</v>
      </c>
      <c r="AD130">
        <f>Scenario_Data!W130</f>
        <v>53.599999999999909</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195.9609873174368</v>
      </c>
      <c r="AG130">
        <f>Scenario_Data!T130</f>
        <v>4.019999999999996</v>
      </c>
      <c r="AH130">
        <f>2*(SQRT((Inputs!$C$52+(Scenario_Data!B130))^2+Inputs!$C$52^2-2*(Inputs!$C$52+(Scenario_Data!B130))*Inputs!$C$52*COS(SQRT((Scenario_Data!T130)^2+Inputs!$C$6^2)/Inputs!$C$52))*1000)/Inputs!$C$21*1000000</f>
        <v>2675.3406815205371</v>
      </c>
      <c r="AI130">
        <f>Scenario_Data!U130</f>
        <v>26.799999999999955</v>
      </c>
      <c r="AJ130">
        <f>2*(SQRT((Inputs!$C$52+(Scenario_Data!C130))^2+Inputs!$C$52^2-2*(Inputs!$C$52+(Scenario_Data!C130))*Inputs!$C$52*COS(SQRT((Scenario_Data!U130)^2+Inputs!$C$6^2)/Inputs!$C$52))*1000)/Inputs!$C$21*1000000</f>
        <v>347.74512770791858</v>
      </c>
      <c r="AK130">
        <f>Scenario_Data!V130</f>
        <v>53.599999999999909</v>
      </c>
      <c r="AL130">
        <f>2*(SQRT((Inputs!$C$52+(Scenario_Data!D130))^2+Inputs!$C$52^2-2*(Inputs!$C$52+(Scenario_Data!D130))*Inputs!$C$52*COS(SQRT((Scenario_Data!V130)^2+Inputs!$C$6^2)/Inputs!$C$52))*1000)/Inputs!$C$21*1000000</f>
        <v>477.94862974966588</v>
      </c>
      <c r="AM130">
        <f>Scenario_Data!W130</f>
        <v>53.599999999999909</v>
      </c>
      <c r="AN130">
        <f>2*(SQRT((Inputs!$C$52+(Scenario_Data!E130))^2+Inputs!$C$52^2-2*(Inputs!$C$52+(Scenario_Data!E130))*Inputs!$C$52*COS(SQRT((Scenario_Data!W130)^2+Inputs!$C$6^2)/Inputs!$C$52))*1000)/Inputs!$C$21*1000000</f>
        <v>443.8466445893456</v>
      </c>
      <c r="AP130">
        <f>Scenario_Data!T130</f>
        <v>4.019999999999996</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2671.7164768981124</v>
      </c>
      <c r="AR130">
        <f>Scenario_Data!U130</f>
        <v>26.799999999999955</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346.12592546911691</v>
      </c>
      <c r="AT130">
        <f>Scenario_Data!V130</f>
        <v>53.599999999999909</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477.3110002130046</v>
      </c>
      <c r="AV130">
        <f>Scenario_Data!W130</f>
        <v>53.599999999999909</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443.33938132861306</v>
      </c>
    </row>
    <row r="131" spans="1:49">
      <c r="A131">
        <f>Chart_Data!K131</f>
        <v>4.5</v>
      </c>
      <c r="B131">
        <f>Chart_Data!N131-Chart_Data!L131</f>
        <v>-84.325591739787569</v>
      </c>
      <c r="D131">
        <f>Chart_Data!G131</f>
        <v>4.5</v>
      </c>
      <c r="E131">
        <f>Chart_Data!H131</f>
        <v>568.64363822483097</v>
      </c>
      <c r="F131">
        <f>Chart_Data!I131</f>
        <v>568.64363822483097</v>
      </c>
      <c r="G131">
        <f>Chart_Data!J131</f>
        <v>82.519985907488817</v>
      </c>
      <c r="I131">
        <f>Scenario_Data!A131</f>
        <v>7.4999999999999997E-2</v>
      </c>
      <c r="J131">
        <f>Scenario_Data!H131-(((SQRT((Inputs!$C$52+(Inputs!$H$6))^2+Inputs!$C$52^2-2*(Inputs!$C$52+(Inputs!$H$6))*Inputs!$C$52*COS(SQRT((Scenario_Data!T131)^2+Inputs!$C$6^2)/Inputs!$C$52)))-(Inputs!$H$6))*1000/Inputs!$C$12)</f>
        <v>-2.5381627713954913E-2</v>
      </c>
      <c r="K131">
        <f>Scenario_Data!I131-(((SQRT((Inputs!$C$52+(Inputs!$H$7))^2+Inputs!$C$52^2-2*(Inputs!$C$52+(Inputs!$H$7))*Inputs!$C$52*COS(SQRT((Scenario_Data!U131)^2+Inputs!$C$6^2)/Inputs!$C$52)))-(Inputs!$H$7))*1000/Inputs!$C$12)</f>
        <v>-365.6858715468552</v>
      </c>
      <c r="L131">
        <f>Scenario_Data!J131-(((SQRT((Inputs!$C$52+(Inputs!$H$8))^2+Inputs!$C$52^2-2*(Inputs!$C$52+(Inputs!$H$8))*Inputs!$C$52*COS(SQRT((Scenario_Data!V131)^2+Inputs!$C$6^2)/Inputs!$C$52)))-(Inputs!$H$8))*1000/Inputs!$C$12)</f>
        <v>-1478.9642244424758</v>
      </c>
      <c r="M131">
        <f>Scenario_Data!K131-(((SQRT((Inputs!$C$52+(Inputs!$H$9))^2+Inputs!$C$52^2-2*(Inputs!$C$52+(Inputs!$H$9))*Inputs!$C$52*COS(SQRT((Scenario_Data!W131)^2+Inputs!$C$6^2)/Inputs!$C$52)))-(Inputs!$H$9))*1000/Inputs!$C$12)</f>
        <v>-1822.7678078152858</v>
      </c>
      <c r="O131">
        <f>Scenario_Data!T131</f>
        <v>4.5</v>
      </c>
      <c r="P131">
        <f>2*(Scenario_Data!B131*1000)/Inputs!$C$21*1000000</f>
        <v>2668.6628654280557</v>
      </c>
      <c r="Q131">
        <f>Scenario_Data!U131</f>
        <v>30</v>
      </c>
      <c r="R131">
        <f>2*(Scenario_Data!C131*1000)/Inputs!$C$21*1000000</f>
        <v>247.19184229778054</v>
      </c>
      <c r="S131">
        <f>Scenario_Data!V131</f>
        <v>60</v>
      </c>
      <c r="T131">
        <f>2*(Scenario_Data!D131*1000)/Inputs!$C$21*1000000</f>
        <v>269.70741872365579</v>
      </c>
      <c r="U131">
        <f>Scenario_Data!W131</f>
        <v>60</v>
      </c>
      <c r="V131">
        <f>2*(Scenario_Data!E131*1000)/Inputs!$C$21*1000000</f>
        <v>203.36985929112333</v>
      </c>
      <c r="X131">
        <f>Scenario_Data!T131</f>
        <v>4.5</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2668.1123513393559</v>
      </c>
      <c r="Z131">
        <f>Scenario_Data!U131</f>
        <v>30</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247.11259334940169</v>
      </c>
      <c r="AB131">
        <f>Scenario_Data!V131</f>
        <v>60</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269.49464398527886</v>
      </c>
      <c r="AD131">
        <f>Scenario_Data!W131</f>
        <v>60</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203.15708455274637</v>
      </c>
      <c r="AG131">
        <f>Scenario_Data!T131</f>
        <v>4.5</v>
      </c>
      <c r="AH131">
        <f>2*(SQRT((Inputs!$C$52+(Scenario_Data!B131))^2+Inputs!$C$52^2-2*(Inputs!$C$52+(Scenario_Data!B131))*Inputs!$C$52*COS(SQRT((Scenario_Data!T131)^2+Inputs!$C$6^2)/Inputs!$C$52))*1000)/Inputs!$C$21*1000000</f>
        <v>2675.4136674055262</v>
      </c>
      <c r="AI131">
        <f>Scenario_Data!U131</f>
        <v>30</v>
      </c>
      <c r="AJ131">
        <f>2*(SQRT((Inputs!$C$52+(Scenario_Data!C131))^2+Inputs!$C$52^2-2*(Inputs!$C$52+(Scenario_Data!C131))*Inputs!$C$52*COS(SQRT((Scenario_Data!U131)^2+Inputs!$C$6^2)/Inputs!$C$52))*1000)/Inputs!$C$21*1000000</f>
        <v>361.36283308427818</v>
      </c>
      <c r="AK131">
        <f>Scenario_Data!V131</f>
        <v>60</v>
      </c>
      <c r="AL131">
        <f>2*(SQRT((Inputs!$C$52+(Scenario_Data!D131))^2+Inputs!$C$52^2-2*(Inputs!$C$52+(Scenario_Data!D131))*Inputs!$C$52*COS(SQRT((Scenario_Data!V131)^2+Inputs!$C$6^2)/Inputs!$C$52))*1000)/Inputs!$C$21*1000000</f>
        <v>515.38593594731606</v>
      </c>
      <c r="AM131">
        <f>Scenario_Data!W131</f>
        <v>60</v>
      </c>
      <c r="AN131">
        <f>2*(SQRT((Inputs!$C$52+(Scenario_Data!E131))^2+Inputs!$C$52^2-2*(Inputs!$C$52+(Scenario_Data!E131))*Inputs!$C$52*COS(SQRT((Scenario_Data!W131)^2+Inputs!$C$6^2)/Inputs!$C$52))*1000)/Inputs!$C$21*1000000</f>
        <v>482.74430884328382</v>
      </c>
      <c r="AP131">
        <f>Scenario_Data!T131</f>
        <v>4.5</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2671.6321310975477</v>
      </c>
      <c r="AR131">
        <f>Scenario_Data!U131</f>
        <v>30</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360.20186691744988</v>
      </c>
      <c r="AT131">
        <f>Scenario_Data!V131</f>
        <v>60</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514.78233737355038</v>
      </c>
      <c r="AV131">
        <f>Scenario_Data!W131</f>
        <v>60</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482.26431149858644</v>
      </c>
    </row>
    <row r="132" spans="1:49">
      <c r="A132">
        <f>Chart_Data!K132</f>
        <v>5</v>
      </c>
      <c r="B132">
        <f>Chart_Data!N132-Chart_Data!L132</f>
        <v>-100.70506580081894</v>
      </c>
      <c r="D132">
        <f>Chart_Data!G132</f>
        <v>5</v>
      </c>
      <c r="E132">
        <f>Chart_Data!H132</f>
        <v>548.81469209034094</v>
      </c>
      <c r="F132">
        <f>Chart_Data!I132</f>
        <v>548.81469209034094</v>
      </c>
      <c r="G132">
        <f>Chart_Data!J132</f>
        <v>98.949763506231449</v>
      </c>
      <c r="I132">
        <f>Scenario_Data!A132</f>
        <v>8.3000000000000004E-2</v>
      </c>
      <c r="J132">
        <f>Scenario_Data!H132-(((SQRT((Inputs!$C$52+(Inputs!$H$6))^2+Inputs!$C$52^2-2*(Inputs!$C$52+(Inputs!$H$6))*Inputs!$C$52*COS(SQRT((Scenario_Data!T132)^2+Inputs!$C$6^2)/Inputs!$C$52)))-(Inputs!$H$6))*1000/Inputs!$C$12)</f>
        <v>-3.1303072409855304E-2</v>
      </c>
      <c r="K132">
        <f>Scenario_Data!I132-(((SQRT((Inputs!$C$52+(Inputs!$H$7))^2+Inputs!$C$52^2-2*(Inputs!$C$52+(Inputs!$H$7))*Inputs!$C$52*COS(SQRT((Scenario_Data!U132)^2+Inputs!$C$6^2)/Inputs!$C$52)))-(Inputs!$H$7))*1000/Inputs!$C$12)</f>
        <v>-476.07728499047153</v>
      </c>
      <c r="L132">
        <f>Scenario_Data!J132-(((SQRT((Inputs!$C$52+(Inputs!$H$8))^2+Inputs!$C$52^2-2*(Inputs!$C$52+(Inputs!$H$8))*Inputs!$C$52*COS(SQRT((Scenario_Data!V132)^2+Inputs!$C$6^2)/Inputs!$C$52)))-(Inputs!$H$8))*1000/Inputs!$C$12)</f>
        <v>-1903.505948859045</v>
      </c>
      <c r="M132">
        <f>Scenario_Data!K132-(((SQRT((Inputs!$C$52+(Inputs!$H$9))^2+Inputs!$C$52^2-2*(Inputs!$C$52+(Inputs!$H$9))*Inputs!$C$52*COS(SQRT((Scenario_Data!W132)^2+Inputs!$C$6^2)/Inputs!$C$52)))-(Inputs!$H$9))*1000/Inputs!$C$12)</f>
        <v>-2305.8725854526674</v>
      </c>
      <c r="O132">
        <f>Scenario_Data!T132</f>
        <v>4.980000000000004</v>
      </c>
      <c r="P132">
        <f>2*(Scenario_Data!B132*1000)/Inputs!$C$21*1000000</f>
        <v>2668.6965954293619</v>
      </c>
      <c r="Q132">
        <f>Scenario_Data!U132</f>
        <v>33.199999999999989</v>
      </c>
      <c r="R132">
        <f>2*(Scenario_Data!C132*1000)/Inputs!$C$21*1000000</f>
        <v>250.26970491699296</v>
      </c>
      <c r="S132">
        <f>Scenario_Data!V132</f>
        <v>66.399999999999977</v>
      </c>
      <c r="T132">
        <f>2*(Scenario_Data!D132*1000)/Inputs!$C$21*1000000</f>
        <v>277.84478153883373</v>
      </c>
      <c r="U132">
        <f>Scenario_Data!W132</f>
        <v>66.399999999999977</v>
      </c>
      <c r="V132">
        <f>2*(Scenario_Data!E132*1000)/Inputs!$C$21*1000000</f>
        <v>211.59154710956733</v>
      </c>
      <c r="X132">
        <f>Scenario_Data!T132</f>
        <v>4.980000000000004</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2668.0240443711618</v>
      </c>
      <c r="Z132">
        <f>Scenario_Data!U132</f>
        <v>33.199999999999989</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250.26819786260651</v>
      </c>
      <c r="AB132">
        <f>Scenario_Data!V132</f>
        <v>66.399999999999977</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278.00342597194327</v>
      </c>
      <c r="AD132">
        <f>Scenario_Data!W132</f>
        <v>66.399999999999977</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211.7501915426769</v>
      </c>
      <c r="AG132">
        <f>Scenario_Data!T132</f>
        <v>4.980000000000004</v>
      </c>
      <c r="AH132">
        <f>2*(SQRT((Inputs!$C$52+(Scenario_Data!B132))^2+Inputs!$C$52^2-2*(Inputs!$C$52+(Scenario_Data!B132))*Inputs!$C$52*COS(SQRT((Scenario_Data!T132)^2+Inputs!$C$6^2)/Inputs!$C$52))*1000)/Inputs!$C$21*1000000</f>
        <v>2675.4948753344852</v>
      </c>
      <c r="AI132">
        <f>Scenario_Data!U132</f>
        <v>33.199999999999989</v>
      </c>
      <c r="AJ132">
        <f>2*(SQRT((Inputs!$C$52+(Scenario_Data!C132))^2+Inputs!$C$52^2-2*(Inputs!$C$52+(Scenario_Data!C132))*Inputs!$C$52*COS(SQRT((Scenario_Data!U132)^2+Inputs!$C$6^2)/Inputs!$C$52))*1000)/Inputs!$C$21*1000000</f>
        <v>375.96606957909472</v>
      </c>
      <c r="AK132">
        <f>Scenario_Data!V132</f>
        <v>66.399999999999977</v>
      </c>
      <c r="AL132">
        <f>2*(SQRT((Inputs!$C$52+(Scenario_Data!D132))^2+Inputs!$C$52^2-2*(Inputs!$C$52+(Scenario_Data!D132))*Inputs!$C$52*COS(SQRT((Scenario_Data!V132)^2+Inputs!$C$6^2)/Inputs!$C$52))*1000)/Inputs!$C$21*1000000</f>
        <v>554.23623167510391</v>
      </c>
      <c r="AM132">
        <f>Scenario_Data!W132</f>
        <v>66.399999999999977</v>
      </c>
      <c r="AN132">
        <f>2*(SQRT((Inputs!$C$52+(Scenario_Data!E132))^2+Inputs!$C$52^2-2*(Inputs!$C$52+(Scenario_Data!E132))*Inputs!$C$52*COS(SQRT((Scenario_Data!W132)^2+Inputs!$C$6^2)/Inputs!$C$52))*1000)/Inputs!$C$21*1000000</f>
        <v>522.8056693168993</v>
      </c>
      <c r="AP132">
        <f>Scenario_Data!T132</f>
        <v>4.980000000000004</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2671.7859679590338</v>
      </c>
      <c r="AR132">
        <f>Scenario_Data!U132</f>
        <v>33.199999999999989</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374.97917413201401</v>
      </c>
      <c r="AT132">
        <f>Scenario_Data!V132</f>
        <v>66.399999999999977</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553.90060553675846</v>
      </c>
      <c r="AV132">
        <f>Scenario_Data!W132</f>
        <v>66.399999999999977</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522.53825722477666</v>
      </c>
    </row>
    <row r="133" spans="1:49">
      <c r="A133">
        <f>Chart_Data!K133</f>
        <v>5.5</v>
      </c>
      <c r="B133">
        <f>Chart_Data!N133-Chart_Data!L133</f>
        <v>-98.853802750612999</v>
      </c>
      <c r="D133">
        <f>Chart_Data!G133</f>
        <v>5.5</v>
      </c>
      <c r="E133">
        <f>Chart_Data!H133</f>
        <v>539.52128531641313</v>
      </c>
      <c r="F133">
        <f>Chart_Data!I133</f>
        <v>539.52128531641313</v>
      </c>
      <c r="G133">
        <f>Chart_Data!J133</f>
        <v>97.114417477688932</v>
      </c>
      <c r="I133">
        <f>Scenario_Data!A133</f>
        <v>9.1999999999999998E-2</v>
      </c>
      <c r="J133">
        <f>Scenario_Data!H133-(((SQRT((Inputs!$C$52+(Inputs!$H$6))^2+Inputs!$C$52^2-2*(Inputs!$C$52+(Inputs!$H$6))*Inputs!$C$52*COS(SQRT((Scenario_Data!T133)^2+Inputs!$C$6^2)/Inputs!$C$52)))-(Inputs!$H$6))*1000/Inputs!$C$12)</f>
        <v>-3.8793322623632776E-2</v>
      </c>
      <c r="K133">
        <f>Scenario_Data!I133-(((SQRT((Inputs!$C$52+(Inputs!$H$7))^2+Inputs!$C$52^2-2*(Inputs!$C$52+(Inputs!$H$7))*Inputs!$C$52*COS(SQRT((Scenario_Data!U133)^2+Inputs!$C$6^2)/Inputs!$C$52)))-(Inputs!$H$7))*1000/Inputs!$C$12)</f>
        <v>-622.7876519774909</v>
      </c>
      <c r="L133">
        <f>Scenario_Data!J133-(((SQRT((Inputs!$C$52+(Inputs!$H$8))^2+Inputs!$C$52^2-2*(Inputs!$C$52+(Inputs!$H$8))*Inputs!$C$52*COS(SQRT((Scenario_Data!V133)^2+Inputs!$C$6^2)/Inputs!$C$52)))-(Inputs!$H$8))*1000/Inputs!$C$12)</f>
        <v>-2448.1742219196822</v>
      </c>
      <c r="M133">
        <f>Scenario_Data!K133-(((SQRT((Inputs!$C$52+(Inputs!$H$9))^2+Inputs!$C$52^2-2*(Inputs!$C$52+(Inputs!$H$9))*Inputs!$C$52*COS(SQRT((Scenario_Data!W133)^2+Inputs!$C$6^2)/Inputs!$C$52)))-(Inputs!$H$9))*1000/Inputs!$C$12)</f>
        <v>-2916.9995331569153</v>
      </c>
      <c r="O133">
        <f>Scenario_Data!T133</f>
        <v>5.5200000000000102</v>
      </c>
      <c r="P133">
        <f>2*(Scenario_Data!B133*1000)/Inputs!$C$21*1000000</f>
        <v>2668.7386245053572</v>
      </c>
      <c r="Q133">
        <f>Scenario_Data!U133</f>
        <v>36.800000000000011</v>
      </c>
      <c r="R133">
        <f>2*(Scenario_Data!C133*1000)/Inputs!$C$21*1000000</f>
        <v>254.10485810153369</v>
      </c>
      <c r="S133">
        <f>Scenario_Data!V133</f>
        <v>73.600000000000023</v>
      </c>
      <c r="T133">
        <f>2*(Scenario_Data!D133*1000)/Inputs!$C$21*1000000</f>
        <v>287.98429612261964</v>
      </c>
      <c r="U133">
        <f>Scenario_Data!W133</f>
        <v>73.600000000000023</v>
      </c>
      <c r="V133">
        <f>2*(Scenario_Data!E133*1000)/Inputs!$C$21*1000000</f>
        <v>221.83613438334069</v>
      </c>
      <c r="X133">
        <f>Scenario_Data!T133</f>
        <v>5.5200000000000102</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2668.1188396643256</v>
      </c>
      <c r="Z133">
        <f>Scenario_Data!U133</f>
        <v>36.800000000000011</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253.68974248855739</v>
      </c>
      <c r="AB133">
        <f>Scenario_Data!V133</f>
        <v>73.600000000000023</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287.86798453674362</v>
      </c>
      <c r="AD133">
        <f>Scenario_Data!W133</f>
        <v>73.600000000000023</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221.71982279746464</v>
      </c>
      <c r="AG133">
        <f>Scenario_Data!T133</f>
        <v>5.5200000000000102</v>
      </c>
      <c r="AH133">
        <f>2*(SQRT((Inputs!$C$52+(Scenario_Data!B133))^2+Inputs!$C$52^2-2*(Inputs!$C$52+(Scenario_Data!B133))*Inputs!$C$52*COS(SQRT((Scenario_Data!T133)^2+Inputs!$C$6^2)/Inputs!$C$52))*1000)/Inputs!$C$21*1000000</f>
        <v>2675.5960614801529</v>
      </c>
      <c r="AI133">
        <f>Scenario_Data!U133</f>
        <v>36.800000000000011</v>
      </c>
      <c r="AJ133">
        <f>2*(SQRT((Inputs!$C$52+(Scenario_Data!C133))^2+Inputs!$C$52^2-2*(Inputs!$C$52+(Scenario_Data!C133))*Inputs!$C$52*COS(SQRT((Scenario_Data!U133)^2+Inputs!$C$6^2)/Inputs!$C$52))*1000)/Inputs!$C$21*1000000</f>
        <v>393.44746490213646</v>
      </c>
      <c r="AK133">
        <f>Scenario_Data!V133</f>
        <v>73.600000000000023</v>
      </c>
      <c r="AL133">
        <f>2*(SQRT((Inputs!$C$52+(Scenario_Data!D133))^2+Inputs!$C$52^2-2*(Inputs!$C$52+(Scenario_Data!D133))*Inputs!$C$52*COS(SQRT((Scenario_Data!V133)^2+Inputs!$C$6^2)/Inputs!$C$52))*1000)/Inputs!$C$21*1000000</f>
        <v>599.34841039901539</v>
      </c>
      <c r="AM133">
        <f>Scenario_Data!W133</f>
        <v>73.600000000000023</v>
      </c>
      <c r="AN133">
        <f>2*(SQRT((Inputs!$C$52+(Scenario_Data!E133))^2+Inputs!$C$52^2-2*(Inputs!$C$52+(Scenario_Data!E133))*Inputs!$C$52*COS(SQRT((Scenario_Data!W133)^2+Inputs!$C$6^2)/Inputs!$C$52))*1000)/Inputs!$C$21*1000000</f>
        <v>569.02276868174431</v>
      </c>
      <c r="AP133">
        <f>Scenario_Data!T133</f>
        <v>5.5200000000000102</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2672.0025883219796</v>
      </c>
      <c r="AR133">
        <f>Scenario_Data!U133</f>
        <v>36.800000000000011</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392.27768292643788</v>
      </c>
      <c r="AT133">
        <f>Scenario_Data!V133</f>
        <v>73.600000000000023</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598.77676623660375</v>
      </c>
      <c r="AV133">
        <f>Scenario_Data!W133</f>
        <v>73.600000000000023</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568.56582355287799</v>
      </c>
    </row>
    <row r="134" spans="1:49">
      <c r="A134">
        <f>Chart_Data!K134</f>
        <v>6</v>
      </c>
      <c r="B134">
        <f>Chart_Data!N134-Chart_Data!L134</f>
        <v>-72.078120228209968</v>
      </c>
      <c r="D134">
        <f>Chart_Data!G134</f>
        <v>6</v>
      </c>
      <c r="E134">
        <f>Chart_Data!H134</f>
        <v>533.69206209739866</v>
      </c>
      <c r="F134">
        <f>Chart_Data!I134</f>
        <v>533.69206209739866</v>
      </c>
      <c r="G134">
        <f>Chart_Data!J134</f>
        <v>70.342553479412842</v>
      </c>
      <c r="I134">
        <f>Scenario_Data!A134</f>
        <v>0.1</v>
      </c>
      <c r="J134">
        <f>Scenario_Data!H134-(((SQRT((Inputs!$C$52+(Inputs!$H$6))^2+Inputs!$C$52^2-2*(Inputs!$C$52+(Inputs!$H$6))*Inputs!$C$52*COS(SQRT((Scenario_Data!T134)^2+Inputs!$C$6^2)/Inputs!$C$52)))-(Inputs!$H$6))*1000/Inputs!$C$12)</f>
        <v>-4.6217631182344121E-2</v>
      </c>
      <c r="K134">
        <f>Scenario_Data!I134-(((SQRT((Inputs!$C$52+(Inputs!$H$7))^2+Inputs!$C$52^2-2*(Inputs!$C$52+(Inputs!$H$7))*Inputs!$C$52*COS(SQRT((Scenario_Data!U134)^2+Inputs!$C$6^2)/Inputs!$C$52)))-(Inputs!$H$7))*1000/Inputs!$C$12)</f>
        <v>-773.94044615938219</v>
      </c>
      <c r="L134">
        <f>Scenario_Data!J134-(((SQRT((Inputs!$C$52+(Inputs!$H$8))^2+Inputs!$C$52^2-2*(Inputs!$C$52+(Inputs!$H$8))*Inputs!$C$52*COS(SQRT((Scenario_Data!V134)^2+Inputs!$C$6^2)/Inputs!$C$52)))-(Inputs!$H$8))*1000/Inputs!$C$12)</f>
        <v>-2990.7521080161423</v>
      </c>
      <c r="M134">
        <f>Scenario_Data!K134-(((SQRT((Inputs!$C$52+(Inputs!$H$9))^2+Inputs!$C$52^2-2*(Inputs!$C$52+(Inputs!$H$9))*Inputs!$C$52*COS(SQRT((Scenario_Data!W134)^2+Inputs!$C$6^2)/Inputs!$C$52)))-(Inputs!$H$9))*1000/Inputs!$C$12)</f>
        <v>-3518.8494159470793</v>
      </c>
      <c r="O134">
        <f>Scenario_Data!T134</f>
        <v>6</v>
      </c>
      <c r="P134">
        <f>2*(Scenario_Data!B134*1000)/Inputs!$C$21*1000000</f>
        <v>2668.779612861375</v>
      </c>
      <c r="Q134">
        <f>Scenario_Data!U134</f>
        <v>40.000000000000057</v>
      </c>
      <c r="R134">
        <f>2*(Scenario_Data!C134*1000)/Inputs!$C$21*1000000</f>
        <v>257.84504558817162</v>
      </c>
      <c r="S134">
        <f>Scenario_Data!V134</f>
        <v>80.000000000000114</v>
      </c>
      <c r="T134">
        <f>2*(Scenario_Data!D134*1000)/Inputs!$C$21*1000000</f>
        <v>297.87273701194999</v>
      </c>
      <c r="U134">
        <f>Scenario_Data!W134</f>
        <v>80.000000000000114</v>
      </c>
      <c r="V134">
        <f>2*(Scenario_Data!E134*1000)/Inputs!$C$21*1000000</f>
        <v>231.82704616271587</v>
      </c>
      <c r="X134">
        <f>Scenario_Data!T134</f>
        <v>6</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2668.3103378572691</v>
      </c>
      <c r="Z134">
        <f>Scenario_Data!U134</f>
        <v>40.000000000000057</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257.40296582102707</v>
      </c>
      <c r="AB134">
        <f>Scenario_Data!V134</f>
        <v>80.000000000000114</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297.55144670801428</v>
      </c>
      <c r="AD134">
        <f>Scenario_Data!W134</f>
        <v>80.000000000000114</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231.50575585878019</v>
      </c>
      <c r="AG134">
        <f>Scenario_Data!T134</f>
        <v>6</v>
      </c>
      <c r="AH134">
        <f>2*(SQRT((Inputs!$C$52+(Scenario_Data!B134))^2+Inputs!$C$52^2-2*(Inputs!$C$52+(Scenario_Data!B134))*Inputs!$C$52*COS(SQRT((Scenario_Data!T134)^2+Inputs!$C$6^2)/Inputs!$C$52))*1000)/Inputs!$C$21*1000000</f>
        <v>2675.6947393589066</v>
      </c>
      <c r="AI134">
        <f>Scenario_Data!U134</f>
        <v>40.000000000000057</v>
      </c>
      <c r="AJ134">
        <f>2*(SQRT((Inputs!$C$52+(Scenario_Data!C134))^2+Inputs!$C$52^2-2*(Inputs!$C$52+(Scenario_Data!C134))*Inputs!$C$52*COS(SQRT((Scenario_Data!U134)^2+Inputs!$C$6^2)/Inputs!$C$52))*1000)/Inputs!$C$21*1000000</f>
        <v>409.82236463418178</v>
      </c>
      <c r="AK134">
        <f>Scenario_Data!V134</f>
        <v>80.000000000000114</v>
      </c>
      <c r="AL134">
        <f>2*(SQRT((Inputs!$C$52+(Scenario_Data!D134))^2+Inputs!$C$52^2-2*(Inputs!$C$52+(Scenario_Data!D134))*Inputs!$C$52*COS(SQRT((Scenario_Data!V134)^2+Inputs!$C$6^2)/Inputs!$C$52))*1000)/Inputs!$C$21*1000000</f>
        <v>640.5073835750494</v>
      </c>
      <c r="AM134">
        <f>Scenario_Data!W134</f>
        <v>80.000000000000114</v>
      </c>
      <c r="AN134">
        <f>2*(SQRT((Inputs!$C$52+(Scenario_Data!E134))^2+Inputs!$C$52^2-2*(Inputs!$C$52+(Scenario_Data!E134))*Inputs!$C$52*COS(SQRT((Scenario_Data!W134)^2+Inputs!$C$6^2)/Inputs!$C$52))*1000)/Inputs!$C$21*1000000</f>
        <v>610.9686237412925</v>
      </c>
      <c r="AP134">
        <f>Scenario_Data!T134</f>
        <v>6</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2672.1459076177921</v>
      </c>
      <c r="AR134">
        <f>Scenario_Data!U134</f>
        <v>40.000000000000057</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408.57024154816395</v>
      </c>
      <c r="AT134">
        <f>Scenario_Data!V134</f>
        <v>80.000000000000114</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640.03792855503775</v>
      </c>
      <c r="AV134">
        <f>Scenario_Data!W134</f>
        <v>80.000000000000114</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610.59163236774418</v>
      </c>
    </row>
    <row r="135" spans="1:49">
      <c r="A135">
        <f>Chart_Data!K135</f>
        <v>6.5</v>
      </c>
      <c r="B135">
        <f>Chart_Data!N135-Chart_Data!L135</f>
        <v>-79.369364714509572</v>
      </c>
      <c r="D135">
        <f>Chart_Data!G135</f>
        <v>6.5</v>
      </c>
      <c r="E135">
        <f>Chart_Data!H135</f>
        <v>524.4263848132822</v>
      </c>
      <c r="F135">
        <f>Chart_Data!I135</f>
        <v>524.4263848132822</v>
      </c>
      <c r="G135">
        <f>Chart_Data!J135</f>
        <v>77.64795080795966</v>
      </c>
      <c r="I135">
        <f>Scenario_Data!A135</f>
        <v>0.108</v>
      </c>
      <c r="J135">
        <f>Scenario_Data!H135-(((SQRT((Inputs!$C$52+(Inputs!$H$6))^2+Inputs!$C$52^2-2*(Inputs!$C$52+(Inputs!$H$6))*Inputs!$C$52*COS(SQRT((Scenario_Data!T135)^2+Inputs!$C$6^2)/Inputs!$C$52)))-(Inputs!$H$6))*1000/Inputs!$C$12)</f>
        <v>-5.4393810229043993E-2</v>
      </c>
      <c r="K135">
        <f>Scenario_Data!I135-(((SQRT((Inputs!$C$52+(Inputs!$H$7))^2+Inputs!$C$52^2-2*(Inputs!$C$52+(Inputs!$H$7))*Inputs!$C$52*COS(SQRT((Scenario_Data!U135)^2+Inputs!$C$6^2)/Inputs!$C$52)))-(Inputs!$H$7))*1000/Inputs!$C$12)</f>
        <v>-945.08643135841885</v>
      </c>
      <c r="L135">
        <f>Scenario_Data!J135-(((SQRT((Inputs!$C$52+(Inputs!$H$8))^2+Inputs!$C$52^2-2*(Inputs!$C$52+(Inputs!$H$8))*Inputs!$C$52*COS(SQRT((Scenario_Data!V135)^2+Inputs!$C$6^2)/Inputs!$C$52)))-(Inputs!$H$8))*1000/Inputs!$C$12)</f>
        <v>-3587.0630675248613</v>
      </c>
      <c r="M135">
        <f>Scenario_Data!K135-(((SQRT((Inputs!$C$52+(Inputs!$H$9))^2+Inputs!$C$52^2-2*(Inputs!$C$52+(Inputs!$H$9))*Inputs!$C$52*COS(SQRT((Scenario_Data!W135)^2+Inputs!$C$6^2)/Inputs!$C$52)))-(Inputs!$H$9))*1000/Inputs!$C$12)</f>
        <v>-4174.4317239557495</v>
      </c>
      <c r="O135">
        <f>Scenario_Data!T135</f>
        <v>6.480000000000004</v>
      </c>
      <c r="P135">
        <f>2*(Scenario_Data!B135*1000)/Inputs!$C$21*1000000</f>
        <v>2668.8240169137275</v>
      </c>
      <c r="Q135">
        <f>Scenario_Data!U135</f>
        <v>43.200000000000045</v>
      </c>
      <c r="R135">
        <f>2*(Scenario_Data!C135*1000)/Inputs!$C$21*1000000</f>
        <v>261.89691536536259</v>
      </c>
      <c r="S135">
        <f>Scenario_Data!V135</f>
        <v>86.400000000000091</v>
      </c>
      <c r="T135">
        <f>2*(Scenario_Data!D135*1000)/Inputs!$C$21*1000000</f>
        <v>308.58521464205768</v>
      </c>
      <c r="U135">
        <f>Scenario_Data!W135</f>
        <v>86.400000000000091</v>
      </c>
      <c r="V135">
        <f>2*(Scenario_Data!E135*1000)/Inputs!$C$21*1000000</f>
        <v>242.65053392370547</v>
      </c>
      <c r="X135">
        <f>Scenario_Data!T135</f>
        <v>6.480000000000004</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2668.3499734017573</v>
      </c>
      <c r="Z135">
        <f>Scenario_Data!U135</f>
        <v>43.200000000000045</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261.65670987990978</v>
      </c>
      <c r="AB135">
        <f>Scenario_Data!V135</f>
        <v>86.400000000000091</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308.68111860671877</v>
      </c>
      <c r="AD135">
        <f>Scenario_Data!W135</f>
        <v>86.400000000000091</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242.74643788836661</v>
      </c>
      <c r="AG135">
        <f>Scenario_Data!T135</f>
        <v>6.480000000000004</v>
      </c>
      <c r="AH135">
        <f>2*(SQRT((Inputs!$C$52+(Scenario_Data!B135))^2+Inputs!$C$52^2-2*(Inputs!$C$52+(Scenario_Data!B135))*Inputs!$C$52*COS(SQRT((Scenario_Data!T135)^2+Inputs!$C$6^2)/Inputs!$C$52))*1000)/Inputs!$C$21*1000000</f>
        <v>2675.801637380072</v>
      </c>
      <c r="AI135">
        <f>Scenario_Data!U135</f>
        <v>43.200000000000045</v>
      </c>
      <c r="AJ135">
        <f>2*(SQRT((Inputs!$C$52+(Scenario_Data!C135))^2+Inputs!$C$52^2-2*(Inputs!$C$52+(Scenario_Data!C135))*Inputs!$C$52*COS(SQRT((Scenario_Data!U135)^2+Inputs!$C$6^2)/Inputs!$C$52))*1000)/Inputs!$C$21*1000000</f>
        <v>426.90066876687405</v>
      </c>
      <c r="AK135">
        <f>Scenario_Data!V135</f>
        <v>86.400000000000091</v>
      </c>
      <c r="AL135">
        <f>2*(SQRT((Inputs!$C$52+(Scenario_Data!D135))^2+Inputs!$C$52^2-2*(Inputs!$C$52+(Scenario_Data!D135))*Inputs!$C$52*COS(SQRT((Scenario_Data!V135)^2+Inputs!$C$6^2)/Inputs!$C$52))*1000)/Inputs!$C$21*1000000</f>
        <v>682.52802138756863</v>
      </c>
      <c r="AM135">
        <f>Scenario_Data!W135</f>
        <v>86.400000000000091</v>
      </c>
      <c r="AN135">
        <f>2*(SQRT((Inputs!$C$52+(Scenario_Data!E135))^2+Inputs!$C$52^2-2*(Inputs!$C$52+(Scenario_Data!E135))*Inputs!$C$52*COS(SQRT((Scenario_Data!W135)^2+Inputs!$C$6^2)/Inputs!$C$52))*1000)/Inputs!$C$21*1000000</f>
        <v>653.62041243254544</v>
      </c>
      <c r="AP135">
        <f>Scenario_Data!T135</f>
        <v>6.480000000000004</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2672.2620883765708</v>
      </c>
      <c r="AR135">
        <f>Scenario_Data!U135</f>
        <v>43.200000000000045</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425.93971816821346</v>
      </c>
      <c r="AT135">
        <f>Scenario_Data!V135</f>
        <v>86.400000000000091</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682.16473456554218</v>
      </c>
      <c r="AV135">
        <f>Scenario_Data!W135</f>
        <v>86.400000000000091</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653.32707067539548</v>
      </c>
    </row>
    <row r="136" spans="1:49">
      <c r="A136">
        <f>Chart_Data!K136</f>
        <v>7</v>
      </c>
      <c r="B136">
        <f>Chart_Data!N136-Chart_Data!L136</f>
        <v>-68.687358696983324</v>
      </c>
      <c r="D136">
        <f>Chart_Data!G136</f>
        <v>7</v>
      </c>
      <c r="E136">
        <f>Chart_Data!H136</f>
        <v>534.40783187914269</v>
      </c>
      <c r="F136">
        <f>Chart_Data!I136</f>
        <v>534.40783187914269</v>
      </c>
      <c r="G136">
        <f>Chart_Data!J136</f>
        <v>66.915509899073115</v>
      </c>
      <c r="I136">
        <f>Scenario_Data!A136</f>
        <v>0.11700000000000001</v>
      </c>
      <c r="J136">
        <f>Scenario_Data!H136-(((SQRT((Inputs!$C$52+(Inputs!$H$6))^2+Inputs!$C$52^2-2*(Inputs!$C$52+(Inputs!$H$6))*Inputs!$C$52*COS(SQRT((Scenario_Data!T136)^2+Inputs!$C$6^2)/Inputs!$C$52)))-(Inputs!$H$6))*1000/Inputs!$C$12)</f>
        <v>-6.4530590996128012E-2</v>
      </c>
      <c r="K136">
        <f>Scenario_Data!I136-(((SQRT((Inputs!$C$52+(Inputs!$H$7))^2+Inputs!$C$52^2-2*(Inputs!$C$52+(Inputs!$H$7))*Inputs!$C$52*COS(SQRT((Scenario_Data!U136)^2+Inputs!$C$6^2)/Inputs!$C$52)))-(Inputs!$H$7))*1000/Inputs!$C$12)</f>
        <v>-1161.8662425758666</v>
      </c>
      <c r="L136">
        <f>Scenario_Data!J136-(((SQRT((Inputs!$C$52+(Inputs!$H$8))^2+Inputs!$C$52^2-2*(Inputs!$C$52+(Inputs!$H$8))*Inputs!$C$52*COS(SQRT((Scenario_Data!V136)^2+Inputs!$C$6^2)/Inputs!$C$52)))-(Inputs!$H$8))*1000/Inputs!$C$12)</f>
        <v>-4320.5432959684549</v>
      </c>
      <c r="M136">
        <f>Scenario_Data!K136-(((SQRT((Inputs!$C$52+(Inputs!$H$9))^2+Inputs!$C$52^2-2*(Inputs!$C$52+(Inputs!$H$9))*Inputs!$C$52*COS(SQRT((Scenario_Data!W136)^2+Inputs!$C$6^2)/Inputs!$C$52)))-(Inputs!$H$9))*1000/Inputs!$C$12)</f>
        <v>-4974.4518534386225</v>
      </c>
      <c r="O136">
        <f>Scenario_Data!T136</f>
        <v>7.019999999999996</v>
      </c>
      <c r="P136">
        <f>2*(Scenario_Data!B136*1000)/Inputs!$C$21*1000000</f>
        <v>2668.8780542971494</v>
      </c>
      <c r="Q136">
        <f>Scenario_Data!U136</f>
        <v>46.800000000000011</v>
      </c>
      <c r="R136">
        <f>2*(Scenario_Data!C136*1000)/Inputs!$C$21*1000000</f>
        <v>266.82782660262927</v>
      </c>
      <c r="S136">
        <f>Scenario_Data!V136</f>
        <v>93.600000000000023</v>
      </c>
      <c r="T136">
        <f>2*(Scenario_Data!D136*1000)/Inputs!$C$21*1000000</f>
        <v>321.62173339263933</v>
      </c>
      <c r="U136">
        <f>Scenario_Data!W136</f>
        <v>93.600000000000023</v>
      </c>
      <c r="V136">
        <f>2*(Scenario_Data!E136*1000)/Inputs!$C$21*1000000</f>
        <v>255.82214613284236</v>
      </c>
      <c r="X136">
        <f>Scenario_Data!T136</f>
        <v>7.019999999999996</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2668.4165060223545</v>
      </c>
      <c r="Z136">
        <f>Scenario_Data!U136</f>
        <v>46.800000000000011</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266.87097786523987</v>
      </c>
      <c r="AB136">
        <f>Scenario_Data!V136</f>
        <v>93.600000000000023</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321.24889389520433</v>
      </c>
      <c r="AD136">
        <f>Scenario_Data!W136</f>
        <v>93.600000000000023</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255.44930663540742</v>
      </c>
      <c r="AG136">
        <f>Scenario_Data!T136</f>
        <v>7.019999999999996</v>
      </c>
      <c r="AH136">
        <f>2*(SQRT((Inputs!$C$52+(Scenario_Data!B136))^2+Inputs!$C$52^2-2*(Inputs!$C$52+(Scenario_Data!B136))*Inputs!$C$52*COS(SQRT((Scenario_Data!T136)^2+Inputs!$C$6^2)/Inputs!$C$52))*1000)/Inputs!$C$21*1000000</f>
        <v>2675.93172239053</v>
      </c>
      <c r="AI136">
        <f>Scenario_Data!U136</f>
        <v>46.800000000000011</v>
      </c>
      <c r="AJ136">
        <f>2*(SQRT((Inputs!$C$52+(Scenario_Data!C136))^2+Inputs!$C$52^2-2*(Inputs!$C$52+(Scenario_Data!C136))*Inputs!$C$52*COS(SQRT((Scenario_Data!U136)^2+Inputs!$C$6^2)/Inputs!$C$52))*1000)/Inputs!$C$21*1000000</f>
        <v>446.86749403358624</v>
      </c>
      <c r="AK136">
        <f>Scenario_Data!V136</f>
        <v>93.600000000000023</v>
      </c>
      <c r="AL136">
        <f>2*(SQRT((Inputs!$C$52+(Scenario_Data!D136))^2+Inputs!$C$52^2-2*(Inputs!$C$52+(Scenario_Data!D136))*Inputs!$C$52*COS(SQRT((Scenario_Data!V136)^2+Inputs!$C$6^2)/Inputs!$C$52))*1000)/Inputs!$C$21*1000000</f>
        <v>730.70973255620993</v>
      </c>
      <c r="AM136">
        <f>Scenario_Data!W136</f>
        <v>93.600000000000023</v>
      </c>
      <c r="AN136">
        <f>2*(SQRT((Inputs!$C$52+(Scenario_Data!E136))^2+Inputs!$C$52^2-2*(Inputs!$C$52+(Scenario_Data!E136))*Inputs!$C$52*COS(SQRT((Scenario_Data!W136)^2+Inputs!$C$6^2)/Inputs!$C$52))*1000)/Inputs!$C$21*1000000</f>
        <v>702.35477860817696</v>
      </c>
      <c r="AP136">
        <f>Scenario_Data!T136</f>
        <v>7.019999999999996</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2672.4787069540553</v>
      </c>
      <c r="AR136">
        <f>Scenario_Data!U136</f>
        <v>46.800000000000011</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446.34212138232749</v>
      </c>
      <c r="AT136">
        <f>Scenario_Data!V136</f>
        <v>93.600000000000023</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730.16792776960813</v>
      </c>
      <c r="AV136">
        <f>Scenario_Data!W136</f>
        <v>93.600000000000023</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701.91440074358138</v>
      </c>
    </row>
    <row r="137" spans="1:49">
      <c r="A137">
        <f>Chart_Data!K137</f>
        <v>7.5</v>
      </c>
      <c r="B137">
        <f>Chart_Data!N137-Chart_Data!L137</f>
        <v>-57.889061596077852</v>
      </c>
      <c r="D137">
        <f>Chart_Data!G137</f>
        <v>7.5</v>
      </c>
      <c r="E137">
        <f>Chart_Data!H137</f>
        <v>503.48380224840304</v>
      </c>
      <c r="F137">
        <f>Chart_Data!I137</f>
        <v>503.48380224840304</v>
      </c>
      <c r="G137">
        <f>Chart_Data!J137</f>
        <v>56.202037436945574</v>
      </c>
      <c r="I137">
        <f>Scenario_Data!A137</f>
        <v>0.125</v>
      </c>
      <c r="J137">
        <f>Scenario_Data!H137-(((SQRT((Inputs!$C$52+(Inputs!$H$6))^2+Inputs!$C$52^2-2*(Inputs!$C$52+(Inputs!$H$6))*Inputs!$C$52*COS(SQRT((Scenario_Data!T137)^2+Inputs!$C$6^2)/Inputs!$C$52)))-(Inputs!$H$6))*1000/Inputs!$C$12)</f>
        <v>-7.4413578671737923E-2</v>
      </c>
      <c r="K137">
        <f>Scenario_Data!I137-(((SQRT((Inputs!$C$52+(Inputs!$H$7))^2+Inputs!$C$52^2-2*(Inputs!$C$52+(Inputs!$H$7))*Inputs!$C$52*COS(SQRT((Scenario_Data!U137)^2+Inputs!$C$6^2)/Inputs!$C$52)))-(Inputs!$H$7))*1000/Inputs!$C$12)</f>
        <v>-1376.2576530040769</v>
      </c>
      <c r="L137">
        <f>Scenario_Data!J137-(((SQRT((Inputs!$C$52+(Inputs!$H$8))^2+Inputs!$C$52^2-2*(Inputs!$C$52+(Inputs!$H$8))*Inputs!$C$52*COS(SQRT((Scenario_Data!V137)^2+Inputs!$C$6^2)/Inputs!$C$52)))-(Inputs!$H$8))*1000/Inputs!$C$12)</f>
        <v>-5026.7415034051373</v>
      </c>
      <c r="M137">
        <f>Scenario_Data!K137-(((SQRT((Inputs!$C$52+(Inputs!$H$9))^2+Inputs!$C$52^2-2*(Inputs!$C$52+(Inputs!$H$9))*Inputs!$C$52*COS(SQRT((Scenario_Data!W137)^2+Inputs!$C$6^2)/Inputs!$C$52)))-(Inputs!$H$9))*1000/Inputs!$C$12)</f>
        <v>-5739.5919717311044</v>
      </c>
      <c r="O137">
        <f>Scenario_Data!T137</f>
        <v>7.5</v>
      </c>
      <c r="P137">
        <f>2*(Scenario_Data!B137*1000)/Inputs!$C$21*1000000</f>
        <v>2668.9297167042141</v>
      </c>
      <c r="Q137">
        <f>Scenario_Data!U137</f>
        <v>50</v>
      </c>
      <c r="R137">
        <f>2*(Scenario_Data!C137*1000)/Inputs!$C$21*1000000</f>
        <v>271.54202124724566</v>
      </c>
      <c r="S137">
        <f>Scenario_Data!V137</f>
        <v>100</v>
      </c>
      <c r="T137">
        <f>2*(Scenario_Data!D137*1000)/Inputs!$C$21*1000000</f>
        <v>334.08528909689915</v>
      </c>
      <c r="U137">
        <f>Scenario_Data!W137</f>
        <v>100</v>
      </c>
      <c r="V137">
        <f>2*(Scenario_Data!E137*1000)/Inputs!$C$21*1000000</f>
        <v>268.414857854763</v>
      </c>
      <c r="X137">
        <f>Scenario_Data!T137</f>
        <v>7.5</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2668.554777068895</v>
      </c>
      <c r="Z137">
        <f>Scenario_Data!U137</f>
        <v>50</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271.48749960629391</v>
      </c>
      <c r="AB137">
        <f>Scenario_Data!V137</f>
        <v>100</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333.96907863243558</v>
      </c>
      <c r="AD137">
        <f>Scenario_Data!W137</f>
        <v>100</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268.29864739029938</v>
      </c>
      <c r="AG137">
        <f>Scenario_Data!T137</f>
        <v>7.5</v>
      </c>
      <c r="AH137">
        <f>2*(SQRT((Inputs!$C$52+(Scenario_Data!B137))^2+Inputs!$C$52^2-2*(Inputs!$C$52+(Scenario_Data!B137))*Inputs!$C$52*COS(SQRT((Scenario_Data!T137)^2+Inputs!$C$6^2)/Inputs!$C$52))*1000)/Inputs!$C$21*1000000</f>
        <v>2676.0560857448104</v>
      </c>
      <c r="AI137">
        <f>Scenario_Data!U137</f>
        <v>50</v>
      </c>
      <c r="AJ137">
        <f>2*(SQRT((Inputs!$C$52+(Scenario_Data!C137))^2+Inputs!$C$52^2-2*(Inputs!$C$52+(Scenario_Data!C137))*Inputs!$C$52*COS(SQRT((Scenario_Data!U137)^2+Inputs!$C$6^2)/Inputs!$C$52))*1000)/Inputs!$C$21*1000000</f>
        <v>465.21831918360385</v>
      </c>
      <c r="AK137">
        <f>Scenario_Data!V137</f>
        <v>100</v>
      </c>
      <c r="AL137">
        <f>2*(SQRT((Inputs!$C$52+(Scenario_Data!D137))^2+Inputs!$C$52^2-2*(Inputs!$C$52+(Scenario_Data!D137))*Inputs!$C$52*COS(SQRT((Scenario_Data!V137)^2+Inputs!$C$6^2)/Inputs!$C$52))*1000)/Inputs!$C$21*1000000</f>
        <v>774.26357736360831</v>
      </c>
      <c r="AM137">
        <f>Scenario_Data!W137</f>
        <v>100</v>
      </c>
      <c r="AN137">
        <f>2*(SQRT((Inputs!$C$52+(Scenario_Data!E137))^2+Inputs!$C$52^2-2*(Inputs!$C$52+(Scenario_Data!E137))*Inputs!$C$52*COS(SQRT((Scenario_Data!W137)^2+Inputs!$C$6^2)/Inputs!$C$52))*1000)/Inputs!$C$21*1000000</f>
        <v>746.28169026439843</v>
      </c>
      <c r="AP137">
        <f>Scenario_Data!T137</f>
        <v>7.5</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2672.7084579796765</v>
      </c>
      <c r="AR137">
        <f>Scenario_Data!U137</f>
        <v>50</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464.78135252033411</v>
      </c>
      <c r="AT137">
        <f>Scenario_Data!V137</f>
        <v>100</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773.87378998537463</v>
      </c>
      <c r="AV137">
        <f>Scenario_Data!W137</f>
        <v>100</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745.96273446882867</v>
      </c>
    </row>
    <row r="138" spans="1:49">
      <c r="A138">
        <f>Chart_Data!K138</f>
        <v>8</v>
      </c>
      <c r="B138">
        <f>Chart_Data!N138-Chart_Data!L138</f>
        <v>-47.678060396535784</v>
      </c>
      <c r="D138">
        <f>Chart_Data!G138</f>
        <v>8</v>
      </c>
      <c r="E138">
        <f>Chart_Data!H138</f>
        <v>497.22645344932982</v>
      </c>
      <c r="F138">
        <f>Chart_Data!I138</f>
        <v>497.22645344932982</v>
      </c>
      <c r="G138">
        <f>Chart_Data!J138</f>
        <v>45.993205062010666</v>
      </c>
      <c r="I138">
        <f>Scenario_Data!A138</f>
        <v>0.13300000000000001</v>
      </c>
      <c r="J138">
        <f>Scenario_Data!H138-(((SQRT((Inputs!$C$52+(Inputs!$H$6))^2+Inputs!$C$52^2-2*(Inputs!$C$52+(Inputs!$H$6))*Inputs!$C$52*COS(SQRT((Scenario_Data!T138)^2+Inputs!$C$6^2)/Inputs!$C$52)))-(Inputs!$H$6))*1000/Inputs!$C$12)</f>
        <v>-8.5156359718553176E-2</v>
      </c>
      <c r="K138">
        <f>Scenario_Data!I138-(((SQRT((Inputs!$C$52+(Inputs!$H$7))^2+Inputs!$C$52^2-2*(Inputs!$C$52+(Inputs!$H$7))*Inputs!$C$52*COS(SQRT((Scenario_Data!U138)^2+Inputs!$C$6^2)/Inputs!$C$52)))-(Inputs!$H$7))*1000/Inputs!$C$12)</f>
        <v>-1611.0978519744349</v>
      </c>
      <c r="L138">
        <f>Scenario_Data!J138-(((SQRT((Inputs!$C$52+(Inputs!$H$8))^2+Inputs!$C$52^2-2*(Inputs!$C$52+(Inputs!$H$8))*Inputs!$C$52*COS(SQRT((Scenario_Data!V138)^2+Inputs!$C$6^2)/Inputs!$C$52)))-(Inputs!$H$8))*1000/Inputs!$C$12)</f>
        <v>-5782.5863929769912</v>
      </c>
      <c r="M138">
        <f>Scenario_Data!K138-(((SQRT((Inputs!$C$52+(Inputs!$H$9))^2+Inputs!$C$52^2-2*(Inputs!$C$52+(Inputs!$H$9))*Inputs!$C$52*COS(SQRT((Scenario_Data!W138)^2+Inputs!$C$6^2)/Inputs!$C$52)))-(Inputs!$H$9))*1000/Inputs!$C$12)</f>
        <v>-6554.1364146582637</v>
      </c>
      <c r="O138">
        <f>Scenario_Data!T138</f>
        <v>7.980000000000004</v>
      </c>
      <c r="P138">
        <f>2*(Scenario_Data!B138*1000)/Inputs!$C$21*1000000</f>
        <v>2668.9847948076131</v>
      </c>
      <c r="Q138">
        <f>Scenario_Data!U138</f>
        <v>53.199999999999989</v>
      </c>
      <c r="R138">
        <f>2*(Scenario_Data!C138*1000)/Inputs!$C$21*1000000</f>
        <v>276.56789818241526</v>
      </c>
      <c r="S138">
        <f>Scenario_Data!V138</f>
        <v>106.39999999999998</v>
      </c>
      <c r="T138">
        <f>2*(Scenario_Data!D138*1000)/Inputs!$C$21*1000000</f>
        <v>347.37288154193652</v>
      </c>
      <c r="U138">
        <f>Scenario_Data!W138</f>
        <v>106.39999999999998</v>
      </c>
      <c r="V138">
        <f>2*(Scenario_Data!E138*1000)/Inputs!$C$21*1000000</f>
        <v>281.84014555829816</v>
      </c>
      <c r="X138">
        <f>Scenario_Data!T138</f>
        <v>7.980000000000004</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2668.6191606348211</v>
      </c>
      <c r="Z138">
        <f>Scenario_Data!U138</f>
        <v>53.199999999999989</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276.56459491862398</v>
      </c>
      <c r="AB138">
        <f>Scenario_Data!V138</f>
        <v>106.39999999999998</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347.47422266834974</v>
      </c>
      <c r="AD138">
        <f>Scenario_Data!W138</f>
        <v>106.39999999999998</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281.94148668471132</v>
      </c>
      <c r="AG138">
        <f>Scenario_Data!T138</f>
        <v>7.980000000000004</v>
      </c>
      <c r="AH138">
        <f>2*(SQRT((Inputs!$C$52+(Scenario_Data!B138))^2+Inputs!$C$52^2-2*(Inputs!$C$52+(Scenario_Data!B138))*Inputs!$C$52*COS(SQRT((Scenario_Data!T138)^2+Inputs!$C$6^2)/Inputs!$C$52))*1000)/Inputs!$C$21*1000000</f>
        <v>2676.1886667981512</v>
      </c>
      <c r="AI138">
        <f>Scenario_Data!U138</f>
        <v>53.199999999999989</v>
      </c>
      <c r="AJ138">
        <f>2*(SQRT((Inputs!$C$52+(Scenario_Data!C138))^2+Inputs!$C$52^2-2*(Inputs!$C$52+(Scenario_Data!C138))*Inputs!$C$52*COS(SQRT((Scenario_Data!U138)^2+Inputs!$C$6^2)/Inputs!$C$52))*1000)/Inputs!$C$21*1000000</f>
        <v>484.08118424505756</v>
      </c>
      <c r="AK138">
        <f>Scenario_Data!V138</f>
        <v>106.39999999999998</v>
      </c>
      <c r="AL138">
        <f>2*(SQRT((Inputs!$C$52+(Scenario_Data!D138))^2+Inputs!$C$52^2-2*(Inputs!$C$52+(Scenario_Data!D138))*Inputs!$C$52*COS(SQRT((Scenario_Data!V138)^2+Inputs!$C$6^2)/Inputs!$C$52))*1000)/Inputs!$C$21*1000000</f>
        <v>818.44200766992435</v>
      </c>
      <c r="AM138">
        <f>Scenario_Data!W138</f>
        <v>106.39999999999998</v>
      </c>
      <c r="AN138">
        <f>2*(SQRT((Inputs!$C$52+(Scenario_Data!E138))^2+Inputs!$C$52^2-2*(Inputs!$C$52+(Scenario_Data!E138))*Inputs!$C$52*COS(SQRT((Scenario_Data!W138)^2+Inputs!$C$6^2)/Inputs!$C$52))*1000)/Inputs!$C$21*1000000</f>
        <v>790.73922174294944</v>
      </c>
      <c r="AP138">
        <f>Scenario_Data!T138</f>
        <v>7.980000000000004</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2672.8111298337622</v>
      </c>
      <c r="AR138">
        <f>Scenario_Data!U138</f>
        <v>53.199999999999989</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483.43610586362189</v>
      </c>
      <c r="AT138">
        <f>Scenario_Data!V138</f>
        <v>106.39999999999998</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818.23194447410526</v>
      </c>
      <c r="AV138">
        <f>Scenario_Data!W138</f>
        <v>106.39999999999998</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790.56611762367856</v>
      </c>
    </row>
    <row r="139" spans="1:49">
      <c r="A139">
        <f>Chart_Data!K139</f>
        <v>8.5</v>
      </c>
      <c r="B139">
        <f>Chart_Data!N139-Chart_Data!L139</f>
        <v>-37.065595317726149</v>
      </c>
      <c r="D139">
        <f>Chart_Data!G139</f>
        <v>8.5</v>
      </c>
      <c r="E139">
        <f>Chart_Data!H139</f>
        <v>479.6019721372586</v>
      </c>
      <c r="F139">
        <f>Chart_Data!I139</f>
        <v>479.6019721372586</v>
      </c>
      <c r="G139">
        <f>Chart_Data!J139</f>
        <v>35.421208100654937</v>
      </c>
      <c r="I139">
        <f>Scenario_Data!A139</f>
        <v>0.14199999999999999</v>
      </c>
      <c r="J139">
        <f>Scenario_Data!H139-(((SQRT((Inputs!$C$52+(Inputs!$H$6))^2+Inputs!$C$52^2-2*(Inputs!$C$52+(Inputs!$H$6))*Inputs!$C$52*COS(SQRT((Scenario_Data!T139)^2+Inputs!$C$6^2)/Inputs!$C$52)))-(Inputs!$H$6))*1000/Inputs!$C$12)</f>
        <v>-9.8319082050352336E-2</v>
      </c>
      <c r="K139">
        <f>Scenario_Data!I139-(((SQRT((Inputs!$C$52+(Inputs!$H$7))^2+Inputs!$C$52^2-2*(Inputs!$C$52+(Inputs!$H$7))*Inputs!$C$52*COS(SQRT((Scenario_Data!U139)^2+Inputs!$C$6^2)/Inputs!$C$52)))-(Inputs!$H$7))*1000/Inputs!$C$12)</f>
        <v>-1899.6570192596264</v>
      </c>
      <c r="L139">
        <f>Scenario_Data!J139-(((SQRT((Inputs!$C$52+(Inputs!$H$8))^2+Inputs!$C$52^2-2*(Inputs!$C$52+(Inputs!$H$8))*Inputs!$C$52*COS(SQRT((Scenario_Data!V139)^2+Inputs!$C$6^2)/Inputs!$C$52)))-(Inputs!$H$8))*1000/Inputs!$C$12)</f>
        <v>-6690.6108063344145</v>
      </c>
      <c r="M139">
        <f>Scenario_Data!K139-(((SQRT((Inputs!$C$52+(Inputs!$H$9))^2+Inputs!$C$52^2-2*(Inputs!$C$52+(Inputs!$H$9))*Inputs!$C$52*COS(SQRT((Scenario_Data!W139)^2+Inputs!$C$6^2)/Inputs!$C$52)))-(Inputs!$H$9))*1000/Inputs!$C$12)</f>
        <v>-7527.8673822440323</v>
      </c>
      <c r="O139">
        <f>Scenario_Data!T139</f>
        <v>8.519999999999996</v>
      </c>
      <c r="P139">
        <f>2*(Scenario_Data!B139*1000)/Inputs!$C$21*1000000</f>
        <v>2669.0508404984621</v>
      </c>
      <c r="Q139">
        <f>Scenario_Data!U139</f>
        <v>56.799999999999955</v>
      </c>
      <c r="R139">
        <f>2*(Scenario_Data!C139*1000)/Inputs!$C$21*1000000</f>
        <v>282.59456747240779</v>
      </c>
      <c r="S139">
        <f>Scenario_Data!V139</f>
        <v>113.59999999999991</v>
      </c>
      <c r="T139">
        <f>2*(Scenario_Data!D139*1000)/Inputs!$C$21*1000000</f>
        <v>363.30640445931414</v>
      </c>
      <c r="U139">
        <f>Scenario_Data!W139</f>
        <v>113.59999999999991</v>
      </c>
      <c r="V139">
        <f>2*(Scenario_Data!E139*1000)/Inputs!$C$21*1000000</f>
        <v>297.93878270279879</v>
      </c>
      <c r="X139">
        <f>Scenario_Data!T139</f>
        <v>8.519999999999996</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2668.9381304597596</v>
      </c>
      <c r="Z139">
        <f>Scenario_Data!U139</f>
        <v>56.799999999999955</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282.45267503280394</v>
      </c>
      <c r="AB139">
        <f>Scenario_Data!V139</f>
        <v>113.59999999999991</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363.00118997829571</v>
      </c>
      <c r="AD139">
        <f>Scenario_Data!W139</f>
        <v>113.59999999999991</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297.63356822178037</v>
      </c>
      <c r="AG139">
        <f>Scenario_Data!T139</f>
        <v>8.519999999999996</v>
      </c>
      <c r="AH139">
        <f>2*(SQRT((Inputs!$C$52+(Scenario_Data!B139))^2+Inputs!$C$52^2-2*(Inputs!$C$52+(Scenario_Data!B139))*Inputs!$C$52*COS(SQRT((Scenario_Data!T139)^2+Inputs!$C$6^2)/Inputs!$C$52))*1000)/Inputs!$C$21*1000000</f>
        <v>2676.3476420836173</v>
      </c>
      <c r="AI139">
        <f>Scenario_Data!U139</f>
        <v>56.799999999999955</v>
      </c>
      <c r="AJ139">
        <f>2*(SQRT((Inputs!$C$52+(Scenario_Data!C139))^2+Inputs!$C$52^2-2*(Inputs!$C$52+(Scenario_Data!C139))*Inputs!$C$52*COS(SQRT((Scenario_Data!U139)^2+Inputs!$C$6^2)/Inputs!$C$52))*1000)/Inputs!$C$21*1000000</f>
        <v>505.85734229616077</v>
      </c>
      <c r="AK139">
        <f>Scenario_Data!V139</f>
        <v>113.59999999999991</v>
      </c>
      <c r="AL139">
        <f>2*(SQRT((Inputs!$C$52+(Scenario_Data!D139))^2+Inputs!$C$52^2-2*(Inputs!$C$52+(Scenario_Data!D139))*Inputs!$C$52*COS(SQRT((Scenario_Data!V139)^2+Inputs!$C$6^2)/Inputs!$C$52))*1000)/Inputs!$C$21*1000000</f>
        <v>868.83708028218246</v>
      </c>
      <c r="AM139">
        <f>Scenario_Data!W139</f>
        <v>113.59999999999991</v>
      </c>
      <c r="AN139">
        <f>2*(SQRT((Inputs!$C$52+(Scenario_Data!E139))^2+Inputs!$C$52^2-2*(Inputs!$C$52+(Scenario_Data!E139))*Inputs!$C$52*COS(SQRT((Scenario_Data!W139)^2+Inputs!$C$6^2)/Inputs!$C$52))*1000)/Inputs!$C$21*1000000</f>
        <v>841.35327888296126</v>
      </c>
      <c r="AP139">
        <f>Scenario_Data!T139</f>
        <v>8.519999999999996</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2673.0186412762982</v>
      </c>
      <c r="AR139">
        <f>Scenario_Data!U139</f>
        <v>56.799999999999955</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505.17284028347888</v>
      </c>
      <c r="AT139">
        <f>Scenario_Data!V139</f>
        <v>113.59999999999991</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868.3304441097539</v>
      </c>
      <c r="AV139">
        <f>Scenario_Data!W139</f>
        <v>113.59999999999991</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840.93260789643091</v>
      </c>
    </row>
    <row r="140" spans="1:49">
      <c r="A140">
        <f>Chart_Data!K140</f>
        <v>9</v>
      </c>
      <c r="B140">
        <f>Chart_Data!N140-Chart_Data!L140</f>
        <v>-31.298672514684142</v>
      </c>
      <c r="D140">
        <f>Chart_Data!G140</f>
        <v>9</v>
      </c>
      <c r="E140">
        <f>Chart_Data!H140</f>
        <v>481.22587957439987</v>
      </c>
      <c r="F140">
        <f>Chart_Data!I140</f>
        <v>481.22587957439987</v>
      </c>
      <c r="G140">
        <f>Chart_Data!J140</f>
        <v>29.628149721243545</v>
      </c>
      <c r="I140">
        <f>Scenario_Data!A140</f>
        <v>0.15</v>
      </c>
      <c r="J140">
        <f>Scenario_Data!H140-(((SQRT((Inputs!$C$52+(Inputs!$H$6))^2+Inputs!$C$52^2-2*(Inputs!$C$52+(Inputs!$H$6))*Inputs!$C$52*COS(SQRT((Scenario_Data!T140)^2+Inputs!$C$6^2)/Inputs!$C$52)))-(Inputs!$H$6))*1000/Inputs!$C$12)</f>
        <v>-0.11102336728663431</v>
      </c>
      <c r="K140">
        <f>Scenario_Data!I140-(((SQRT((Inputs!$C$52+(Inputs!$H$7))^2+Inputs!$C$52^2-2*(Inputs!$C$52+(Inputs!$H$7))*Inputs!$C$52*COS(SQRT((Scenario_Data!U140)^2+Inputs!$C$6^2)/Inputs!$C$52)))-(Inputs!$H$7))*1000/Inputs!$C$12)</f>
        <v>-2177.6671843117401</v>
      </c>
      <c r="L140">
        <f>Scenario_Data!J140-(((SQRT((Inputs!$C$52+(Inputs!$H$8))^2+Inputs!$C$52^2-2*(Inputs!$C$52+(Inputs!$H$8))*Inputs!$C$52*COS(SQRT((Scenario_Data!V140)^2+Inputs!$C$6^2)/Inputs!$C$52)))-(Inputs!$H$8))*1000/Inputs!$C$12)</f>
        <v>-7547.5826717672899</v>
      </c>
      <c r="M140">
        <f>Scenario_Data!K140-(((SQRT((Inputs!$C$52+(Inputs!$H$9))^2+Inputs!$C$52^2-2*(Inputs!$C$52+(Inputs!$H$9))*Inputs!$C$52*COS(SQRT((Scenario_Data!W140)^2+Inputs!$C$6^2)/Inputs!$C$52)))-(Inputs!$H$9))*1000/Inputs!$C$12)</f>
        <v>-8442.9245038226436</v>
      </c>
      <c r="O140">
        <f>Scenario_Data!T140</f>
        <v>9</v>
      </c>
      <c r="P140">
        <f>2*(Scenario_Data!B140*1000)/Inputs!$C$21*1000000</f>
        <v>2669.1131769565732</v>
      </c>
      <c r="Q140">
        <f>Scenario_Data!U140</f>
        <v>59.999999999999943</v>
      </c>
      <c r="R140">
        <f>2*(Scenario_Data!C140*1000)/Inputs!$C$21*1000000</f>
        <v>288.28276927500281</v>
      </c>
      <c r="S140">
        <f>Scenario_Data!V140</f>
        <v>119.99999999999989</v>
      </c>
      <c r="T140">
        <f>2*(Scenario_Data!D140*1000)/Inputs!$C$21*1000000</f>
        <v>378.3450749785037</v>
      </c>
      <c r="U140">
        <f>Scenario_Data!W140</f>
        <v>119.99999999999989</v>
      </c>
      <c r="V140">
        <f>2*(Scenario_Data!E140*1000)/Inputs!$C$21*1000000</f>
        <v>313.13329436726491</v>
      </c>
      <c r="X140">
        <f>Scenario_Data!T140</f>
        <v>9</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2668.9155192174899</v>
      </c>
      <c r="Z140">
        <f>Scenario_Data!U140</f>
        <v>59.999999999999943</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288.06999454155164</v>
      </c>
      <c r="AB140">
        <f>Scenario_Data!V140</f>
        <v>119.99999999999989</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378.40627895976388</v>
      </c>
      <c r="AD140">
        <f>Scenario_Data!W140</f>
        <v>119.99999999999989</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313.19449834852514</v>
      </c>
      <c r="AG140">
        <f>Scenario_Data!T140</f>
        <v>9</v>
      </c>
      <c r="AH140">
        <f>2*(SQRT((Inputs!$C$52+(Scenario_Data!B140))^2+Inputs!$C$52^2-2*(Inputs!$C$52+(Scenario_Data!B140))*Inputs!$C$52*COS(SQRT((Scenario_Data!T140)^2+Inputs!$C$6^2)/Inputs!$C$52))*1000)/Inputs!$C$21*1000000</f>
        <v>2676.4976827030932</v>
      </c>
      <c r="AI140">
        <f>Scenario_Data!U140</f>
        <v>59.999999999999943</v>
      </c>
      <c r="AJ140">
        <f>2*(SQRT((Inputs!$C$52+(Scenario_Data!C140))^2+Inputs!$C$52^2-2*(Inputs!$C$52+(Scenario_Data!C140))*Inputs!$C$52*COS(SQRT((Scenario_Data!U140)^2+Inputs!$C$6^2)/Inputs!$C$52))*1000)/Inputs!$C$21*1000000</f>
        <v>525.66427144455326</v>
      </c>
      <c r="AK140">
        <f>Scenario_Data!V140</f>
        <v>119.99999999999989</v>
      </c>
      <c r="AL140">
        <f>2*(SQRT((Inputs!$C$52+(Scenario_Data!D140))^2+Inputs!$C$52^2-2*(Inputs!$C$52+(Scenario_Data!D140))*Inputs!$C$52*COS(SQRT((Scenario_Data!V140)^2+Inputs!$C$6^2)/Inputs!$C$52))*1000)/Inputs!$C$21*1000000</f>
        <v>914.21509447536471</v>
      </c>
      <c r="AM140">
        <f>Scenario_Data!W140</f>
        <v>119.99999999999989</v>
      </c>
      <c r="AN140">
        <f>2*(SQRT((Inputs!$C$52+(Scenario_Data!E140))^2+Inputs!$C$52^2-2*(Inputs!$C$52+(Scenario_Data!E140))*Inputs!$C$52*COS(SQRT((Scenario_Data!W140)^2+Inputs!$C$6^2)/Inputs!$C$52))*1000)/Inputs!$C$21*1000000</f>
        <v>886.85449472026994</v>
      </c>
      <c r="AP140">
        <f>Scenario_Data!T140</f>
        <v>9</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2673.298433729452</v>
      </c>
      <c r="AR140">
        <f>Scenario_Data!U140</f>
        <v>59.999999999999943</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525.03019565514762</v>
      </c>
      <c r="AT140">
        <f>Scenario_Data!V140</f>
        <v>119.99999999999989</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914.04280073711163</v>
      </c>
      <c r="AV140">
        <f>Scenario_Data!W140</f>
        <v>119.99999999999989</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886.71036944254934</v>
      </c>
    </row>
    <row r="141" spans="1:49">
      <c r="A141">
        <f>Chart_Data!K141</f>
        <v>9.5</v>
      </c>
      <c r="B141">
        <f>Chart_Data!N141-Chart_Data!L141</f>
        <v>-7.3318080667106642</v>
      </c>
      <c r="D141">
        <f>Chart_Data!G141</f>
        <v>9.5</v>
      </c>
      <c r="E141">
        <f>Chart_Data!H141</f>
        <v>478.27937371872196</v>
      </c>
      <c r="F141">
        <f>Chart_Data!I141</f>
        <v>478.27937371872196</v>
      </c>
      <c r="G141">
        <f>Chart_Data!J141</f>
        <v>5.6499270186383477</v>
      </c>
      <c r="I141">
        <f>Scenario_Data!A141</f>
        <v>0.158</v>
      </c>
      <c r="J141">
        <f>Scenario_Data!H141-(((SQRT((Inputs!$C$52+(Inputs!$H$6))^2+Inputs!$C$52^2-2*(Inputs!$C$52+(Inputs!$H$6))*Inputs!$C$52*COS(SQRT((Scenario_Data!T141)^2+Inputs!$C$6^2)/Inputs!$C$52)))-(Inputs!$H$6))*1000/Inputs!$C$12)</f>
        <v>-0.12471921807230046</v>
      </c>
      <c r="K141">
        <f>Scenario_Data!I141-(((SQRT((Inputs!$C$52+(Inputs!$H$7))^2+Inputs!$C$52^2-2*(Inputs!$C$52+(Inputs!$H$7))*Inputs!$C$52*COS(SQRT((Scenario_Data!U141)^2+Inputs!$C$6^2)/Inputs!$C$52)))-(Inputs!$H$7))*1000/Inputs!$C$12)</f>
        <v>-2475.736579407454</v>
      </c>
      <c r="L141">
        <f>Scenario_Data!J141-(((SQRT((Inputs!$C$52+(Inputs!$H$8))^2+Inputs!$C$52^2-2*(Inputs!$C$52+(Inputs!$H$8))*Inputs!$C$52*COS(SQRT((Scenario_Data!V141)^2+Inputs!$C$6^2)/Inputs!$C$52)))-(Inputs!$H$8))*1000/Inputs!$C$12)</f>
        <v>-8450.1146067239897</v>
      </c>
      <c r="M141">
        <f>Scenario_Data!K141-(((SQRT((Inputs!$C$52+(Inputs!$H$9))^2+Inputs!$C$52^2-2*(Inputs!$C$52+(Inputs!$H$9))*Inputs!$C$52*COS(SQRT((Scenario_Data!W141)^2+Inputs!$C$6^2)/Inputs!$C$52)))-(Inputs!$H$9))*1000/Inputs!$C$12)</f>
        <v>-9403.2197680937752</v>
      </c>
      <c r="O141">
        <f>Scenario_Data!T141</f>
        <v>9.4799999999999898</v>
      </c>
      <c r="P141">
        <f>2*(Scenario_Data!B141*1000)/Inputs!$C$21*1000000</f>
        <v>2669.1789291110185</v>
      </c>
      <c r="Q141">
        <f>Scenario_Data!U141</f>
        <v>63.199999999999989</v>
      </c>
      <c r="R141">
        <f>2*(Scenario_Data!C141*1000)/Inputs!$C$21*1000000</f>
        <v>294.2826533681511</v>
      </c>
      <c r="S141">
        <f>Scenario_Data!V141</f>
        <v>126.39999999999998</v>
      </c>
      <c r="T141">
        <f>2*(Scenario_Data!D141*1000)/Inputs!$C$21*1000000</f>
        <v>394.20778223847111</v>
      </c>
      <c r="U141">
        <f>Scenario_Data!W141</f>
        <v>126.39999999999998</v>
      </c>
      <c r="V141">
        <f>2*(Scenario_Data!E141*1000)/Inputs!$C$21*1000000</f>
        <v>329.16038201334601</v>
      </c>
      <c r="X141">
        <f>Scenario_Data!T141</f>
        <v>9.4799999999999898</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2669.0410756188267</v>
      </c>
      <c r="Z141">
        <f>Scenario_Data!U141</f>
        <v>63.199999999999989</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294.08928666556795</v>
      </c>
      <c r="AB141">
        <f>Scenario_Data!V141</f>
        <v>126.39999999999998</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393.96041198478542</v>
      </c>
      <c r="AD141">
        <f>Scenario_Data!W141</f>
        <v>126.39999999999998</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328.91301175966038</v>
      </c>
      <c r="AG141">
        <f>Scenario_Data!T141</f>
        <v>9.4799999999999898</v>
      </c>
      <c r="AH141">
        <f>2*(SQRT((Inputs!$C$52+(Scenario_Data!B141))^2+Inputs!$C$52^2-2*(Inputs!$C$52+(Scenario_Data!B141))*Inputs!$C$52*COS(SQRT((Scenario_Data!T141)^2+Inputs!$C$6^2)/Inputs!$C$52))*1000)/Inputs!$C$21*1000000</f>
        <v>2676.6559380375311</v>
      </c>
      <c r="AI141">
        <f>Scenario_Data!U141</f>
        <v>63.199999999999989</v>
      </c>
      <c r="AJ141">
        <f>2*(SQRT((Inputs!$C$52+(Scenario_Data!C141))^2+Inputs!$C$52^2-2*(Inputs!$C$52+(Scenario_Data!C141))*Inputs!$C$52*COS(SQRT((Scenario_Data!U141)^2+Inputs!$C$6^2)/Inputs!$C$52))*1000)/Inputs!$C$21*1000000</f>
        <v>545.85993350873184</v>
      </c>
      <c r="AK141">
        <f>Scenario_Data!V141</f>
        <v>126.39999999999998</v>
      </c>
      <c r="AL141">
        <f>2*(SQRT((Inputs!$C$52+(Scenario_Data!D141))^2+Inputs!$C$52^2-2*(Inputs!$C$52+(Scenario_Data!D141))*Inputs!$C$52*COS(SQRT((Scenario_Data!V141)^2+Inputs!$C$6^2)/Inputs!$C$52))*1000)/Inputs!$C$21*1000000</f>
        <v>960.11703342820601</v>
      </c>
      <c r="AM141">
        <f>Scenario_Data!W141</f>
        <v>126.39999999999998</v>
      </c>
      <c r="AN141">
        <f>2*(SQRT((Inputs!$C$52+(Scenario_Data!E141))^2+Inputs!$C$52^2-2*(Inputs!$C$52+(Scenario_Data!E141))*Inputs!$C$52*COS(SQRT((Scenario_Data!W141)^2+Inputs!$C$6^2)/Inputs!$C$52))*1000)/Inputs!$C$21*1000000</f>
        <v>932.82274514534868</v>
      </c>
      <c r="AP141">
        <f>Scenario_Data!T141</f>
        <v>9.4799999999999898</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2673.5257336157001</v>
      </c>
      <c r="AR141">
        <f>Scenario_Data!U141</f>
        <v>63.199999999999989</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545.29452697986096</v>
      </c>
      <c r="AT141">
        <f>Scenario_Data!V141</f>
        <v>126.39999999999998</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959.76811067927008</v>
      </c>
      <c r="AV141">
        <f>Scenario_Data!W141</f>
        <v>126.39999999999998</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932.52884488052541</v>
      </c>
    </row>
    <row r="142" spans="1:49">
      <c r="A142">
        <f>Chart_Data!K142</f>
        <v>10</v>
      </c>
      <c r="B142">
        <f>Chart_Data!N142-Chart_Data!L142</f>
        <v>6.950709341010338</v>
      </c>
      <c r="D142">
        <f>Chart_Data!G142</f>
        <v>10</v>
      </c>
      <c r="E142">
        <f>Chart_Data!H142</f>
        <v>454.20220076904832</v>
      </c>
      <c r="F142">
        <f>Chart_Data!I142</f>
        <v>454.20220076904832</v>
      </c>
      <c r="G142">
        <f>Chart_Data!J142</f>
        <v>-8.569441618173812</v>
      </c>
      <c r="I142">
        <f>Scenario_Data!A142</f>
        <v>0.16700000000000001</v>
      </c>
      <c r="J142">
        <f>Scenario_Data!H142-(((SQRT((Inputs!$C$52+(Inputs!$H$6))^2+Inputs!$C$52^2-2*(Inputs!$C$52+(Inputs!$H$6))*Inputs!$C$52*COS(SQRT((Scenario_Data!T142)^2+Inputs!$C$6^2)/Inputs!$C$52)))-(Inputs!$H$6))*1000/Inputs!$C$12)</f>
        <v>-0.14137113236063215</v>
      </c>
      <c r="K142">
        <f>Scenario_Data!I142-(((SQRT((Inputs!$C$52+(Inputs!$H$7))^2+Inputs!$C$52^2-2*(Inputs!$C$52+(Inputs!$H$7))*Inputs!$C$52*COS(SQRT((Scenario_Data!U142)^2+Inputs!$C$6^2)/Inputs!$C$52)))-(Inputs!$H$7))*1000/Inputs!$C$12)</f>
        <v>-2834.7671819467178</v>
      </c>
      <c r="L142">
        <f>Scenario_Data!J142-(((SQRT((Inputs!$C$52+(Inputs!$H$8))^2+Inputs!$C$52^2-2*(Inputs!$C$52+(Inputs!$H$8))*Inputs!$C$52*COS(SQRT((Scenario_Data!V142)^2+Inputs!$C$6^2)/Inputs!$C$52)))-(Inputs!$H$8))*1000/Inputs!$C$12)</f>
        <v>-9518.3342443124784</v>
      </c>
      <c r="M142">
        <f>Scenario_Data!K142-(((SQRT((Inputs!$C$52+(Inputs!$H$9))^2+Inputs!$C$52^2-2*(Inputs!$C$52+(Inputs!$H$9))*Inputs!$C$52*COS(SQRT((Scenario_Data!W142)^2+Inputs!$C$6^2)/Inputs!$C$52)))-(Inputs!$H$9))*1000/Inputs!$C$12)</f>
        <v>-10536.017531248719</v>
      </c>
      <c r="O142">
        <f>Scenario_Data!T142</f>
        <v>10.019999999999996</v>
      </c>
      <c r="P142">
        <f>2*(Scenario_Data!B142*1000)/Inputs!$C$21*1000000</f>
        <v>2669.2569831092951</v>
      </c>
      <c r="Q142">
        <f>Scenario_Data!U142</f>
        <v>66.800000000000011</v>
      </c>
      <c r="R142">
        <f>2*(Scenario_Data!C142*1000)/Inputs!$C$21*1000000</f>
        <v>301.40508071086964</v>
      </c>
      <c r="S142">
        <f>Scenario_Data!V142</f>
        <v>133.60000000000002</v>
      </c>
      <c r="T142">
        <f>2*(Scenario_Data!D142*1000)/Inputs!$C$21*1000000</f>
        <v>413.03830932264486</v>
      </c>
      <c r="U142">
        <f>Scenario_Data!W142</f>
        <v>133.60000000000002</v>
      </c>
      <c r="V142">
        <f>2*(Scenario_Data!E142*1000)/Inputs!$C$21*1000000</f>
        <v>348.18604409321068</v>
      </c>
      <c r="X142">
        <f>Scenario_Data!T142</f>
        <v>10.019999999999996</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2669.2914899172429</v>
      </c>
      <c r="Z142">
        <f>Scenario_Data!U142</f>
        <v>66.800000000000011</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301.65407174238152</v>
      </c>
      <c r="AB142">
        <f>Scenario_Data!V142</f>
        <v>133.60000000000002</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412.67306719892719</v>
      </c>
      <c r="AD142">
        <f>Scenario_Data!W142</f>
        <v>133.60000000000002</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347.82080196949306</v>
      </c>
      <c r="AG142">
        <f>Scenario_Data!T142</f>
        <v>10.019999999999996</v>
      </c>
      <c r="AH142">
        <f>2*(SQRT((Inputs!$C$52+(Scenario_Data!B142))^2+Inputs!$C$52^2-2*(Inputs!$C$52+(Scenario_Data!B142))*Inputs!$C$52*COS(SQRT((Scenario_Data!T142)^2+Inputs!$C$6^2)/Inputs!$C$52))*1000)/Inputs!$C$21*1000000</f>
        <v>2676.843793107199</v>
      </c>
      <c r="AI142">
        <f>Scenario_Data!U142</f>
        <v>66.800000000000011</v>
      </c>
      <c r="AJ142">
        <f>2*(SQRT((Inputs!$C$52+(Scenario_Data!C142))^2+Inputs!$C$52^2-2*(Inputs!$C$52+(Scenario_Data!C142))*Inputs!$C$52*COS(SQRT((Scenario_Data!U142)^2+Inputs!$C$6^2)/Inputs!$C$52))*1000)/Inputs!$C$21*1000000</f>
        <v>569.00880810029753</v>
      </c>
      <c r="AK142">
        <f>Scenario_Data!V142</f>
        <v>133.60000000000002</v>
      </c>
      <c r="AL142">
        <f>2*(SQRT((Inputs!$C$52+(Scenario_Data!D142))^2+Inputs!$C$52^2-2*(Inputs!$C$52+(Scenario_Data!D142))*Inputs!$C$52*COS(SQRT((Scenario_Data!V142)^2+Inputs!$C$6^2)/Inputs!$C$52))*1000)/Inputs!$C$21*1000000</f>
        <v>1012.362240937457</v>
      </c>
      <c r="AM142">
        <f>Scenario_Data!W142</f>
        <v>133.60000000000002</v>
      </c>
      <c r="AN142">
        <f>2*(SQRT((Inputs!$C$52+(Scenario_Data!E142))^2+Inputs!$C$52^2-2*(Inputs!$C$52+(Scenario_Data!E142))*Inputs!$C$52*COS(SQRT((Scenario_Data!W142)^2+Inputs!$C$6^2)/Inputs!$C$52))*1000)/Inputs!$C$21*1000000</f>
        <v>985.08502580385175</v>
      </c>
      <c r="AP142">
        <f>Scenario_Data!T142</f>
        <v>10.019999999999996</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2673.8821196789372</v>
      </c>
      <c r="AR142">
        <f>Scenario_Data!U142</f>
        <v>66.800000000000011</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568.61600000218164</v>
      </c>
      <c r="AT142">
        <f>Scenario_Data!V142</f>
        <v>133.60000000000002</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1011.9614443866486</v>
      </c>
      <c r="AV142">
        <f>Scenario_Data!W142</f>
        <v>133.60000000000002</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984.74477679457118</v>
      </c>
    </row>
    <row r="143" spans="1:49">
      <c r="A143">
        <f>Chart_Data!K143</f>
        <v>10.5</v>
      </c>
      <c r="B143">
        <f>Chart_Data!N143-Chart_Data!L143</f>
        <v>-6.5189003511737269</v>
      </c>
      <c r="D143">
        <f>Chart_Data!G143</f>
        <v>10.5</v>
      </c>
      <c r="E143">
        <f>Chart_Data!H143</f>
        <v>437.9381023255097</v>
      </c>
      <c r="F143">
        <f>Chart_Data!I143</f>
        <v>437.9381023255097</v>
      </c>
      <c r="G143">
        <f>Chart_Data!J143</f>
        <v>4.9362904077748144</v>
      </c>
      <c r="I143">
        <f>Scenario_Data!A143</f>
        <v>0.17499999999999999</v>
      </c>
      <c r="J143">
        <f>Scenario_Data!H143-(((SQRT((Inputs!$C$52+(Inputs!$H$6))^2+Inputs!$C$52^2-2*(Inputs!$C$52+(Inputs!$H$6))*Inputs!$C$52*COS(SQRT((Scenario_Data!T143)^2+Inputs!$C$6^2)/Inputs!$C$52)))-(Inputs!$H$6))*1000/Inputs!$C$12)</f>
        <v>-0.15733377440119511</v>
      </c>
      <c r="K143">
        <f>Scenario_Data!I143-(((SQRT((Inputs!$C$52+(Inputs!$H$7))^2+Inputs!$C$52^2-2*(Inputs!$C$52+(Inputs!$H$7))*Inputs!$C$52*COS(SQRT((Scenario_Data!U143)^2+Inputs!$C$6^2)/Inputs!$C$52)))-(Inputs!$H$7))*1000/Inputs!$C$12)</f>
        <v>-3174.6987799832932</v>
      </c>
      <c r="L143">
        <f>Scenario_Data!J143-(((SQRT((Inputs!$C$52+(Inputs!$H$8))^2+Inputs!$C$52^2-2*(Inputs!$C$52+(Inputs!$H$8))*Inputs!$C$52*COS(SQRT((Scenario_Data!V143)^2+Inputs!$C$6^2)/Inputs!$C$52)))-(Inputs!$H$8))*1000/Inputs!$C$12)</f>
        <v>-10513.469745248251</v>
      </c>
      <c r="M143">
        <f>Scenario_Data!K143-(((SQRT((Inputs!$C$52+(Inputs!$H$9))^2+Inputs!$C$52^2-2*(Inputs!$C$52+(Inputs!$H$9))*Inputs!$C$52*COS(SQRT((Scenario_Data!W143)^2+Inputs!$C$6^2)/Inputs!$C$52)))-(Inputs!$H$9))*1000/Inputs!$C$12)</f>
        <v>-11588.17818289464</v>
      </c>
      <c r="O143">
        <f>Scenario_Data!T143</f>
        <v>10.5</v>
      </c>
      <c r="P143">
        <f>2*(Scenario_Data!B143*1000)/Inputs!$C$21*1000000</f>
        <v>2669.3299936184521</v>
      </c>
      <c r="Q143">
        <f>Scenario_Data!U143</f>
        <v>70</v>
      </c>
      <c r="R143">
        <f>2*(Scenario_Data!C143*1000)/Inputs!$C$21*1000000</f>
        <v>308.06728967144329</v>
      </c>
      <c r="S143">
        <f>Scenario_Data!V143</f>
        <v>140</v>
      </c>
      <c r="T143">
        <f>2*(Scenario_Data!D143*1000)/Inputs!$C$21*1000000</f>
        <v>430.65209465676418</v>
      </c>
      <c r="U143">
        <f>Scenario_Data!W143</f>
        <v>140</v>
      </c>
      <c r="V143">
        <f>2*(Scenario_Data!E143*1000)/Inputs!$C$21*1000000</f>
        <v>365.98235570022246</v>
      </c>
      <c r="X143">
        <f>Scenario_Data!T143</f>
        <v>10.5</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2669.2970622335815</v>
      </c>
      <c r="Z143">
        <f>Scenario_Data!U143</f>
        <v>70</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308.3339924924266</v>
      </c>
      <c r="AB143">
        <f>Scenario_Data!V143</f>
        <v>140</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430.47048810299287</v>
      </c>
      <c r="AD143">
        <f>Scenario_Data!W143</f>
        <v>140</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365.80074914645121</v>
      </c>
      <c r="AG143">
        <f>Scenario_Data!T143</f>
        <v>10.5</v>
      </c>
      <c r="AH143">
        <f>2*(SQRT((Inputs!$C$52+(Scenario_Data!B143))^2+Inputs!$C$52^2-2*(Inputs!$C$52+(Scenario_Data!B143))*Inputs!$C$52*COS(SQRT((Scenario_Data!T143)^2+Inputs!$C$6^2)/Inputs!$C$52))*1000)/Inputs!$C$21*1000000</f>
        <v>2677.019501093122</v>
      </c>
      <c r="AI143">
        <f>Scenario_Data!U143</f>
        <v>70</v>
      </c>
      <c r="AJ143">
        <f>2*(SQRT((Inputs!$C$52+(Scenario_Data!C143))^2+Inputs!$C$52^2-2*(Inputs!$C$52+(Scenario_Data!C143))*Inputs!$C$52*COS(SQRT((Scenario_Data!U143)^2+Inputs!$C$6^2)/Inputs!$C$52))*1000)/Inputs!$C$21*1000000</f>
        <v>589.93930874913281</v>
      </c>
      <c r="AK143">
        <f>Scenario_Data!V143</f>
        <v>140</v>
      </c>
      <c r="AL143">
        <f>2*(SQRT((Inputs!$C$52+(Scenario_Data!D143))^2+Inputs!$C$52^2-2*(Inputs!$C$52+(Scenario_Data!D143))*Inputs!$C$52*COS(SQRT((Scenario_Data!V143)^2+Inputs!$C$6^2)/Inputs!$C$52))*1000)/Inputs!$C$21*1000000</f>
        <v>1059.3278163208254</v>
      </c>
      <c r="AM143">
        <f>Scenario_Data!W143</f>
        <v>140</v>
      </c>
      <c r="AN143">
        <f>2*(SQRT((Inputs!$C$52+(Scenario_Data!E143))^2+Inputs!$C$52^2-2*(Inputs!$C$52+(Scenario_Data!E143))*Inputs!$C$52*COS(SQRT((Scenario_Data!W143)^2+Inputs!$C$6^2)/Inputs!$C$52))*1000)/Inputs!$C$21*1000000</f>
        <v>1032.0225937697833</v>
      </c>
      <c r="AP143">
        <f>Scenario_Data!T143</f>
        <v>10.5</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2674.108450593098</v>
      </c>
      <c r="AR143">
        <f>Scenario_Data!U143</f>
        <v>70</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589.59507301286499</v>
      </c>
      <c r="AT143">
        <f>Scenario_Data!V143</f>
        <v>140</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1059.1278356854446</v>
      </c>
      <c r="AV143">
        <f>Scenario_Data!W143</f>
        <v>140</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1031.8516257890719</v>
      </c>
    </row>
    <row r="144" spans="1:49">
      <c r="A144">
        <f>Chart_Data!K144</f>
        <v>11</v>
      </c>
      <c r="B144">
        <f>Chart_Data!N144-Chart_Data!L144</f>
        <v>-3.5716399061417405</v>
      </c>
      <c r="D144">
        <f>Chart_Data!G144</f>
        <v>11</v>
      </c>
      <c r="E144">
        <f>Chart_Data!H144</f>
        <v>444.93860770344918</v>
      </c>
      <c r="F144">
        <f>Chart_Data!I144</f>
        <v>444.93860770344918</v>
      </c>
      <c r="G144">
        <f>Chart_Data!J144</f>
        <v>1.9403678384373038</v>
      </c>
      <c r="I144">
        <f>Scenario_Data!A144</f>
        <v>0.183</v>
      </c>
      <c r="J144">
        <f>Scenario_Data!H144-(((SQRT((Inputs!$C$52+(Inputs!$H$6))^2+Inputs!$C$52^2-2*(Inputs!$C$52+(Inputs!$H$6))*Inputs!$C$52*COS(SQRT((Scenario_Data!T144)^2+Inputs!$C$6^2)/Inputs!$C$52)))-(Inputs!$H$6))*1000/Inputs!$C$12)</f>
        <v>-0.17444351947665382</v>
      </c>
      <c r="K144">
        <f>Scenario_Data!I144-(((SQRT((Inputs!$C$52+(Inputs!$H$7))^2+Inputs!$C$52^2-2*(Inputs!$C$52+(Inputs!$H$7))*Inputs!$C$52*COS(SQRT((Scenario_Data!U144)^2+Inputs!$C$6^2)/Inputs!$C$52)))-(Inputs!$H$7))*1000/Inputs!$C$12)</f>
        <v>-3533.9191182778195</v>
      </c>
      <c r="L144">
        <f>Scenario_Data!J144-(((SQRT((Inputs!$C$52+(Inputs!$H$8))^2+Inputs!$C$52^2-2*(Inputs!$C$52+(Inputs!$H$8))*Inputs!$C$52*COS(SQRT((Scenario_Data!V144)^2+Inputs!$C$6^2)/Inputs!$C$52)))-(Inputs!$H$8))*1000/Inputs!$C$12)</f>
        <v>-11550.242027722496</v>
      </c>
      <c r="M144">
        <f>Scenario_Data!K144-(((SQRT((Inputs!$C$52+(Inputs!$H$9))^2+Inputs!$C$52^2-2*(Inputs!$C$52+(Inputs!$H$9))*Inputs!$C$52*COS(SQRT((Scenario_Data!W144)^2+Inputs!$C$6^2)/Inputs!$C$52)))-(Inputs!$H$9))*1000/Inputs!$C$12)</f>
        <v>-12681.604714695779</v>
      </c>
      <c r="O144">
        <f>Scenario_Data!T144</f>
        <v>10.980000000000004</v>
      </c>
      <c r="P144">
        <f>2*(Scenario_Data!B144*1000)/Inputs!$C$21*1000000</f>
        <v>2669.4064198239439</v>
      </c>
      <c r="Q144">
        <f>Scenario_Data!U144</f>
        <v>73.200000000000045</v>
      </c>
      <c r="R144">
        <f>2*(Scenario_Data!C144*1000)/Inputs!$C$21*1000000</f>
        <v>315.04118092257016</v>
      </c>
      <c r="S144">
        <f>Scenario_Data!V144</f>
        <v>146.40000000000009</v>
      </c>
      <c r="T144">
        <f>2*(Scenario_Data!D144*1000)/Inputs!$C$21*1000000</f>
        <v>449.08991673166133</v>
      </c>
      <c r="U144">
        <f>Scenario_Data!W144</f>
        <v>146.40000000000009</v>
      </c>
      <c r="V144">
        <f>2*(Scenario_Data!E144*1000)/Inputs!$C$21*1000000</f>
        <v>384.6112432888491</v>
      </c>
      <c r="X144">
        <f>Scenario_Data!T144</f>
        <v>10.980000000000004</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2669.4129477465203</v>
      </c>
      <c r="Z144">
        <f>Scenario_Data!U144</f>
        <v>73.200000000000045</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314.94191553996393</v>
      </c>
      <c r="AB144">
        <f>Scenario_Data!V144</f>
        <v>146.40000000000009</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448.65774247510933</v>
      </c>
      <c r="AD144">
        <f>Scenario_Data!W144</f>
        <v>146.40000000000009</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384.17906903229709</v>
      </c>
      <c r="AG144">
        <f>Scenario_Data!T144</f>
        <v>10.980000000000004</v>
      </c>
      <c r="AH144">
        <f>2*(SQRT((Inputs!$C$52+(Scenario_Data!B144))^2+Inputs!$C$52^2-2*(Inputs!$C$52+(Scenario_Data!B144))*Inputs!$C$52*COS(SQRT((Scenario_Data!T144)^2+Inputs!$C$6^2)/Inputs!$C$52))*1000)/Inputs!$C$21*1000000</f>
        <v>2677.2034202705154</v>
      </c>
      <c r="AI144">
        <f>Scenario_Data!U144</f>
        <v>73.200000000000045</v>
      </c>
      <c r="AJ144">
        <f>2*(SQRT((Inputs!$C$52+(Scenario_Data!C144))^2+Inputs!$C$52^2-2*(Inputs!$C$52+(Scenario_Data!C144))*Inputs!$C$52*COS(SQRT((Scenario_Data!U144)^2+Inputs!$C$6^2)/Inputs!$C$52))*1000)/Inputs!$C$21*1000000</f>
        <v>611.18062071366592</v>
      </c>
      <c r="AK144">
        <f>Scenario_Data!V144</f>
        <v>146.40000000000009</v>
      </c>
      <c r="AL144">
        <f>2*(SQRT((Inputs!$C$52+(Scenario_Data!D144))^2+Inputs!$C$52^2-2*(Inputs!$C$52+(Scenario_Data!D144))*Inputs!$C$52*COS(SQRT((Scenario_Data!V144)^2+Inputs!$C$6^2)/Inputs!$C$52))*1000)/Inputs!$C$21*1000000</f>
        <v>1106.7799512839299</v>
      </c>
      <c r="AM144">
        <f>Scenario_Data!W144</f>
        <v>146.40000000000009</v>
      </c>
      <c r="AN144">
        <f>2*(SQRT((Inputs!$C$52+(Scenario_Data!E144))^2+Inputs!$C$52^2-2*(Inputs!$C$52+(Scenario_Data!E144))*Inputs!$C$52*COS(SQRT((Scenario_Data!W144)^2+Inputs!$C$6^2)/Inputs!$C$52))*1000)/Inputs!$C$21*1000000</f>
        <v>1079.4124988914414</v>
      </c>
      <c r="AP144">
        <f>Scenario_Data!T144</f>
        <v>10.980000000000004</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2674.2842198249568</v>
      </c>
      <c r="AR144">
        <f>Scenario_Data!U144</f>
        <v>73.200000000000045</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610.62327523191266</v>
      </c>
      <c r="AT144">
        <f>Scenario_Data!V144</f>
        <v>146.40000000000009</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1106.2320111687281</v>
      </c>
      <c r="AV144">
        <f>Scenario_Data!W144</f>
        <v>146.40000000000009</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1078.941017998533</v>
      </c>
    </row>
    <row r="145" spans="1:49">
      <c r="A145">
        <f>Chart_Data!K145</f>
        <v>11.5</v>
      </c>
      <c r="B145">
        <f>Chart_Data!N145-Chart_Data!L145</f>
        <v>-5.6614208329860958</v>
      </c>
      <c r="D145">
        <f>Chart_Data!G145</f>
        <v>11.5</v>
      </c>
      <c r="E145">
        <f>Chart_Data!H145</f>
        <v>434.44467895572086</v>
      </c>
      <c r="F145">
        <f>Chart_Data!I145</f>
        <v>434.44467895572086</v>
      </c>
      <c r="G145">
        <f>Chart_Data!J145</f>
        <v>4.0448246838212674</v>
      </c>
      <c r="I145">
        <f>Scenario_Data!A145</f>
        <v>0.192</v>
      </c>
      <c r="J145">
        <f>Scenario_Data!H145-(((SQRT((Inputs!$C$52+(Inputs!$H$6))^2+Inputs!$C$52^2-2*(Inputs!$C$52+(Inputs!$H$6))*Inputs!$C$52*COS(SQRT((Scenario_Data!T145)^2+Inputs!$C$6^2)/Inputs!$C$52)))-(Inputs!$H$6))*1000/Inputs!$C$12)</f>
        <v>-0.1951314257202057</v>
      </c>
      <c r="K145">
        <f>Scenario_Data!I145-(((SQRT((Inputs!$C$52+(Inputs!$H$7))^2+Inputs!$C$52^2-2*(Inputs!$C$52+(Inputs!$H$7))*Inputs!$C$52*COS(SQRT((Scenario_Data!U145)^2+Inputs!$C$6^2)/Inputs!$C$52)))-(Inputs!$H$7))*1000/Inputs!$C$12)</f>
        <v>-3960.7421763302191</v>
      </c>
      <c r="L145">
        <f>Scenario_Data!J145-(((SQRT((Inputs!$C$52+(Inputs!$H$8))^2+Inputs!$C$52^2-2*(Inputs!$C$52+(Inputs!$H$8))*Inputs!$C$52*COS(SQRT((Scenario_Data!V145)^2+Inputs!$C$6^2)/Inputs!$C$52)))-(Inputs!$H$8))*1000/Inputs!$C$12)</f>
        <v>-12764.866565310112</v>
      </c>
      <c r="M145">
        <f>Scenario_Data!K145-(((SQRT((Inputs!$C$52+(Inputs!$H$9))^2+Inputs!$C$52^2-2*(Inputs!$C$52+(Inputs!$H$9))*Inputs!$C$52*COS(SQRT((Scenario_Data!W145)^2+Inputs!$C$6^2)/Inputs!$C$52)))-(Inputs!$H$9))*1000/Inputs!$C$12)</f>
        <v>-13959.503640642601</v>
      </c>
      <c r="O145">
        <f>Scenario_Data!T145</f>
        <v>11.519999999999996</v>
      </c>
      <c r="P145">
        <f>2*(Scenario_Data!B145*1000)/Inputs!$C$21*1000000</f>
        <v>2669.4964821296471</v>
      </c>
      <c r="Q145">
        <f>Scenario_Data!U145</f>
        <v>76.799999999999955</v>
      </c>
      <c r="R145">
        <f>2*(Scenario_Data!C145*1000)/Inputs!$C$21*1000000</f>
        <v>323.25936631801449</v>
      </c>
      <c r="S145">
        <f>Scenario_Data!V145</f>
        <v>153.59999999999991</v>
      </c>
      <c r="T145">
        <f>2*(Scenario_Data!D145*1000)/Inputs!$C$21*1000000</f>
        <v>470.81744798263048</v>
      </c>
      <c r="U145">
        <f>Scenario_Data!W145</f>
        <v>153.59999999999991</v>
      </c>
      <c r="V145">
        <f>2*(Scenario_Data!E145*1000)/Inputs!$C$21*1000000</f>
        <v>406.56393030407702</v>
      </c>
      <c r="X145">
        <f>Scenario_Data!T145</f>
        <v>11.519999999999996</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2669.607567389517</v>
      </c>
      <c r="Z145">
        <f>Scenario_Data!U145</f>
        <v>76.799999999999955</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322.83349393173665</v>
      </c>
      <c r="AB145">
        <f>Scenario_Data!V145</f>
        <v>153.59999999999991</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470.35834754862861</v>
      </c>
      <c r="AD145">
        <f>Scenario_Data!W145</f>
        <v>153.59999999999991</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406.10482987007515</v>
      </c>
      <c r="AG145">
        <f>Scenario_Data!T145</f>
        <v>11.519999999999996</v>
      </c>
      <c r="AH145">
        <f>2*(SQRT((Inputs!$C$52+(Scenario_Data!B145))^2+Inputs!$C$52^2-2*(Inputs!$C$52+(Scenario_Data!B145))*Inputs!$C$52*COS(SQRT((Scenario_Data!T145)^2+Inputs!$C$6^2)/Inputs!$C$52))*1000)/Inputs!$C$21*1000000</f>
        <v>2677.4201427373237</v>
      </c>
      <c r="AI145">
        <f>Scenario_Data!U145</f>
        <v>76.799999999999955</v>
      </c>
      <c r="AJ145">
        <f>2*(SQRT((Inputs!$C$52+(Scenario_Data!C145))^2+Inputs!$C$52^2-2*(Inputs!$C$52+(Scenario_Data!C145))*Inputs!$C$52*COS(SQRT((Scenario_Data!U145)^2+Inputs!$C$6^2)/Inputs!$C$52))*1000)/Inputs!$C$21*1000000</f>
        <v>635.42608587189397</v>
      </c>
      <c r="AK145">
        <f>Scenario_Data!V145</f>
        <v>153.59999999999991</v>
      </c>
      <c r="AL145">
        <f>2*(SQRT((Inputs!$C$52+(Scenario_Data!D145))^2+Inputs!$C$52^2-2*(Inputs!$C$52+(Scenario_Data!D145))*Inputs!$C$52*COS(SQRT((Scenario_Data!V145)^2+Inputs!$C$6^2)/Inputs!$C$52))*1000)/Inputs!$C$21*1000000</f>
        <v>1160.7398106982935</v>
      </c>
      <c r="AM145">
        <f>Scenario_Data!W145</f>
        <v>153.59999999999991</v>
      </c>
      <c r="AN145">
        <f>2*(SQRT((Inputs!$C$52+(Scenario_Data!E145))^2+Inputs!$C$52^2-2*(Inputs!$C$52+(Scenario_Data!E145))*Inputs!$C$52*COS(SQRT((Scenario_Data!W145)^2+Inputs!$C$6^2)/Inputs!$C$52))*1000)/Inputs!$C$21*1000000</f>
        <v>1133.2680310356866</v>
      </c>
      <c r="AP145">
        <f>Scenario_Data!T145</f>
        <v>11.519999999999996</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2674.6197712683879</v>
      </c>
      <c r="AR145">
        <f>Scenario_Data!U145</f>
        <v>76.799999999999955</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634.71424303829974</v>
      </c>
      <c r="AT145">
        <f>Scenario_Data!V145</f>
        <v>153.59999999999991</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1160.4295298230816</v>
      </c>
      <c r="AV145">
        <f>Scenario_Data!W145</f>
        <v>153.59999999999991</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1132.999036177561</v>
      </c>
    </row>
    <row r="146" spans="1:49">
      <c r="A146">
        <f>Chart_Data!K146</f>
        <v>12</v>
      </c>
      <c r="B146">
        <f>Chart_Data!N146-Chart_Data!L146</f>
        <v>-8.6714835805954635</v>
      </c>
      <c r="D146">
        <f>Chart_Data!G146</f>
        <v>12</v>
      </c>
      <c r="E146">
        <f>Chart_Data!H146</f>
        <v>422.8387186345762</v>
      </c>
      <c r="F146">
        <f>Chart_Data!I146</f>
        <v>422.8387186345762</v>
      </c>
      <c r="G146">
        <f>Chart_Data!J146</f>
        <v>7.073891806129688</v>
      </c>
      <c r="I146">
        <f>Scenario_Data!A146</f>
        <v>0.2</v>
      </c>
      <c r="J146">
        <f>Scenario_Data!H146-(((SQRT((Inputs!$C$52+(Inputs!$H$6))^2+Inputs!$C$52^2-2*(Inputs!$C$52+(Inputs!$H$6))*Inputs!$C$52*COS(SQRT((Scenario_Data!T146)^2+Inputs!$C$6^2)/Inputs!$C$52)))-(Inputs!$H$6))*1000/Inputs!$C$12)</f>
        <v>-0.21486365220766857</v>
      </c>
      <c r="K146">
        <f>Scenario_Data!I146-(((SQRT((Inputs!$C$52+(Inputs!$H$7))^2+Inputs!$C$52^2-2*(Inputs!$C$52+(Inputs!$H$7))*Inputs!$C$52*COS(SQRT((Scenario_Data!U146)^2+Inputs!$C$6^2)/Inputs!$C$52)))-(Inputs!$H$7))*1000/Inputs!$C$12)</f>
        <v>-4359.9901999884787</v>
      </c>
      <c r="L146">
        <f>Scenario_Data!J146-(((SQRT((Inputs!$C$52+(Inputs!$H$8))^2+Inputs!$C$52^2-2*(Inputs!$C$52+(Inputs!$H$8))*Inputs!$C$52*COS(SQRT((Scenario_Data!V146)^2+Inputs!$C$6^2)/Inputs!$C$52)))-(Inputs!$H$8))*1000/Inputs!$C$12)</f>
        <v>-13886.103797269352</v>
      </c>
      <c r="M146">
        <f>Scenario_Data!K146-(((SQRT((Inputs!$C$52+(Inputs!$H$9))^2+Inputs!$C$52^2-2*(Inputs!$C$52+(Inputs!$H$9))*Inputs!$C$52*COS(SQRT((Scenario_Data!W146)^2+Inputs!$C$6^2)/Inputs!$C$52)))-(Inputs!$H$9))*1000/Inputs!$C$12)</f>
        <v>-15136.55814203358</v>
      </c>
      <c r="O146">
        <f>Scenario_Data!T146</f>
        <v>12</v>
      </c>
      <c r="P146">
        <f>2*(Scenario_Data!B146*1000)/Inputs!$C$21*1000000</f>
        <v>2669.5801666898506</v>
      </c>
      <c r="Q146">
        <f>Scenario_Data!U146</f>
        <v>80</v>
      </c>
      <c r="R146">
        <f>2*(Scenario_Data!C146*1000)/Inputs!$C$21*1000000</f>
        <v>330.89558243656683</v>
      </c>
      <c r="S146">
        <f>Scenario_Data!V146</f>
        <v>160</v>
      </c>
      <c r="T146">
        <f>2*(Scenario_Data!D146*1000)/Inputs!$C$21*1000000</f>
        <v>491.00634813167994</v>
      </c>
      <c r="U146">
        <f>Scenario_Data!W146</f>
        <v>160</v>
      </c>
      <c r="V146">
        <f>2*(Scenario_Data!E146*1000)/Inputs!$C$21*1000000</f>
        <v>426.96204185363462</v>
      </c>
      <c r="X146">
        <f>Scenario_Data!T146</f>
        <v>12</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2669.5329747634537</v>
      </c>
      <c r="Z146">
        <f>Scenario_Data!U146</f>
        <v>80</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330.57429212342959</v>
      </c>
      <c r="AB146">
        <f>Scenario_Data!V146</f>
        <v>160</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490.82527033564003</v>
      </c>
      <c r="AD146">
        <f>Scenario_Data!W146</f>
        <v>160</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426.78096405759464</v>
      </c>
      <c r="AG146">
        <f>Scenario_Data!T146</f>
        <v>12</v>
      </c>
      <c r="AH146">
        <f>2*(SQRT((Inputs!$C$52+(Scenario_Data!B146))^2+Inputs!$C$52^2-2*(Inputs!$C$52+(Scenario_Data!B146))*Inputs!$C$52*COS(SQRT((Scenario_Data!T146)^2+Inputs!$C$6^2)/Inputs!$C$52))*1000)/Inputs!$C$21*1000000</f>
        <v>2677.6215065069619</v>
      </c>
      <c r="AI146">
        <f>Scenario_Data!U146</f>
        <v>80</v>
      </c>
      <c r="AJ146">
        <f>2*(SQRT((Inputs!$C$52+(Scenario_Data!C146))^2+Inputs!$C$52^2-2*(Inputs!$C$52+(Scenario_Data!C146))*Inputs!$C$52*COS(SQRT((Scenario_Data!U146)^2+Inputs!$C$6^2)/Inputs!$C$52))*1000)/Inputs!$C$21*1000000</f>
        <v>657.27068851642468</v>
      </c>
      <c r="AK146">
        <f>Scenario_Data!V146</f>
        <v>160</v>
      </c>
      <c r="AL146">
        <f>2*(SQRT((Inputs!$C$52+(Scenario_Data!D146))^2+Inputs!$C$52^2-2*(Inputs!$C$52+(Scenario_Data!D146))*Inputs!$C$52*COS(SQRT((Scenario_Data!V146)^2+Inputs!$C$6^2)/Inputs!$C$52))*1000)/Inputs!$C$21*1000000</f>
        <v>1209.2143519498034</v>
      </c>
      <c r="AM146">
        <f>Scenario_Data!W146</f>
        <v>160</v>
      </c>
      <c r="AN146">
        <f>2*(SQRT((Inputs!$C$52+(Scenario_Data!E146))^2+Inputs!$C$52^2-2*(Inputs!$C$52+(Scenario_Data!E146))*Inputs!$C$52*COS(SQRT((Scenario_Data!W146)^2+Inputs!$C$6^2)/Inputs!$C$52))*1000)/Inputs!$C$21*1000000</f>
        <v>1181.6244054437507</v>
      </c>
      <c r="AP146">
        <f>Scenario_Data!T146</f>
        <v>12</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2674.8112882001351</v>
      </c>
      <c r="AR146">
        <f>Scenario_Data!U146</f>
        <v>80</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656.75968145235436</v>
      </c>
      <c r="AT146">
        <f>Scenario_Data!V146</f>
        <v>160</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1208.8255450612025</v>
      </c>
      <c r="AV146">
        <f>Scenario_Data!W146</f>
        <v>160</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1181.28521935239</v>
      </c>
    </row>
    <row r="147" spans="1:49">
      <c r="A147">
        <f>Chart_Data!K147</f>
        <v>12.5</v>
      </c>
      <c r="B147">
        <f>Chart_Data!N147-Chart_Data!L147</f>
        <v>4.0212494987608807</v>
      </c>
      <c r="D147">
        <f>Chart_Data!G147</f>
        <v>12.5</v>
      </c>
      <c r="E147">
        <f>Chart_Data!H147</f>
        <v>434.12423495839124</v>
      </c>
      <c r="F147">
        <f>Chart_Data!I147</f>
        <v>434.12423495839124</v>
      </c>
      <c r="G147">
        <f>Chart_Data!J147</f>
        <v>-5.6874541754451418</v>
      </c>
      <c r="I147">
        <f>Scenario_Data!A147</f>
        <v>0.20799999999999999</v>
      </c>
      <c r="J147">
        <f>Scenario_Data!H147-(((SQRT((Inputs!$C$52+(Inputs!$H$6))^2+Inputs!$C$52^2-2*(Inputs!$C$52+(Inputs!$H$6))*Inputs!$C$52*COS(SQRT((Scenario_Data!T147)^2+Inputs!$C$6^2)/Inputs!$C$52)))-(Inputs!$H$6))*1000/Inputs!$C$12)</f>
        <v>-0.23592219111435497</v>
      </c>
      <c r="K147">
        <f>Scenario_Data!I147-(((SQRT((Inputs!$C$52+(Inputs!$H$7))^2+Inputs!$C$52^2-2*(Inputs!$C$52+(Inputs!$H$7))*Inputs!$C$52*COS(SQRT((Scenario_Data!U147)^2+Inputs!$C$6^2)/Inputs!$C$52)))-(Inputs!$H$7))*1000/Inputs!$C$12)</f>
        <v>-4777.603842826582</v>
      </c>
      <c r="L147">
        <f>Scenario_Data!J147-(((SQRT((Inputs!$C$52+(Inputs!$H$8))^2+Inputs!$C$52^2-2*(Inputs!$C$52+(Inputs!$H$8))*Inputs!$C$52*COS(SQRT((Scenario_Data!V147)^2+Inputs!$C$6^2)/Inputs!$C$52)))-(Inputs!$H$8))*1000/Inputs!$C$12)</f>
        <v>-15045.242230124342</v>
      </c>
      <c r="M147">
        <f>Scenario_Data!K147-(((SQRT((Inputs!$C$52+(Inputs!$H$9))^2+Inputs!$C$52^2-2*(Inputs!$C$52+(Inputs!$H$9))*Inputs!$C$52*COS(SQRT((Scenario_Data!W147)^2+Inputs!$C$6^2)/Inputs!$C$52)))-(Inputs!$H$9))*1000/Inputs!$C$12)</f>
        <v>-16351.096914099966</v>
      </c>
      <c r="O147">
        <f>Scenario_Data!T147</f>
        <v>12.480000000000004</v>
      </c>
      <c r="P147">
        <f>2*(Scenario_Data!B147*1000)/Inputs!$C$21*1000000</f>
        <v>2669.6672669463883</v>
      </c>
      <c r="Q147">
        <f>Scenario_Data!U147</f>
        <v>83.199999999999989</v>
      </c>
      <c r="R147">
        <f>2*(Scenario_Data!C147*1000)/Inputs!$C$21*1000000</f>
        <v>338.84348084567222</v>
      </c>
      <c r="S147">
        <f>Scenario_Data!V147</f>
        <v>166.39999999999998</v>
      </c>
      <c r="T147">
        <f>2*(Scenario_Data!D147*1000)/Inputs!$C$21*1000000</f>
        <v>512.01928502150633</v>
      </c>
      <c r="U147">
        <f>Scenario_Data!W147</f>
        <v>166.39999999999998</v>
      </c>
      <c r="V147">
        <f>2*(Scenario_Data!E147*1000)/Inputs!$C$21*1000000</f>
        <v>448.19272938480651</v>
      </c>
      <c r="X147">
        <f>Scenario_Data!T147</f>
        <v>12.480000000000004</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2669.7418428985843</v>
      </c>
      <c r="Z147">
        <f>Scenario_Data!U147</f>
        <v>83.199999999999989</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339.00288066211834</v>
      </c>
      <c r="AB147">
        <f>Scenario_Data!V147</f>
        <v>166.39999999999998</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511.52104458926755</v>
      </c>
      <c r="AD147">
        <f>Scenario_Data!W147</f>
        <v>166.39999999999998</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447.69448895256767</v>
      </c>
      <c r="AG147">
        <f>Scenario_Data!T147</f>
        <v>12.480000000000004</v>
      </c>
      <c r="AH147">
        <f>2*(SQRT((Inputs!$C$52+(Scenario_Data!B147))^2+Inputs!$C$52^2-2*(Inputs!$C$52+(Scenario_Data!B147))*Inputs!$C$52*COS(SQRT((Scenario_Data!T147)^2+Inputs!$C$6^2)/Inputs!$C$52))*1000)/Inputs!$C$21*1000000</f>
        <v>2677.8310774067595</v>
      </c>
      <c r="AI147">
        <f>Scenario_Data!U147</f>
        <v>83.199999999999989</v>
      </c>
      <c r="AJ147">
        <f>2*(SQRT((Inputs!$C$52+(Scenario_Data!C147))^2+Inputs!$C$52^2-2*(Inputs!$C$52+(Scenario_Data!C147))*Inputs!$C$52*COS(SQRT((Scenario_Data!U147)^2+Inputs!$C$6^2)/Inputs!$C$52))*1000)/Inputs!$C$21*1000000</f>
        <v>679.37735188566262</v>
      </c>
      <c r="AK147">
        <f>Scenario_Data!V147</f>
        <v>166.39999999999998</v>
      </c>
      <c r="AL147">
        <f>2*(SQRT((Inputs!$C$52+(Scenario_Data!D147))^2+Inputs!$C$52^2-2*(Inputs!$C$52+(Scenario_Data!D147))*Inputs!$C$52*COS(SQRT((Scenario_Data!V147)^2+Inputs!$C$6^2)/Inputs!$C$52))*1000)/Inputs!$C$21*1000000</f>
        <v>1258.1693986938863</v>
      </c>
      <c r="AM147">
        <f>Scenario_Data!W147</f>
        <v>166.39999999999998</v>
      </c>
      <c r="AN147">
        <f>2*(SQRT((Inputs!$C$52+(Scenario_Data!E147))^2+Inputs!$C$52^2-2*(Inputs!$C$52+(Scenario_Data!E147))*Inputs!$C$52*COS(SQRT((Scenario_Data!W147)^2+Inputs!$C$6^2)/Inputs!$C$52))*1000)/Inputs!$C$21*1000000</f>
        <v>1230.4415066288307</v>
      </c>
      <c r="AP147">
        <f>Scenario_Data!T147</f>
        <v>12.480000000000004</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2675.0957780917061</v>
      </c>
      <c r="AR147">
        <f>Scenario_Data!U147</f>
        <v>83.199999999999989</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678.93437857841104</v>
      </c>
      <c r="AT147">
        <f>Scenario_Data!V147</f>
        <v>166.39999999999998</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1257.6964388963677</v>
      </c>
      <c r="AV147">
        <f>Scenario_Data!W147</f>
        <v>166.39999999999998</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1230.026408396081</v>
      </c>
    </row>
    <row r="148" spans="1:49">
      <c r="A148">
        <f>Chart_Data!K148</f>
        <v>13</v>
      </c>
      <c r="B148">
        <f>Chart_Data!N148-Chart_Data!L148</f>
        <v>1.9459578878685306</v>
      </c>
      <c r="D148">
        <f>Chart_Data!G148</f>
        <v>13</v>
      </c>
      <c r="E148">
        <f>Chart_Data!H148</f>
        <v>428.83519917040849</v>
      </c>
      <c r="F148">
        <f>Chart_Data!I148</f>
        <v>428.83519917040849</v>
      </c>
      <c r="G148">
        <f>Chart_Data!J148</f>
        <v>-3.6184909665757639</v>
      </c>
      <c r="I148">
        <f>Scenario_Data!A148</f>
        <v>0.217</v>
      </c>
      <c r="J148">
        <f>Scenario_Data!H148-(((SQRT((Inputs!$C$52+(Inputs!$H$6))^2+Inputs!$C$52^2-2*(Inputs!$C$52+(Inputs!$H$6))*Inputs!$C$52*COS(SQRT((Scenario_Data!T148)^2+Inputs!$C$6^2)/Inputs!$C$52)))-(Inputs!$H$6))*1000/Inputs!$C$12)</f>
        <v>-0.26127610188143535</v>
      </c>
      <c r="K148">
        <f>Scenario_Data!I148-(((SQRT((Inputs!$C$52+(Inputs!$H$7))^2+Inputs!$C$52^2-2*(Inputs!$C$52+(Inputs!$H$7))*Inputs!$C$52*COS(SQRT((Scenario_Data!U148)^2+Inputs!$C$6^2)/Inputs!$C$52)))-(Inputs!$H$7))*1000/Inputs!$C$12)</f>
        <v>-5268.9875445368234</v>
      </c>
      <c r="L148">
        <f>Scenario_Data!J148-(((SQRT((Inputs!$C$52+(Inputs!$H$8))^2+Inputs!$C$52^2-2*(Inputs!$C$52+(Inputs!$H$8))*Inputs!$C$52*COS(SQRT((Scenario_Data!V148)^2+Inputs!$C$6^2)/Inputs!$C$52)))-(Inputs!$H$8))*1000/Inputs!$C$12)</f>
        <v>-16393.138607990768</v>
      </c>
      <c r="M148">
        <f>Scenario_Data!K148-(((SQRT((Inputs!$C$52+(Inputs!$H$9))^2+Inputs!$C$52^2-2*(Inputs!$C$52+(Inputs!$H$9))*Inputs!$C$52*COS(SQRT((Scenario_Data!W148)^2+Inputs!$C$6^2)/Inputs!$C$52)))-(Inputs!$H$9))*1000/Inputs!$C$12)</f>
        <v>-17760.80185039583</v>
      </c>
      <c r="O148">
        <f>Scenario_Data!T148</f>
        <v>13.02000000000001</v>
      </c>
      <c r="P148">
        <f>2*(Scenario_Data!B148*1000)/Inputs!$C$21*1000000</f>
        <v>2669.769337559519</v>
      </c>
      <c r="Q148">
        <f>Scenario_Data!U148</f>
        <v>86.800000000000011</v>
      </c>
      <c r="R148">
        <f>2*(Scenario_Data!C148*1000)/Inputs!$C$21*1000000</f>
        <v>348.15742429384272</v>
      </c>
      <c r="S148">
        <f>Scenario_Data!V148</f>
        <v>173.60000000000002</v>
      </c>
      <c r="T148">
        <f>2*(Scenario_Data!D148*1000)/Inputs!$C$21*1000000</f>
        <v>536.64382043927219</v>
      </c>
      <c r="U148">
        <f>Scenario_Data!W148</f>
        <v>173.60000000000002</v>
      </c>
      <c r="V148">
        <f>2*(Scenario_Data!E148*1000)/Inputs!$C$21*1000000</f>
        <v>473.07244133539882</v>
      </c>
      <c r="X148">
        <f>Scenario_Data!T148</f>
        <v>13.02000000000001</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2669.6890589274435</v>
      </c>
      <c r="Z148">
        <f>Scenario_Data!U148</f>
        <v>86.800000000000011</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348.18034109312947</v>
      </c>
      <c r="AB148">
        <f>Scenario_Data!V148</f>
        <v>173.60000000000002</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536.6856283700555</v>
      </c>
      <c r="AD148">
        <f>Scenario_Data!W148</f>
        <v>173.60000000000002</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473.11424926618224</v>
      </c>
      <c r="AG148">
        <f>Scenario_Data!T148</f>
        <v>13.02000000000001</v>
      </c>
      <c r="AH148">
        <f>2*(SQRT((Inputs!$C$52+(Scenario_Data!B148))^2+Inputs!$C$52^2-2*(Inputs!$C$52+(Scenario_Data!B148))*Inputs!$C$52*COS(SQRT((Scenario_Data!T148)^2+Inputs!$C$6^2)/Inputs!$C$52))*1000)/Inputs!$C$21*1000000</f>
        <v>2678.0766529929315</v>
      </c>
      <c r="AI148">
        <f>Scenario_Data!U148</f>
        <v>86.800000000000011</v>
      </c>
      <c r="AJ148">
        <f>2*(SQRT((Inputs!$C$52+(Scenario_Data!C148))^2+Inputs!$C$52^2-2*(Inputs!$C$52+(Scenario_Data!C148))*Inputs!$C$52*COS(SQRT((Scenario_Data!U148)^2+Inputs!$C$6^2)/Inputs!$C$52))*1000)/Inputs!$C$21*1000000</f>
        <v>704.54661686923862</v>
      </c>
      <c r="AK148">
        <f>Scenario_Data!V148</f>
        <v>173.60000000000002</v>
      </c>
      <c r="AL148">
        <f>2*(SQRT((Inputs!$C$52+(Scenario_Data!D148))^2+Inputs!$C$52^2-2*(Inputs!$C$52+(Scenario_Data!D148))*Inputs!$C$52*COS(SQRT((Scenario_Data!V148)^2+Inputs!$C$6^2)/Inputs!$C$52))*1000)/Inputs!$C$21*1000000</f>
        <v>1313.820661862484</v>
      </c>
      <c r="AM148">
        <f>Scenario_Data!W148</f>
        <v>173.60000000000002</v>
      </c>
      <c r="AN148">
        <f>2*(SQRT((Inputs!$C$52+(Scenario_Data!E148))^2+Inputs!$C$52^2-2*(Inputs!$C$52+(Scenario_Data!E148))*Inputs!$C$52*COS(SQRT((Scenario_Data!W148)^2+Inputs!$C$6^2)/Inputs!$C$52))*1000)/Inputs!$C$21*1000000</f>
        <v>1285.9182668026356</v>
      </c>
      <c r="AP148">
        <f>Scenario_Data!T148</f>
        <v>13.02000000000001</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2675.2952657628025</v>
      </c>
      <c r="AR148">
        <f>Scenario_Data!U148</f>
        <v>86.800000000000011</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704.14498363623863</v>
      </c>
      <c r="AT148">
        <f>Scenario_Data!V148</f>
        <v>173.60000000000002</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1313.5384373341913</v>
      </c>
      <c r="AV148">
        <f>Scenario_Data!W148</f>
        <v>173.60000000000002</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1285.6689097446642</v>
      </c>
    </row>
    <row r="149" spans="1:49">
      <c r="A149">
        <f>Chart_Data!K149</f>
        <v>13.5</v>
      </c>
      <c r="B149">
        <f>Chart_Data!N149-Chart_Data!L149</f>
        <v>-1.6666503235243226</v>
      </c>
      <c r="D149">
        <f>Chart_Data!G149</f>
        <v>13.5</v>
      </c>
      <c r="E149">
        <f>Chart_Data!H149</f>
        <v>408.84619240872695</v>
      </c>
      <c r="F149">
        <f>Chart_Data!I149</f>
        <v>408.84619240872695</v>
      </c>
      <c r="G149">
        <f>Chart_Data!J149</f>
        <v>4.5761325244330742E-2</v>
      </c>
      <c r="I149">
        <f>Scenario_Data!A149</f>
        <v>0.22500000000000001</v>
      </c>
      <c r="J149">
        <f>Scenario_Data!H149-(((SQRT((Inputs!$C$52+(Inputs!$H$6))^2+Inputs!$C$52^2-2*(Inputs!$C$52+(Inputs!$H$6))*Inputs!$C$52*COS(SQRT((Scenario_Data!T149)^2+Inputs!$C$6^2)/Inputs!$C$52)))-(Inputs!$H$6))*1000/Inputs!$C$12)</f>
        <v>-0.28536299915617747</v>
      </c>
      <c r="K149">
        <f>Scenario_Data!I149-(((SQRT((Inputs!$C$52+(Inputs!$H$7))^2+Inputs!$C$52^2-2*(Inputs!$C$52+(Inputs!$H$7))*Inputs!$C$52*COS(SQRT((Scenario_Data!U149)^2+Inputs!$C$6^2)/Inputs!$C$52)))-(Inputs!$H$7))*1000/Inputs!$C$12)</f>
        <v>-5724.6003963936055</v>
      </c>
      <c r="L149">
        <f>Scenario_Data!J149-(((SQRT((Inputs!$C$52+(Inputs!$H$8))^2+Inputs!$C$52^2-2*(Inputs!$C$52+(Inputs!$H$8))*Inputs!$C$52*COS(SQRT((Scenario_Data!V149)^2+Inputs!$C$6^2)/Inputs!$C$52)))-(Inputs!$H$8))*1000/Inputs!$C$12)</f>
        <v>-17629.003880901961</v>
      </c>
      <c r="M149">
        <f>Scenario_Data!K149-(((SQRT((Inputs!$C$52+(Inputs!$H$9))^2+Inputs!$C$52^2-2*(Inputs!$C$52+(Inputs!$H$9))*Inputs!$C$52*COS(SQRT((Scenario_Data!W149)^2+Inputs!$C$6^2)/Inputs!$C$52)))-(Inputs!$H$9))*1000/Inputs!$C$12)</f>
        <v>-19051.132271648341</v>
      </c>
      <c r="O149">
        <f>Scenario_Data!T149</f>
        <v>13.5</v>
      </c>
      <c r="P149">
        <f>2*(Scenario_Data!B149*1000)/Inputs!$C$21*1000000</f>
        <v>2669.8636961707689</v>
      </c>
      <c r="Q149">
        <f>Scenario_Data!U149</f>
        <v>90.000000000000057</v>
      </c>
      <c r="R149">
        <f>2*(Scenario_Data!C149*1000)/Inputs!$C$21*1000000</f>
        <v>356.76764757037364</v>
      </c>
      <c r="S149">
        <f>Scenario_Data!V149</f>
        <v>180.00000000000011</v>
      </c>
      <c r="T149">
        <f>2*(Scenario_Data!D149*1000)/Inputs!$C$21*1000000</f>
        <v>559.40783540325128</v>
      </c>
      <c r="U149">
        <f>Scenario_Data!W149</f>
        <v>180.00000000000011</v>
      </c>
      <c r="V149">
        <f>2*(Scenario_Data!E149*1000)/Inputs!$C$21*1000000</f>
        <v>496.07235282750207</v>
      </c>
      <c r="X149">
        <f>Scenario_Data!T149</f>
        <v>13.5</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2669.8633908840679</v>
      </c>
      <c r="Z149">
        <f>Scenario_Data!U149</f>
        <v>90.000000000000057</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356.58736359705688</v>
      </c>
      <c r="AB149">
        <f>Scenario_Data!V149</f>
        <v>180.00000000000011</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559.43789397154171</v>
      </c>
      <c r="AD149">
        <f>Scenario_Data!W149</f>
        <v>180.00000000000011</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496.10241139579267</v>
      </c>
      <c r="AG149">
        <f>Scenario_Data!T149</f>
        <v>13.5</v>
      </c>
      <c r="AH149">
        <f>2*(SQRT((Inputs!$C$52+(Scenario_Data!B149))^2+Inputs!$C$52^2-2*(Inputs!$C$52+(Scenario_Data!B149))*Inputs!$C$52*COS(SQRT((Scenario_Data!T149)^2+Inputs!$C$6^2)/Inputs!$C$52))*1000)/Inputs!$C$21*1000000</f>
        <v>2678.3036592847507</v>
      </c>
      <c r="AI149">
        <f>Scenario_Data!U149</f>
        <v>90.000000000000057</v>
      </c>
      <c r="AJ149">
        <f>2*(SQRT((Inputs!$C$52+(Scenario_Data!C149))^2+Inputs!$C$52^2-2*(Inputs!$C$52+(Scenario_Data!C149))*Inputs!$C$52*COS(SQRT((Scenario_Data!U149)^2+Inputs!$C$6^2)/Inputs!$C$52))*1000)/Inputs!$C$21*1000000</f>
        <v>727.17474536725172</v>
      </c>
      <c r="AK149">
        <f>Scenario_Data!V149</f>
        <v>180.00000000000011</v>
      </c>
      <c r="AL149">
        <f>2*(SQRT((Inputs!$C$52+(Scenario_Data!D149))^2+Inputs!$C$52^2-2*(Inputs!$C$52+(Scenario_Data!D149))*Inputs!$C$52*COS(SQRT((Scenario_Data!V149)^2+Inputs!$C$6^2)/Inputs!$C$52))*1000)/Inputs!$C$21*1000000</f>
        <v>1363.8048794660731</v>
      </c>
      <c r="AM149">
        <f>Scenario_Data!W149</f>
        <v>180.00000000000011</v>
      </c>
      <c r="AN149">
        <f>2*(SQRT((Inputs!$C$52+(Scenario_Data!E149))^2+Inputs!$C$52^2-2*(Inputs!$C$52+(Scenario_Data!E149))*Inputs!$C$52*COS(SQRT((Scenario_Data!W149)^2+Inputs!$C$6^2)/Inputs!$C$52))*1000)/Inputs!$C$21*1000000</f>
        <v>1335.7335814317601</v>
      </c>
      <c r="AP149">
        <f>Scenario_Data!T149</f>
        <v>13.5</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2675.5869444872728</v>
      </c>
      <c r="AR149">
        <f>Scenario_Data!U149</f>
        <v>90.000000000000057</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726.68128533067841</v>
      </c>
      <c r="AT149">
        <f>Scenario_Data!V149</f>
        <v>180.00000000000011</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1363.4922501356443</v>
      </c>
      <c r="AV149">
        <f>Scenario_Data!W149</f>
        <v>180.00000000000011</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1335.4558137640058</v>
      </c>
    </row>
    <row r="150" spans="1:49">
      <c r="A150">
        <f>Chart_Data!K150</f>
        <v>14</v>
      </c>
      <c r="B150">
        <f>Chart_Data!N150-Chart_Data!L150</f>
        <v>-18.81128421623464</v>
      </c>
      <c r="D150">
        <f>Chart_Data!G150</f>
        <v>14</v>
      </c>
      <c r="E150">
        <f>Chart_Data!H150</f>
        <v>412.55100068044544</v>
      </c>
      <c r="F150">
        <f>Chart_Data!I150</f>
        <v>412.55100068044544</v>
      </c>
      <c r="G150">
        <f>Chart_Data!J150</f>
        <v>17.148059194147212</v>
      </c>
      <c r="I150">
        <f>Scenario_Data!A150</f>
        <v>0.23300000000000001</v>
      </c>
      <c r="J150">
        <f>Scenario_Data!H150-(((SQRT((Inputs!$C$52+(Inputs!$H$6))^2+Inputs!$C$52^2-2*(Inputs!$C$52+(Inputs!$H$6))*Inputs!$C$52*COS(SQRT((Scenario_Data!T150)^2+Inputs!$C$6^2)/Inputs!$C$52)))-(Inputs!$H$6))*1000/Inputs!$C$12)</f>
        <v>-0.31097897475410718</v>
      </c>
      <c r="K150">
        <f>Scenario_Data!I150-(((SQRT((Inputs!$C$52+(Inputs!$H$7))^2+Inputs!$C$52^2-2*(Inputs!$C$52+(Inputs!$H$7))*Inputs!$C$52*COS(SQRT((Scenario_Data!U150)^2+Inputs!$C$6^2)/Inputs!$C$52)))-(Inputs!$H$7))*1000/Inputs!$C$12)</f>
        <v>-6197.6076393513431</v>
      </c>
      <c r="L150">
        <f>Scenario_Data!J150-(((SQRT((Inputs!$C$52+(Inputs!$H$8))^2+Inputs!$C$52^2-2*(Inputs!$C$52+(Inputs!$H$8))*Inputs!$C$52*COS(SQRT((Scenario_Data!V150)^2+Inputs!$C$6^2)/Inputs!$C$52)))-(Inputs!$H$8))*1000/Inputs!$C$12)</f>
        <v>-18899.222425472501</v>
      </c>
      <c r="M150">
        <f>Scenario_Data!K150-(((SQRT((Inputs!$C$52+(Inputs!$H$9))^2+Inputs!$C$52^2-2*(Inputs!$C$52+(Inputs!$H$9))*Inputs!$C$52*COS(SQRT((Scenario_Data!W150)^2+Inputs!$C$6^2)/Inputs!$C$52)))-(Inputs!$H$9))*1000/Inputs!$C$12)</f>
        <v>-20375.352826851158</v>
      </c>
      <c r="O150">
        <f>Scenario_Data!T150</f>
        <v>13.980000000000004</v>
      </c>
      <c r="P150">
        <f>2*(Scenario_Data!B150*1000)/Inputs!$C$21*1000000</f>
        <v>2669.9614704783535</v>
      </c>
      <c r="Q150">
        <f>Scenario_Data!U150</f>
        <v>93.200000000000045</v>
      </c>
      <c r="R150">
        <f>2*(Scenario_Data!C150*1000)/Inputs!$C$21*1000000</f>
        <v>365.68955313745766</v>
      </c>
      <c r="S150">
        <f>Scenario_Data!V150</f>
        <v>186.40000000000009</v>
      </c>
      <c r="T150">
        <f>2*(Scenario_Data!D150*1000)/Inputs!$C$21*1000000</f>
        <v>582.99588710800765</v>
      </c>
      <c r="U150">
        <f>Scenario_Data!W150</f>
        <v>186.40000000000009</v>
      </c>
      <c r="V150">
        <f>2*(Scenario_Data!E150*1000)/Inputs!$C$21*1000000</f>
        <v>519.90484030121968</v>
      </c>
      <c r="X150">
        <f>Scenario_Data!T150</f>
        <v>13.980000000000004</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2669.8639965508737</v>
      </c>
      <c r="Z150">
        <f>Scenario_Data!U150</f>
        <v>93.200000000000045</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365.32754339381029</v>
      </c>
      <c r="AB150">
        <f>Scenario_Data!V150</f>
        <v>186.40000000000009</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582.85498270378582</v>
      </c>
      <c r="AD150">
        <f>Scenario_Data!W150</f>
        <v>186.40000000000009</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519.76393589699796</v>
      </c>
      <c r="AG150">
        <f>Scenario_Data!T150</f>
        <v>13.980000000000004</v>
      </c>
      <c r="AH150">
        <f>2*(SQRT((Inputs!$C$52+(Scenario_Data!B150))^2+Inputs!$C$52^2-2*(Inputs!$C$52+(Scenario_Data!B150))*Inputs!$C$52*COS(SQRT((Scenario_Data!T150)^2+Inputs!$C$6^2)/Inputs!$C$52))*1000)/Inputs!$C$21*1000000</f>
        <v>2678.53886810944</v>
      </c>
      <c r="AI150">
        <f>Scenario_Data!U150</f>
        <v>93.200000000000045</v>
      </c>
      <c r="AJ150">
        <f>2*(SQRT((Inputs!$C$52+(Scenario_Data!C150))^2+Inputs!$C$52^2-2*(Inputs!$C$52+(Scenario_Data!C150))*Inputs!$C$52*COS(SQRT((Scenario_Data!U150)^2+Inputs!$C$6^2)/Inputs!$C$52))*1000)/Inputs!$C$21*1000000</f>
        <v>750.03486285335612</v>
      </c>
      <c r="AK150">
        <f>Scenario_Data!V150</f>
        <v>186.40000000000009</v>
      </c>
      <c r="AL150">
        <f>2*(SQRT((Inputs!$C$52+(Scenario_Data!D150))^2+Inputs!$C$52^2-2*(Inputs!$C$52+(Scenario_Data!D150))*Inputs!$C$52*COS(SQRT((Scenario_Data!V150)^2+Inputs!$C$6^2)/Inputs!$C$52))*1000)/Inputs!$C$21*1000000</f>
        <v>1414.2797453815531</v>
      </c>
      <c r="AM150">
        <f>Scenario_Data!W150</f>
        <v>186.40000000000009</v>
      </c>
      <c r="AN150">
        <f>2*(SQRT((Inputs!$C$52+(Scenario_Data!E150))^2+Inputs!$C$52^2-2*(Inputs!$C$52+(Scenario_Data!E150))*Inputs!$C$52*COS(SQRT((Scenario_Data!W150)^2+Inputs!$C$6^2)/Inputs!$C$52))*1000)/Inputs!$C$21*1000000</f>
        <v>1386.0293710733336</v>
      </c>
      <c r="AP150">
        <f>Scenario_Data!T150</f>
        <v>13.980000000000004</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2675.7284415975018</v>
      </c>
      <c r="AR150">
        <f>Scenario_Data!U150</f>
        <v>93.200000000000045</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749.50151193452609</v>
      </c>
      <c r="AT150">
        <f>Scenario_Data!V150</f>
        <v>186.40000000000009</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1413.8780595568705</v>
      </c>
      <c r="AV150">
        <f>Scenario_Data!W150</f>
        <v>186.40000000000009</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1385.6705698984597</v>
      </c>
    </row>
    <row r="151" spans="1:49">
      <c r="A151">
        <f>Chart_Data!K151</f>
        <v>14.5</v>
      </c>
      <c r="B151">
        <f>Chart_Data!N151-Chart_Data!L151</f>
        <v>-29.029666399043833</v>
      </c>
      <c r="D151">
        <f>Chart_Data!G151</f>
        <v>14.5</v>
      </c>
      <c r="E151">
        <f>Chart_Data!H151</f>
        <v>415.56752777059438</v>
      </c>
      <c r="F151">
        <f>Chart_Data!I151</f>
        <v>415.56752777059438</v>
      </c>
      <c r="G151">
        <f>Chart_Data!J151</f>
        <v>27.325427950728567</v>
      </c>
      <c r="I151">
        <f>Scenario_Data!A151</f>
        <v>0.24199999999999999</v>
      </c>
      <c r="J151">
        <f>Scenario_Data!H151-(((SQRT((Inputs!$C$52+(Inputs!$H$6))^2+Inputs!$C$52^2-2*(Inputs!$C$52+(Inputs!$H$6))*Inputs!$C$52*COS(SQRT((Scenario_Data!T151)^2+Inputs!$C$6^2)/Inputs!$C$52)))-(Inputs!$H$6))*1000/Inputs!$C$12)</f>
        <v>-0.34171172867979749</v>
      </c>
      <c r="K151">
        <f>Scenario_Data!I151-(((SQRT((Inputs!$C$52+(Inputs!$H$7))^2+Inputs!$C$52^2-2*(Inputs!$C$52+(Inputs!$H$7))*Inputs!$C$52*COS(SQRT((Scenario_Data!U151)^2+Inputs!$C$6^2)/Inputs!$C$52)))-(Inputs!$H$7))*1000/Inputs!$C$12)</f>
        <v>-6750.1435304916085</v>
      </c>
      <c r="L151">
        <f>Scenario_Data!J151-(((SQRT((Inputs!$C$52+(Inputs!$H$8))^2+Inputs!$C$52^2-2*(Inputs!$C$52+(Inputs!$H$8))*Inputs!$C$52*COS(SQRT((Scenario_Data!V151)^2+Inputs!$C$6^2)/Inputs!$C$52)))-(Inputs!$H$8))*1000/Inputs!$C$12)</f>
        <v>-20367.917072372351</v>
      </c>
      <c r="M151">
        <f>Scenario_Data!K151-(((SQRT((Inputs!$C$52+(Inputs!$H$9))^2+Inputs!$C$52^2-2*(Inputs!$C$52+(Inputs!$H$9))*Inputs!$C$52*COS(SQRT((Scenario_Data!W151)^2+Inputs!$C$6^2)/Inputs!$C$52)))-(Inputs!$H$9))*1000/Inputs!$C$12)</f>
        <v>-21904.22804430117</v>
      </c>
      <c r="O151">
        <f>Scenario_Data!T151</f>
        <v>14.519999999999996</v>
      </c>
      <c r="P151">
        <f>2*(Scenario_Data!B151*1000)/Inputs!$C$21*1000000</f>
        <v>2670.0755493989109</v>
      </c>
      <c r="Q151">
        <f>Scenario_Data!U151</f>
        <v>96.800000000000011</v>
      </c>
      <c r="R151">
        <f>2*(Scenario_Data!C151*1000)/Inputs!$C$21*1000000</f>
        <v>376.09925463835384</v>
      </c>
      <c r="S151">
        <f>Scenario_Data!V151</f>
        <v>193.60000000000002</v>
      </c>
      <c r="T151">
        <f>2*(Scenario_Data!D151*1000)/Inputs!$C$21*1000000</f>
        <v>610.51742669256885</v>
      </c>
      <c r="U151">
        <f>Scenario_Data!W151</f>
        <v>193.60000000000002</v>
      </c>
      <c r="V151">
        <f>2*(Scenario_Data!E151*1000)/Inputs!$C$21*1000000</f>
        <v>547.71157718717541</v>
      </c>
      <c r="X151">
        <f>Scenario_Data!T151</f>
        <v>14.519999999999996</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2669.8958574019107</v>
      </c>
      <c r="Z151">
        <f>Scenario_Data!U151</f>
        <v>96.800000000000011</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375.71361777908754</v>
      </c>
      <c r="AB151">
        <f>Scenario_Data!V151</f>
        <v>193.60000000000002</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610.8989509460198</v>
      </c>
      <c r="AD151">
        <f>Scenario_Data!W151</f>
        <v>193.60000000000002</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548.09310144062636</v>
      </c>
      <c r="AG151">
        <f>Scenario_Data!T151</f>
        <v>14.519999999999996</v>
      </c>
      <c r="AH151">
        <f>2*(SQRT((Inputs!$C$52+(Scenario_Data!B151))^2+Inputs!$C$52^2-2*(Inputs!$C$52+(Scenario_Data!B151))*Inputs!$C$52*COS(SQRT((Scenario_Data!T151)^2+Inputs!$C$6^2)/Inputs!$C$52))*1000)/Inputs!$C$21*1000000</f>
        <v>2678.8132806528729</v>
      </c>
      <c r="AI151">
        <f>Scenario_Data!U151</f>
        <v>96.800000000000011</v>
      </c>
      <c r="AJ151">
        <f>2*(SQRT((Inputs!$C$52+(Scenario_Data!C151))^2+Inputs!$C$52^2-2*(Inputs!$C$52+(Scenario_Data!C151))*Inputs!$C$52*COS(SQRT((Scenario_Data!U151)^2+Inputs!$C$6^2)/Inputs!$C$52))*1000)/Inputs!$C$21*1000000</f>
        <v>776.02132681113301</v>
      </c>
      <c r="AK151">
        <f>Scenario_Data!V151</f>
        <v>193.60000000000002</v>
      </c>
      <c r="AL151">
        <f>2*(SQRT((Inputs!$C$52+(Scenario_Data!D151))^2+Inputs!$C$52^2-2*(Inputs!$C$52+(Scenario_Data!D151))*Inputs!$C$52*COS(SQRT((Scenario_Data!V151)^2+Inputs!$C$6^2)/Inputs!$C$52))*1000)/Inputs!$C$21*1000000</f>
        <v>1471.657065923119</v>
      </c>
      <c r="AM151">
        <f>Scenario_Data!W151</f>
        <v>193.60000000000002</v>
      </c>
      <c r="AN151">
        <f>2*(SQRT((Inputs!$C$52+(Scenario_Data!E151))^2+Inputs!$C$52^2-2*(Inputs!$C$52+(Scenario_Data!E151))*Inputs!$C$52*COS(SQRT((Scenario_Data!W151)^2+Inputs!$C$6^2)/Inputs!$C$52))*1000)/Inputs!$C$21*1000000</f>
        <v>1443.1960281662846</v>
      </c>
      <c r="AP151">
        <f>Scenario_Data!T151</f>
        <v>14.519999999999996</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2676.0397845083698</v>
      </c>
      <c r="AR151">
        <f>Scenario_Data!U151</f>
        <v>96.800000000000011</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775.4018440048759</v>
      </c>
      <c r="AT151">
        <f>Scenario_Data!V151</f>
        <v>193.60000000000002</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1471.4549088802494</v>
      </c>
      <c r="AV151">
        <f>Scenario_Data!W151</f>
        <v>193.60000000000002</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1443.0143943069845</v>
      </c>
    </row>
    <row r="152" spans="1:49">
      <c r="A152">
        <f>Chart_Data!K152</f>
        <v>15</v>
      </c>
      <c r="B152">
        <f>Chart_Data!N152-Chart_Data!L152</f>
        <v>-47.029230224199864</v>
      </c>
      <c r="D152">
        <f>Chart_Data!G152</f>
        <v>15</v>
      </c>
      <c r="E152">
        <f>Chart_Data!H152</f>
        <v>399.34593170493116</v>
      </c>
      <c r="F152">
        <f>Chart_Data!I152</f>
        <v>399.34593170493116</v>
      </c>
      <c r="G152">
        <f>Chart_Data!J152</f>
        <v>45.362905639140564</v>
      </c>
      <c r="I152">
        <f>Scenario_Data!A152</f>
        <v>0.25</v>
      </c>
      <c r="J152">
        <f>Scenario_Data!H152-(((SQRT((Inputs!$C$52+(Inputs!$H$6))^2+Inputs!$C$52^2-2*(Inputs!$C$52+(Inputs!$H$6))*Inputs!$C$52*COS(SQRT((Scenario_Data!T152)^2+Inputs!$C$6^2)/Inputs!$C$52)))-(Inputs!$H$6))*1000/Inputs!$C$12)</f>
        <v>-0.37081187517208036</v>
      </c>
      <c r="K152">
        <f>Scenario_Data!I152-(((SQRT((Inputs!$C$52+(Inputs!$H$7))^2+Inputs!$C$52^2-2*(Inputs!$C$52+(Inputs!$H$7))*Inputs!$C$52*COS(SQRT((Scenario_Data!U152)^2+Inputs!$C$6^2)/Inputs!$C$52)))-(Inputs!$H$7))*1000/Inputs!$C$12)</f>
        <v>-7259.0775623812369</v>
      </c>
      <c r="L152">
        <f>Scenario_Data!J152-(((SQRT((Inputs!$C$52+(Inputs!$H$8))^2+Inputs!$C$52^2-2*(Inputs!$C$52+(Inputs!$H$8))*Inputs!$C$52*COS(SQRT((Scenario_Data!V152)^2+Inputs!$C$6^2)/Inputs!$C$52)))-(Inputs!$H$8))*1000/Inputs!$C$12)</f>
        <v>-21707.520208299306</v>
      </c>
      <c r="M152">
        <f>Scenario_Data!K152-(((SQRT((Inputs!$C$52+(Inputs!$H$9))^2+Inputs!$C$52^2-2*(Inputs!$C$52+(Inputs!$H$9))*Inputs!$C$52*COS(SQRT((Scenario_Data!W152)^2+Inputs!$C$6^2)/Inputs!$C$52)))-(Inputs!$H$9))*1000/Inputs!$C$12)</f>
        <v>-23296.801058357276</v>
      </c>
      <c r="O152">
        <f>Scenario_Data!T152</f>
        <v>15</v>
      </c>
      <c r="P152">
        <f>2*(Scenario_Data!B152*1000)/Inputs!$C$21*1000000</f>
        <v>2670.1805820612071</v>
      </c>
      <c r="Q152">
        <f>Scenario_Data!U152</f>
        <v>100</v>
      </c>
      <c r="R152">
        <f>2*(Scenario_Data!C152*1000)/Inputs!$C$21*1000000</f>
        <v>385.68348507286333</v>
      </c>
      <c r="S152">
        <f>Scenario_Data!V152</f>
        <v>200</v>
      </c>
      <c r="T152">
        <f>2*(Scenario_Data!D152*1000)/Inputs!$C$21*1000000</f>
        <v>635.85655647147735</v>
      </c>
      <c r="U152">
        <f>Scenario_Data!W152</f>
        <v>200</v>
      </c>
      <c r="V152">
        <f>2*(Scenario_Data!E152*1000)/Inputs!$C$21*1000000</f>
        <v>573.31328862182386</v>
      </c>
      <c r="X152">
        <f>Scenario_Data!T152</f>
        <v>15</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2669.8779533297052</v>
      </c>
      <c r="Z152">
        <f>Scenario_Data!U152</f>
        <v>100</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385.56727460839971</v>
      </c>
      <c r="AB152">
        <f>Scenario_Data!V152</f>
        <v>200</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635.82445594909598</v>
      </c>
      <c r="AD152">
        <f>Scenario_Data!W152</f>
        <v>200</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573.28118809944237</v>
      </c>
      <c r="AG152">
        <f>Scenario_Data!T152</f>
        <v>15</v>
      </c>
      <c r="AH152">
        <f>2*(SQRT((Inputs!$C$52+(Scenario_Data!B152))^2+Inputs!$C$52^2-2*(Inputs!$C$52+(Scenario_Data!B152))*Inputs!$C$52*COS(SQRT((Scenario_Data!T152)^2+Inputs!$C$6^2)/Inputs!$C$52))*1000)/Inputs!$C$21*1000000</f>
        <v>2679.0659145324939</v>
      </c>
      <c r="AI152">
        <f>Scenario_Data!U152</f>
        <v>100</v>
      </c>
      <c r="AJ152">
        <f>2*(SQRT((Inputs!$C$52+(Scenario_Data!C152))^2+Inputs!$C$52^2-2*(Inputs!$C$52+(Scenario_Data!C152))*Inputs!$C$52*COS(SQRT((Scenario_Data!U152)^2+Inputs!$C$6^2)/Inputs!$C$52))*1000)/Inputs!$C$21*1000000</f>
        <v>799.35304652578816</v>
      </c>
      <c r="AK152">
        <f>Scenario_Data!V152</f>
        <v>200</v>
      </c>
      <c r="AL152">
        <f>2*(SQRT((Inputs!$C$52+(Scenario_Data!D152))^2+Inputs!$C$52^2-2*(Inputs!$C$52+(Scenario_Data!D152))*Inputs!$C$52*COS(SQRT((Scenario_Data!V152)^2+Inputs!$C$6^2)/Inputs!$C$52))*1000)/Inputs!$C$21*1000000</f>
        <v>1523.1929864371127</v>
      </c>
      <c r="AM152">
        <f>Scenario_Data!W152</f>
        <v>200</v>
      </c>
      <c r="AN152">
        <f>2*(SQRT((Inputs!$C$52+(Scenario_Data!E152))^2+Inputs!$C$52^2-2*(Inputs!$C$52+(Scenario_Data!E152))*Inputs!$C$52*COS(SQRT((Scenario_Data!W152)^2+Inputs!$C$6^2)/Inputs!$C$52))*1000)/Inputs!$C$21*1000000</f>
        <v>1494.538848738704</v>
      </c>
      <c r="AP152">
        <f>Scenario_Data!T152</f>
        <v>15</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2676.4128817659403</v>
      </c>
      <c r="AR152">
        <f>Scenario_Data!U152</f>
        <v>100</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798.91281268474222</v>
      </c>
      <c r="AT152">
        <f>Scenario_Data!V152</f>
        <v>200</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1522.8148844349405</v>
      </c>
      <c r="AV152">
        <f>Scenario_Data!W152</f>
        <v>200</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1494.1974896231029</v>
      </c>
    </row>
    <row r="153" spans="1:49">
      <c r="A153">
        <f>Chart_Data!K153</f>
        <v>15.5</v>
      </c>
      <c r="B153">
        <f>Chart_Data!N153-Chart_Data!L153</f>
        <v>-50.770289839501061</v>
      </c>
      <c r="D153">
        <f>Chart_Data!G153</f>
        <v>15.5</v>
      </c>
      <c r="E153">
        <f>Chart_Data!H153</f>
        <v>395.61636103749299</v>
      </c>
      <c r="F153">
        <f>Chart_Data!I153</f>
        <v>395.61636103749299</v>
      </c>
      <c r="G153">
        <f>Chart_Data!J153</f>
        <v>49.090179641950456</v>
      </c>
      <c r="I153">
        <f>Scenario_Data!A153</f>
        <v>0.25800000000000001</v>
      </c>
      <c r="J153">
        <f>Scenario_Data!H153-(((SQRT((Inputs!$C$52+(Inputs!$H$6))^2+Inputs!$C$52^2-2*(Inputs!$C$52+(Inputs!$H$6))*Inputs!$C$52*COS(SQRT((Scenario_Data!T153)^2+Inputs!$C$6^2)/Inputs!$C$52)))-(Inputs!$H$6))*1000/Inputs!$C$12)</f>
        <v>-0.4016673031354685</v>
      </c>
      <c r="K153">
        <f>Scenario_Data!I153-(((SQRT((Inputs!$C$52+(Inputs!$H$7))^2+Inputs!$C$52^2-2*(Inputs!$C$52+(Inputs!$H$7))*Inputs!$C$52*COS(SQRT((Scenario_Data!U153)^2+Inputs!$C$6^2)/Inputs!$C$52)))-(Inputs!$H$7))*1000/Inputs!$C$12)</f>
        <v>-7784.4332514201305</v>
      </c>
      <c r="L153">
        <f>Scenario_Data!J153-(((SQRT((Inputs!$C$52+(Inputs!$H$8))^2+Inputs!$C$52^2-2*(Inputs!$C$52+(Inputs!$H$8))*Inputs!$C$52*COS(SQRT((Scenario_Data!V153)^2+Inputs!$C$6^2)/Inputs!$C$52)))-(Inputs!$H$8))*1000/Inputs!$C$12)</f>
        <v>-23078.113644632846</v>
      </c>
      <c r="M153">
        <f>Scenario_Data!K153-(((SQRT((Inputs!$C$52+(Inputs!$H$9))^2+Inputs!$C$52^2-2*(Inputs!$C$52+(Inputs!$H$9))*Inputs!$C$52*COS(SQRT((Scenario_Data!W153)^2+Inputs!$C$6^2)/Inputs!$C$52)))-(Inputs!$H$9))*1000/Inputs!$C$12)</f>
        <v>-24719.85672730935</v>
      </c>
      <c r="O153">
        <f>Scenario_Data!T153</f>
        <v>15.480000000000004</v>
      </c>
      <c r="P153">
        <f>2*(Scenario_Data!B153*1000)/Inputs!$C$21*1000000</f>
        <v>2670.2890304198377</v>
      </c>
      <c r="Q153">
        <f>Scenario_Data!U153</f>
        <v>103.19999999999999</v>
      </c>
      <c r="R153">
        <f>2*(Scenario_Data!C153*1000)/Inputs!$C$21*1000000</f>
        <v>395.57939779792588</v>
      </c>
      <c r="S153">
        <f>Scenario_Data!V153</f>
        <v>206.39999999999998</v>
      </c>
      <c r="T153">
        <f>2*(Scenario_Data!D153*1000)/Inputs!$C$21*1000000</f>
        <v>662.01972299116323</v>
      </c>
      <c r="U153">
        <f>Scenario_Data!W153</f>
        <v>206.39999999999998</v>
      </c>
      <c r="V153">
        <f>2*(Scenario_Data!E153*1000)/Inputs!$C$21*1000000</f>
        <v>599.74757603808689</v>
      </c>
      <c r="X153">
        <f>Scenario_Data!T153</f>
        <v>15.480000000000004</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2670.0160994406192</v>
      </c>
      <c r="Z153">
        <f>Scenario_Data!U153</f>
        <v>103.19999999999999</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395.86086394831472</v>
      </c>
      <c r="AB153">
        <f>Scenario_Data!V153</f>
        <v>206.39999999999998</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661.95151068738699</v>
      </c>
      <c r="AD153">
        <f>Scenario_Data!W153</f>
        <v>206.39999999999998</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599.67936373431053</v>
      </c>
      <c r="AG153">
        <f>Scenario_Data!T153</f>
        <v>15.480000000000004</v>
      </c>
      <c r="AH153">
        <f>2*(SQRT((Inputs!$C$52+(Scenario_Data!B153))^2+Inputs!$C$52^2-2*(Inputs!$C$52+(Scenario_Data!B153))*Inputs!$C$52*COS(SQRT((Scenario_Data!T153)^2+Inputs!$C$6^2)/Inputs!$C$52))*1000)/Inputs!$C$21*1000000</f>
        <v>2679.3267458137466</v>
      </c>
      <c r="AI153">
        <f>Scenario_Data!U153</f>
        <v>103.19999999999999</v>
      </c>
      <c r="AJ153">
        <f>2*(SQRT((Inputs!$C$52+(Scenario_Data!C153))^2+Inputs!$C$52^2-2*(Inputs!$C$52+(Scenario_Data!C153))*Inputs!$C$52*COS(SQRT((Scenario_Data!U153)^2+Inputs!$C$6^2)/Inputs!$C$52))*1000)/Inputs!$C$21*1000000</f>
        <v>822.89876155971092</v>
      </c>
      <c r="AK153">
        <f>Scenario_Data!V153</f>
        <v>206.39999999999998</v>
      </c>
      <c r="AL153">
        <f>2*(SQRT((Inputs!$C$52+(Scenario_Data!D153))^2+Inputs!$C$52^2-2*(Inputs!$C$52+(Scenario_Data!D153))*Inputs!$C$52*COS(SQRT((Scenario_Data!V153)^2+Inputs!$C$6^2)/Inputs!$C$52))*1000)/Inputs!$C$21*1000000</f>
        <v>1575.2382195812656</v>
      </c>
      <c r="AM153">
        <f>Scenario_Data!W153</f>
        <v>206.39999999999998</v>
      </c>
      <c r="AN153">
        <f>2*(SQRT((Inputs!$C$52+(Scenario_Data!E153))^2+Inputs!$C$52^2-2*(Inputs!$C$52+(Scenario_Data!E153))*Inputs!$C$52*COS(SQRT((Scenario_Data!W153)^2+Inputs!$C$6^2)/Inputs!$C$52))*1000)/Inputs!$C$21*1000000</f>
        <v>1546.3874430517001</v>
      </c>
      <c r="AP153">
        <f>Scenario_Data!T153</f>
        <v>15.480000000000004</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2676.7007790282851</v>
      </c>
      <c r="AR153">
        <f>Scenario_Data!U153</f>
        <v>103.19999999999999</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822.69139202090196</v>
      </c>
      <c r="AT153">
        <f>Scenario_Data!V153</f>
        <v>206.39999999999998</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1574.8772268654202</v>
      </c>
      <c r="AV153">
        <f>Scenario_Data!W153</f>
        <v>206.39999999999998</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1546.060002257067</v>
      </c>
    </row>
    <row r="154" spans="1:49">
      <c r="A154">
        <f>Chart_Data!K154</f>
        <v>16</v>
      </c>
      <c r="B154">
        <f>Chart_Data!N154-Chart_Data!L154</f>
        <v>-71.450922959813511</v>
      </c>
      <c r="D154">
        <f>Chart_Data!G154</f>
        <v>16</v>
      </c>
      <c r="E154">
        <f>Chart_Data!H154</f>
        <v>400.30891755789503</v>
      </c>
      <c r="F154">
        <f>Chart_Data!I154</f>
        <v>400.30891755789503</v>
      </c>
      <c r="G154">
        <f>Chart_Data!J154</f>
        <v>69.720188044182294</v>
      </c>
      <c r="I154">
        <f>Scenario_Data!A154</f>
        <v>0.26700000000000002</v>
      </c>
      <c r="J154">
        <f>Scenario_Data!H154-(((SQRT((Inputs!$C$52+(Inputs!$H$6))^2+Inputs!$C$52^2-2*(Inputs!$C$52+(Inputs!$H$6))*Inputs!$C$52*COS(SQRT((Scenario_Data!T154)^2+Inputs!$C$6^2)/Inputs!$C$52)))-(Inputs!$H$6))*1000/Inputs!$C$12)</f>
        <v>-0.43857412502381976</v>
      </c>
      <c r="K154">
        <f>Scenario_Data!I154-(((SQRT((Inputs!$C$52+(Inputs!$H$7))^2+Inputs!$C$52^2-2*(Inputs!$C$52+(Inputs!$H$7))*Inputs!$C$52*COS(SQRT((Scenario_Data!U154)^2+Inputs!$C$6^2)/Inputs!$C$52)))-(Inputs!$H$7))*1000/Inputs!$C$12)</f>
        <v>-8394.7042158108015</v>
      </c>
      <c r="L154">
        <f>Scenario_Data!J154-(((SQRT((Inputs!$C$52+(Inputs!$H$8))^2+Inputs!$C$52^2-2*(Inputs!$C$52+(Inputs!$H$8))*Inputs!$C$52*COS(SQRT((Scenario_Data!V154)^2+Inputs!$C$6^2)/Inputs!$C$52)))-(Inputs!$H$8))*1000/Inputs!$C$12)</f>
        <v>-24655.783322873089</v>
      </c>
      <c r="M154">
        <f>Scenario_Data!K154-(((SQRT((Inputs!$C$52+(Inputs!$H$9))^2+Inputs!$C$52^2-2*(Inputs!$C$52+(Inputs!$H$9))*Inputs!$C$52*COS(SQRT((Scenario_Data!W154)^2+Inputs!$C$6^2)/Inputs!$C$52)))-(Inputs!$H$9))*1000/Inputs!$C$12)</f>
        <v>-26355.922820228821</v>
      </c>
      <c r="O154">
        <f>Scenario_Data!T154</f>
        <v>16.019999999999996</v>
      </c>
      <c r="P154">
        <f>2*(Scenario_Data!B154*1000)/Inputs!$C$21*1000000</f>
        <v>2670.4151176478226</v>
      </c>
      <c r="Q154">
        <f>Scenario_Data!U154</f>
        <v>106.79999999999995</v>
      </c>
      <c r="R154">
        <f>2*(Scenario_Data!C154*1000)/Inputs!$C$21*1000000</f>
        <v>407.08485735154807</v>
      </c>
      <c r="S154">
        <f>Scenario_Data!V154</f>
        <v>213.59999999999991</v>
      </c>
      <c r="T154">
        <f>2*(Scenario_Data!D154*1000)/Inputs!$C$21*1000000</f>
        <v>692.43826674252057</v>
      </c>
      <c r="U154">
        <f>Scenario_Data!W154</f>
        <v>213.59999999999991</v>
      </c>
      <c r="V154">
        <f>2*(Scenario_Data!E154*1000)/Inputs!$C$21*1000000</f>
        <v>630.48133785940638</v>
      </c>
      <c r="X154">
        <f>Scenario_Data!T154</f>
        <v>16.019999999999996</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2669.9938584403485</v>
      </c>
      <c r="Z154">
        <f>Scenario_Data!U154</f>
        <v>106.79999999999995</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407.20518284516277</v>
      </c>
      <c r="AB154">
        <f>Scenario_Data!V154</f>
        <v>213.59999999999991</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692.4932720409962</v>
      </c>
      <c r="AD154">
        <f>Scenario_Data!W154</f>
        <v>213.59999999999991</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630.53634315788202</v>
      </c>
      <c r="AG154">
        <f>Scenario_Data!T154</f>
        <v>16.019999999999996</v>
      </c>
      <c r="AH154">
        <f>2*(SQRT((Inputs!$C$52+(Scenario_Data!B154))^2+Inputs!$C$52^2-2*(Inputs!$C$52+(Scenario_Data!B154))*Inputs!$C$52*COS(SQRT((Scenario_Data!T154)^2+Inputs!$C$6^2)/Inputs!$C$52))*1000)/Inputs!$C$21*1000000</f>
        <v>2679.6299772752322</v>
      </c>
      <c r="AI154">
        <f>Scenario_Data!U154</f>
        <v>106.79999999999995</v>
      </c>
      <c r="AJ154">
        <f>2*(SQRT((Inputs!$C$52+(Scenario_Data!C154))^2+Inputs!$C$52^2-2*(Inputs!$C$52+(Scenario_Data!C154))*Inputs!$C$52*COS(SQRT((Scenario_Data!U154)^2+Inputs!$C$6^2)/Inputs!$C$52))*1000)/Inputs!$C$21*1000000</f>
        <v>849.63861157700319</v>
      </c>
      <c r="AK154">
        <f>Scenario_Data!V154</f>
        <v>213.59999999999991</v>
      </c>
      <c r="AL154">
        <f>2*(SQRT((Inputs!$C$52+(Scenario_Data!D154))^2+Inputs!$C$52^2-2*(Inputs!$C$52+(Scenario_Data!D154))*Inputs!$C$52*COS(SQRT((Scenario_Data!V154)^2+Inputs!$C$6^2)/Inputs!$C$52))*1000)/Inputs!$C$21*1000000</f>
        <v>1634.406668398929</v>
      </c>
      <c r="AM154">
        <f>Scenario_Data!W154</f>
        <v>213.59999999999991</v>
      </c>
      <c r="AN154">
        <f>2*(SQRT((Inputs!$C$52+(Scenario_Data!E154))^2+Inputs!$C$52^2-2*(Inputs!$C$52+(Scenario_Data!E154))*Inputs!$C$52*COS(SQRT((Scenario_Data!W154)^2+Inputs!$C$6^2)/Inputs!$C$52))*1000)/Inputs!$C$21*1000000</f>
        <v>1605.3325327342354</v>
      </c>
      <c r="AP154">
        <f>Scenario_Data!T154</f>
        <v>16.019999999999996</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2676.9553204763829</v>
      </c>
      <c r="AR154">
        <f>Scenario_Data!U154</f>
        <v>106.79999999999995</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849.29963946003977</v>
      </c>
      <c r="AT154">
        <f>Scenario_Data!V154</f>
        <v>213.59999999999991</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1634.2100712797871</v>
      </c>
      <c r="AV154">
        <f>Scenario_Data!W154</f>
        <v>213.59999999999991</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1605.1533049308823</v>
      </c>
    </row>
    <row r="155" spans="1:49">
      <c r="A155">
        <f>Chart_Data!K155</f>
        <v>16.5</v>
      </c>
      <c r="B155">
        <f>Chart_Data!N155-Chart_Data!L155</f>
        <v>-73.29754339504791</v>
      </c>
      <c r="D155">
        <f>Chart_Data!G155</f>
        <v>16.5</v>
      </c>
      <c r="E155">
        <f>Chart_Data!H155</f>
        <v>406.20178346502695</v>
      </c>
      <c r="F155">
        <f>Chart_Data!I155</f>
        <v>406.20178346502695</v>
      </c>
      <c r="G155">
        <f>Chart_Data!J155</f>
        <v>71.50919840907298</v>
      </c>
      <c r="I155">
        <f>Scenario_Data!A155</f>
        <v>0.27500000000000002</v>
      </c>
      <c r="J155">
        <f>Scenario_Data!H155-(((SQRT((Inputs!$C$52+(Inputs!$H$6))^2+Inputs!$C$52^2-2*(Inputs!$C$52+(Inputs!$H$6))*Inputs!$C$52*COS(SQRT((Scenario_Data!T155)^2+Inputs!$C$6^2)/Inputs!$C$52)))-(Inputs!$H$6))*1000/Inputs!$C$12)</f>
        <v>-0.47341919121004139</v>
      </c>
      <c r="K155">
        <f>Scenario_Data!I155-(((SQRT((Inputs!$C$52+(Inputs!$H$7))^2+Inputs!$C$52^2-2*(Inputs!$C$52+(Inputs!$H$7))*Inputs!$C$52*COS(SQRT((Scenario_Data!U155)^2+Inputs!$C$6^2)/Inputs!$C$52)))-(Inputs!$H$7))*1000/Inputs!$C$12)</f>
        <v>-8953.936813088847</v>
      </c>
      <c r="L155">
        <f>Scenario_Data!J155-(((SQRT((Inputs!$C$52+(Inputs!$H$8))^2+Inputs!$C$52^2-2*(Inputs!$C$52+(Inputs!$H$8))*Inputs!$C$52*COS(SQRT((Scenario_Data!V155)^2+Inputs!$C$6^2)/Inputs!$C$52)))-(Inputs!$H$8))*1000/Inputs!$C$12)</f>
        <v>-26088.80968164916</v>
      </c>
      <c r="M155">
        <f>Scenario_Data!K155-(((SQRT((Inputs!$C$52+(Inputs!$H$9))^2+Inputs!$C$52^2-2*(Inputs!$C$52+(Inputs!$H$9))*Inputs!$C$52*COS(SQRT((Scenario_Data!W155)^2+Inputs!$C$6^2)/Inputs!$C$52)))-(Inputs!$H$9))*1000/Inputs!$C$12)</f>
        <v>-27840.28839250606</v>
      </c>
      <c r="O155">
        <f>Scenario_Data!T155</f>
        <v>16.5</v>
      </c>
      <c r="P155">
        <f>2*(Scenario_Data!B155*1000)/Inputs!$C$21*1000000</f>
        <v>2670.5308243611653</v>
      </c>
      <c r="Q155">
        <f>Scenario_Data!U155</f>
        <v>109.99999999999994</v>
      </c>
      <c r="R155">
        <f>2*(Scenario_Data!C155*1000)/Inputs!$C$21*1000000</f>
        <v>417.64309494403608</v>
      </c>
      <c r="S155">
        <f>Scenario_Data!V155</f>
        <v>219.99999999999989</v>
      </c>
      <c r="T155">
        <f>2*(Scenario_Data!D155*1000)/Inputs!$C$21*1000000</f>
        <v>720.3525113363587</v>
      </c>
      <c r="U155">
        <f>Scenario_Data!W155</f>
        <v>219.99999999999989</v>
      </c>
      <c r="V155">
        <f>2*(Scenario_Data!E155*1000)/Inputs!$C$21*1000000</f>
        <v>658.68484923660026</v>
      </c>
      <c r="X155">
        <f>Scenario_Data!T155</f>
        <v>16.5</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2670.0537663398518</v>
      </c>
      <c r="Z155">
        <f>Scenario_Data!U155</f>
        <v>109.99999999999994</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417.17224369757116</v>
      </c>
      <c r="AB155">
        <f>Scenario_Data!V155</f>
        <v>219.99999999999989</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719.98873427612637</v>
      </c>
      <c r="AD155">
        <f>Scenario_Data!W155</f>
        <v>219.99999999999989</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658.32107217636792</v>
      </c>
      <c r="AG155">
        <f>Scenario_Data!T155</f>
        <v>16.5</v>
      </c>
      <c r="AH155">
        <f>2*(SQRT((Inputs!$C$52+(Scenario_Data!B155))^2+Inputs!$C$52^2-2*(Inputs!$C$52+(Scenario_Data!B155))*Inputs!$C$52*COS(SQRT((Scenario_Data!T155)^2+Inputs!$C$6^2)/Inputs!$C$52))*1000)/Inputs!$C$21*1000000</f>
        <v>2679.9082221420913</v>
      </c>
      <c r="AI155">
        <f>Scenario_Data!U155</f>
        <v>109.99999999999994</v>
      </c>
      <c r="AJ155">
        <f>2*(SQRT((Inputs!$C$52+(Scenario_Data!C155))^2+Inputs!$C$52^2-2*(Inputs!$C$52+(Scenario_Data!C155))*Inputs!$C$52*COS(SQRT((Scenario_Data!U155)^2+Inputs!$C$6^2)/Inputs!$C$52))*1000)/Inputs!$C$21*1000000</f>
        <v>873.6268737519348</v>
      </c>
      <c r="AK155">
        <f>Scenario_Data!V155</f>
        <v>219.99999999999989</v>
      </c>
      <c r="AL155">
        <f>2*(SQRT((Inputs!$C$52+(Scenario_Data!D155))^2+Inputs!$C$52^2-2*(Inputs!$C$52+(Scenario_Data!D155))*Inputs!$C$52*COS(SQRT((Scenario_Data!V155)^2+Inputs!$C$6^2)/Inputs!$C$52))*1000)/Inputs!$C$21*1000000</f>
        <v>1687.5579776583929</v>
      </c>
      <c r="AM155">
        <f>Scenario_Data!W155</f>
        <v>219.99999999999989</v>
      </c>
      <c r="AN155">
        <f>2*(SQRT((Inputs!$C$52+(Scenario_Data!E155))^2+Inputs!$C$52^2-2*(Inputs!$C$52+(Scenario_Data!E155))*Inputs!$C$52*COS(SQRT((Scenario_Data!W155)^2+Inputs!$C$6^2)/Inputs!$C$52))*1000)/Inputs!$C$21*1000000</f>
        <v>1658.2850643618456</v>
      </c>
      <c r="AP155">
        <f>Scenario_Data!T155</f>
        <v>16.5</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2677.210266088246</v>
      </c>
      <c r="AR155">
        <f>Scenario_Data!U155</f>
        <v>109.99999999999994</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873.10949786357935</v>
      </c>
      <c r="AT155">
        <f>Scenario_Data!V155</f>
        <v>219.99999999999989</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1686.9799883696526</v>
      </c>
      <c r="AV155">
        <f>Scenario_Data!W155</f>
        <v>219.99999999999989</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1657.7559651879415</v>
      </c>
    </row>
    <row r="156" spans="1:49">
      <c r="A156">
        <f>Chart_Data!K156</f>
        <v>17</v>
      </c>
      <c r="B156">
        <f>Chart_Data!N156-Chart_Data!L156</f>
        <v>-60.392783689960936</v>
      </c>
      <c r="D156">
        <f>Chart_Data!G156</f>
        <v>17</v>
      </c>
      <c r="E156">
        <f>Chart_Data!H156</f>
        <v>402.89735855020393</v>
      </c>
      <c r="F156">
        <f>Chart_Data!I156</f>
        <v>402.89735855020393</v>
      </c>
      <c r="G156">
        <f>Chart_Data!J156</f>
        <v>58.586187093984584</v>
      </c>
      <c r="I156">
        <f>Scenario_Data!A156</f>
        <v>0.28299999999999997</v>
      </c>
      <c r="J156">
        <f>Scenario_Data!H156-(((SQRT((Inputs!$C$52+(Inputs!$H$6))^2+Inputs!$C$52^2-2*(Inputs!$C$52+(Inputs!$H$6))*Inputs!$C$52*COS(SQRT((Scenario_Data!T156)^2+Inputs!$C$6^2)/Inputs!$C$52)))-(Inputs!$H$6))*1000/Inputs!$C$12)</f>
        <v>-0.51026903842853244</v>
      </c>
      <c r="K156">
        <f>Scenario_Data!I156-(((SQRT((Inputs!$C$52+(Inputs!$H$7))^2+Inputs!$C$52^2-2*(Inputs!$C$52+(Inputs!$H$7))*Inputs!$C$52*COS(SQRT((Scenario_Data!U156)^2+Inputs!$C$6^2)/Inputs!$C$52)))-(Inputs!$H$7))*1000/Inputs!$C$12)</f>
        <v>-9528.6373739095579</v>
      </c>
      <c r="L156">
        <f>Scenario_Data!J156-(((SQRT((Inputs!$C$52+(Inputs!$H$8))^2+Inputs!$C$52^2-2*(Inputs!$C$52+(Inputs!$H$8))*Inputs!$C$52*COS(SQRT((Scenario_Data!V156)^2+Inputs!$C$6^2)/Inputs!$C$52)))-(Inputs!$H$8))*1000/Inputs!$C$12)</f>
        <v>-27549.646131814996</v>
      </c>
      <c r="M156">
        <f>Scenario_Data!K156-(((SQRT((Inputs!$C$52+(Inputs!$H$9))^2+Inputs!$C$52^2-2*(Inputs!$C$52+(Inputs!$H$9))*Inputs!$C$52*COS(SQRT((Scenario_Data!W156)^2+Inputs!$C$6^2)/Inputs!$C$52)))-(Inputs!$H$9))*1000/Inputs!$C$12)</f>
        <v>-29351.915801664421</v>
      </c>
      <c r="O156">
        <f>Scenario_Data!T156</f>
        <v>16.97999999999999</v>
      </c>
      <c r="P156">
        <f>2*(Scenario_Data!B156*1000)/Inputs!$C$21*1000000</f>
        <v>2670.6499467708427</v>
      </c>
      <c r="Q156">
        <f>Scenario_Data!U156</f>
        <v>113.19999999999993</v>
      </c>
      <c r="R156">
        <f>2*(Scenario_Data!C156*1000)/Inputs!$C$21*1000000</f>
        <v>428.51301482707726</v>
      </c>
      <c r="S156">
        <f>Scenario_Data!V156</f>
        <v>226.39999999999986</v>
      </c>
      <c r="T156">
        <f>2*(Scenario_Data!D156*1000)/Inputs!$C$21*1000000</f>
        <v>749.09079267097434</v>
      </c>
      <c r="U156">
        <f>Scenario_Data!W156</f>
        <v>226.39999999999986</v>
      </c>
      <c r="V156">
        <f>2*(Scenario_Data!E156*1000)/Inputs!$C$21*1000000</f>
        <v>687.72093659540906</v>
      </c>
      <c r="X156">
        <f>Scenario_Data!T156</f>
        <v>16.97999999999999</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2670.2131483374369</v>
      </c>
      <c r="Z156">
        <f>Scenario_Data!U156</f>
        <v>113.19999999999993</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428.17126030241781</v>
      </c>
      <c r="AB156">
        <f>Scenario_Data!V156</f>
        <v>226.39999999999986</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748.86127758557245</v>
      </c>
      <c r="AD156">
        <f>Scenario_Data!W156</f>
        <v>226.39999999999986</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687.49142151000706</v>
      </c>
      <c r="AG156">
        <f>Scenario_Data!T156</f>
        <v>16.97999999999999</v>
      </c>
      <c r="AH156">
        <f>2*(SQRT((Inputs!$C$52+(Scenario_Data!B156))^2+Inputs!$C$52^2-2*(Inputs!$C$52+(Scenario_Data!B156))*Inputs!$C$52*COS(SQRT((Scenario_Data!T156)^2+Inputs!$C$6^2)/Inputs!$C$52))*1000)/Inputs!$C$21*1000000</f>
        <v>2680.1946587476814</v>
      </c>
      <c r="AI156">
        <f>Scenario_Data!U156</f>
        <v>113.19999999999993</v>
      </c>
      <c r="AJ156">
        <f>2*(SQRT((Inputs!$C$52+(Scenario_Data!C156))^2+Inputs!$C$52^2-2*(Inputs!$C$52+(Scenario_Data!C156))*Inputs!$C$52*COS(SQRT((Scenario_Data!U156)^2+Inputs!$C$6^2)/Inputs!$C$52))*1000)/Inputs!$C$21*1000000</f>
        <v>897.81905962626126</v>
      </c>
      <c r="AK156">
        <f>Scenario_Data!V156</f>
        <v>226.39999999999986</v>
      </c>
      <c r="AL156">
        <f>2*(SQRT((Inputs!$C$52+(Scenario_Data!D156))^2+Inputs!$C$52^2-2*(Inputs!$C$52+(Scenario_Data!D156))*Inputs!$C$52*COS(SQRT((Scenario_Data!V156)^2+Inputs!$C$6^2)/Inputs!$C$52))*1000)/Inputs!$C$21*1000000</f>
        <v>1741.2416393615815</v>
      </c>
      <c r="AM156">
        <f>Scenario_Data!W156</f>
        <v>226.39999999999986</v>
      </c>
      <c r="AN156">
        <f>2*(SQRT((Inputs!$C$52+(Scenario_Data!E156))^2+Inputs!$C$52^2-2*(Inputs!$C$52+(Scenario_Data!E156))*Inputs!$C$52*COS(SQRT((Scenario_Data!W156)^2+Inputs!$C$6^2)/Inputs!$C$52))*1000)/Inputs!$C$21*1000000</f>
        <v>1711.7711368171172</v>
      </c>
      <c r="AP156">
        <f>Scenario_Data!T156</f>
        <v>16.97999999999999</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2677.5398892825219</v>
      </c>
      <c r="AR156">
        <f>Scenario_Data!U156</f>
        <v>113.19999999999993</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897.26652126135866</v>
      </c>
      <c r="AT156">
        <f>Scenario_Data!V156</f>
        <v>226.39999999999986</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1740.9784489069013</v>
      </c>
      <c r="AV156">
        <f>Scenario_Data!W156</f>
        <v>226.39999999999986</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1711.5292151987778</v>
      </c>
    </row>
    <row r="157" spans="1:49">
      <c r="A157">
        <f>Chart_Data!K157</f>
        <v>17.5</v>
      </c>
      <c r="B157">
        <f>Chart_Data!N157-Chart_Data!L157</f>
        <v>-67.596995005774716</v>
      </c>
      <c r="D157">
        <f>Chart_Data!G157</f>
        <v>17.5</v>
      </c>
      <c r="E157">
        <f>Chart_Data!H157</f>
        <v>412.59673853511725</v>
      </c>
      <c r="F157">
        <f>Chart_Data!I157</f>
        <v>412.59673853511725</v>
      </c>
      <c r="G157">
        <f>Chart_Data!J157</f>
        <v>65.712265116192313</v>
      </c>
      <c r="I157">
        <f>Scenario_Data!A157</f>
        <v>0.29199999999999998</v>
      </c>
      <c r="J157">
        <f>Scenario_Data!H157-(((SQRT((Inputs!$C$52+(Inputs!$H$6))^2+Inputs!$C$52^2-2*(Inputs!$C$52+(Inputs!$H$6))*Inputs!$C$52*COS(SQRT((Scenario_Data!T157)^2+Inputs!$C$6^2)/Inputs!$C$52)))-(Inputs!$H$6))*1000/Inputs!$C$12)</f>
        <v>-0.55422705180376397</v>
      </c>
      <c r="K157">
        <f>Scenario_Data!I157-(((SQRT((Inputs!$C$52+(Inputs!$H$7))^2+Inputs!$C$52^2-2*(Inputs!$C$52+(Inputs!$H$7))*Inputs!$C$52*COS(SQRT((Scenario_Data!U157)^2+Inputs!$C$6^2)/Inputs!$C$52)))-(Inputs!$H$7))*1000/Inputs!$C$12)</f>
        <v>-10193.291736298088</v>
      </c>
      <c r="L157">
        <f>Scenario_Data!J157-(((SQRT((Inputs!$C$52+(Inputs!$H$8))^2+Inputs!$C$52^2-2*(Inputs!$C$52+(Inputs!$H$8))*Inputs!$C$52*COS(SQRT((Scenario_Data!V157)^2+Inputs!$C$6^2)/Inputs!$C$52)))-(Inputs!$H$8))*1000/Inputs!$C$12)</f>
        <v>-29225.110156036026</v>
      </c>
      <c r="M157">
        <f>Scenario_Data!K157-(((SQRT((Inputs!$C$52+(Inputs!$H$9))^2+Inputs!$C$52^2-2*(Inputs!$C$52+(Inputs!$H$9))*Inputs!$C$52*COS(SQRT((Scenario_Data!W157)^2+Inputs!$C$6^2)/Inputs!$C$52)))-(Inputs!$H$9))*1000/Inputs!$C$12)</f>
        <v>-31083.84952937637</v>
      </c>
      <c r="O157">
        <f>Scenario_Data!T157</f>
        <v>17.519999999999996</v>
      </c>
      <c r="P157">
        <f>2*(Scenario_Data!B157*1000)/Inputs!$C$21*1000000</f>
        <v>2670.7880423062543</v>
      </c>
      <c r="Q157">
        <f>Scenario_Data!U157</f>
        <v>116.80000000000007</v>
      </c>
      <c r="R157">
        <f>2*(Scenario_Data!C157*1000)/Inputs!$C$21*1000000</f>
        <v>441.11423243342597</v>
      </c>
      <c r="S157">
        <f>Scenario_Data!V157</f>
        <v>233.60000000000014</v>
      </c>
      <c r="T157">
        <f>2*(Scenario_Data!D157*1000)/Inputs!$C$21*1000000</f>
        <v>782.40634058912906</v>
      </c>
      <c r="U157">
        <f>Scenario_Data!W157</f>
        <v>233.60000000000014</v>
      </c>
      <c r="V157">
        <f>2*(Scenario_Data!E157*1000)/Inputs!$C$21*1000000</f>
        <v>721.38172335209379</v>
      </c>
      <c r="X157">
        <f>Scenario_Data!T157</f>
        <v>17.519999999999996</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2670.3303197350824</v>
      </c>
      <c r="Z157">
        <f>Scenario_Data!U157</f>
        <v>116.80000000000007</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441.15226021313657</v>
      </c>
      <c r="AB157">
        <f>Scenario_Data!V157</f>
        <v>233.60000000000014</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782.04327296375436</v>
      </c>
      <c r="AD157">
        <f>Scenario_Data!W157</f>
        <v>233.60000000000014</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721.0186557267192</v>
      </c>
      <c r="AG157">
        <f>Scenario_Data!T157</f>
        <v>17.519999999999996</v>
      </c>
      <c r="AH157">
        <f>2*(SQRT((Inputs!$C$52+(Scenario_Data!B157))^2+Inputs!$C$52^2-2*(Inputs!$C$52+(Scenario_Data!B157))*Inputs!$C$52*COS(SQRT((Scenario_Data!T157)^2+Inputs!$C$6^2)/Inputs!$C$52))*1000)/Inputs!$C$21*1000000</f>
        <v>2680.526689218967</v>
      </c>
      <c r="AI157">
        <f>Scenario_Data!U157</f>
        <v>116.80000000000007</v>
      </c>
      <c r="AJ157">
        <f>2*(SQRT((Inputs!$C$52+(Scenario_Data!C157))^2+Inputs!$C$52^2-2*(Inputs!$C$52+(Scenario_Data!C157))*Inputs!$C$52*COS(SQRT((Scenario_Data!U157)^2+Inputs!$C$6^2)/Inputs!$C$52))*1000)/Inputs!$C$21*1000000</f>
        <v>925.27653395464438</v>
      </c>
      <c r="AK157">
        <f>Scenario_Data!V157</f>
        <v>233.60000000000014</v>
      </c>
      <c r="AL157">
        <f>2*(SQRT((Inputs!$C$52+(Scenario_Data!D157))^2+Inputs!$C$52^2-2*(Inputs!$C$52+(Scenario_Data!D157))*Inputs!$C$52*COS(SQRT((Scenario_Data!V157)^2+Inputs!$C$6^2)/Inputs!$C$52))*1000)/Inputs!$C$21*1000000</f>
        <v>1802.2819043727418</v>
      </c>
      <c r="AM157">
        <f>Scenario_Data!W157</f>
        <v>233.60000000000014</v>
      </c>
      <c r="AN157">
        <f>2*(SQRT((Inputs!$C$52+(Scenario_Data!E157))^2+Inputs!$C$52^2-2*(Inputs!$C$52+(Scenario_Data!E157))*Inputs!$C$52*COS(SQRT((Scenario_Data!W157)^2+Inputs!$C$6^2)/Inputs!$C$52))*1000)/Inputs!$C$21*1000000</f>
        <v>1772.5920499108024</v>
      </c>
      <c r="AP157">
        <f>Scenario_Data!T157</f>
        <v>17.519999999999996</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2677.7716485761302</v>
      </c>
      <c r="AR157">
        <f>Scenario_Data!U157</f>
        <v>116.80000000000007</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924.86414819099969</v>
      </c>
      <c r="AT157">
        <f>Scenario_Data!V157</f>
        <v>233.60000000000014</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1801.8730716501491</v>
      </c>
      <c r="AV157">
        <f>Scenario_Data!W157</f>
        <v>233.60000000000014</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1772.2146466917202</v>
      </c>
    </row>
    <row r="158" spans="1:49">
      <c r="A158">
        <f>Chart_Data!K158</f>
        <v>18</v>
      </c>
      <c r="B158">
        <f>Chart_Data!N158-Chart_Data!L158</f>
        <v>-72.445528544479259</v>
      </c>
      <c r="D158">
        <f>Chart_Data!G158</f>
        <v>18</v>
      </c>
      <c r="E158">
        <f>Chart_Data!H158</f>
        <v>417.36712485558922</v>
      </c>
      <c r="F158">
        <f>Chart_Data!I158</f>
        <v>417.36712485558922</v>
      </c>
      <c r="G158">
        <f>Chart_Data!J158</f>
        <v>70.502986137150288</v>
      </c>
      <c r="I158">
        <f>Scenario_Data!A158</f>
        <v>0.3</v>
      </c>
      <c r="J158">
        <f>Scenario_Data!H158-(((SQRT((Inputs!$C$52+(Inputs!$H$6))^2+Inputs!$C$52^2-2*(Inputs!$C$52+(Inputs!$H$6))*Inputs!$C$52*COS(SQRT((Scenario_Data!T158)^2+Inputs!$C$6^2)/Inputs!$C$52)))-(Inputs!$H$6))*1000/Inputs!$C$12)</f>
        <v>-0.59562134887653428</v>
      </c>
      <c r="K158">
        <f>Scenario_Data!I158-(((SQRT((Inputs!$C$52+(Inputs!$H$7))^2+Inputs!$C$52^2-2*(Inputs!$C$52+(Inputs!$H$7))*Inputs!$C$52*COS(SQRT((Scenario_Data!U158)^2+Inputs!$C$6^2)/Inputs!$C$52)))-(Inputs!$H$7))*1000/Inputs!$C$12)</f>
        <v>-10799.871032643307</v>
      </c>
      <c r="L158">
        <f>Scenario_Data!J158-(((SQRT((Inputs!$C$52+(Inputs!$H$8))^2+Inputs!$C$52^2-2*(Inputs!$C$52+(Inputs!$H$8))*Inputs!$C$52*COS(SQRT((Scenario_Data!V158)^2+Inputs!$C$6^2)/Inputs!$C$52)))-(Inputs!$H$8))*1000/Inputs!$C$12)</f>
        <v>-30741.814145394601</v>
      </c>
      <c r="M158">
        <f>Scenario_Data!K158-(((SQRT((Inputs!$C$52+(Inputs!$H$9))^2+Inputs!$C$52^2-2*(Inputs!$C$52+(Inputs!$H$9))*Inputs!$C$52*COS(SQRT((Scenario_Data!W158)^2+Inputs!$C$6^2)/Inputs!$C$52)))-(Inputs!$H$9))*1000/Inputs!$C$12)</f>
        <v>-32650.140682705838</v>
      </c>
      <c r="O158">
        <f>Scenario_Data!T158</f>
        <v>18</v>
      </c>
      <c r="P158">
        <f>2*(Scenario_Data!B158*1000)/Inputs!$C$21*1000000</f>
        <v>2670.9144230706429</v>
      </c>
      <c r="Q158">
        <f>Scenario_Data!U158</f>
        <v>120</v>
      </c>
      <c r="R158">
        <f>2*(Scenario_Data!C158*1000)/Inputs!$C$21*1000000</f>
        <v>452.64647718389233</v>
      </c>
      <c r="S158">
        <f>Scenario_Data!V158</f>
        <v>240</v>
      </c>
      <c r="T158">
        <f>2*(Scenario_Data!D158*1000)/Inputs!$C$21*1000000</f>
        <v>812.8956999978966</v>
      </c>
      <c r="U158">
        <f>Scenario_Data!W158</f>
        <v>240</v>
      </c>
      <c r="V158">
        <f>2*(Scenario_Data!E158*1000)/Inputs!$C$21*1000000</f>
        <v>752.18703467183286</v>
      </c>
      <c r="X158">
        <f>Scenario_Data!T158</f>
        <v>18</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2670.444077775051</v>
      </c>
      <c r="Z158">
        <f>Scenario_Data!U158</f>
        <v>120</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452.70768115682705</v>
      </c>
      <c r="AB158">
        <f>Scenario_Data!V158</f>
        <v>240</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812.30782872011355</v>
      </c>
      <c r="AD158">
        <f>Scenario_Data!W158</f>
        <v>240</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751.59916339404981</v>
      </c>
      <c r="AG158">
        <f>Scenario_Data!T158</f>
        <v>18</v>
      </c>
      <c r="AH158">
        <f>2*(SQRT((Inputs!$C$52+(Scenario_Data!B158))^2+Inputs!$C$52^2-2*(Inputs!$C$52+(Scenario_Data!B158))*Inputs!$C$52*COS(SQRT((Scenario_Data!T158)^2+Inputs!$C$6^2)/Inputs!$C$52))*1000)/Inputs!$C$21*1000000</f>
        <v>2680.8305268137187</v>
      </c>
      <c r="AI158">
        <f>Scenario_Data!U158</f>
        <v>120</v>
      </c>
      <c r="AJ158">
        <f>2*(SQRT((Inputs!$C$52+(Scenario_Data!C158))^2+Inputs!$C$52^2-2*(Inputs!$C$52+(Scenario_Data!C158))*Inputs!$C$52*COS(SQRT((Scenario_Data!U158)^2+Inputs!$C$6^2)/Inputs!$C$52))*1000)/Inputs!$C$21*1000000</f>
        <v>949.89595685143365</v>
      </c>
      <c r="AK158">
        <f>Scenario_Data!V158</f>
        <v>240</v>
      </c>
      <c r="AL158">
        <f>2*(SQRT((Inputs!$C$52+(Scenario_Data!D158))^2+Inputs!$C$52^2-2*(Inputs!$C$52+(Scenario_Data!D158))*Inputs!$C$52*COS(SQRT((Scenario_Data!V158)^2+Inputs!$C$6^2)/Inputs!$C$52))*1000)/Inputs!$C$21*1000000</f>
        <v>1857.1231620816707</v>
      </c>
      <c r="AM158">
        <f>Scenario_Data!W158</f>
        <v>240</v>
      </c>
      <c r="AN158">
        <f>2*(SQRT((Inputs!$C$52+(Scenario_Data!E158))^2+Inputs!$C$52^2-2*(Inputs!$C$52+(Scenario_Data!E158))*Inputs!$C$52*COS(SQRT((Scenario_Data!W158)^2+Inputs!$C$6^2)/Inputs!$C$52))*1000)/Inputs!$C$21*1000000</f>
        <v>1827.2421550832848</v>
      </c>
      <c r="AP158">
        <f>Scenario_Data!T158</f>
        <v>18</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2678.0591123143704</v>
      </c>
      <c r="AR158">
        <f>Scenario_Data!U158</f>
        <v>120</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949.69451540625494</v>
      </c>
      <c r="AT158">
        <f>Scenario_Data!V158</f>
        <v>240</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1856.7086148968674</v>
      </c>
      <c r="AV158">
        <f>Scenario_Data!W158</f>
        <v>240</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1826.858082720953</v>
      </c>
    </row>
    <row r="159" spans="1:49">
      <c r="A159">
        <f>Chart_Data!K159</f>
        <v>18.5</v>
      </c>
      <c r="B159">
        <f>Chart_Data!N159-Chart_Data!L159</f>
        <v>-86.117515031904816</v>
      </c>
      <c r="D159">
        <f>Chart_Data!G159</f>
        <v>18.5</v>
      </c>
      <c r="E159">
        <f>Chart_Data!H159</f>
        <v>414.03078360213277</v>
      </c>
      <c r="F159">
        <f>Chart_Data!I159</f>
        <v>414.03078360213277</v>
      </c>
      <c r="G159">
        <f>Chart_Data!J159</f>
        <v>84.15381309689964</v>
      </c>
      <c r="I159">
        <f>Scenario_Data!A159</f>
        <v>0.308</v>
      </c>
      <c r="J159">
        <f>Scenario_Data!H159-(((SQRT((Inputs!$C$52+(Inputs!$H$6))^2+Inputs!$C$52^2-2*(Inputs!$C$52+(Inputs!$H$6))*Inputs!$C$52*COS(SQRT((Scenario_Data!T159)^2+Inputs!$C$6^2)/Inputs!$C$52)))-(Inputs!$H$6))*1000/Inputs!$C$12)</f>
        <v>-0.63929306925479068</v>
      </c>
      <c r="K159">
        <f>Scenario_Data!I159-(((SQRT((Inputs!$C$52+(Inputs!$H$7))^2+Inputs!$C$52^2-2*(Inputs!$C$52+(Inputs!$H$7))*Inputs!$C$52*COS(SQRT((Scenario_Data!U159)^2+Inputs!$C$6^2)/Inputs!$C$52)))-(Inputs!$H$7))*1000/Inputs!$C$12)</f>
        <v>-11420.992588521869</v>
      </c>
      <c r="L159">
        <f>Scenario_Data!J159-(((SQRT((Inputs!$C$52+(Inputs!$H$8))^2+Inputs!$C$52^2-2*(Inputs!$C$52+(Inputs!$H$8))*Inputs!$C$52*COS(SQRT((Scenario_Data!V159)^2+Inputs!$C$6^2)/Inputs!$C$52)))-(Inputs!$H$8))*1000/Inputs!$C$12)</f>
        <v>-32283.3287901734</v>
      </c>
      <c r="M159">
        <f>Scenario_Data!K159-(((SQRT((Inputs!$C$52+(Inputs!$H$9))^2+Inputs!$C$52^2-2*(Inputs!$C$52+(Inputs!$H$9))*Inputs!$C$52*COS(SQRT((Scenario_Data!W159)^2+Inputs!$C$6^2)/Inputs!$C$52)))-(Inputs!$H$9))*1000/Inputs!$C$12)</f>
        <v>-34240.659083493854</v>
      </c>
      <c r="O159">
        <f>Scenario_Data!T159</f>
        <v>18.480000000000004</v>
      </c>
      <c r="P159">
        <f>2*(Scenario_Data!B159*1000)/Inputs!$C$21*1000000</f>
        <v>2671.0442195313667</v>
      </c>
      <c r="Q159">
        <f>Scenario_Data!U159</f>
        <v>123.20000000000005</v>
      </c>
      <c r="R159">
        <f>2*(Scenario_Data!C159*1000)/Inputs!$C$21*1000000</f>
        <v>464.49040422491237</v>
      </c>
      <c r="S159">
        <f>Scenario_Data!V159</f>
        <v>246.40000000000009</v>
      </c>
      <c r="T159">
        <f>2*(Scenario_Data!D159*1000)/Inputs!$C$21*1000000</f>
        <v>844.20909614744266</v>
      </c>
      <c r="U159">
        <f>Scenario_Data!W159</f>
        <v>246.40000000000009</v>
      </c>
      <c r="V159">
        <f>2*(Scenario_Data!E159*1000)/Inputs!$C$21*1000000</f>
        <v>783.82492197318754</v>
      </c>
      <c r="X159">
        <f>Scenario_Data!T159</f>
        <v>18.480000000000004</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2670.5153353694513</v>
      </c>
      <c r="Z159">
        <f>Scenario_Data!U159</f>
        <v>123.20000000000005</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464.34221044971468</v>
      </c>
      <c r="AB159">
        <f>Scenario_Data!V159</f>
        <v>246.40000000000009</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843.99023990953719</v>
      </c>
      <c r="AD159">
        <f>Scenario_Data!W159</f>
        <v>246.40000000000009</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783.6060657352823</v>
      </c>
      <c r="AG159">
        <f>Scenario_Data!T159</f>
        <v>18.480000000000004</v>
      </c>
      <c r="AH159">
        <f>2*(SQRT((Inputs!$C$52+(Scenario_Data!B159))^2+Inputs!$C$52^2-2*(Inputs!$C$52+(Scenario_Data!B159))*Inputs!$C$52*COS(SQRT((Scenario_Data!T159)^2+Inputs!$C$6^2)/Inputs!$C$52))*1000)/Inputs!$C$21*1000000</f>
        <v>2681.1425499551765</v>
      </c>
      <c r="AI159">
        <f>Scenario_Data!U159</f>
        <v>123.20000000000005</v>
      </c>
      <c r="AJ159">
        <f>2*(SQRT((Inputs!$C$52+(Scenario_Data!C159))^2+Inputs!$C$52^2-2*(Inputs!$C$52+(Scenario_Data!C159))*Inputs!$C$52*COS(SQRT((Scenario_Data!U159)^2+Inputs!$C$6^2)/Inputs!$C$52))*1000)/Inputs!$C$21*1000000</f>
        <v>974.71450211271815</v>
      </c>
      <c r="AK159">
        <f>Scenario_Data!V159</f>
        <v>246.40000000000009</v>
      </c>
      <c r="AL159">
        <f>2*(SQRT((Inputs!$C$52+(Scenario_Data!D159))^2+Inputs!$C$52^2-2*(Inputs!$C$52+(Scenario_Data!D159))*Inputs!$C$52*COS(SQRT((Scenario_Data!V159)^2+Inputs!$C$6^2)/Inputs!$C$52))*1000)/Inputs!$C$21*1000000</f>
        <v>1912.5218325119242</v>
      </c>
      <c r="AM159">
        <f>Scenario_Data!W159</f>
        <v>246.40000000000009</v>
      </c>
      <c r="AN159">
        <f>2*(SQRT((Inputs!$C$52+(Scenario_Data!E159))^2+Inputs!$C$52^2-2*(Inputs!$C$52+(Scenario_Data!E159))*Inputs!$C$52*COS(SQRT((Scenario_Data!W159)^2+Inputs!$C$6^2)/Inputs!$C$52))*1000)/Inputs!$C$21*1000000</f>
        <v>1882.4543117385992</v>
      </c>
      <c r="AP159">
        <f>Scenario_Data!T159</f>
        <v>18.480000000000004</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2678.3248962424841</v>
      </c>
      <c r="AR159">
        <f>Scenario_Data!U159</f>
        <v>123.20000000000005</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974.48553419291693</v>
      </c>
      <c r="AT159">
        <f>Scenario_Data!V159</f>
        <v>246.40000000000009</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1912.259873742373</v>
      </c>
      <c r="AV159">
        <f>Scenario_Data!W159</f>
        <v>246.40000000000009</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1882.2107610897619</v>
      </c>
    </row>
    <row r="160" spans="1:49">
      <c r="A160">
        <f>Chart_Data!K160</f>
        <v>19</v>
      </c>
      <c r="B160">
        <f>Chart_Data!N160-Chart_Data!L160</f>
        <v>-89.87063812898208</v>
      </c>
      <c r="D160">
        <f>Chart_Data!G160</f>
        <v>19</v>
      </c>
      <c r="E160">
        <f>Chart_Data!H160</f>
        <v>429.33926339108206</v>
      </c>
      <c r="F160">
        <f>Chart_Data!I160</f>
        <v>429.33926339108206</v>
      </c>
      <c r="G160">
        <f>Chart_Data!J160</f>
        <v>87.795161496026481</v>
      </c>
      <c r="I160">
        <f>Scenario_Data!A160</f>
        <v>0.317</v>
      </c>
      <c r="J160">
        <f>Scenario_Data!H160-(((SQRT((Inputs!$C$52+(Inputs!$H$6))^2+Inputs!$C$52^2-2*(Inputs!$C$52+(Inputs!$H$6))*Inputs!$C$52*COS(SQRT((Scenario_Data!T160)^2+Inputs!$C$6^2)/Inputs!$C$52)))-(Inputs!$H$6))*1000/Inputs!$C$12)</f>
        <v>-0.69126076184193153</v>
      </c>
      <c r="K160">
        <f>Scenario_Data!I160-(((SQRT((Inputs!$C$52+(Inputs!$H$7))^2+Inputs!$C$52^2-2*(Inputs!$C$52+(Inputs!$H$7))*Inputs!$C$52*COS(SQRT((Scenario_Data!U160)^2+Inputs!$C$6^2)/Inputs!$C$52)))-(Inputs!$H$7))*1000/Inputs!$C$12)</f>
        <v>-12136.776407525518</v>
      </c>
      <c r="L160">
        <f>Scenario_Data!J160-(((SQRT((Inputs!$C$52+(Inputs!$H$8))^2+Inputs!$C$52^2-2*(Inputs!$C$52+(Inputs!$H$8))*Inputs!$C$52*COS(SQRT((Scenario_Data!V160)^2+Inputs!$C$6^2)/Inputs!$C$52)))-(Inputs!$H$8))*1000/Inputs!$C$12)</f>
        <v>-34046.041947946462</v>
      </c>
      <c r="M160">
        <f>Scenario_Data!K160-(((SQRT((Inputs!$C$52+(Inputs!$H$9))^2+Inputs!$C$52^2-2*(Inputs!$C$52+(Inputs!$H$9))*Inputs!$C$52*COS(SQRT((Scenario_Data!W160)^2+Inputs!$C$6^2)/Inputs!$C$52)))-(Inputs!$H$9))*1000/Inputs!$C$12)</f>
        <v>-36057.791762901921</v>
      </c>
      <c r="O160">
        <f>Scenario_Data!T160</f>
        <v>19.019999999999996</v>
      </c>
      <c r="P160">
        <f>2*(Scenario_Data!B160*1000)/Inputs!$C$21*1000000</f>
        <v>2671.1943233742059</v>
      </c>
      <c r="Q160">
        <f>Scenario_Data!U160</f>
        <v>126.79999999999995</v>
      </c>
      <c r="R160">
        <f>2*(Scenario_Data!C160*1000)/Inputs!$C$21*1000000</f>
        <v>478.18737988398607</v>
      </c>
      <c r="S160">
        <f>Scenario_Data!V160</f>
        <v>253.59999999999991</v>
      </c>
      <c r="T160">
        <f>2*(Scenario_Data!D160*1000)/Inputs!$C$21*1000000</f>
        <v>880.42164823239102</v>
      </c>
      <c r="U160">
        <f>Scenario_Data!W160</f>
        <v>253.59999999999991</v>
      </c>
      <c r="V160">
        <f>2*(Scenario_Data!E160*1000)/Inputs!$C$21*1000000</f>
        <v>820.4127336652341</v>
      </c>
      <c r="X160">
        <f>Scenario_Data!T160</f>
        <v>19.019999999999996</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2670.7374273408423</v>
      </c>
      <c r="Z160">
        <f>Scenario_Data!U160</f>
        <v>126.79999999999995</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477.97385498477803</v>
      </c>
      <c r="AB160">
        <f>Scenario_Data!V160</f>
        <v>253.59999999999991</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880.1287937053022</v>
      </c>
      <c r="AD160">
        <f>Scenario_Data!W160</f>
        <v>253.59999999999991</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820.11987913814539</v>
      </c>
      <c r="AG160">
        <f>Scenario_Data!T160</f>
        <v>19.019999999999996</v>
      </c>
      <c r="AH160">
        <f>2*(SQRT((Inputs!$C$52+(Scenario_Data!B160))^2+Inputs!$C$52^2-2*(Inputs!$C$52+(Scenario_Data!B160))*Inputs!$C$52*COS(SQRT((Scenario_Data!T160)^2+Inputs!$C$6^2)/Inputs!$C$52))*1000)/Inputs!$C$21*1000000</f>
        <v>2681.5033576678143</v>
      </c>
      <c r="AI160">
        <f>Scenario_Data!U160</f>
        <v>126.79999999999995</v>
      </c>
      <c r="AJ160">
        <f>2*(SQRT((Inputs!$C$52+(Scenario_Data!C160))^2+Inputs!$C$52^2-2*(Inputs!$C$52+(Scenario_Data!C160))*Inputs!$C$52*COS(SQRT((Scenario_Data!U160)^2+Inputs!$C$6^2)/Inputs!$C$52))*1000)/Inputs!$C$21*1000000</f>
        <v>1002.8724909144175</v>
      </c>
      <c r="AK160">
        <f>Scenario_Data!V160</f>
        <v>253.59999999999991</v>
      </c>
      <c r="AL160">
        <f>2*(SQRT((Inputs!$C$52+(Scenario_Data!D160))^2+Inputs!$C$52^2-2*(Inputs!$C$52+(Scenario_Data!D160))*Inputs!$C$52*COS(SQRT((Scenario_Data!V160)^2+Inputs!$C$6^2)/Inputs!$C$52))*1000)/Inputs!$C$21*1000000</f>
        <v>1975.5218318440923</v>
      </c>
      <c r="AM160">
        <f>Scenario_Data!W160</f>
        <v>253.59999999999991</v>
      </c>
      <c r="AN160">
        <f>2*(SQRT((Inputs!$C$52+(Scenario_Data!E160))^2+Inputs!$C$52^2-2*(Inputs!$C$52+(Scenario_Data!E160))*Inputs!$C$52*COS(SQRT((Scenario_Data!W160)^2+Inputs!$C$6^2)/Inputs!$C$52))*1000)/Inputs!$C$21*1000000</f>
        <v>1945.2511482815198</v>
      </c>
      <c r="AP160">
        <f>Scenario_Data!T160</f>
        <v>19.019999999999996</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2678.7603431942562</v>
      </c>
      <c r="AR160">
        <f>Scenario_Data!U160</f>
        <v>126.79999999999995</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1002.4378207984545</v>
      </c>
      <c r="AT160">
        <f>Scenario_Data!V160</f>
        <v>253.59999999999991</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1975.1014147397316</v>
      </c>
      <c r="AV160">
        <f>Scenario_Data!W160</f>
        <v>253.59999999999991</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1944.858837742305</v>
      </c>
    </row>
    <row r="161" spans="1:49">
      <c r="A161">
        <f>Chart_Data!K161</f>
        <v>19.5</v>
      </c>
      <c r="B161">
        <f>Chart_Data!N161-Chart_Data!L161</f>
        <v>-82.237516127972413</v>
      </c>
      <c r="D161">
        <f>Chart_Data!G161</f>
        <v>19.5</v>
      </c>
      <c r="E161">
        <f>Chart_Data!H161</f>
        <v>436.66425250955575</v>
      </c>
      <c r="F161">
        <f>Chart_Data!I161</f>
        <v>436.66425250955575</v>
      </c>
      <c r="G161">
        <f>Chart_Data!J161</f>
        <v>80.085787823255487</v>
      </c>
      <c r="I161">
        <f>Scenario_Data!A161</f>
        <v>0.32500000000000001</v>
      </c>
      <c r="J161">
        <f>Scenario_Data!H161-(((SQRT((Inputs!$C$52+(Inputs!$H$6))^2+Inputs!$C$52^2-2*(Inputs!$C$52+(Inputs!$H$6))*Inputs!$C$52*COS(SQRT((Scenario_Data!T161)^2+Inputs!$C$6^2)/Inputs!$C$52)))-(Inputs!$H$6))*1000/Inputs!$C$12)</f>
        <v>-0.74008074998198481</v>
      </c>
      <c r="K161">
        <f>Scenario_Data!I161-(((SQRT((Inputs!$C$52+(Inputs!$H$7))^2+Inputs!$C$52^2-2*(Inputs!$C$52+(Inputs!$H$7))*Inputs!$C$52*COS(SQRT((Scenario_Data!U161)^2+Inputs!$C$6^2)/Inputs!$C$52)))-(Inputs!$H$7))*1000/Inputs!$C$12)</f>
        <v>-12787.842801368242</v>
      </c>
      <c r="L161">
        <f>Scenario_Data!J161-(((SQRT((Inputs!$C$52+(Inputs!$H$8))^2+Inputs!$C$52^2-2*(Inputs!$C$52+(Inputs!$H$8))*Inputs!$C$52*COS(SQRT((Scenario_Data!V161)^2+Inputs!$C$6^2)/Inputs!$C$52)))-(Inputs!$H$8))*1000/Inputs!$C$12)</f>
        <v>-35637.240500205327</v>
      </c>
      <c r="M161">
        <f>Scenario_Data!K161-(((SQRT((Inputs!$C$52+(Inputs!$H$9))^2+Inputs!$C$52^2-2*(Inputs!$C$52+(Inputs!$H$9))*Inputs!$C$52*COS(SQRT((Scenario_Data!W161)^2+Inputs!$C$6^2)/Inputs!$C$52)))-(Inputs!$H$9))*1000/Inputs!$C$12)</f>
        <v>-37696.722160192003</v>
      </c>
      <c r="O161">
        <f>Scenario_Data!T161</f>
        <v>19.5</v>
      </c>
      <c r="P161">
        <f>2*(Scenario_Data!B161*1000)/Inputs!$C$21*1000000</f>
        <v>2671.3313781896409</v>
      </c>
      <c r="Q161">
        <f>Scenario_Data!U161</f>
        <v>130</v>
      </c>
      <c r="R161">
        <f>2*(Scenario_Data!C161*1000)/Inputs!$C$21*1000000</f>
        <v>490.69363179243157</v>
      </c>
      <c r="S161">
        <f>Scenario_Data!V161</f>
        <v>260</v>
      </c>
      <c r="T161">
        <f>2*(Scenario_Data!D161*1000)/Inputs!$C$21*1000000</f>
        <v>913.48612245608945</v>
      </c>
      <c r="U161">
        <f>Scenario_Data!W161</f>
        <v>260</v>
      </c>
      <c r="V161">
        <f>2*(Scenario_Data!E161*1000)/Inputs!$C$21*1000000</f>
        <v>853.81984492751985</v>
      </c>
      <c r="X161">
        <f>Scenario_Data!T161</f>
        <v>19.5</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2670.7971033225708</v>
      </c>
      <c r="Z161">
        <f>Scenario_Data!U161</f>
        <v>130</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490.48209351261062</v>
      </c>
      <c r="AB161">
        <f>Scenario_Data!V161</f>
        <v>260</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913.15153955208098</v>
      </c>
      <c r="AD161">
        <f>Scenario_Data!W161</f>
        <v>260</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853.48526202351161</v>
      </c>
      <c r="AG161">
        <f>Scenario_Data!T161</f>
        <v>19.5</v>
      </c>
      <c r="AH161">
        <f>2*(SQRT((Inputs!$C$52+(Scenario_Data!B161))^2+Inputs!$C$52^2-2*(Inputs!$C$52+(Scenario_Data!B161))*Inputs!$C$52*COS(SQRT((Scenario_Data!T161)^2+Inputs!$C$6^2)/Inputs!$C$52))*1000)/Inputs!$C$21*1000000</f>
        <v>2681.8327680804646</v>
      </c>
      <c r="AI161">
        <f>Scenario_Data!U161</f>
        <v>130</v>
      </c>
      <c r="AJ161">
        <f>2*(SQRT((Inputs!$C$52+(Scenario_Data!C161))^2+Inputs!$C$52^2-2*(Inputs!$C$52+(Scenario_Data!C161))*Inputs!$C$52*COS(SQRT((Scenario_Data!U161)^2+Inputs!$C$6^2)/Inputs!$C$52))*1000)/Inputs!$C$21*1000000</f>
        <v>1028.1121624339564</v>
      </c>
      <c r="AK161">
        <f>Scenario_Data!V161</f>
        <v>260</v>
      </c>
      <c r="AL161">
        <f>2*(SQRT((Inputs!$C$52+(Scenario_Data!D161))^2+Inputs!$C$52^2-2*(Inputs!$C$52+(Scenario_Data!D161))*Inputs!$C$52*COS(SQRT((Scenario_Data!V161)^2+Inputs!$C$6^2)/Inputs!$C$52))*1000)/Inputs!$C$21*1000000</f>
        <v>2032.1322695231349</v>
      </c>
      <c r="AM161">
        <f>Scenario_Data!W161</f>
        <v>260</v>
      </c>
      <c r="AN161">
        <f>2*(SQRT((Inputs!$C$52+(Scenario_Data!E161))^2+Inputs!$C$52^2-2*(Inputs!$C$52+(Scenario_Data!E161))*Inputs!$C$52*COS(SQRT((Scenario_Data!W161)^2+Inputs!$C$6^2)/Inputs!$C$52))*1000)/Inputs!$C$21*1000000</f>
        <v>2001.6878257232431</v>
      </c>
      <c r="AP161">
        <f>Scenario_Data!T161</f>
        <v>19.5</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2678.934012540692</v>
      </c>
      <c r="AR161">
        <f>Scenario_Data!U161</f>
        <v>130</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1027.5870587413654</v>
      </c>
      <c r="AT161">
        <f>Scenario_Data!V161</f>
        <v>260</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2031.7985558053063</v>
      </c>
      <c r="AV161">
        <f>Scenario_Data!W161</f>
        <v>260</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2001.3754442363258</v>
      </c>
    </row>
    <row r="162" spans="1:49">
      <c r="A162">
        <f>Chart_Data!K162</f>
        <v>20</v>
      </c>
      <c r="B162">
        <f>Chart_Data!N162-Chart_Data!L162</f>
        <v>-76.537047286753591</v>
      </c>
      <c r="D162">
        <f>Chart_Data!G162</f>
        <v>20</v>
      </c>
      <c r="E162">
        <f>Chart_Data!H162</f>
        <v>439.01130208847866</v>
      </c>
      <c r="F162">
        <f>Chart_Data!I162</f>
        <v>439.01130208847866</v>
      </c>
      <c r="G162">
        <f>Chart_Data!J162</f>
        <v>74.331668639094204</v>
      </c>
      <c r="I162">
        <f>Scenario_Data!A162</f>
        <v>0.33300000000000002</v>
      </c>
      <c r="J162">
        <f>Scenario_Data!H162-(((SQRT((Inputs!$C$52+(Inputs!$H$6))^2+Inputs!$C$52^2-2*(Inputs!$C$52+(Inputs!$H$6))*Inputs!$C$52*COS(SQRT((Scenario_Data!T162)^2+Inputs!$C$6^2)/Inputs!$C$52)))-(Inputs!$H$6))*1000/Inputs!$C$12)</f>
        <v>-0.79147378083268904</v>
      </c>
      <c r="K162">
        <f>Scenario_Data!I162-(((SQRT((Inputs!$C$52+(Inputs!$H$7))^2+Inputs!$C$52^2-2*(Inputs!$C$52+(Inputs!$H$7))*Inputs!$C$52*COS(SQRT((Scenario_Data!U162)^2+Inputs!$C$6^2)/Inputs!$C$52)))-(Inputs!$H$7))*1000/Inputs!$C$12)</f>
        <v>-13452.557524737189</v>
      </c>
      <c r="L162">
        <f>Scenario_Data!J162-(((SQRT((Inputs!$C$52+(Inputs!$H$8))^2+Inputs!$C$52^2-2*(Inputs!$C$52+(Inputs!$H$8))*Inputs!$C$52*COS(SQRT((Scenario_Data!V162)^2+Inputs!$C$6^2)/Inputs!$C$52)))-(Inputs!$H$8))*1000/Inputs!$C$12)</f>
        <v>-37250.428651962648</v>
      </c>
      <c r="M162">
        <f>Scenario_Data!K162-(((SQRT((Inputs!$C$52+(Inputs!$H$9))^2+Inputs!$C$52^2-2*(Inputs!$C$52+(Inputs!$H$9))*Inputs!$C$52*COS(SQRT((Scenario_Data!W162)^2+Inputs!$C$6^2)/Inputs!$C$52)))-(Inputs!$H$9))*1000/Inputs!$C$12)</f>
        <v>-39357.029917001244</v>
      </c>
      <c r="O162">
        <f>Scenario_Data!T162</f>
        <v>19.980000000000004</v>
      </c>
      <c r="P162">
        <f>2*(Scenario_Data!B162*1000)/Inputs!$C$21*1000000</f>
        <v>2671.4718487014106</v>
      </c>
      <c r="Q162">
        <f>Scenario_Data!U162</f>
        <v>133.19999999999993</v>
      </c>
      <c r="R162">
        <f>2*(Scenario_Data!C162*1000)/Inputs!$C$21*1000000</f>
        <v>503.51156599142973</v>
      </c>
      <c r="S162">
        <f>Scenario_Data!V162</f>
        <v>266.39999999999986</v>
      </c>
      <c r="T162">
        <f>2*(Scenario_Data!D162*1000)/Inputs!$C$21*1000000</f>
        <v>947.3746334205639</v>
      </c>
      <c r="U162">
        <f>Scenario_Data!W162</f>
        <v>266.39999999999986</v>
      </c>
      <c r="V162">
        <f>2*(Scenario_Data!E162*1000)/Inputs!$C$21*1000000</f>
        <v>888.05953217141905</v>
      </c>
      <c r="X162">
        <f>Scenario_Data!T162</f>
        <v>19.980000000000004</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2670.9787828596327</v>
      </c>
      <c r="Z162">
        <f>Scenario_Data!U162</f>
        <v>133.19999999999993</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503.19758645294786</v>
      </c>
      <c r="AB162">
        <f>Scenario_Data!V162</f>
        <v>266.39999999999986</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947.33527415572405</v>
      </c>
      <c r="AD162">
        <f>Scenario_Data!W162</f>
        <v>266.39999999999986</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888.02017290657932</v>
      </c>
      <c r="AG162">
        <f>Scenario_Data!T162</f>
        <v>19.980000000000004</v>
      </c>
      <c r="AH162">
        <f>2*(SQRT((Inputs!$C$52+(Scenario_Data!B162))^2+Inputs!$C$52^2-2*(Inputs!$C$52+(Scenario_Data!B162))*Inputs!$C$52*COS(SQRT((Scenario_Data!T162)^2+Inputs!$C$6^2)/Inputs!$C$52))*1000)/Inputs!$C$21*1000000</f>
        <v>2682.1703573214322</v>
      </c>
      <c r="AI162">
        <f>Scenario_Data!U162</f>
        <v>133.19999999999993</v>
      </c>
      <c r="AJ162">
        <f>2*(SQRT((Inputs!$C$52+(Scenario_Data!C162))^2+Inputs!$C$52^2-2*(Inputs!$C$52+(Scenario_Data!C162))*Inputs!$C$52*COS(SQRT((Scenario_Data!U162)^2+Inputs!$C$6^2)/Inputs!$C$52))*1000)/Inputs!$C$21*1000000</f>
        <v>1053.5497018470367</v>
      </c>
      <c r="AK162">
        <f>Scenario_Data!V162</f>
        <v>266.39999999999986</v>
      </c>
      <c r="AL162">
        <f>2*(SQRT((Inputs!$C$52+(Scenario_Data!D162))^2+Inputs!$C$52^2-2*(Inputs!$C$52+(Scenario_Data!D162))*Inputs!$C$52*COS(SQRT((Scenario_Data!V162)^2+Inputs!$C$6^2)/Inputs!$C$52))*1000)/Inputs!$C$21*1000000</f>
        <v>2089.3258107719435</v>
      </c>
      <c r="AM162">
        <f>Scenario_Data!W162</f>
        <v>266.39999999999986</v>
      </c>
      <c r="AN162">
        <f>2*(SQRT((Inputs!$C$52+(Scenario_Data!E162))^2+Inputs!$C$52^2-2*(Inputs!$C$52+(Scenario_Data!E162))*Inputs!$C$52*COS(SQRT((Scenario_Data!W162)^2+Inputs!$C$6^2)/Inputs!$C$52))*1000)/Inputs!$C$21*1000000</f>
        <v>2058.7148075309083</v>
      </c>
      <c r="AP162">
        <f>Scenario_Data!T162</f>
        <v>19.980000000000004</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2679.2731517739471</v>
      </c>
      <c r="AR162">
        <f>Scenario_Data!U162</f>
        <v>133.19999999999993</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1053.0619961686964</v>
      </c>
      <c r="AT162">
        <f>Scenario_Data!V162</f>
        <v>266.39999999999986</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2089.0735031949753</v>
      </c>
      <c r="AV162">
        <f>Scenario_Data!W162</f>
        <v>266.39999999999986</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2058.4779229179353</v>
      </c>
    </row>
    <row r="163" spans="1:49">
      <c r="A163">
        <f>Chart_Data!K163</f>
        <v>20.5</v>
      </c>
      <c r="B163">
        <f>Chart_Data!N163-Chart_Data!L163</f>
        <v>-79.34560005519478</v>
      </c>
      <c r="D163">
        <f>Chart_Data!G163</f>
        <v>20.5</v>
      </c>
      <c r="E163">
        <f>Chart_Data!H163</f>
        <v>441.76372328978528</v>
      </c>
      <c r="F163">
        <f>Chart_Data!I163</f>
        <v>441.76372328978528</v>
      </c>
      <c r="G163">
        <f>Chart_Data!J163</f>
        <v>77.082988367878912</v>
      </c>
      <c r="I163">
        <f>Scenario_Data!A163</f>
        <v>0.34200000000000003</v>
      </c>
      <c r="J163">
        <f>Scenario_Data!H163-(((SQRT((Inputs!$C$52+(Inputs!$H$6))^2+Inputs!$C$52^2-2*(Inputs!$C$52+(Inputs!$H$6))*Inputs!$C$52*COS(SQRT((Scenario_Data!T163)^2+Inputs!$C$6^2)/Inputs!$C$52)))-(Inputs!$H$6))*1000/Inputs!$C$12)</f>
        <v>-0.8524904108952569</v>
      </c>
      <c r="K163">
        <f>Scenario_Data!I163-(((SQRT((Inputs!$C$52+(Inputs!$H$7))^2+Inputs!$C$52^2-2*(Inputs!$C$52+(Inputs!$H$7))*Inputs!$C$52*COS(SQRT((Scenario_Data!U163)^2+Inputs!$C$6^2)/Inputs!$C$52)))-(Inputs!$H$7))*1000/Inputs!$C$12)</f>
        <v>-14216.328265502132</v>
      </c>
      <c r="L163">
        <f>Scenario_Data!J163-(((SQRT((Inputs!$C$52+(Inputs!$H$8))^2+Inputs!$C$52^2-2*(Inputs!$C$52+(Inputs!$H$8))*Inputs!$C$52*COS(SQRT((Scenario_Data!V163)^2+Inputs!$C$6^2)/Inputs!$C$52)))-(Inputs!$H$8))*1000/Inputs!$C$12)</f>
        <v>-39090.472738230732</v>
      </c>
      <c r="M163">
        <f>Scenario_Data!K163-(((SQRT((Inputs!$C$52+(Inputs!$H$9))^2+Inputs!$C$52^2-2*(Inputs!$C$52+(Inputs!$H$9))*Inputs!$C$52*COS(SQRT((Scenario_Data!W163)^2+Inputs!$C$6^2)/Inputs!$C$52)))-(Inputs!$H$9))*1000/Inputs!$C$12)</f>
        <v>-41249.342022156037</v>
      </c>
      <c r="O163">
        <f>Scenario_Data!T163</f>
        <v>20.52000000000001</v>
      </c>
      <c r="P163">
        <f>2*(Scenario_Data!B163*1000)/Inputs!$C$21*1000000</f>
        <v>2671.6339608516769</v>
      </c>
      <c r="Q163">
        <f>Scenario_Data!U163</f>
        <v>136.80000000000007</v>
      </c>
      <c r="R163">
        <f>2*(Scenario_Data!C163*1000)/Inputs!$C$21*1000000</f>
        <v>518.30429970323041</v>
      </c>
      <c r="S163">
        <f>Scenario_Data!V163</f>
        <v>273.60000000000014</v>
      </c>
      <c r="T163">
        <f>2*(Scenario_Data!D163*1000)/Inputs!$C$21*1000000</f>
        <v>986.484189672311</v>
      </c>
      <c r="U163">
        <f>Scenario_Data!W163</f>
        <v>273.60000000000014</v>
      </c>
      <c r="V163">
        <f>2*(Scenario_Data!E163*1000)/Inputs!$C$21*1000000</f>
        <v>927.57436879883176</v>
      </c>
      <c r="X163">
        <f>Scenario_Data!T163</f>
        <v>20.52000000000001</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2671.2037863706319</v>
      </c>
      <c r="Z163">
        <f>Scenario_Data!U163</f>
        <v>136.80000000000007</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518.04057996620304</v>
      </c>
      <c r="AB163">
        <f>Scenario_Data!V163</f>
        <v>273.60000000000014</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986.21098946721315</v>
      </c>
      <c r="AD163">
        <f>Scenario_Data!W163</f>
        <v>273.60000000000014</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927.30116859373413</v>
      </c>
      <c r="AG163">
        <f>Scenario_Data!T163</f>
        <v>20.52000000000001</v>
      </c>
      <c r="AH163">
        <f>2*(SQRT((Inputs!$C$52+(Scenario_Data!B163))^2+Inputs!$C$52^2-2*(Inputs!$C$52+(Scenario_Data!B163))*Inputs!$C$52*COS(SQRT((Scenario_Data!T163)^2+Inputs!$C$6^2)/Inputs!$C$52))*1000)/Inputs!$C$21*1000000</f>
        <v>2682.5599186564959</v>
      </c>
      <c r="AI163">
        <f>Scenario_Data!U163</f>
        <v>136.80000000000007</v>
      </c>
      <c r="AJ163">
        <f>2*(SQRT((Inputs!$C$52+(Scenario_Data!C163))^2+Inputs!$C$52^2-2*(Inputs!$C$52+(Scenario_Data!C163))*Inputs!$C$52*COS(SQRT((Scenario_Data!U163)^2+Inputs!$C$6^2)/Inputs!$C$52))*1000)/Inputs!$C$21*1000000</f>
        <v>1082.4036420950645</v>
      </c>
      <c r="AK163">
        <f>Scenario_Data!V163</f>
        <v>273.60000000000014</v>
      </c>
      <c r="AL163">
        <f>2*(SQRT((Inputs!$C$52+(Scenario_Data!D163))^2+Inputs!$C$52^2-2*(Inputs!$C$52+(Scenario_Data!D163))*Inputs!$C$52*COS(SQRT((Scenario_Data!V163)^2+Inputs!$C$6^2)/Inputs!$C$52))*1000)/Inputs!$C$21*1000000</f>
        <v>2154.3757519290621</v>
      </c>
      <c r="AM163">
        <f>Scenario_Data!W163</f>
        <v>273.60000000000014</v>
      </c>
      <c r="AN163">
        <f>2*(SQRT((Inputs!$C$52+(Scenario_Data!E163))^2+Inputs!$C$52^2-2*(Inputs!$C$52+(Scenario_Data!E163))*Inputs!$C$52*COS(SQRT((Scenario_Data!W163)^2+Inputs!$C$6^2)/Inputs!$C$52))*1000)/Inputs!$C$21*1000000</f>
        <v>2123.5868153942665</v>
      </c>
      <c r="AP163">
        <f>Scenario_Data!T163</f>
        <v>20.52000000000001</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2679.6384849074366</v>
      </c>
      <c r="AR163">
        <f>Scenario_Data!U163</f>
        <v>136.80000000000007</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1082.1146416403806</v>
      </c>
      <c r="AT163">
        <f>Scenario_Data!V163</f>
        <v>273.60000000000014</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2153.9516480745888</v>
      </c>
      <c r="AV163">
        <f>Scenario_Data!W163</f>
        <v>273.60000000000014</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2123.187380831977</v>
      </c>
    </row>
    <row r="164" spans="1:49">
      <c r="A164">
        <f>Chart_Data!K164</f>
        <v>21</v>
      </c>
      <c r="B164">
        <f>Chart_Data!N164-Chart_Data!L164</f>
        <v>-86.910470354337519</v>
      </c>
      <c r="D164">
        <f>Chart_Data!G164</f>
        <v>21</v>
      </c>
      <c r="E164">
        <f>Chart_Data!H164</f>
        <v>441.25371433177679</v>
      </c>
      <c r="F164">
        <f>Chart_Data!I164</f>
        <v>441.25371433177679</v>
      </c>
      <c r="G164">
        <f>Chart_Data!J164</f>
        <v>84.606080583689305</v>
      </c>
      <c r="I164">
        <f>Scenario_Data!A164</f>
        <v>0.35</v>
      </c>
      <c r="J164">
        <f>Scenario_Data!H164-(((SQRT((Inputs!$C$52+(Inputs!$H$6))^2+Inputs!$C$52^2-2*(Inputs!$C$52+(Inputs!$H$6))*Inputs!$C$52*COS(SQRT((Scenario_Data!T164)^2+Inputs!$C$6^2)/Inputs!$C$52)))-(Inputs!$H$6))*1000/Inputs!$C$12)</f>
        <v>-0.90968416440080091</v>
      </c>
      <c r="K164">
        <f>Scenario_Data!I164-(((SQRT((Inputs!$C$52+(Inputs!$H$7))^2+Inputs!$C$52^2-2*(Inputs!$C$52+(Inputs!$H$7))*Inputs!$C$52*COS(SQRT((Scenario_Data!U164)^2+Inputs!$C$6^2)/Inputs!$C$52)))-(Inputs!$H$7))*1000/Inputs!$C$12)</f>
        <v>-14909.123361914171</v>
      </c>
      <c r="L164">
        <f>Scenario_Data!J164-(((SQRT((Inputs!$C$52+(Inputs!$H$8))^2+Inputs!$C$52^2-2*(Inputs!$C$52+(Inputs!$H$8))*Inputs!$C$52*COS(SQRT((Scenario_Data!V164)^2+Inputs!$C$6^2)/Inputs!$C$52)))-(Inputs!$H$8))*1000/Inputs!$C$12)</f>
        <v>-40747.537049505336</v>
      </c>
      <c r="M164">
        <f>Scenario_Data!K164-(((SQRT((Inputs!$C$52+(Inputs!$H$9))^2+Inputs!$C$52^2-2*(Inputs!$C$52+(Inputs!$H$9))*Inputs!$C$52*COS(SQRT((Scenario_Data!W164)^2+Inputs!$C$6^2)/Inputs!$C$52)))-(Inputs!$H$9))*1000/Inputs!$C$12)</f>
        <v>-42952.199792501269</v>
      </c>
      <c r="O164">
        <f>Scenario_Data!T164</f>
        <v>21</v>
      </c>
      <c r="P164">
        <f>2*(Scenario_Data!B164*1000)/Inputs!$C$21*1000000</f>
        <v>2671.7816897181583</v>
      </c>
      <c r="Q164">
        <f>Scenario_Data!U164</f>
        <v>140</v>
      </c>
      <c r="R164">
        <f>2*(Scenario_Data!C164*1000)/Inputs!$C$21*1000000</f>
        <v>531.78455876965381</v>
      </c>
      <c r="S164">
        <f>Scenario_Data!V164</f>
        <v>280</v>
      </c>
      <c r="T164">
        <f>2*(Scenario_Data!D164*1000)/Inputs!$C$21*1000000</f>
        <v>1022.1237787109374</v>
      </c>
      <c r="U164">
        <f>Scenario_Data!W164</f>
        <v>280</v>
      </c>
      <c r="V164">
        <f>2*(Scenario_Data!E164*1000)/Inputs!$C$21*1000000</f>
        <v>963.58328000366168</v>
      </c>
      <c r="X164">
        <f>Scenario_Data!T164</f>
        <v>21</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2671.2172587037949</v>
      </c>
      <c r="Z164">
        <f>Scenario_Data!U164</f>
        <v>140</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531.60295221588262</v>
      </c>
      <c r="AB164">
        <f>Scenario_Data!V164</f>
        <v>280</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1021.9898236507371</v>
      </c>
      <c r="AD164">
        <f>Scenario_Data!W164</f>
        <v>280</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963.44932494346153</v>
      </c>
      <c r="AG164">
        <f>Scenario_Data!T164</f>
        <v>21</v>
      </c>
      <c r="AH164">
        <f>2*(SQRT((Inputs!$C$52+(Scenario_Data!B164))^2+Inputs!$C$52^2-2*(Inputs!$C$52+(Scenario_Data!B164))*Inputs!$C$52*COS(SQRT((Scenario_Data!T164)^2+Inputs!$C$6^2)/Inputs!$C$52))*1000)/Inputs!$C$21*1000000</f>
        <v>2682.9148803352541</v>
      </c>
      <c r="AI164">
        <f>Scenario_Data!U164</f>
        <v>140</v>
      </c>
      <c r="AJ164">
        <f>2*(SQRT((Inputs!$C$52+(Scenario_Data!C164))^2+Inputs!$C$52^2-2*(Inputs!$C$52+(Scenario_Data!C164))*Inputs!$C$52*COS(SQRT((Scenario_Data!U164)^2+Inputs!$C$6^2)/Inputs!$C$52))*1000)/Inputs!$C$21*1000000</f>
        <v>1108.2624133501783</v>
      </c>
      <c r="AK164">
        <f>Scenario_Data!V164</f>
        <v>280</v>
      </c>
      <c r="AL164">
        <f>2*(SQRT((Inputs!$C$52+(Scenario_Data!D164))^2+Inputs!$C$52^2-2*(Inputs!$C$52+(Scenario_Data!D164))*Inputs!$C$52*COS(SQRT((Scenario_Data!V164)^2+Inputs!$C$6^2)/Inputs!$C$52))*1000)/Inputs!$C$21*1000000</f>
        <v>2212.8355811384035</v>
      </c>
      <c r="AM164">
        <f>Scenario_Data!W164</f>
        <v>280</v>
      </c>
      <c r="AN164">
        <f>2*(SQRT((Inputs!$C$52+(Scenario_Data!E164))^2+Inputs!$C$52^2-2*(Inputs!$C$52+(Scenario_Data!E164))*Inputs!$C$52*COS(SQRT((Scenario_Data!W164)^2+Inputs!$C$6^2)/Inputs!$C$52))*1000)/Inputs!$C$21*1000000</f>
        <v>2181.8975570992638</v>
      </c>
      <c r="AP164">
        <f>Scenario_Data!T164</f>
        <v>21</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2679.9865256495527</v>
      </c>
      <c r="AR164">
        <f>Scenario_Data!U164</f>
        <v>140</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1108.0213073047621</v>
      </c>
      <c r="AT164">
        <f>Scenario_Data!V164</f>
        <v>280</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2212.4908066079583</v>
      </c>
      <c r="AV164">
        <f>Scenario_Data!W164</f>
        <v>280</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2181.5719636316157</v>
      </c>
    </row>
    <row r="165" spans="1:49">
      <c r="A165">
        <f>Chart_Data!K165</f>
        <v>21.5</v>
      </c>
      <c r="B165">
        <f>Chart_Data!N165-Chart_Data!L165</f>
        <v>-86.016892507986825</v>
      </c>
      <c r="D165">
        <f>Chart_Data!G165</f>
        <v>21.5</v>
      </c>
      <c r="E165">
        <f>Chart_Data!H165</f>
        <v>444.13942667643141</v>
      </c>
      <c r="F165">
        <f>Chart_Data!I165</f>
        <v>444.13942667643141</v>
      </c>
      <c r="G165">
        <f>Chart_Data!J165</f>
        <v>83.651674349785893</v>
      </c>
      <c r="I165">
        <f>Scenario_Data!A165</f>
        <v>0.35799999999999998</v>
      </c>
      <c r="J165">
        <f>Scenario_Data!H165-(((SQRT((Inputs!$C$52+(Inputs!$H$6))^2+Inputs!$C$52^2-2*(Inputs!$C$52+(Inputs!$H$6))*Inputs!$C$52*COS(SQRT((Scenario_Data!T165)^2+Inputs!$C$6^2)/Inputs!$C$52)))-(Inputs!$H$6))*1000/Inputs!$C$12)</f>
        <v>-0.96976937592569357</v>
      </c>
      <c r="K165">
        <f>Scenario_Data!I165-(((SQRT((Inputs!$C$52+(Inputs!$H$7))^2+Inputs!$C$52^2-2*(Inputs!$C$52+(Inputs!$H$7))*Inputs!$C$52*COS(SQRT((Scenario_Data!U165)^2+Inputs!$C$6^2)/Inputs!$C$52)))-(Inputs!$H$7))*1000/Inputs!$C$12)</f>
        <v>-15614.706103309647</v>
      </c>
      <c r="L165">
        <f>Scenario_Data!J165-(((SQRT((Inputs!$C$52+(Inputs!$H$8))^2+Inputs!$C$52^2-2*(Inputs!$C$52+(Inputs!$H$8))*Inputs!$C$52*COS(SQRT((Scenario_Data!V165)^2+Inputs!$C$6^2)/Inputs!$C$52)))-(Inputs!$H$8))*1000/Inputs!$C$12)</f>
        <v>-42423.945096951444</v>
      </c>
      <c r="M165">
        <f>Scenario_Data!K165-(((SQRT((Inputs!$C$52+(Inputs!$H$9))^2+Inputs!$C$52^2-2*(Inputs!$C$52+(Inputs!$H$9))*Inputs!$C$52*COS(SQRT((Scenario_Data!W165)^2+Inputs!$C$6^2)/Inputs!$C$52)))-(Inputs!$H$9))*1000/Inputs!$C$12)</f>
        <v>-44673.766867657643</v>
      </c>
      <c r="O165">
        <f>Scenario_Data!T165</f>
        <v>21.480000000000004</v>
      </c>
      <c r="P165">
        <f>2*(Scenario_Data!B165*1000)/Inputs!$C$21*1000000</f>
        <v>2671.9328342809749</v>
      </c>
      <c r="Q165">
        <f>Scenario_Data!U165</f>
        <v>143.20000000000005</v>
      </c>
      <c r="R165">
        <f>2*(Scenario_Data!C165*1000)/Inputs!$C$21*1000000</f>
        <v>545.57650012663112</v>
      </c>
      <c r="S165">
        <f>Scenario_Data!V165</f>
        <v>286.40000000000009</v>
      </c>
      <c r="T165">
        <f>2*(Scenario_Data!D165*1000)/Inputs!$C$21*1000000</f>
        <v>1058.5874044903426</v>
      </c>
      <c r="U165">
        <f>Scenario_Data!W165</f>
        <v>286.40000000000009</v>
      </c>
      <c r="V165">
        <f>2*(Scenario_Data!E165*1000)/Inputs!$C$21*1000000</f>
        <v>1000.4247671901077</v>
      </c>
      <c r="X165">
        <f>Scenario_Data!T165</f>
        <v>21.480000000000004</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2671.3747102286848</v>
      </c>
      <c r="Z165">
        <f>Scenario_Data!U165</f>
        <v>143.20000000000005</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545.28476038725898</v>
      </c>
      <c r="AB165">
        <f>Scenario_Data!V165</f>
        <v>286.40000000000009</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1058.645815735003</v>
      </c>
      <c r="AD165">
        <f>Scenario_Data!W165</f>
        <v>286.40000000000009</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1000.4831784347678</v>
      </c>
      <c r="AG165">
        <f>Scenario_Data!T165</f>
        <v>21.480000000000004</v>
      </c>
      <c r="AH165">
        <f>2*(SQRT((Inputs!$C$52+(Scenario_Data!B165))^2+Inputs!$C$52^2-2*(Inputs!$C$52+(Scenario_Data!B165))*Inputs!$C$52*COS(SQRT((Scenario_Data!T165)^2+Inputs!$C$6^2)/Inputs!$C$52))*1000)/Inputs!$C$21*1000000</f>
        <v>2683.2780136005345</v>
      </c>
      <c r="AI165">
        <f>Scenario_Data!U165</f>
        <v>143.20000000000005</v>
      </c>
      <c r="AJ165">
        <f>2*(SQRT((Inputs!$C$52+(Scenario_Data!C165))^2+Inputs!$C$52^2-2*(Inputs!$C$52+(Scenario_Data!C165))*Inputs!$C$52*COS(SQRT((Scenario_Data!U165)^2+Inputs!$C$6^2)/Inputs!$C$52))*1000)/Inputs!$C$21*1000000</f>
        <v>1134.3202022333339</v>
      </c>
      <c r="AK165">
        <f>Scenario_Data!V165</f>
        <v>286.40000000000009</v>
      </c>
      <c r="AL165">
        <f>2*(SQRT((Inputs!$C$52+(Scenario_Data!D165))^2+Inputs!$C$52^2-2*(Inputs!$C$52+(Scenario_Data!D165))*Inputs!$C$52*COS(SQRT((Scenario_Data!V165)^2+Inputs!$C$6^2)/Inputs!$C$52))*1000)/Inputs!$C$21*1000000</f>
        <v>2271.9039940577863</v>
      </c>
      <c r="AM165">
        <f>Scenario_Data!W165</f>
        <v>286.40000000000009</v>
      </c>
      <c r="AN165">
        <f>2*(SQRT((Inputs!$C$52+(Scenario_Data!E165))^2+Inputs!$C$52^2-2*(Inputs!$C$52+(Scenario_Data!E165))*Inputs!$C$52*COS(SQRT((Scenario_Data!W165)^2+Inputs!$C$6^2)/Inputs!$C$52))*1000)/Inputs!$C$21*1000000</f>
        <v>2240.8260060943512</v>
      </c>
      <c r="AP165">
        <f>Scenario_Data!T165</f>
        <v>21.480000000000004</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2680.3628439768113</v>
      </c>
      <c r="AR165">
        <f>Scenario_Data!U165</f>
        <v>143.20000000000005</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1133.8978649739838</v>
      </c>
      <c r="AT165">
        <f>Scenario_Data!V165</f>
        <v>286.40000000000009</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2271.6279066061034</v>
      </c>
      <c r="AV165">
        <f>Scenario_Data!W165</f>
        <v>286.40000000000009</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2240.5646109482909</v>
      </c>
    </row>
    <row r="166" spans="1:49">
      <c r="A166">
        <f>Chart_Data!K166</f>
        <v>22</v>
      </c>
      <c r="B166">
        <f>Chart_Data!N166-Chart_Data!L166</f>
        <v>-75.797704463875164</v>
      </c>
      <c r="D166">
        <f>Chart_Data!G166</f>
        <v>22</v>
      </c>
      <c r="E166">
        <f>Chart_Data!H166</f>
        <v>447.7794532624074</v>
      </c>
      <c r="F166">
        <f>Chart_Data!I166</f>
        <v>447.7794532624074</v>
      </c>
      <c r="G166">
        <f>Chart_Data!J166</f>
        <v>73.365898263722698</v>
      </c>
      <c r="I166">
        <f>Scenario_Data!A166</f>
        <v>0.36699999999999999</v>
      </c>
      <c r="J166">
        <f>Scenario_Data!H166-(((SQRT((Inputs!$C$52+(Inputs!$H$6))^2+Inputs!$C$52^2-2*(Inputs!$C$52+(Inputs!$H$6))*Inputs!$C$52*COS(SQRT((Scenario_Data!T166)^2+Inputs!$C$6^2)/Inputs!$C$52)))-(Inputs!$H$6))*1000/Inputs!$C$12)</f>
        <v>-1.0409543459660426</v>
      </c>
      <c r="K166">
        <f>Scenario_Data!I166-(((SQRT((Inputs!$C$52+(Inputs!$H$7))^2+Inputs!$C$52^2-2*(Inputs!$C$52+(Inputs!$H$7))*Inputs!$C$52*COS(SQRT((Scenario_Data!U166)^2+Inputs!$C$6^2)/Inputs!$C$52)))-(Inputs!$H$7))*1000/Inputs!$C$12)</f>
        <v>-16423.437974027576</v>
      </c>
      <c r="L166">
        <f>Scenario_Data!J166-(((SQRT((Inputs!$C$52+(Inputs!$H$8))^2+Inputs!$C$52^2-2*(Inputs!$C$52+(Inputs!$H$8))*Inputs!$C$52*COS(SQRT((Scenario_Data!V166)^2+Inputs!$C$6^2)/Inputs!$C$52)))-(Inputs!$H$8))*1000/Inputs!$C$12)</f>
        <v>-44332.017687418353</v>
      </c>
      <c r="M166">
        <f>Scenario_Data!K166-(((SQRT((Inputs!$C$52+(Inputs!$H$9))^2+Inputs!$C$52^2-2*(Inputs!$C$52+(Inputs!$H$9))*Inputs!$C$52*COS(SQRT((Scenario_Data!W166)^2+Inputs!$C$6^2)/Inputs!$C$52)))-(Inputs!$H$9))*1000/Inputs!$C$12)</f>
        <v>-46631.877946633977</v>
      </c>
      <c r="O166">
        <f>Scenario_Data!T166</f>
        <v>22.019999999999996</v>
      </c>
      <c r="P166">
        <f>2*(Scenario_Data!B166*1000)/Inputs!$C$21*1000000</f>
        <v>2672.1069547386678</v>
      </c>
      <c r="Q166">
        <f>Scenario_Data!U166</f>
        <v>146.79999999999995</v>
      </c>
      <c r="R166">
        <f>2*(Scenario_Data!C166*1000)/Inputs!$C$21*1000000</f>
        <v>561.46499189115673</v>
      </c>
      <c r="S166">
        <f>Scenario_Data!V166</f>
        <v>293.59999999999991</v>
      </c>
      <c r="T166">
        <f>2*(Scenario_Data!D166*1000)/Inputs!$C$21*1000000</f>
        <v>1100.5939649088832</v>
      </c>
      <c r="U166">
        <f>Scenario_Data!W166</f>
        <v>293.59999999999991</v>
      </c>
      <c r="V166">
        <f>2*(Scenario_Data!E166*1000)/Inputs!$C$21*1000000</f>
        <v>1042.8666287528815</v>
      </c>
      <c r="X166">
        <f>Scenario_Data!T166</f>
        <v>22.019999999999996</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2671.6078983056891</v>
      </c>
      <c r="Z166">
        <f>Scenario_Data!U166</f>
        <v>146.79999999999995</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560.98381466569595</v>
      </c>
      <c r="AB166">
        <f>Scenario_Data!V166</f>
        <v>293.59999999999991</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1100.2228354690483</v>
      </c>
      <c r="AD166">
        <f>Scenario_Data!W166</f>
        <v>293.59999999999991</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1042.4954993130464</v>
      </c>
      <c r="AG166">
        <f>Scenario_Data!T166</f>
        <v>22.019999999999996</v>
      </c>
      <c r="AH166">
        <f>2*(SQRT((Inputs!$C$52+(Scenario_Data!B166))^2+Inputs!$C$52^2-2*(Inputs!$C$52+(Scenario_Data!B166))*Inputs!$C$52*COS(SQRT((Scenario_Data!T166)^2+Inputs!$C$6^2)/Inputs!$C$52))*1000)/Inputs!$C$21*1000000</f>
        <v>2683.6963030990701</v>
      </c>
      <c r="AI166">
        <f>Scenario_Data!U166</f>
        <v>146.79999999999995</v>
      </c>
      <c r="AJ166">
        <f>2*(SQRT((Inputs!$C$52+(Scenario_Data!C166))^2+Inputs!$C$52^2-2*(Inputs!$C$52+(Scenario_Data!C166))*Inputs!$C$52*COS(SQRT((Scenario_Data!U166)^2+Inputs!$C$6^2)/Inputs!$C$52))*1000)/Inputs!$C$21*1000000</f>
        <v>1163.8740325347601</v>
      </c>
      <c r="AK166">
        <f>Scenario_Data!V166</f>
        <v>293.59999999999991</v>
      </c>
      <c r="AL166">
        <f>2*(SQRT((Inputs!$C$52+(Scenario_Data!D166))^2+Inputs!$C$52^2-2*(Inputs!$C$52+(Scenario_Data!D166))*Inputs!$C$52*COS(SQRT((Scenario_Data!V166)^2+Inputs!$C$6^2)/Inputs!$C$52))*1000)/Inputs!$C$21*1000000</f>
        <v>2339.0933871403463</v>
      </c>
      <c r="AM166">
        <f>Scenario_Data!W166</f>
        <v>293.59999999999991</v>
      </c>
      <c r="AN166">
        <f>2*(SQRT((Inputs!$C$52+(Scenario_Data!E166))^2+Inputs!$C$52^2-2*(Inputs!$C$52+(Scenario_Data!E166))*Inputs!$C$52*COS(SQRT((Scenario_Data!W166)^2+Inputs!$C$6^2)/Inputs!$C$52))*1000)/Inputs!$C$21*1000000</f>
        <v>2307.8694773259299</v>
      </c>
      <c r="AP166">
        <f>Scenario_Data!T166</f>
        <v>22.019999999999996</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2680.656874477047</v>
      </c>
      <c r="AR166">
        <f>Scenario_Data!U166</f>
        <v>146.79999999999995</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1163.2045223369321</v>
      </c>
      <c r="AT166">
        <f>Scenario_Data!V166</f>
        <v>293.59999999999991</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2338.4592438207114</v>
      </c>
      <c r="AV166">
        <f>Scenario_Data!W166</f>
        <v>293.59999999999991</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2307.2674673048655</v>
      </c>
    </row>
    <row r="167" spans="1:49">
      <c r="A167">
        <f>Chart_Data!K167</f>
        <v>22.5</v>
      </c>
      <c r="B167">
        <f>Chart_Data!N167-Chart_Data!L167</f>
        <v>-76.314050678907279</v>
      </c>
      <c r="D167">
        <f>Chart_Data!G167</f>
        <v>22.5</v>
      </c>
      <c r="E167">
        <f>Chart_Data!H167</f>
        <v>442.50927153418206</v>
      </c>
      <c r="F167">
        <f>Chart_Data!I167</f>
        <v>442.50927153418206</v>
      </c>
      <c r="G167">
        <f>Chart_Data!J167</f>
        <v>73.863220086762837</v>
      </c>
      <c r="I167">
        <f>Scenario_Data!A167</f>
        <v>0.375</v>
      </c>
      <c r="J167">
        <f>Scenario_Data!H167-(((SQRT((Inputs!$C$52+(Inputs!$H$6))^2+Inputs!$C$52^2-2*(Inputs!$C$52+(Inputs!$H$6))*Inputs!$C$52*COS(SQRT((Scenario_Data!T167)^2+Inputs!$C$6^2)/Inputs!$C$52)))-(Inputs!$H$6))*1000/Inputs!$C$12)</f>
        <v>-1.1075409744717035</v>
      </c>
      <c r="K167">
        <f>Scenario_Data!I167-(((SQRT((Inputs!$C$52+(Inputs!$H$7))^2+Inputs!$C$52^2-2*(Inputs!$C$52+(Inputs!$H$7))*Inputs!$C$52*COS(SQRT((Scenario_Data!U167)^2+Inputs!$C$6^2)/Inputs!$C$52)))-(Inputs!$H$7))*1000/Inputs!$C$12)</f>
        <v>-17155.307880334622</v>
      </c>
      <c r="L167">
        <f>Scenario_Data!J167-(((SQRT((Inputs!$C$52+(Inputs!$H$8))^2+Inputs!$C$52^2-2*(Inputs!$C$52+(Inputs!$H$8))*Inputs!$C$52*COS(SQRT((Scenario_Data!V167)^2+Inputs!$C$6^2)/Inputs!$C$52)))-(Inputs!$H$8))*1000/Inputs!$C$12)</f>
        <v>-46046.862259196627</v>
      </c>
      <c r="M167">
        <f>Scenario_Data!K167-(((SQRT((Inputs!$C$52+(Inputs!$H$9))^2+Inputs!$C$52^2-2*(Inputs!$C$52+(Inputs!$H$9))*Inputs!$C$52*COS(SQRT((Scenario_Data!W167)^2+Inputs!$C$6^2)/Inputs!$C$52)))-(Inputs!$H$9))*1000/Inputs!$C$12)</f>
        <v>-48390.515274855643</v>
      </c>
      <c r="O167">
        <f>Scenario_Data!T167</f>
        <v>22.5</v>
      </c>
      <c r="P167">
        <f>2*(Scenario_Data!B167*1000)/Inputs!$C$21*1000000</f>
        <v>2672.2653576561956</v>
      </c>
      <c r="Q167">
        <f>Scenario_Data!U167</f>
        <v>150</v>
      </c>
      <c r="R167">
        <f>2*(Scenario_Data!C167*1000)/Inputs!$C$21*1000000</f>
        <v>575.91925811555939</v>
      </c>
      <c r="S167">
        <f>Scenario_Data!V167</f>
        <v>300</v>
      </c>
      <c r="T167">
        <f>2*(Scenario_Data!D167*1000)/Inputs!$C$21*1000000</f>
        <v>1138.8086687624409</v>
      </c>
      <c r="U167">
        <f>Scenario_Data!W167</f>
        <v>300</v>
      </c>
      <c r="V167">
        <f>2*(Scenario_Data!E167*1000)/Inputs!$C$21*1000000</f>
        <v>1081.4773399002586</v>
      </c>
      <c r="X167">
        <f>Scenario_Data!T167</f>
        <v>22.5</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2671.7725952926621</v>
      </c>
      <c r="Z167">
        <f>Scenario_Data!U167</f>
        <v>150</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575.25927171581282</v>
      </c>
      <c r="AB167">
        <f>Scenario_Data!V167</f>
        <v>300</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1138.7605574322938</v>
      </c>
      <c r="AD167">
        <f>Scenario_Data!W167</f>
        <v>300</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1081.4292285701115</v>
      </c>
      <c r="AG167">
        <f>Scenario_Data!T167</f>
        <v>22.5</v>
      </c>
      <c r="AH167">
        <f>2*(SQRT((Inputs!$C$52+(Scenario_Data!B167))^2+Inputs!$C$52^2-2*(Inputs!$C$52+(Scenario_Data!B167))*Inputs!$C$52*COS(SQRT((Scenario_Data!T167)^2+Inputs!$C$6^2)/Inputs!$C$52))*1000)/Inputs!$C$21*1000000</f>
        <v>2684.0767928598584</v>
      </c>
      <c r="AI167">
        <f>Scenario_Data!U167</f>
        <v>150</v>
      </c>
      <c r="AJ167">
        <f>2*(SQRT((Inputs!$C$52+(Scenario_Data!C167))^2+Inputs!$C$52^2-2*(Inputs!$C$52+(Scenario_Data!C167))*Inputs!$C$52*COS(SQRT((Scenario_Data!U167)^2+Inputs!$C$6^2)/Inputs!$C$52))*1000)/Inputs!$C$21*1000000</f>
        <v>1190.3573781400514</v>
      </c>
      <c r="AK167">
        <f>Scenario_Data!V167</f>
        <v>300</v>
      </c>
      <c r="AL167">
        <f>2*(SQRT((Inputs!$C$52+(Scenario_Data!D167))^2+Inputs!$C$52^2-2*(Inputs!$C$52+(Scenario_Data!D167))*Inputs!$C$52*COS(SQRT((Scenario_Data!V167)^2+Inputs!$C$6^2)/Inputs!$C$52))*1000)/Inputs!$C$21*1000000</f>
        <v>2399.4815554213374</v>
      </c>
      <c r="AM167">
        <f>Scenario_Data!W167</f>
        <v>300</v>
      </c>
      <c r="AN167">
        <f>2*(SQRT((Inputs!$C$52+(Scenario_Data!E167))^2+Inputs!$C$52^2-2*(Inputs!$C$52+(Scenario_Data!E167))*Inputs!$C$52*COS(SQRT((Scenario_Data!W167)^2+Inputs!$C$6^2)/Inputs!$C$52))*1000)/Inputs!$C$21*1000000</f>
        <v>2368.1387047809635</v>
      </c>
      <c r="AP167">
        <f>Scenario_Data!T167</f>
        <v>22.5</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2681.1410389461162</v>
      </c>
      <c r="AR167">
        <f>Scenario_Data!U167</f>
        <v>150</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1189.7387412010428</v>
      </c>
      <c r="AT167">
        <f>Scenario_Data!V167</f>
        <v>300</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2399.2316666520933</v>
      </c>
      <c r="AV167">
        <f>Scenario_Data!W167</f>
        <v>300</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2367.9009230173892</v>
      </c>
    </row>
    <row r="168" spans="1:49">
      <c r="A168">
        <f>Chart_Data!K168</f>
        <v>23</v>
      </c>
      <c r="B168">
        <f>Chart_Data!N168-Chart_Data!L168</f>
        <v>-64.256336362316745</v>
      </c>
      <c r="D168">
        <f>Chart_Data!G168</f>
        <v>23</v>
      </c>
      <c r="E168">
        <f>Chart_Data!H168</f>
        <v>438.1289491107309</v>
      </c>
      <c r="F168">
        <f>Chart_Data!I168</f>
        <v>438.1289491107309</v>
      </c>
      <c r="G168">
        <f>Chart_Data!J168</f>
        <v>61.781548358505674</v>
      </c>
      <c r="I168">
        <f>Scenario_Data!A168</f>
        <v>0.38300000000000001</v>
      </c>
      <c r="J168">
        <f>Scenario_Data!H168-(((SQRT((Inputs!$C$52+(Inputs!$H$6))^2+Inputs!$C$52^2-2*(Inputs!$C$52+(Inputs!$H$6))*Inputs!$C$52*COS(SQRT((Scenario_Data!T168)^2+Inputs!$C$6^2)/Inputs!$C$52)))-(Inputs!$H$6))*1000/Inputs!$C$12)</f>
        <v>-1.1773600760669751</v>
      </c>
      <c r="K168">
        <f>Scenario_Data!I168-(((SQRT((Inputs!$C$52+(Inputs!$H$7))^2+Inputs!$C$52^2-2*(Inputs!$C$52+(Inputs!$H$7))*Inputs!$C$52*COS(SQRT((Scenario_Data!U168)^2+Inputs!$C$6^2)/Inputs!$C$52)))-(Inputs!$H$7))*1000/Inputs!$C$12)</f>
        <v>-17899.138415944799</v>
      </c>
      <c r="L168">
        <f>Scenario_Data!J168-(((SQRT((Inputs!$C$52+(Inputs!$H$8))^2+Inputs!$C$52^2-2*(Inputs!$C$52+(Inputs!$H$8))*Inputs!$C$52*COS(SQRT((Scenario_Data!V168)^2+Inputs!$C$6^2)/Inputs!$C$52)))-(Inputs!$H$8))*1000/Inputs!$C$12)</f>
        <v>-47778.575755723403</v>
      </c>
      <c r="M168">
        <f>Scenario_Data!K168-(((SQRT((Inputs!$C$52+(Inputs!$H$9))^2+Inputs!$C$52^2-2*(Inputs!$C$52+(Inputs!$H$9))*Inputs!$C$52*COS(SQRT((Scenario_Data!W168)^2+Inputs!$C$6^2)/Inputs!$C$52)))-(Inputs!$H$9))*1000/Inputs!$C$12)</f>
        <v>-50165.371473340492</v>
      </c>
      <c r="O168">
        <f>Scenario_Data!T168</f>
        <v>22.980000000000004</v>
      </c>
      <c r="P168">
        <f>2*(Scenario_Data!B168*1000)/Inputs!$C$21*1000000</f>
        <v>2672.4271762700582</v>
      </c>
      <c r="Q168">
        <f>Scenario_Data!U168</f>
        <v>153.20000000000005</v>
      </c>
      <c r="R168">
        <f>2*(Scenario_Data!C168*1000)/Inputs!$C$21*1000000</f>
        <v>590.68520663051527</v>
      </c>
      <c r="S168">
        <f>Scenario_Data!V168</f>
        <v>306.40000000000009</v>
      </c>
      <c r="T168">
        <f>2*(Scenario_Data!D168*1000)/Inputs!$C$21*1000000</f>
        <v>1177.8474093567763</v>
      </c>
      <c r="U168">
        <f>Scenario_Data!W168</f>
        <v>306.40000000000009</v>
      </c>
      <c r="V168">
        <f>2*(Scenario_Data!E168*1000)/Inputs!$C$21*1000000</f>
        <v>1120.9206270292505</v>
      </c>
      <c r="X168">
        <f>Scenario_Data!T168</f>
        <v>22.980000000000004</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2671.9036227962388</v>
      </c>
      <c r="Z168">
        <f>Scenario_Data!U168</f>
        <v>153.20000000000005</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590.28560766568205</v>
      </c>
      <c r="AB168">
        <f>Scenario_Data!V168</f>
        <v>306.40000000000009</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1177.7366521085348</v>
      </c>
      <c r="AD168">
        <f>Scenario_Data!W168</f>
        <v>306.40000000000009</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1120.809869781009</v>
      </c>
      <c r="AG168">
        <f>Scenario_Data!T168</f>
        <v>22.980000000000004</v>
      </c>
      <c r="AH168">
        <f>2*(SQRT((Inputs!$C$52+(Scenario_Data!B168))^2+Inputs!$C$52^2-2*(Inputs!$C$52+(Scenario_Data!B168))*Inputs!$C$52*COS(SQRT((Scenario_Data!T168)^2+Inputs!$C$6^2)/Inputs!$C$52))*1000)/Inputs!$C$21*1000000</f>
        <v>2684.4654464452342</v>
      </c>
      <c r="AI168">
        <f>Scenario_Data!U168</f>
        <v>153.20000000000005</v>
      </c>
      <c r="AJ168">
        <f>2*(SQRT((Inputs!$C$52+(Scenario_Data!C168))^2+Inputs!$C$52^2-2*(Inputs!$C$52+(Scenario_Data!C168))*Inputs!$C$52*COS(SQRT((Scenario_Data!U168)^2+Inputs!$C$6^2)/Inputs!$C$52))*1000)/Inputs!$C$21*1000000</f>
        <v>1217.0425226665805</v>
      </c>
      <c r="AK168">
        <f>Scenario_Data!V168</f>
        <v>306.40000000000009</v>
      </c>
      <c r="AL168">
        <f>2*(SQRT((Inputs!$C$52+(Scenario_Data!D168))^2+Inputs!$C$52^2-2*(Inputs!$C$52+(Scenario_Data!D168))*Inputs!$C$52*COS(SQRT((Scenario_Data!V168)^2+Inputs!$C$6^2)/Inputs!$C$52))*1000)/Inputs!$C$21*1000000</f>
        <v>2460.5030623996822</v>
      </c>
      <c r="AM168">
        <f>Scenario_Data!W168</f>
        <v>306.40000000000009</v>
      </c>
      <c r="AN168">
        <f>2*(SQRT((Inputs!$C$52+(Scenario_Data!E168))^2+Inputs!$C$52^2-2*(Inputs!$C$52+(Scenario_Data!E168))*Inputs!$C$52*COS(SQRT((Scenario_Data!W168)^2+Inputs!$C$6^2)/Inputs!$C$52))*1000)/Inputs!$C$21*1000000</f>
        <v>2429.0518438601889</v>
      </c>
      <c r="AP168">
        <f>Scenario_Data!T168</f>
        <v>22.980000000000004</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2681.4410343801505</v>
      </c>
      <c r="AR168">
        <f>Scenario_Data!U168</f>
        <v>153.20000000000005</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1216.6467476359549</v>
      </c>
      <c r="AT168">
        <f>Scenario_Data!V168</f>
        <v>306.40000000000009</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2460.0404173793613</v>
      </c>
      <c r="AV168">
        <f>Scenario_Data!W168</f>
        <v>306.40000000000009</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2428.6106577782589</v>
      </c>
    </row>
    <row r="169" spans="1:49">
      <c r="A169">
        <f>Chart_Data!K169</f>
        <v>23.5</v>
      </c>
      <c r="B169">
        <f>Chart_Data!N169-Chart_Data!L169</f>
        <v>-73.472854012886899</v>
      </c>
      <c r="D169">
        <f>Chart_Data!G169</f>
        <v>23.5</v>
      </c>
      <c r="E169">
        <f>Chart_Data!H169</f>
        <v>431.2131008039683</v>
      </c>
      <c r="F169">
        <f>Chart_Data!I169</f>
        <v>431.2131008039683</v>
      </c>
      <c r="G169">
        <f>Chart_Data!J169</f>
        <v>70.988668852426656</v>
      </c>
      <c r="I169">
        <f>Scenario_Data!A169</f>
        <v>0.39200000000000002</v>
      </c>
      <c r="J169">
        <f>Scenario_Data!H169-(((SQRT((Inputs!$C$52+(Inputs!$H$6))^2+Inputs!$C$52^2-2*(Inputs!$C$52+(Inputs!$H$6))*Inputs!$C$52*COS(SQRT((Scenario_Data!T169)^2+Inputs!$C$6^2)/Inputs!$C$52)))-(Inputs!$H$6))*1000/Inputs!$C$12)</f>
        <v>-1.2599122492363222</v>
      </c>
      <c r="K169">
        <f>Scenario_Data!I169-(((SQRT((Inputs!$C$52+(Inputs!$H$7))^2+Inputs!$C$52^2-2*(Inputs!$C$52+(Inputs!$H$7))*Inputs!$C$52*COS(SQRT((Scenario_Data!U169)^2+Inputs!$C$6^2)/Inputs!$C$52)))-(Inputs!$H$7))*1000/Inputs!$C$12)</f>
        <v>-18749.923928481869</v>
      </c>
      <c r="L169">
        <f>Scenario_Data!J169-(((SQRT((Inputs!$C$52+(Inputs!$H$8))^2+Inputs!$C$52^2-2*(Inputs!$C$52+(Inputs!$H$8))*Inputs!$C$52*COS(SQRT((Scenario_Data!V169)^2+Inputs!$C$6^2)/Inputs!$C$52)))-(Inputs!$H$8))*1000/Inputs!$C$12)</f>
        <v>-49745.975650615073</v>
      </c>
      <c r="M169">
        <f>Scenario_Data!K169-(((SQRT((Inputs!$C$52+(Inputs!$H$9))^2+Inputs!$C$52^2-2*(Inputs!$C$52+(Inputs!$H$9))*Inputs!$C$52*COS(SQRT((Scenario_Data!W169)^2+Inputs!$C$6^2)/Inputs!$C$52)))-(Inputs!$H$9))*1000/Inputs!$C$12)</f>
        <v>-52180.525354744314</v>
      </c>
      <c r="O169">
        <f>Scenario_Data!T169</f>
        <v>23.519999999999996</v>
      </c>
      <c r="P169">
        <f>2*(Scenario_Data!B169*1000)/Inputs!$C$21*1000000</f>
        <v>2672.6133050351787</v>
      </c>
      <c r="Q169">
        <f>Scenario_Data!U169</f>
        <v>156.79999999999995</v>
      </c>
      <c r="R169">
        <f>2*(Scenario_Data!C169*1000)/Inputs!$C$21*1000000</f>
        <v>607.66945644776661</v>
      </c>
      <c r="S169">
        <f>Scenario_Data!V169</f>
        <v>313.59999999999991</v>
      </c>
      <c r="T169">
        <f>2*(Scenario_Data!D169*1000)/Inputs!$C$21*1000000</f>
        <v>1222.7509739421123</v>
      </c>
      <c r="U169">
        <f>Scenario_Data!W169</f>
        <v>313.59999999999991</v>
      </c>
      <c r="V169">
        <f>2*(Scenario_Data!E169*1000)/Inputs!$C$21*1000000</f>
        <v>1166.2895135273877</v>
      </c>
      <c r="X169">
        <f>Scenario_Data!T169</f>
        <v>23.519999999999996</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2672.186431982876</v>
      </c>
      <c r="Z169">
        <f>Scenario_Data!U169</f>
        <v>156.79999999999995</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607.50156153522198</v>
      </c>
      <c r="AB169">
        <f>Scenario_Data!V169</f>
        <v>313.59999999999991</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1222.6057281367232</v>
      </c>
      <c r="AD169">
        <f>Scenario_Data!W169</f>
        <v>313.59999999999991</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1166.1442677219984</v>
      </c>
      <c r="AG169">
        <f>Scenario_Data!T169</f>
        <v>23.519999999999996</v>
      </c>
      <c r="AH169">
        <f>2*(SQRT((Inputs!$C$52+(Scenario_Data!B169))^2+Inputs!$C$52^2-2*(Inputs!$C$52+(Scenario_Data!B169))*Inputs!$C$52*COS(SQRT((Scenario_Data!T169)^2+Inputs!$C$6^2)/Inputs!$C$52))*1000)/Inputs!$C$21*1000000</f>
        <v>2684.9124368195003</v>
      </c>
      <c r="AI169">
        <f>Scenario_Data!U169</f>
        <v>156.79999999999995</v>
      </c>
      <c r="AJ169">
        <f>2*(SQRT((Inputs!$C$52+(Scenario_Data!C169))^2+Inputs!$C$52^2-2*(Inputs!$C$52+(Scenario_Data!C169))*Inputs!$C$52*COS(SQRT((Scenario_Data!U169)^2+Inputs!$C$6^2)/Inputs!$C$52))*1000)/Inputs!$C$21*1000000</f>
        <v>1247.305949695761</v>
      </c>
      <c r="AK169">
        <f>Scenario_Data!V169</f>
        <v>313.59999999999991</v>
      </c>
      <c r="AL169">
        <f>2*(SQRT((Inputs!$C$52+(Scenario_Data!D169))^2+Inputs!$C$52^2-2*(Inputs!$C$52+(Scenario_Data!D169))*Inputs!$C$52*COS(SQRT((Scenario_Data!V169)^2+Inputs!$C$6^2)/Inputs!$C$52))*1000)/Inputs!$C$21*1000000</f>
        <v>2529.9188951271449</v>
      </c>
      <c r="AM169">
        <f>Scenario_Data!W169</f>
        <v>313.59999999999991</v>
      </c>
      <c r="AN169">
        <f>2*(SQRT((Inputs!$C$52+(Scenario_Data!E169))^2+Inputs!$C$52^2-2*(Inputs!$C$52+(Scenario_Data!E169))*Inputs!$C$52*COS(SQRT((Scenario_Data!W169)^2+Inputs!$C$6^2)/Inputs!$C$52))*1000)/Inputs!$C$21*1000000</f>
        <v>2498.3588768603126</v>
      </c>
      <c r="AP169">
        <f>Scenario_Data!T169</f>
        <v>23.519999999999996</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2681.9939788953425</v>
      </c>
      <c r="AR169">
        <f>Scenario_Data!U169</f>
        <v>156.79999999999995</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1246.8959337465285</v>
      </c>
      <c r="AT169">
        <f>Scenario_Data!V169</f>
        <v>313.59999999999991</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2529.4862966892333</v>
      </c>
      <c r="AV169">
        <f>Scenario_Data!W169</f>
        <v>313.59999999999991</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2497.9453758114569</v>
      </c>
    </row>
    <row r="170" spans="1:49">
      <c r="A170">
        <f>Chart_Data!K170</f>
        <v>24</v>
      </c>
      <c r="B170">
        <f>Chart_Data!N170-Chart_Data!L170</f>
        <v>-78.060971483419848</v>
      </c>
      <c r="D170">
        <f>Chart_Data!G170</f>
        <v>24</v>
      </c>
      <c r="E170">
        <f>Chart_Data!H170</f>
        <v>441.26250725072242</v>
      </c>
      <c r="F170">
        <f>Chart_Data!I170</f>
        <v>441.26250725072242</v>
      </c>
      <c r="G170">
        <f>Chart_Data!J170</f>
        <v>75.468150170569217</v>
      </c>
      <c r="I170">
        <f>Scenario_Data!A170</f>
        <v>0.4</v>
      </c>
      <c r="J170">
        <f>Scenario_Data!H170-(((SQRT((Inputs!$C$52+(Inputs!$H$6))^2+Inputs!$C$52^2-2*(Inputs!$C$52+(Inputs!$H$6))*Inputs!$C$52*COS(SQRT((Scenario_Data!T170)^2+Inputs!$C$6^2)/Inputs!$C$52)))-(Inputs!$H$6))*1000/Inputs!$C$12)</f>
        <v>-1.3369812749583616</v>
      </c>
      <c r="K170">
        <f>Scenario_Data!I170-(((SQRT((Inputs!$C$52+(Inputs!$H$7))^2+Inputs!$C$52^2-2*(Inputs!$C$52+(Inputs!$H$7))*Inputs!$C$52*COS(SQRT((Scenario_Data!U170)^2+Inputs!$C$6^2)/Inputs!$C$52)))-(Inputs!$H$7))*1000/Inputs!$C$12)</f>
        <v>-19518.319974547761</v>
      </c>
      <c r="L170">
        <f>Scenario_Data!J170-(((SQRT((Inputs!$C$52+(Inputs!$H$8))^2+Inputs!$C$52^2-2*(Inputs!$C$52+(Inputs!$H$8))*Inputs!$C$52*COS(SQRT((Scenario_Data!V170)^2+Inputs!$C$6^2)/Inputs!$C$52)))-(Inputs!$H$8))*1000/Inputs!$C$12)</f>
        <v>-51511.044325088587</v>
      </c>
      <c r="M170">
        <f>Scenario_Data!K170-(((SQRT((Inputs!$C$52+(Inputs!$H$9))^2+Inputs!$C$52^2-2*(Inputs!$C$52+(Inputs!$H$9))*Inputs!$C$52*COS(SQRT((Scenario_Data!W170)^2+Inputs!$C$6^2)/Inputs!$C$52)))-(Inputs!$H$9))*1000/Inputs!$C$12)</f>
        <v>-53987.343983635947</v>
      </c>
      <c r="O170">
        <f>Scenario_Data!T170</f>
        <v>24</v>
      </c>
      <c r="P170">
        <f>2*(Scenario_Data!B170*1000)/Inputs!$C$21*1000000</f>
        <v>2672.7823820037529</v>
      </c>
      <c r="Q170">
        <f>Scenario_Data!U170</f>
        <v>160</v>
      </c>
      <c r="R170">
        <f>2*(Scenario_Data!C170*1000)/Inputs!$C$21*1000000</f>
        <v>623.09772983014795</v>
      </c>
      <c r="S170">
        <f>Scenario_Data!V170</f>
        <v>320</v>
      </c>
      <c r="T170">
        <f>2*(Scenario_Data!D170*1000)/Inputs!$C$21*1000000</f>
        <v>1263.5407926106002</v>
      </c>
      <c r="U170">
        <f>Scenario_Data!W170</f>
        <v>320</v>
      </c>
      <c r="V170">
        <f>2*(Scenario_Data!E170*1000)/Inputs!$C$21*1000000</f>
        <v>1207.5020246173106</v>
      </c>
      <c r="X170">
        <f>Scenario_Data!T170</f>
        <v>24</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2672.2789126991943</v>
      </c>
      <c r="Z170">
        <f>Scenario_Data!U170</f>
        <v>160</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622.9166520341081</v>
      </c>
      <c r="AB170">
        <f>Scenario_Data!V170</f>
        <v>320</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1263.7436976342321</v>
      </c>
      <c r="AD170">
        <f>Scenario_Data!W170</f>
        <v>320</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1207.7049296409427</v>
      </c>
      <c r="AG170">
        <f>Scenario_Data!T170</f>
        <v>24</v>
      </c>
      <c r="AH170">
        <f>2*(SQRT((Inputs!$C$52+(Scenario_Data!B170))^2+Inputs!$C$52^2-2*(Inputs!$C$52+(Scenario_Data!B170))*Inputs!$C$52*COS(SQRT((Scenario_Data!T170)^2+Inputs!$C$6^2)/Inputs!$C$52))*1000)/Inputs!$C$21*1000000</f>
        <v>2685.318429856306</v>
      </c>
      <c r="AI170">
        <f>Scenario_Data!U170</f>
        <v>160</v>
      </c>
      <c r="AJ170">
        <f>2*(SQRT((Inputs!$C$52+(Scenario_Data!C170))^2+Inputs!$C$52^2-2*(Inputs!$C$52+(Scenario_Data!C170))*Inputs!$C$52*COS(SQRT((Scenario_Data!U170)^2+Inputs!$C$6^2)/Inputs!$C$52))*1000)/Inputs!$C$21*1000000</f>
        <v>1274.4238323326915</v>
      </c>
      <c r="AK170">
        <f>Scenario_Data!V170</f>
        <v>320</v>
      </c>
      <c r="AL170">
        <f>2*(SQRT((Inputs!$C$52+(Scenario_Data!D170))^2+Inputs!$C$52^2-2*(Inputs!$C$52+(Scenario_Data!D170))*Inputs!$C$52*COS(SQRT((Scenario_Data!V170)^2+Inputs!$C$6^2)/Inputs!$C$52))*1000)/Inputs!$C$21*1000000</f>
        <v>2592.3117154336151</v>
      </c>
      <c r="AM170">
        <f>Scenario_Data!W170</f>
        <v>320</v>
      </c>
      <c r="AN170">
        <f>2*(SQRT((Inputs!$C$52+(Scenario_Data!E170))^2+Inputs!$C$52^2-2*(Inputs!$C$52+(Scenario_Data!E170))*Inputs!$C$52*COS(SQRT((Scenario_Data!W170)^2+Inputs!$C$6^2)/Inputs!$C$52))*1000)/Inputs!$C$21*1000000</f>
        <v>2560.6670284536167</v>
      </c>
      <c r="AP170">
        <f>Scenario_Data!T170</f>
        <v>24</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2682.3919407186913</v>
      </c>
      <c r="AR170">
        <f>Scenario_Data!U170</f>
        <v>160</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1273.9426663277293</v>
      </c>
      <c r="AT170">
        <f>Scenario_Data!V170</f>
        <v>320</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2592.146348508657</v>
      </c>
      <c r="AV170">
        <f>Scenario_Data!W170</f>
        <v>320</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2560.508645682442</v>
      </c>
    </row>
    <row r="171" spans="1:49">
      <c r="A171">
        <f>Chart_Data!K171</f>
        <v>24.5</v>
      </c>
      <c r="B171">
        <f>Chart_Data!N171-Chart_Data!L171</f>
        <v>-82.777770367323853</v>
      </c>
      <c r="D171">
        <f>Chart_Data!G171</f>
        <v>24.5</v>
      </c>
      <c r="E171">
        <f>Chart_Data!H171</f>
        <v>415.43697734419459</v>
      </c>
      <c r="F171">
        <f>Chart_Data!I171</f>
        <v>415.43697734419459</v>
      </c>
      <c r="G171">
        <f>Chart_Data!J171</f>
        <v>80.288162734236394</v>
      </c>
      <c r="I171">
        <f>Scenario_Data!A171</f>
        <v>0.40799999999999997</v>
      </c>
      <c r="J171">
        <f>Scenario_Data!H171-(((SQRT((Inputs!$C$52+(Inputs!$H$6))^2+Inputs!$C$52^2-2*(Inputs!$C$52+(Inputs!$H$6))*Inputs!$C$52*COS(SQRT((Scenario_Data!T171)^2+Inputs!$C$6^2)/Inputs!$C$52)))-(Inputs!$H$6))*1000/Inputs!$C$12)</f>
        <v>-1.4176461878619193</v>
      </c>
      <c r="K171">
        <f>Scenario_Data!I171-(((SQRT((Inputs!$C$52+(Inputs!$H$7))^2+Inputs!$C$52^2-2*(Inputs!$C$52+(Inputs!$H$7))*Inputs!$C$52*COS(SQRT((Scenario_Data!U171)^2+Inputs!$C$6^2)/Inputs!$C$52)))-(Inputs!$H$7))*1000/Inputs!$C$12)</f>
        <v>-20297.883237372909</v>
      </c>
      <c r="L171">
        <f>Scenario_Data!J171-(((SQRT((Inputs!$C$52+(Inputs!$H$8))^2+Inputs!$C$52^2-2*(Inputs!$C$52+(Inputs!$H$8))*Inputs!$C$52*COS(SQRT((Scenario_Data!V171)^2+Inputs!$C$6^2)/Inputs!$C$52)))-(Inputs!$H$8))*1000/Inputs!$C$12)</f>
        <v>-53290.673072524412</v>
      </c>
      <c r="M171">
        <f>Scenario_Data!K171-(((SQRT((Inputs!$C$52+(Inputs!$H$9))^2+Inputs!$C$52^2-2*(Inputs!$C$52+(Inputs!$H$9))*Inputs!$C$52*COS(SQRT((Scenario_Data!W171)^2+Inputs!$C$6^2)/Inputs!$C$52)))-(Inputs!$H$9))*1000/Inputs!$C$12)</f>
        <v>-55808.063239413677</v>
      </c>
      <c r="O171">
        <f>Scenario_Data!T171</f>
        <v>24.47999999999999</v>
      </c>
      <c r="P171">
        <f>2*(Scenario_Data!B171*1000)/Inputs!$C$21*1000000</f>
        <v>2672.9548746686619</v>
      </c>
      <c r="Q171">
        <f>Scenario_Data!U171</f>
        <v>163.19999999999993</v>
      </c>
      <c r="R171">
        <f>2*(Scenario_Data!C171*1000)/Inputs!$C$21*1000000</f>
        <v>638.83768550308173</v>
      </c>
      <c r="S171">
        <f>Scenario_Data!V171</f>
        <v>326.39999999999986</v>
      </c>
      <c r="T171">
        <f>2*(Scenario_Data!D171*1000)/Inputs!$C$21*1000000</f>
        <v>1305.1546480198635</v>
      </c>
      <c r="U171">
        <f>Scenario_Data!W171</f>
        <v>326.39999999999986</v>
      </c>
      <c r="V171">
        <f>2*(Scenario_Data!E171*1000)/Inputs!$C$21*1000000</f>
        <v>1249.5471116888461</v>
      </c>
      <c r="X171">
        <f>Scenario_Data!T171</f>
        <v>24.47999999999999</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2672.4226849537231</v>
      </c>
      <c r="Z171">
        <f>Scenario_Data!U171</f>
        <v>163.19999999999993</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638.41432921013279</v>
      </c>
      <c r="AB171">
        <f>Scenario_Data!V171</f>
        <v>326.39999999999986</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1304.993058303427</v>
      </c>
      <c r="AD171">
        <f>Scenario_Data!W171</f>
        <v>326.39999999999986</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1249.3855219724098</v>
      </c>
      <c r="AG171">
        <f>Scenario_Data!T171</f>
        <v>24.47999999999999</v>
      </c>
      <c r="AH171">
        <f>2*(SQRT((Inputs!$C$52+(Scenario_Data!B171))^2+Inputs!$C$52^2-2*(Inputs!$C$52+(Scenario_Data!B171))*Inputs!$C$52*COS(SQRT((Scenario_Data!T171)^2+Inputs!$C$6^2)/Inputs!$C$52))*1000)/Inputs!$C$21*1000000</f>
        <v>2685.7325784389564</v>
      </c>
      <c r="AI171">
        <f>Scenario_Data!U171</f>
        <v>163.19999999999993</v>
      </c>
      <c r="AJ171">
        <f>2*(SQRT((Inputs!$C$52+(Scenario_Data!C171))^2+Inputs!$C$52^2-2*(Inputs!$C$52+(Scenario_Data!C171))*Inputs!$C$52*COS(SQRT((Scenario_Data!U171)^2+Inputs!$C$6^2)/Inputs!$C$52))*1000)/Inputs!$C$21*1000000</f>
        <v>1301.7473946103885</v>
      </c>
      <c r="AK171">
        <f>Scenario_Data!V171</f>
        <v>326.39999999999986</v>
      </c>
      <c r="AL171">
        <f>2*(SQRT((Inputs!$C$52+(Scenario_Data!D171))^2+Inputs!$C$52^2-2*(Inputs!$C$52+(Scenario_Data!D171))*Inputs!$C$52*COS(SQRT((Scenario_Data!V171)^2+Inputs!$C$6^2)/Inputs!$C$52))*1000)/Inputs!$C$21*1000000</f>
        <v>2655.3615925812765</v>
      </c>
      <c r="AM171">
        <f>Scenario_Data!W171</f>
        <v>326.39999999999986</v>
      </c>
      <c r="AN171">
        <f>2*(SQRT((Inputs!$C$52+(Scenario_Data!E171))^2+Inputs!$C$52^2-2*(Inputs!$C$52+(Scenario_Data!E171))*Inputs!$C$52*COS(SQRT((Scenario_Data!W171)^2+Inputs!$C$6^2)/Inputs!$C$52))*1000)/Inputs!$C$21*1000000</f>
        <v>2623.6439001292542</v>
      </c>
      <c r="AP171">
        <f>Scenario_Data!T171</f>
        <v>24.47999999999999</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2682.9158806588962</v>
      </c>
      <c r="AR171">
        <f>Scenario_Data!U171</f>
        <v>163.19999999999993</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1301.2535415684738</v>
      </c>
      <c r="AT171">
        <f>Scenario_Data!V171</f>
        <v>326.39999999999986</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2654.8892109327271</v>
      </c>
      <c r="AV171">
        <f>Scenario_Data!W171</f>
        <v>326.39999999999986</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2623.1906262677849</v>
      </c>
    </row>
    <row r="172" spans="1:49">
      <c r="A172">
        <f>Chart_Data!K172</f>
        <v>25</v>
      </c>
      <c r="B172">
        <f>Chart_Data!N172-Chart_Data!L172</f>
        <v>-64.058600848829201</v>
      </c>
      <c r="D172">
        <f>Chart_Data!G172</f>
        <v>25</v>
      </c>
      <c r="E172">
        <f>Chart_Data!H172</f>
        <v>418.83207484781849</v>
      </c>
      <c r="F172">
        <f>Chart_Data!I172</f>
        <v>418.83207484781849</v>
      </c>
      <c r="G172">
        <f>Chart_Data!J172</f>
        <v>61.498548518191555</v>
      </c>
      <c r="I172">
        <f>Scenario_Data!A172</f>
        <v>0.41699999999999998</v>
      </c>
      <c r="J172">
        <f>Scenario_Data!H172-(((SQRT((Inputs!$C$52+(Inputs!$H$6))^2+Inputs!$C$52^2-2*(Inputs!$C$52+(Inputs!$H$6))*Inputs!$C$52*COS(SQRT((Scenario_Data!T172)^2+Inputs!$C$6^2)/Inputs!$C$52)))-(Inputs!$H$6))*1000/Inputs!$C$12)</f>
        <v>-1.512843152252799</v>
      </c>
      <c r="K172">
        <f>Scenario_Data!I172-(((SQRT((Inputs!$C$52+(Inputs!$H$7))^2+Inputs!$C$52^2-2*(Inputs!$C$52+(Inputs!$H$7))*Inputs!$C$52*COS(SQRT((Scenario_Data!U172)^2+Inputs!$C$6^2)/Inputs!$C$52)))-(Inputs!$H$7))*1000/Inputs!$C$12)</f>
        <v>-21187.933007764419</v>
      </c>
      <c r="L172">
        <f>Scenario_Data!J172-(((SQRT((Inputs!$C$52+(Inputs!$H$8))^2+Inputs!$C$52^2-2*(Inputs!$C$52+(Inputs!$H$8))*Inputs!$C$52*COS(SQRT((Scenario_Data!V172)^2+Inputs!$C$6^2)/Inputs!$C$52)))-(Inputs!$H$8))*1000/Inputs!$C$12)</f>
        <v>-55309.282407726903</v>
      </c>
      <c r="M172">
        <f>Scenario_Data!K172-(((SQRT((Inputs!$C$52+(Inputs!$H$9))^2+Inputs!$C$52^2-2*(Inputs!$C$52+(Inputs!$H$9))*Inputs!$C$52*COS(SQRT((Scenario_Data!W172)^2+Inputs!$C$6^2)/Inputs!$C$52)))-(Inputs!$H$9))*1000/Inputs!$C$12)</f>
        <v>-57872.108972825328</v>
      </c>
      <c r="O172">
        <f>Scenario_Data!T172</f>
        <v>25.019999999999996</v>
      </c>
      <c r="P172">
        <f>2*(Scenario_Data!B172*1000)/Inputs!$C$21*1000000</f>
        <v>2673.1530117412094</v>
      </c>
      <c r="Q172">
        <f>Scenario_Data!U172</f>
        <v>166.80000000000007</v>
      </c>
      <c r="R172">
        <f>2*(Scenario_Data!C172*1000)/Inputs!$C$21*1000000</f>
        <v>656.91769337306039</v>
      </c>
      <c r="S172">
        <f>Scenario_Data!V172</f>
        <v>333.60000000000014</v>
      </c>
      <c r="T172">
        <f>2*(Scenario_Data!D172*1000)/Inputs!$C$21*1000000</f>
        <v>1352.9552167719985</v>
      </c>
      <c r="U172">
        <f>Scenario_Data!W172</f>
        <v>333.60000000000014</v>
      </c>
      <c r="V172">
        <f>2*(Scenario_Data!E172*1000)/Inputs!$C$21*1000000</f>
        <v>1297.8430231223504</v>
      </c>
      <c r="X172">
        <f>Scenario_Data!T172</f>
        <v>25.019999999999996</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2672.7507541412438</v>
      </c>
      <c r="Z172">
        <f>Scenario_Data!U172</f>
        <v>166.80000000000007</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656.4778874083446</v>
      </c>
      <c r="AB172">
        <f>Scenario_Data!V172</f>
        <v>333.60000000000014</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1352.9496387434049</v>
      </c>
      <c r="AD172">
        <f>Scenario_Data!W172</f>
        <v>333.60000000000014</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1297.8374450937565</v>
      </c>
      <c r="AG172">
        <f>Scenario_Data!T172</f>
        <v>25.019999999999996</v>
      </c>
      <c r="AH172">
        <f>2*(SQRT((Inputs!$C$52+(Scenario_Data!B172))^2+Inputs!$C$52^2-2*(Inputs!$C$52+(Scenario_Data!B172))*Inputs!$C$52*COS(SQRT((Scenario_Data!T172)^2+Inputs!$C$6^2)/Inputs!$C$52))*1000)/Inputs!$C$21*1000000</f>
        <v>2686.2082405845767</v>
      </c>
      <c r="AI172">
        <f>Scenario_Data!U172</f>
        <v>166.80000000000007</v>
      </c>
      <c r="AJ172">
        <f>2*(SQRT((Inputs!$C$52+(Scenario_Data!C172))^2+Inputs!$C$52^2-2*(Inputs!$C$52+(Scenario_Data!C172))*Inputs!$C$52*COS(SQRT((Scenario_Data!U172)^2+Inputs!$C$6^2)/Inputs!$C$52))*1000)/Inputs!$C$21*1000000</f>
        <v>1332.7340115462373</v>
      </c>
      <c r="AK172">
        <f>Scenario_Data!V172</f>
        <v>333.60000000000014</v>
      </c>
      <c r="AL172">
        <f>2*(SQRT((Inputs!$C$52+(Scenario_Data!D172))^2+Inputs!$C$52^2-2*(Inputs!$C$52+(Scenario_Data!D172))*Inputs!$C$52*COS(SQRT((Scenario_Data!V172)^2+Inputs!$C$6^2)/Inputs!$C$52))*1000)/Inputs!$C$21*1000000</f>
        <v>2727.0872248769224</v>
      </c>
      <c r="AM172">
        <f>Scenario_Data!W172</f>
        <v>333.60000000000014</v>
      </c>
      <c r="AN172">
        <f>2*(SQRT((Inputs!$C$52+(Scenario_Data!E172))^2+Inputs!$C$52^2-2*(Inputs!$C$52+(Scenario_Data!E172))*Inputs!$C$52*COS(SQRT((Scenario_Data!W172)^2+Inputs!$C$6^2)/Inputs!$C$52))*1000)/Inputs!$C$21*1000000</f>
        <v>2695.3016989076004</v>
      </c>
      <c r="AP172">
        <f>Scenario_Data!T172</f>
        <v>25.019999999999996</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2683.4438459390726</v>
      </c>
      <c r="AR172">
        <f>Scenario_Data!U172</f>
        <v>166.80000000000007</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1332.2058701793264</v>
      </c>
      <c r="AT172">
        <f>Scenario_Data!V172</f>
        <v>333.60000000000014</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2726.8255061130581</v>
      </c>
      <c r="AV172">
        <f>Scenario_Data!W172</f>
        <v>333.60000000000014</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2695.0500562784723</v>
      </c>
    </row>
    <row r="173" spans="1:49">
      <c r="A173">
        <f>Chart_Data!K173</f>
        <v>25.5</v>
      </c>
      <c r="B173">
        <f>Chart_Data!N173-Chart_Data!L173</f>
        <v>-70.334055130052491</v>
      </c>
      <c r="D173">
        <f>Chart_Data!G173</f>
        <v>25.5</v>
      </c>
      <c r="E173">
        <f>Chart_Data!H173</f>
        <v>390.15691093624679</v>
      </c>
      <c r="F173">
        <f>Chart_Data!I173</f>
        <v>390.15691093624679</v>
      </c>
      <c r="G173">
        <f>Chart_Data!J173</f>
        <v>67.901880448960824</v>
      </c>
      <c r="I173">
        <f>Scenario_Data!A173</f>
        <v>0.42499999999999999</v>
      </c>
      <c r="J173">
        <f>Scenario_Data!H173-(((SQRT((Inputs!$C$52+(Inputs!$H$6))^2+Inputs!$C$52^2-2*(Inputs!$C$52+(Inputs!$H$6))*Inputs!$C$52*COS(SQRT((Scenario_Data!T173)^2+Inputs!$C$6^2)/Inputs!$C$52)))-(Inputs!$H$6))*1000/Inputs!$C$12)</f>
        <v>-1.601553853415453</v>
      </c>
      <c r="K173">
        <f>Scenario_Data!I173-(((SQRT((Inputs!$C$52+(Inputs!$H$7))^2+Inputs!$C$52^2-2*(Inputs!$C$52+(Inputs!$H$7))*Inputs!$C$52*COS(SQRT((Scenario_Data!U173)^2+Inputs!$C$6^2)/Inputs!$C$52)))-(Inputs!$H$7))*1000/Inputs!$C$12)</f>
        <v>-21990.411244520401</v>
      </c>
      <c r="L173">
        <f>Scenario_Data!J173-(((SQRT((Inputs!$C$52+(Inputs!$H$8))^2+Inputs!$C$52^2-2*(Inputs!$C$52+(Inputs!$H$8))*Inputs!$C$52*COS(SQRT((Scenario_Data!V173)^2+Inputs!$C$6^2)/Inputs!$C$52)))-(Inputs!$H$8))*1000/Inputs!$C$12)</f>
        <v>-57117.531516682895</v>
      </c>
      <c r="M173">
        <f>Scenario_Data!K173-(((SQRT((Inputs!$C$52+(Inputs!$H$9))^2+Inputs!$C$52^2-2*(Inputs!$C$52+(Inputs!$H$9))*Inputs!$C$52*COS(SQRT((Scenario_Data!W173)^2+Inputs!$C$6^2)/Inputs!$C$52)))-(Inputs!$H$9))*1000/Inputs!$C$12)</f>
        <v>-59720.042102486739</v>
      </c>
      <c r="O173">
        <f>Scenario_Data!T173</f>
        <v>25.5</v>
      </c>
      <c r="P173">
        <f>2*(Scenario_Data!B173*1000)/Inputs!$C$21*1000000</f>
        <v>2673.3327627608296</v>
      </c>
      <c r="Q173">
        <f>Scenario_Data!U173</f>
        <v>170</v>
      </c>
      <c r="R173">
        <f>2*(Scenario_Data!C173*1000)/Inputs!$C$21*1000000</f>
        <v>673.31997391341974</v>
      </c>
      <c r="S173">
        <f>Scenario_Data!V173</f>
        <v>340</v>
      </c>
      <c r="T173">
        <f>2*(Scenario_Data!D173*1000)/Inputs!$C$21*1000000</f>
        <v>1396.3201502554143</v>
      </c>
      <c r="U173">
        <f>Scenario_Data!W173</f>
        <v>340</v>
      </c>
      <c r="V173">
        <f>2*(Scenario_Data!E173*1000)/Inputs!$C$21*1000000</f>
        <v>1341.6573341548171</v>
      </c>
      <c r="X173">
        <f>Scenario_Data!T173</f>
        <v>25.5</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2672.8797701745452</v>
      </c>
      <c r="Z173">
        <f>Scenario_Data!U173</f>
        <v>170</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672.95215824713694</v>
      </c>
      <c r="AB173">
        <f>Scenario_Data!V173</f>
        <v>340</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1396.3473019036724</v>
      </c>
      <c r="AD173">
        <f>Scenario_Data!W173</f>
        <v>340</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1341.6844858030752</v>
      </c>
      <c r="AG173">
        <f>Scenario_Data!T173</f>
        <v>25.5</v>
      </c>
      <c r="AH173">
        <f>2*(SQRT((Inputs!$C$52+(Scenario_Data!B173))^2+Inputs!$C$52^2-2*(Inputs!$C$52+(Scenario_Data!B173))*Inputs!$C$52*COS(SQRT((Scenario_Data!T173)^2+Inputs!$C$6^2)/Inputs!$C$52))*1000)/Inputs!$C$21*1000000</f>
        <v>2686.6397104802963</v>
      </c>
      <c r="AI173">
        <f>Scenario_Data!U173</f>
        <v>170</v>
      </c>
      <c r="AJ173">
        <f>2*(SQRT((Inputs!$C$52+(Scenario_Data!C173))^2+Inputs!$C$52^2-2*(Inputs!$C$52+(Scenario_Data!C173))*Inputs!$C$52*COS(SQRT((Scenario_Data!U173)^2+Inputs!$C$6^2)/Inputs!$C$52))*1000)/Inputs!$C$21*1000000</f>
        <v>1360.4994034490926</v>
      </c>
      <c r="AK173">
        <f>Scenario_Data!V173</f>
        <v>340</v>
      </c>
      <c r="AL173">
        <f>2*(SQRT((Inputs!$C$52+(Scenario_Data!D173))^2+Inputs!$C$52^2-2*(Inputs!$C$52+(Scenario_Data!D173))*Inputs!$C$52*COS(SQRT((Scenario_Data!V173)^2+Inputs!$C$6^2)/Inputs!$C$52))*1000)/Inputs!$C$21*1000000</f>
        <v>2791.5575527526471</v>
      </c>
      <c r="AM173">
        <f>Scenario_Data!W173</f>
        <v>340</v>
      </c>
      <c r="AN173">
        <f>2*(SQRT((Inputs!$C$52+(Scenario_Data!E173))^2+Inputs!$C$52^2-2*(Inputs!$C$52+(Scenario_Data!E173))*Inputs!$C$52*COS(SQRT((Scenario_Data!W173)^2+Inputs!$C$6^2)/Inputs!$C$52))*1000)/Inputs!$C$21*1000000</f>
        <v>2759.7247264813568</v>
      </c>
      <c r="AP173">
        <f>Scenario_Data!T173</f>
        <v>25.5</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2684.0530894635986</v>
      </c>
      <c r="AR173">
        <f>Scenario_Data!U173</f>
        <v>170</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1359.9452187192626</v>
      </c>
      <c r="AT173">
        <f>Scenario_Data!V173</f>
        <v>340</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2791.2253149758362</v>
      </c>
      <c r="AV173">
        <f>Scenario_Data!W173</f>
        <v>340</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2759.4047365661204</v>
      </c>
    </row>
    <row r="174" spans="1:49">
      <c r="A174">
        <f>Chart_Data!K174</f>
        <v>26</v>
      </c>
      <c r="B174">
        <f>Chart_Data!N174-Chart_Data!L174</f>
        <v>-67.495623836873335</v>
      </c>
      <c r="D174">
        <f>Chart_Data!G174</f>
        <v>26</v>
      </c>
      <c r="E174">
        <f>Chart_Data!H174</f>
        <v>387.37494101799217</v>
      </c>
      <c r="F174">
        <f>Chart_Data!I174</f>
        <v>387.37494101799217</v>
      </c>
      <c r="G174">
        <f>Chart_Data!J174</f>
        <v>65.032671862171824</v>
      </c>
      <c r="I174">
        <f>Scenario_Data!A174</f>
        <v>0.433</v>
      </c>
      <c r="J174">
        <f>Scenario_Data!H174-(((SQRT((Inputs!$C$52+(Inputs!$H$6))^2+Inputs!$C$52^2-2*(Inputs!$C$52+(Inputs!$H$6))*Inputs!$C$52*COS(SQRT((Scenario_Data!T174)^2+Inputs!$C$6^2)/Inputs!$C$52)))-(Inputs!$H$6))*1000/Inputs!$C$12)</f>
        <v>-1.6942460296072568</v>
      </c>
      <c r="K174">
        <f>Scenario_Data!I174-(((SQRT((Inputs!$C$52+(Inputs!$H$7))^2+Inputs!$C$52^2-2*(Inputs!$C$52+(Inputs!$H$7))*Inputs!$C$52*COS(SQRT((Scenario_Data!U174)^2+Inputs!$C$6^2)/Inputs!$C$52)))-(Inputs!$H$7))*1000/Inputs!$C$12)</f>
        <v>-22803.296578072215</v>
      </c>
      <c r="L174">
        <f>Scenario_Data!J174-(((SQRT((Inputs!$C$52+(Inputs!$H$8))^2+Inputs!$C$52^2-2*(Inputs!$C$52+(Inputs!$H$8))*Inputs!$C$52*COS(SQRT((Scenario_Data!V174)^2+Inputs!$C$6^2)/Inputs!$C$52)))-(Inputs!$H$8))*1000/Inputs!$C$12)</f>
        <v>-58938.191859995903</v>
      </c>
      <c r="M174">
        <f>Scenario_Data!K174-(((SQRT((Inputs!$C$52+(Inputs!$H$9))^2+Inputs!$C$52^2-2*(Inputs!$C$52+(Inputs!$H$9))*Inputs!$C$52*COS(SQRT((Scenario_Data!W174)^2+Inputs!$C$6^2)/Inputs!$C$52)))-(Inputs!$H$9))*1000/Inputs!$C$12)</f>
        <v>-61579.723356260423</v>
      </c>
      <c r="O174">
        <f>Scenario_Data!T174</f>
        <v>25.980000000000004</v>
      </c>
      <c r="P174">
        <f>2*(Scenario_Data!B174*1000)/Inputs!$C$21*1000000</f>
        <v>2673.515929476785</v>
      </c>
      <c r="Q174">
        <f>Scenario_Data!U174</f>
        <v>173.20000000000005</v>
      </c>
      <c r="R174">
        <f>2*(Scenario_Data!C174*1000)/Inputs!$C$21*1000000</f>
        <v>690.03393674433289</v>
      </c>
      <c r="S174">
        <f>Scenario_Data!V174</f>
        <v>346.40000000000009</v>
      </c>
      <c r="T174">
        <f>2*(Scenario_Data!D174*1000)/Inputs!$C$21*1000000</f>
        <v>1440.5091204796092</v>
      </c>
      <c r="U174">
        <f>Scenario_Data!W174</f>
        <v>346.40000000000009</v>
      </c>
      <c r="V174">
        <f>2*(Scenario_Data!E174*1000)/Inputs!$C$21*1000000</f>
        <v>1386.3042211689001</v>
      </c>
      <c r="X174">
        <f>Scenario_Data!T174</f>
        <v>25.980000000000004</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2673.023648727582</v>
      </c>
      <c r="Z174">
        <f>Scenario_Data!U174</f>
        <v>173.20000000000005</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689.90927027372959</v>
      </c>
      <c r="AB174">
        <f>Scenario_Data!V174</f>
        <v>346.40000000000009</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1440.15613079986</v>
      </c>
      <c r="AD174">
        <f>Scenario_Data!W174</f>
        <v>346.40000000000009</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1385.951231489151</v>
      </c>
      <c r="AG174">
        <f>Scenario_Data!T174</f>
        <v>25.980000000000004</v>
      </c>
      <c r="AH174">
        <f>2*(SQRT((Inputs!$C$52+(Scenario_Data!B174))^2+Inputs!$C$52^2-2*(Inputs!$C$52+(Scenario_Data!B174))*Inputs!$C$52*COS(SQRT((Scenario_Data!T174)^2+Inputs!$C$6^2)/Inputs!$C$52))*1000)/Inputs!$C$21*1000000</f>
        <v>2687.0793271300054</v>
      </c>
      <c r="AI174">
        <f>Scenario_Data!U174</f>
        <v>173.20000000000005</v>
      </c>
      <c r="AJ174">
        <f>2*(SQRT((Inputs!$C$52+(Scenario_Data!C174))^2+Inputs!$C$52^2-2*(Inputs!$C$52+(Scenario_Data!C174))*Inputs!$C$52*COS(SQRT((Scenario_Data!U174)^2+Inputs!$C$6^2)/Inputs!$C$52))*1000)/Inputs!$C$21*1000000</f>
        <v>1388.4750825653464</v>
      </c>
      <c r="AK174">
        <f>Scenario_Data!V174</f>
        <v>346.40000000000009</v>
      </c>
      <c r="AL174">
        <f>2*(SQRT((Inputs!$C$52+(Scenario_Data!D174))^2+Inputs!$C$52^2-2*(Inputs!$C$52+(Scenario_Data!D174))*Inputs!$C$52*COS(SQRT((Scenario_Data!V174)^2+Inputs!$C$6^2)/Inputs!$C$52))*1000)/Inputs!$C$21*1000000</f>
        <v>2856.707437171217</v>
      </c>
      <c r="AM174">
        <f>Scenario_Data!W174</f>
        <v>346.40000000000009</v>
      </c>
      <c r="AN174">
        <f>2*(SQRT((Inputs!$C$52+(Scenario_Data!E174))^2+Inputs!$C$52^2-2*(Inputs!$C$52+(Scenario_Data!E174))*Inputs!$C$52*COS(SQRT((Scenario_Data!W174)^2+Inputs!$C$6^2)/Inputs!$C$52))*1000)/Inputs!$C$21*1000000</f>
        <v>2824.8397867428093</v>
      </c>
      <c r="AP174">
        <f>Scenario_Data!T174</f>
        <v>25.980000000000004</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2684.4264672966287</v>
      </c>
      <c r="AR174">
        <f>Scenario_Data!U174</f>
        <v>173.20000000000005</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1388.0981650857836</v>
      </c>
      <c r="AT174">
        <f>Scenario_Data!V174</f>
        <v>346.40000000000009</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2856.2260336940121</v>
      </c>
      <c r="AV174">
        <f>Scenario_Data!W174</f>
        <v>346.40000000000009</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2824.3753796888477</v>
      </c>
    </row>
    <row r="175" spans="1:49">
      <c r="A175">
        <f>Chart_Data!K175</f>
        <v>26.5</v>
      </c>
      <c r="B175">
        <f>Chart_Data!N175-Chart_Data!L175</f>
        <v>-72.003361039073809</v>
      </c>
      <c r="D175">
        <f>Chart_Data!G175</f>
        <v>26.5</v>
      </c>
      <c r="E175">
        <f>Chart_Data!H175</f>
        <v>383.48713922986474</v>
      </c>
      <c r="F175">
        <f>Chart_Data!I175</f>
        <v>383.48713922986474</v>
      </c>
      <c r="G175">
        <f>Chart_Data!J175</f>
        <v>69.516598212008631</v>
      </c>
      <c r="I175">
        <f>Scenario_Data!A175</f>
        <v>0.442</v>
      </c>
      <c r="J175">
        <f>Scenario_Data!H175-(((SQRT((Inputs!$C$52+(Inputs!$H$6))^2+Inputs!$C$52^2-2*(Inputs!$C$52+(Inputs!$H$6))*Inputs!$C$52*COS(SQRT((Scenario_Data!T175)^2+Inputs!$C$6^2)/Inputs!$C$52)))-(Inputs!$H$6))*1000/Inputs!$C$12)</f>
        <v>-1.8034433360094226</v>
      </c>
      <c r="K175">
        <f>Scenario_Data!I175-(((SQRT((Inputs!$C$52+(Inputs!$H$7))^2+Inputs!$C$52^2-2*(Inputs!$C$52+(Inputs!$H$7))*Inputs!$C$52*COS(SQRT((Scenario_Data!U175)^2+Inputs!$C$6^2)/Inputs!$C$52)))-(Inputs!$H$7))*1000/Inputs!$C$12)</f>
        <v>-23729.938248077415</v>
      </c>
      <c r="L175">
        <f>Scenario_Data!J175-(((SQRT((Inputs!$C$52+(Inputs!$H$8))^2+Inputs!$C$52^2-2*(Inputs!$C$52+(Inputs!$H$8))*Inputs!$C$52*COS(SQRT((Scenario_Data!V175)^2+Inputs!$C$6^2)/Inputs!$C$52)))-(Inputs!$H$8))*1000/Inputs!$C$12)</f>
        <v>-61000.455221790791</v>
      </c>
      <c r="M175">
        <f>Scenario_Data!K175-(((SQRT((Inputs!$C$52+(Inputs!$H$9))^2+Inputs!$C$52^2-2*(Inputs!$C$52+(Inputs!$H$9))*Inputs!$C$52*COS(SQRT((Scenario_Data!W175)^2+Inputs!$C$6^2)/Inputs!$C$52)))-(Inputs!$H$9))*1000/Inputs!$C$12)</f>
        <v>-63685.092564364168</v>
      </c>
      <c r="O175">
        <f>Scenario_Data!T175</f>
        <v>26.519999999999996</v>
      </c>
      <c r="P175">
        <f>2*(Scenario_Data!B175*1000)/Inputs!$C$21*1000000</f>
        <v>2673.7260748567596</v>
      </c>
      <c r="Q175">
        <f>Scenario_Data!U175</f>
        <v>176.79999999999995</v>
      </c>
      <c r="R175">
        <f>2*(Scenario_Data!C175*1000)/Inputs!$C$21*1000000</f>
        <v>709.20970266703614</v>
      </c>
      <c r="S175">
        <f>Scenario_Data!V175</f>
        <v>353.59999999999991</v>
      </c>
      <c r="T175">
        <f>2*(Scenario_Data!D175*1000)/Inputs!$C$21*1000000</f>
        <v>1491.206693398537</v>
      </c>
      <c r="U175">
        <f>Scenario_Data!W175</f>
        <v>353.59999999999991</v>
      </c>
      <c r="V175">
        <f>2*(Scenario_Data!E175*1000)/Inputs!$C$21*1000000</f>
        <v>1437.5271575377651</v>
      </c>
      <c r="X175">
        <f>Scenario_Data!T175</f>
        <v>26.519999999999996</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2673.2031514414361</v>
      </c>
      <c r="Z175">
        <f>Scenario_Data!U175</f>
        <v>176.79999999999995</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709.4713880484527</v>
      </c>
      <c r="AB175">
        <f>Scenario_Data!V175</f>
        <v>353.59999999999991</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1491.0284044154114</v>
      </c>
      <c r="AD175">
        <f>Scenario_Data!W175</f>
        <v>353.59999999999991</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1437.3488685546395</v>
      </c>
      <c r="AG175">
        <f>Scenario_Data!T175</f>
        <v>26.519999999999996</v>
      </c>
      <c r="AH175">
        <f>2*(SQRT((Inputs!$C$52+(Scenario_Data!B175))^2+Inputs!$C$52^2-2*(Inputs!$C$52+(Scenario_Data!B175))*Inputs!$C$52*COS(SQRT((Scenario_Data!T175)^2+Inputs!$C$6^2)/Inputs!$C$52))*1000)/Inputs!$C$21*1000000</f>
        <v>2687.5836301386457</v>
      </c>
      <c r="AI175">
        <f>Scenario_Data!U175</f>
        <v>176.79999999999995</v>
      </c>
      <c r="AJ175">
        <f>2*(SQRT((Inputs!$C$52+(Scenario_Data!C175))^2+Inputs!$C$52^2-2*(Inputs!$C$52+(Scenario_Data!C175))*Inputs!$C$52*COS(SQRT((Scenario_Data!U175)^2+Inputs!$C$6^2)/Inputs!$C$52))*1000)/Inputs!$C$21*1000000</f>
        <v>1420.2010523856848</v>
      </c>
      <c r="AK175">
        <f>Scenario_Data!V175</f>
        <v>353.59999999999991</v>
      </c>
      <c r="AL175">
        <f>2*(SQRT((Inputs!$C$52+(Scenario_Data!D175))^2+Inputs!$C$52^2-2*(Inputs!$C$52+(Scenario_Data!D175))*Inputs!$C$52*COS(SQRT((Scenario_Data!V175)^2+Inputs!$C$6^2)/Inputs!$C$52))*1000)/Inputs!$C$21*1000000</f>
        <v>2930.8219568286472</v>
      </c>
      <c r="AM175">
        <f>Scenario_Data!W175</f>
        <v>353.59999999999991</v>
      </c>
      <c r="AN175">
        <f>2*(SQRT((Inputs!$C$52+(Scenario_Data!E175))^2+Inputs!$C$52^2-2*(Inputs!$C$52+(Scenario_Data!E175))*Inputs!$C$52*COS(SQRT((Scenario_Data!W175)^2+Inputs!$C$6^2)/Inputs!$C$52))*1000)/Inputs!$C$21*1000000</f>
        <v>2898.9303050244098</v>
      </c>
      <c r="AP175">
        <f>Scenario_Data!T175</f>
        <v>26.519999999999996</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2685.2021480085291</v>
      </c>
      <c r="AR175">
        <f>Scenario_Data!U175</f>
        <v>176.79999999999995</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1419.9573139350396</v>
      </c>
      <c r="AT175">
        <f>Scenario_Data!V175</f>
        <v>353.59999999999991</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2930.4635049360486</v>
      </c>
      <c r="AV175">
        <f>Scenario_Data!W175</f>
        <v>353.59999999999991</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2898.5839038762074</v>
      </c>
    </row>
    <row r="176" spans="1:49">
      <c r="A176">
        <f>Chart_Data!K176</f>
        <v>27</v>
      </c>
      <c r="B176">
        <f>Chart_Data!N176-Chart_Data!L176</f>
        <v>-66.744062865204342</v>
      </c>
      <c r="D176">
        <f>Chart_Data!G176</f>
        <v>27</v>
      </c>
      <c r="E176">
        <f>Chart_Data!H176</f>
        <v>346.22873286462408</v>
      </c>
      <c r="F176">
        <f>Chart_Data!I176</f>
        <v>346.22873286462408</v>
      </c>
      <c r="G176">
        <f>Chart_Data!J176</f>
        <v>64.454469680614793</v>
      </c>
      <c r="I176">
        <f>Scenario_Data!A176</f>
        <v>0.45</v>
      </c>
      <c r="J176">
        <f>Scenario_Data!H176-(((SQRT((Inputs!$C$52+(Inputs!$H$6))^2+Inputs!$C$52^2-2*(Inputs!$C$52+(Inputs!$H$6))*Inputs!$C$52*COS(SQRT((Scenario_Data!T176)^2+Inputs!$C$6^2)/Inputs!$C$52)))-(Inputs!$H$6))*1000/Inputs!$C$12)</f>
        <v>-1.9050240415085682</v>
      </c>
      <c r="K176">
        <f>Scenario_Data!I176-(((SQRT((Inputs!$C$52+(Inputs!$H$7))^2+Inputs!$C$52^2-2*(Inputs!$C$52+(Inputs!$H$7))*Inputs!$C$52*COS(SQRT((Scenario_Data!U176)^2+Inputs!$C$6^2)/Inputs!$C$52)))-(Inputs!$H$7))*1000/Inputs!$C$12)</f>
        <v>-24564.15831269131</v>
      </c>
      <c r="L176">
        <f>Scenario_Data!J176-(((SQRT((Inputs!$C$52+(Inputs!$H$8))^2+Inputs!$C$52^2-2*(Inputs!$C$52+(Inputs!$H$8))*Inputs!$C$52*COS(SQRT((Scenario_Data!V176)^2+Inputs!$C$6^2)/Inputs!$C$52)))-(Inputs!$H$8))*1000/Inputs!$C$12)</f>
        <v>-62845.334215087452</v>
      </c>
      <c r="M176">
        <f>Scenario_Data!K176-(((SQRT((Inputs!$C$52+(Inputs!$H$9))^2+Inputs!$C$52^2-2*(Inputs!$C$52+(Inputs!$H$9))*Inputs!$C$52*COS(SQRT((Scenario_Data!W176)^2+Inputs!$C$6^2)/Inputs!$C$52)))-(Inputs!$H$9))*1000/Inputs!$C$12)</f>
        <v>-65567.58378946672</v>
      </c>
      <c r="O176">
        <f>Scenario_Data!T176</f>
        <v>27</v>
      </c>
      <c r="P176">
        <f>2*(Scenario_Data!B176*1000)/Inputs!$C$21*1000000</f>
        <v>2673.9164999274262</v>
      </c>
      <c r="Q176">
        <f>Scenario_Data!U176</f>
        <v>180</v>
      </c>
      <c r="R176">
        <f>2*(Scenario_Data!C176*1000)/Inputs!$C$21*1000000</f>
        <v>726.58599036537476</v>
      </c>
      <c r="S176">
        <f>Scenario_Data!V176</f>
        <v>360</v>
      </c>
      <c r="T176">
        <f>2*(Scenario_Data!D176*1000)/Inputs!$C$21*1000000</f>
        <v>1537.1467416968844</v>
      </c>
      <c r="U176">
        <f>Scenario_Data!W176</f>
        <v>360</v>
      </c>
      <c r="V176">
        <f>2*(Scenario_Data!E176*1000)/Inputs!$C$21*1000000</f>
        <v>1483.943268512779</v>
      </c>
      <c r="X176">
        <f>Scenario_Data!T176</f>
        <v>27</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2673.4865059902168</v>
      </c>
      <c r="Z176">
        <f>Scenario_Data!U176</f>
        <v>180</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726.61604893984861</v>
      </c>
      <c r="AB176">
        <f>Scenario_Data!V176</f>
        <v>360</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1536.7947165438725</v>
      </c>
      <c r="AD176">
        <f>Scenario_Data!W176</f>
        <v>360</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1483.5912433597673</v>
      </c>
      <c r="AG176">
        <f>Scenario_Data!T176</f>
        <v>27</v>
      </c>
      <c r="AH176">
        <f>2*(SQRT((Inputs!$C$52+(Scenario_Data!B176))^2+Inputs!$C$52^2-2*(Inputs!$C$52+(Scenario_Data!B176))*Inputs!$C$52*COS(SQRT((Scenario_Data!T176)^2+Inputs!$C$6^2)/Inputs!$C$52))*1000)/Inputs!$C$21*1000000</f>
        <v>2688.0405488767533</v>
      </c>
      <c r="AI176">
        <f>Scenario_Data!U176</f>
        <v>180</v>
      </c>
      <c r="AJ176">
        <f>2*(SQRT((Inputs!$C$52+(Scenario_Data!C176))^2+Inputs!$C$52^2-2*(Inputs!$C$52+(Scenario_Data!C176))*Inputs!$C$52*COS(SQRT((Scenario_Data!U176)^2+Inputs!$C$6^2)/Inputs!$C$52))*1000)/Inputs!$C$21*1000000</f>
        <v>1448.6288953618625</v>
      </c>
      <c r="AK176">
        <f>Scenario_Data!V176</f>
        <v>360</v>
      </c>
      <c r="AL176">
        <f>2*(SQRT((Inputs!$C$52+(Scenario_Data!D176))^2+Inputs!$C$52^2-2*(Inputs!$C$52+(Scenario_Data!D176))*Inputs!$C$52*COS(SQRT((Scenario_Data!V176)^2+Inputs!$C$6^2)/Inputs!$C$52))*1000)/Inputs!$C$21*1000000</f>
        <v>2997.4387220817075</v>
      </c>
      <c r="AM176">
        <f>Scenario_Data!W176</f>
        <v>360</v>
      </c>
      <c r="AN176">
        <f>2*(SQRT((Inputs!$C$52+(Scenario_Data!E176))^2+Inputs!$C$52^2-2*(Inputs!$C$52+(Scenario_Data!E176))*Inputs!$C$52*COS(SQRT((Scenario_Data!W176)^2+Inputs!$C$6^2)/Inputs!$C$52))*1000)/Inputs!$C$21*1000000</f>
        <v>2965.5394356653028</v>
      </c>
      <c r="AP176">
        <f>Scenario_Data!T176</f>
        <v>27</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2685.7460339181407</v>
      </c>
      <c r="AR176">
        <f>Scenario_Data!U176</f>
        <v>180</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1448.2337315103855</v>
      </c>
      <c r="AT176">
        <f>Scenario_Data!V176</f>
        <v>360</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2997.0388676298153</v>
      </c>
      <c r="AV176">
        <f>Scenario_Data!W176</f>
        <v>360</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2965.1524552312057</v>
      </c>
    </row>
    <row r="177" spans="1:49">
      <c r="A177">
        <f>Chart_Data!K177</f>
        <v>27.5</v>
      </c>
      <c r="B177">
        <f>Chart_Data!N177-Chart_Data!L177</f>
        <v>-48.058872961976704</v>
      </c>
      <c r="D177">
        <f>Chart_Data!G177</f>
        <v>27.5</v>
      </c>
      <c r="E177">
        <f>Chart_Data!H177</f>
        <v>337.03514018583576</v>
      </c>
      <c r="F177">
        <f>Chart_Data!I177</f>
        <v>337.03514018583576</v>
      </c>
      <c r="G177">
        <f>Chart_Data!J177</f>
        <v>45.785881303759091</v>
      </c>
      <c r="I177">
        <f>Scenario_Data!A177</f>
        <v>0.45800000000000002</v>
      </c>
      <c r="J177">
        <f>Scenario_Data!H177-(((SQRT((Inputs!$C$52+(Inputs!$H$6))^2+Inputs!$C$52^2-2*(Inputs!$C$52+(Inputs!$H$6))*Inputs!$C$52*COS(SQRT((Scenario_Data!T177)^2+Inputs!$C$6^2)/Inputs!$C$52)))-(Inputs!$H$6))*1000/Inputs!$C$12)</f>
        <v>-2.0109937508048006</v>
      </c>
      <c r="K177">
        <f>Scenario_Data!I177-(((SQRT((Inputs!$C$52+(Inputs!$H$7))^2+Inputs!$C$52^2-2*(Inputs!$C$52+(Inputs!$H$7))*Inputs!$C$52*COS(SQRT((Scenario_Data!U177)^2+Inputs!$C$6^2)/Inputs!$C$52)))-(Inputs!$H$7))*1000/Inputs!$C$12)</f>
        <v>-25408.058195726262</v>
      </c>
      <c r="L177">
        <f>Scenario_Data!J177-(((SQRT((Inputs!$C$52+(Inputs!$H$8))^2+Inputs!$C$52^2-2*(Inputs!$C$52+(Inputs!$H$8))*Inputs!$C$52*COS(SQRT((Scenario_Data!V177)^2+Inputs!$C$6^2)/Inputs!$C$52)))-(Inputs!$H$8))*1000/Inputs!$C$12)</f>
        <v>-64700.628963954092</v>
      </c>
      <c r="M177">
        <f>Scenario_Data!K177-(((SQRT((Inputs!$C$52+(Inputs!$H$9))^2+Inputs!$C$52^2-2*(Inputs!$C$52+(Inputs!$H$9))*Inputs!$C$52*COS(SQRT((Scenario_Data!W177)^2+Inputs!$C$6^2)/Inputs!$C$52)))-(Inputs!$H$9))*1000/Inputs!$C$12)</f>
        <v>-67459.829123438802</v>
      </c>
      <c r="O177">
        <f>Scenario_Data!T177</f>
        <v>27.480000000000004</v>
      </c>
      <c r="P177">
        <f>2*(Scenario_Data!B177*1000)/Inputs!$C$21*1000000</f>
        <v>2674.1103406944285</v>
      </c>
      <c r="Q177">
        <f>Scenario_Data!U177</f>
        <v>183.19999999999993</v>
      </c>
      <c r="R177">
        <f>2*(Scenario_Data!C177*1000)/Inputs!$C$21*1000000</f>
        <v>744.2739603542658</v>
      </c>
      <c r="S177">
        <f>Scenario_Data!V177</f>
        <v>366.39999999999986</v>
      </c>
      <c r="T177">
        <f>2*(Scenario_Data!D177*1000)/Inputs!$C$21*1000000</f>
        <v>1583.9108267360073</v>
      </c>
      <c r="U177">
        <f>Scenario_Data!W177</f>
        <v>366.39999999999986</v>
      </c>
      <c r="V177">
        <f>2*(Scenario_Data!E177*1000)/Inputs!$C$21*1000000</f>
        <v>1531.1919554694059</v>
      </c>
      <c r="X177">
        <f>Scenario_Data!T177</f>
        <v>27.480000000000004</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2673.8136935452526</v>
      </c>
      <c r="Z177">
        <f>Scenario_Data!U177</f>
        <v>183.19999999999993</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743.92120409000484</v>
      </c>
      <c r="AB177">
        <f>Scenario_Data!V177</f>
        <v>366.39999999999986</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1583.2195430205654</v>
      </c>
      <c r="AD177">
        <f>Scenario_Data!W177</f>
        <v>366.39999999999986</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1530.5006717539641</v>
      </c>
      <c r="AG177">
        <f>Scenario_Data!T177</f>
        <v>27.480000000000004</v>
      </c>
      <c r="AH177">
        <f>2*(SQRT((Inputs!$C$52+(Scenario_Data!B177))^2+Inputs!$C$52^2-2*(Inputs!$C$52+(Scenario_Data!B177))*Inputs!$C$52*COS(SQRT((Scenario_Data!T177)^2+Inputs!$C$6^2)/Inputs!$C$52))*1000)/Inputs!$C$21*1000000</f>
        <v>2688.505605067754</v>
      </c>
      <c r="AI177">
        <f>Scenario_Data!U177</f>
        <v>183.19999999999993</v>
      </c>
      <c r="AJ177">
        <f>2*(SQRT((Inputs!$C$52+(Scenario_Data!C177))^2+Inputs!$C$52^2-2*(Inputs!$C$52+(Scenario_Data!C177))*Inputs!$C$52*COS(SQRT((Scenario_Data!U177)^2+Inputs!$C$6^2)/Inputs!$C$52))*1000)/Inputs!$C$21*1000000</f>
        <v>1477.272095393459</v>
      </c>
      <c r="AK177">
        <f>Scenario_Data!V177</f>
        <v>366.39999999999986</v>
      </c>
      <c r="AL177">
        <f>2*(SQRT((Inputs!$C$52+(Scenario_Data!D177))^2+Inputs!$C$52^2-2*(Inputs!$C$52+(Scenario_Data!D177))*Inputs!$C$52*COS(SQRT((Scenario_Data!V177)^2+Inputs!$C$6^2)/Inputs!$C$52))*1000)/Inputs!$C$21*1000000</f>
        <v>3064.7562292393281</v>
      </c>
      <c r="AM177">
        <f>Scenario_Data!W177</f>
        <v>366.39999999999986</v>
      </c>
      <c r="AN177">
        <f>2*(SQRT((Inputs!$C$52+(Scenario_Data!E177))^2+Inputs!$C$52^2-2*(Inputs!$C$52+(Scenario_Data!E177))*Inputs!$C$52*COS(SQRT((Scenario_Data!W177)^2+Inputs!$C$6^2)/Inputs!$C$52))*1000)/Inputs!$C$21*1000000</f>
        <v>3032.8623798858607</v>
      </c>
      <c r="AP177">
        <f>Scenario_Data!T177</f>
        <v>27.480000000000004</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2686.2420281089157</v>
      </c>
      <c r="AR177">
        <f>Scenario_Data!U177</f>
        <v>183.19999999999993</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1476.6661603886619</v>
      </c>
      <c r="AT177">
        <f>Scenario_Data!V177</f>
        <v>366.39999999999986</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3064.1595178111925</v>
      </c>
      <c r="AV177">
        <f>Scenario_Data!W177</f>
        <v>366.39999999999986</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3032.2840730905732</v>
      </c>
    </row>
    <row r="178" spans="1:49">
      <c r="A178">
        <f>Chart_Data!K178</f>
        <v>28</v>
      </c>
      <c r="B178">
        <f>Chart_Data!N178-Chart_Data!L178</f>
        <v>-61.091364247969608</v>
      </c>
      <c r="D178">
        <f>Chart_Data!G178</f>
        <v>28</v>
      </c>
      <c r="E178">
        <f>Chart_Data!H178</f>
        <v>312.18369818898617</v>
      </c>
      <c r="F178">
        <f>Chart_Data!I178</f>
        <v>312.18369818898617</v>
      </c>
      <c r="G178">
        <f>Chart_Data!J178</f>
        <v>58.944391773626705</v>
      </c>
      <c r="I178">
        <f>Scenario_Data!A178</f>
        <v>0.46700000000000003</v>
      </c>
      <c r="J178">
        <f>Scenario_Data!H178-(((SQRT((Inputs!$C$52+(Inputs!$H$6))^2+Inputs!$C$52^2-2*(Inputs!$C$52+(Inputs!$H$6))*Inputs!$C$52*COS(SQRT((Scenario_Data!T178)^2+Inputs!$C$6^2)/Inputs!$C$52)))-(Inputs!$H$6))*1000/Inputs!$C$12)</f>
        <v>-2.13562408544135</v>
      </c>
      <c r="K178">
        <f>Scenario_Data!I178-(((SQRT((Inputs!$C$52+(Inputs!$H$7))^2+Inputs!$C$52^2-2*(Inputs!$C$52+(Inputs!$H$7))*Inputs!$C$52*COS(SQRT((Scenario_Data!U178)^2+Inputs!$C$6^2)/Inputs!$C$52)))-(Inputs!$H$7))*1000/Inputs!$C$12)</f>
        <v>-26368.734852925336</v>
      </c>
      <c r="L178">
        <f>Scenario_Data!J178-(((SQRT((Inputs!$C$52+(Inputs!$H$8))^2+Inputs!$C$52^2-2*(Inputs!$C$52+(Inputs!$H$8))*Inputs!$C$52*COS(SQRT((Scenario_Data!V178)^2+Inputs!$C$6^2)/Inputs!$C$52)))-(Inputs!$H$8))*1000/Inputs!$C$12)</f>
        <v>-66799.530021092098</v>
      </c>
      <c r="M178">
        <f>Scenario_Data!K178-(((SQRT((Inputs!$C$52+(Inputs!$H$9))^2+Inputs!$C$52^2-2*(Inputs!$C$52+(Inputs!$H$9))*Inputs!$C$52*COS(SQRT((Scenario_Data!W178)^2+Inputs!$C$6^2)/Inputs!$C$52)))-(Inputs!$H$9))*1000/Inputs!$C$12)</f>
        <v>-69599.510532789413</v>
      </c>
      <c r="O178">
        <f>Scenario_Data!T178</f>
        <v>28.02000000000001</v>
      </c>
      <c r="P178">
        <f>2*(Scenario_Data!B178*1000)/Inputs!$C$21*1000000</f>
        <v>2674.3324943818302</v>
      </c>
      <c r="Q178">
        <f>Scenario_Data!U178</f>
        <v>186.80000000000007</v>
      </c>
      <c r="R178">
        <f>2*(Scenario_Data!C178*1000)/Inputs!$C$21*1000000</f>
        <v>764.54548432969614</v>
      </c>
      <c r="S178">
        <f>Scenario_Data!V178</f>
        <v>373.60000000000014</v>
      </c>
      <c r="T178">
        <f>2*(Scenario_Data!D178*1000)/Inputs!$C$21*1000000</f>
        <v>1637.5054038217343</v>
      </c>
      <c r="U178">
        <f>Scenario_Data!W178</f>
        <v>373.60000000000014</v>
      </c>
      <c r="V178">
        <f>2*(Scenario_Data!E178*1000)/Inputs!$C$21*1000000</f>
        <v>1585.3419167736381</v>
      </c>
      <c r="X178">
        <f>Scenario_Data!T178</f>
        <v>28.02000000000001</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2674.0089909749609</v>
      </c>
      <c r="Z178">
        <f>Scenario_Data!U178</f>
        <v>186.80000000000007</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764.47980667523132</v>
      </c>
      <c r="AB178">
        <f>Scenario_Data!V178</f>
        <v>373.60000000000014</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1637.3411182670352</v>
      </c>
      <c r="AD178">
        <f>Scenario_Data!W178</f>
        <v>373.60000000000014</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1585.1776312189386</v>
      </c>
      <c r="AG178">
        <f>Scenario_Data!T178</f>
        <v>28.02000000000001</v>
      </c>
      <c r="AH178">
        <f>2*(SQRT((Inputs!$C$52+(Scenario_Data!B178))^2+Inputs!$C$52^2-2*(Inputs!$C$52+(Scenario_Data!B178))*Inputs!$C$52*COS(SQRT((Scenario_Data!T178)^2+Inputs!$C$6^2)/Inputs!$C$52))*1000)/Inputs!$C$21*1000000</f>
        <v>2689.038516240782</v>
      </c>
      <c r="AI178">
        <f>Scenario_Data!U178</f>
        <v>186.80000000000007</v>
      </c>
      <c r="AJ178">
        <f>2*(SQRT((Inputs!$C$52+(Scenario_Data!C178))^2+Inputs!$C$52^2-2*(Inputs!$C$52+(Scenario_Data!C178))*Inputs!$C$52*COS(SQRT((Scenario_Data!U178)^2+Inputs!$C$6^2)/Inputs!$C$52))*1000)/Inputs!$C$21*1000000</f>
        <v>1509.7552162254726</v>
      </c>
      <c r="AK178">
        <f>Scenario_Data!V178</f>
        <v>373.60000000000014</v>
      </c>
      <c r="AL178">
        <f>2*(SQRT((Inputs!$C$52+(Scenario_Data!D178))^2+Inputs!$C$52^2-2*(Inputs!$C$52+(Scenario_Data!D178))*Inputs!$C$52*COS(SQRT((Scenario_Data!V178)^2+Inputs!$C$6^2)/Inputs!$C$52))*1000)/Inputs!$C$21*1000000</f>
        <v>3141.3341110240226</v>
      </c>
      <c r="AM178">
        <f>Scenario_Data!W178</f>
        <v>373.60000000000014</v>
      </c>
      <c r="AN178">
        <f>2*(SQRT((Inputs!$C$52+(Scenario_Data!E178))^2+Inputs!$C$52^2-2*(Inputs!$C$52+(Scenario_Data!E178))*Inputs!$C$52*COS(SQRT((Scenario_Data!W178)^2+Inputs!$C$6^2)/Inputs!$C$52))*1000)/Inputs!$C$21*1000000</f>
        <v>3109.4621922008068</v>
      </c>
      <c r="AP178">
        <f>Scenario_Data!T178</f>
        <v>28.02000000000001</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2686.848274404113</v>
      </c>
      <c r="AR178">
        <f>Scenario_Data!U178</f>
        <v>186.80000000000007</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1509.2529786221271</v>
      </c>
      <c r="AT178">
        <f>Scenario_Data!V178</f>
        <v>373.60000000000014</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3141.0226701663896</v>
      </c>
      <c r="AV178">
        <f>Scenario_Data!W178</f>
        <v>373.60000000000014</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3109.1598983076765</v>
      </c>
    </row>
    <row r="179" spans="1:49">
      <c r="A179">
        <f>Chart_Data!K179</f>
        <v>28.5</v>
      </c>
      <c r="B179">
        <f>Chart_Data!N179-Chart_Data!L179</f>
        <v>-55.904413669962196</v>
      </c>
      <c r="D179">
        <f>Chart_Data!G179</f>
        <v>28.5</v>
      </c>
      <c r="E179">
        <f>Chart_Data!H179</f>
        <v>310.46598665119308</v>
      </c>
      <c r="F179">
        <f>Chart_Data!I179</f>
        <v>310.46598665119308</v>
      </c>
      <c r="G179">
        <f>Chart_Data!J179</f>
        <v>53.727058514925652</v>
      </c>
      <c r="I179">
        <f>Scenario_Data!A179</f>
        <v>0.47499999999999998</v>
      </c>
      <c r="J179">
        <f>Scenario_Data!H179-(((SQRT((Inputs!$C$52+(Inputs!$H$6))^2+Inputs!$C$52^2-2*(Inputs!$C$52+(Inputs!$H$6))*Inputs!$C$52*COS(SQRT((Scenario_Data!T179)^2+Inputs!$C$6^2)/Inputs!$C$52)))-(Inputs!$H$6))*1000/Inputs!$C$12)</f>
        <v>-2.2513714361657549</v>
      </c>
      <c r="K179">
        <f>Scenario_Data!I179-(((SQRT((Inputs!$C$52+(Inputs!$H$7))^2+Inputs!$C$52^2-2*(Inputs!$C$52+(Inputs!$H$7))*Inputs!$C$52*COS(SQRT((Scenario_Data!U179)^2+Inputs!$C$6^2)/Inputs!$C$52)))-(Inputs!$H$7))*1000/Inputs!$C$12)</f>
        <v>-27232.458450313294</v>
      </c>
      <c r="L179">
        <f>Scenario_Data!J179-(((SQRT((Inputs!$C$52+(Inputs!$H$8))^2+Inputs!$C$52^2-2*(Inputs!$C$52+(Inputs!$H$8))*Inputs!$C$52*COS(SQRT((Scenario_Data!V179)^2+Inputs!$C$6^2)/Inputs!$C$52)))-(Inputs!$H$8))*1000/Inputs!$C$12)</f>
        <v>-68674.960061513659</v>
      </c>
      <c r="M179">
        <f>Scenario_Data!K179-(((SQRT((Inputs!$C$52+(Inputs!$H$9))^2+Inputs!$C$52^2-2*(Inputs!$C$52+(Inputs!$H$9))*Inputs!$C$52*COS(SQRT((Scenario_Data!W179)^2+Inputs!$C$6^2)/Inputs!$C$52)))-(Inputs!$H$9))*1000/Inputs!$C$12)</f>
        <v>-71510.490507051625</v>
      </c>
      <c r="O179">
        <f>Scenario_Data!T179</f>
        <v>28.5</v>
      </c>
      <c r="P179">
        <f>2*(Scenario_Data!B179*1000)/Inputs!$C$21*1000000</f>
        <v>2674.5335935035428</v>
      </c>
      <c r="Q179">
        <f>Scenario_Data!U179</f>
        <v>190</v>
      </c>
      <c r="R179">
        <f>2*(Scenario_Data!C179*1000)/Inputs!$C$21*1000000</f>
        <v>782.89577918601265</v>
      </c>
      <c r="S179">
        <f>Scenario_Data!V179</f>
        <v>380</v>
      </c>
      <c r="T179">
        <f>2*(Scenario_Data!D179*1000)/Inputs!$C$21*1000000</f>
        <v>1686.0205669350094</v>
      </c>
      <c r="U179">
        <f>Scenario_Data!W179</f>
        <v>380</v>
      </c>
      <c r="V179">
        <f>2*(Scenario_Data!E179*1000)/Inputs!$C$21*1000000</f>
        <v>1634.3598276911957</v>
      </c>
      <c r="X179">
        <f>Scenario_Data!T179</f>
        <v>28.5</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2674.1751651503191</v>
      </c>
      <c r="Z179">
        <f>Scenario_Data!U179</f>
        <v>190</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783.32681314868614</v>
      </c>
      <c r="AB179">
        <f>Scenario_Data!V179</f>
        <v>380</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1685.5394953979162</v>
      </c>
      <c r="AD179">
        <f>Scenario_Data!W179</f>
        <v>380</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1633.8787561541026</v>
      </c>
      <c r="AG179">
        <f>Scenario_Data!T179</f>
        <v>28.5</v>
      </c>
      <c r="AH179">
        <f>2*(SQRT((Inputs!$C$52+(Scenario_Data!B179))^2+Inputs!$C$52^2-2*(Inputs!$C$52+(Scenario_Data!B179))*Inputs!$C$52*COS(SQRT((Scenario_Data!T179)^2+Inputs!$C$6^2)/Inputs!$C$52))*1000)/Inputs!$C$21*1000000</f>
        <v>2689.520854217586</v>
      </c>
      <c r="AI179">
        <f>Scenario_Data!U179</f>
        <v>190</v>
      </c>
      <c r="AJ179">
        <f>2*(SQRT((Inputs!$C$52+(Scenario_Data!C179))^2+Inputs!$C$52^2-2*(Inputs!$C$52+(Scenario_Data!C179))*Inputs!$C$52*COS(SQRT((Scenario_Data!U179)^2+Inputs!$C$6^2)/Inputs!$C$52))*1000)/Inputs!$C$21*1000000</f>
        <v>1538.8616802693725</v>
      </c>
      <c r="AK179">
        <f>Scenario_Data!V179</f>
        <v>380</v>
      </c>
      <c r="AL179">
        <f>2*(SQRT((Inputs!$C$52+(Scenario_Data!D179))^2+Inputs!$C$52^2-2*(Inputs!$C$52+(Scenario_Data!D179))*Inputs!$C$52*COS(SQRT((Scenario_Data!V179)^2+Inputs!$C$6^2)/Inputs!$C$52))*1000)/Inputs!$C$21*1000000</f>
        <v>3210.1620844044405</v>
      </c>
      <c r="AM179">
        <f>Scenario_Data!W179</f>
        <v>380</v>
      </c>
      <c r="AN179">
        <f>2*(SQRT((Inputs!$C$52+(Scenario_Data!E179))^2+Inputs!$C$52^2-2*(Inputs!$C$52+(Scenario_Data!E179))*Inputs!$C$52*COS(SQRT((Scenario_Data!W179)^2+Inputs!$C$6^2)/Inputs!$C$52))*1000)/Inputs!$C$21*1000000</f>
        <v>3178.3238656808849</v>
      </c>
      <c r="AP179">
        <f>Scenario_Data!T179</f>
        <v>28.5</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2687.4641738490877</v>
      </c>
      <c r="AR179">
        <f>Scenario_Data!U179</f>
        <v>190</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1538.4831289843698</v>
      </c>
      <c r="AT179">
        <f>Scenario_Data!V179</f>
        <v>380</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3209.6363774109341</v>
      </c>
      <c r="AV179">
        <f>Scenario_Data!W179</f>
        <v>380</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3177.812951422256</v>
      </c>
    </row>
    <row r="180" spans="1:49">
      <c r="A180">
        <f>Chart_Data!K180</f>
        <v>29</v>
      </c>
      <c r="B180">
        <f>Chart_Data!N180-Chart_Data!L180</f>
        <v>-31.39290658082129</v>
      </c>
      <c r="D180">
        <f>Chart_Data!G180</f>
        <v>29</v>
      </c>
      <c r="E180">
        <f>Chart_Data!H180</f>
        <v>283.98171018669603</v>
      </c>
      <c r="F180">
        <f>Chart_Data!I180</f>
        <v>283.98171018669603</v>
      </c>
      <c r="G180">
        <f>Chart_Data!J180</f>
        <v>29.3621575955436</v>
      </c>
      <c r="I180">
        <f>Scenario_Data!A180</f>
        <v>0.48299999999999998</v>
      </c>
      <c r="J180">
        <f>Scenario_Data!H180-(((SQRT((Inputs!$C$52+(Inputs!$H$6))^2+Inputs!$C$52^2-2*(Inputs!$C$52+(Inputs!$H$6))*Inputs!$C$52*COS(SQRT((Scenario_Data!T180)^2+Inputs!$C$6^2)/Inputs!$C$52)))-(Inputs!$H$6))*1000/Inputs!$C$12)</f>
        <v>-2.3719370163648819</v>
      </c>
      <c r="K180">
        <f>Scenario_Data!I180-(((SQRT((Inputs!$C$52+(Inputs!$H$7))^2+Inputs!$C$52^2-2*(Inputs!$C$52+(Inputs!$H$7))*Inputs!$C$52*COS(SQRT((Scenario_Data!U180)^2+Inputs!$C$6^2)/Inputs!$C$52)))-(Inputs!$H$7))*1000/Inputs!$C$12)</f>
        <v>-28105.166881475925</v>
      </c>
      <c r="L180">
        <f>Scenario_Data!J180-(((SQRT((Inputs!$C$52+(Inputs!$H$8))^2+Inputs!$C$52^2-2*(Inputs!$C$52+(Inputs!$H$8))*Inputs!$C$52*COS(SQRT((Scenario_Data!V180)^2+Inputs!$C$6^2)/Inputs!$C$52)))-(Inputs!$H$8))*1000/Inputs!$C$12)</f>
        <v>-70558.956545294859</v>
      </c>
      <c r="M180">
        <f>Scenario_Data!K180-(((SQRT((Inputs!$C$52+(Inputs!$H$9))^2+Inputs!$C$52^2-2*(Inputs!$C$52+(Inputs!$H$9))*Inputs!$C$52*COS(SQRT((Scenario_Data!W180)^2+Inputs!$C$6^2)/Inputs!$C$52)))-(Inputs!$H$9))*1000/Inputs!$C$12)</f>
        <v>-73429.381226253347</v>
      </c>
      <c r="O180">
        <f>Scenario_Data!T180</f>
        <v>28.980000000000004</v>
      </c>
      <c r="P180">
        <f>2*(Scenario_Data!B180*1000)/Inputs!$C$21*1000000</f>
        <v>2674.738108321591</v>
      </c>
      <c r="Q180">
        <f>Scenario_Data!U180</f>
        <v>193.20000000000005</v>
      </c>
      <c r="R180">
        <f>2*(Scenario_Data!C180*1000)/Inputs!$C$21*1000000</f>
        <v>801.55775633288295</v>
      </c>
      <c r="S180">
        <f>Scenario_Data!V180</f>
        <v>386.40000000000009</v>
      </c>
      <c r="T180">
        <f>2*(Scenario_Data!D180*1000)/Inputs!$C$21*1000000</f>
        <v>1735.3597667890638</v>
      </c>
      <c r="U180">
        <f>Scenario_Data!W180</f>
        <v>386.40000000000009</v>
      </c>
      <c r="V180">
        <f>2*(Scenario_Data!E180*1000)/Inputs!$C$21*1000000</f>
        <v>1684.2103145903695</v>
      </c>
      <c r="X180">
        <f>Scenario_Data!T180</f>
        <v>28.980000000000004</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2674.4235115684287</v>
      </c>
      <c r="Z180">
        <f>Scenario_Data!U180</f>
        <v>193.20000000000005</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801.84648320075621</v>
      </c>
      <c r="AB180">
        <f>Scenario_Data!V180</f>
        <v>386.40000000000009</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1735.101566695354</v>
      </c>
      <c r="AD180">
        <f>Scenario_Data!W180</f>
        <v>386.40000000000009</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1683.9521144966598</v>
      </c>
      <c r="AG180">
        <f>Scenario_Data!T180</f>
        <v>28.980000000000004</v>
      </c>
      <c r="AH180">
        <f>2*(SQRT((Inputs!$C$52+(Scenario_Data!B180))^2+Inputs!$C$52^2-2*(Inputs!$C$52+(Scenario_Data!B180))*Inputs!$C$52*COS(SQRT((Scenario_Data!T180)^2+Inputs!$C$6^2)/Inputs!$C$52))*1000)/Inputs!$C$21*1000000</f>
        <v>2690.0113198410036</v>
      </c>
      <c r="AI180">
        <f>Scenario_Data!U180</f>
        <v>193.20000000000005</v>
      </c>
      <c r="AJ180">
        <f>2*(SQRT((Inputs!$C$52+(Scenario_Data!C180))^2+Inputs!$C$52^2-2*(Inputs!$C$52+(Scenario_Data!C180))*Inputs!$C$52*COS(SQRT((Scenario_Data!U180)^2+Inputs!$C$6^2)/Inputs!$C$52))*1000)/Inputs!$C$21*1000000</f>
        <v>1568.1888433957661</v>
      </c>
      <c r="AK180">
        <f>Scenario_Data!V180</f>
        <v>386.40000000000009</v>
      </c>
      <c r="AL180">
        <f>2*(SQRT((Inputs!$C$52+(Scenario_Data!D180))^2+Inputs!$C$52^2-2*(Inputs!$C$52+(Scenario_Data!D180))*Inputs!$C$52*COS(SQRT((Scenario_Data!V180)^2+Inputs!$C$6^2)/Inputs!$C$52))*1000)/Inputs!$C$21*1000000</f>
        <v>3279.710632319749</v>
      </c>
      <c r="AM180">
        <f>Scenario_Data!W180</f>
        <v>386.40000000000009</v>
      </c>
      <c r="AN180">
        <f>2*(SQRT((Inputs!$C$52+(Scenario_Data!E180))^2+Inputs!$C$52^2-2*(Inputs!$C$52+(Scenario_Data!E180))*Inputs!$C$52*COS(SQRT((Scenario_Data!W180)^2+Inputs!$C$6^2)/Inputs!$C$52))*1000)/Inputs!$C$21*1000000</f>
        <v>3247.91960889348</v>
      </c>
      <c r="AP180">
        <f>Scenario_Data!T180</f>
        <v>28.980000000000004</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2688.1876250722621</v>
      </c>
      <c r="AR180">
        <f>Scenario_Data!U180</f>
        <v>193.20000000000005</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1567.9590204754618</v>
      </c>
      <c r="AT180">
        <f>Scenario_Data!V180</f>
        <v>386.40000000000009</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3279.2329425589828</v>
      </c>
      <c r="AV180">
        <f>Scenario_Data!W180</f>
        <v>386.40000000000009</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3247.4547932261544</v>
      </c>
    </row>
    <row r="181" spans="1:49">
      <c r="A181">
        <f>Chart_Data!K181</f>
        <v>29.5</v>
      </c>
      <c r="B181">
        <f>Chart_Data!N181-Chart_Data!L181</f>
        <v>-22.367241319432367</v>
      </c>
      <c r="D181">
        <f>Chart_Data!G181</f>
        <v>29.5</v>
      </c>
      <c r="E181">
        <f>Chart_Data!H181</f>
        <v>263.5246591496981</v>
      </c>
      <c r="F181">
        <f>Chart_Data!I181</f>
        <v>263.5246591496981</v>
      </c>
      <c r="G181">
        <f>Chart_Data!J181</f>
        <v>20.445829988997222</v>
      </c>
      <c r="I181">
        <f>Scenario_Data!A181</f>
        <v>0.49199999999999999</v>
      </c>
      <c r="J181">
        <f>Scenario_Data!H181-(((SQRT((Inputs!$C$52+(Inputs!$H$6))^2+Inputs!$C$52^2-2*(Inputs!$C$52+(Inputs!$H$6))*Inputs!$C$52*COS(SQRT((Scenario_Data!T181)^2+Inputs!$C$6^2)/Inputs!$C$52)))-(Inputs!$H$6))*1000/Inputs!$C$12)</f>
        <v>-2.5135093403541759</v>
      </c>
      <c r="K181">
        <f>Scenario_Data!I181-(((SQRT((Inputs!$C$52+(Inputs!$H$7))^2+Inputs!$C$52^2-2*(Inputs!$C$52+(Inputs!$H$7))*Inputs!$C$52*COS(SQRT((Scenario_Data!U181)^2+Inputs!$C$6^2)/Inputs!$C$52)))-(Inputs!$H$7))*1000/Inputs!$C$12)</f>
        <v>-29097.435135520704</v>
      </c>
      <c r="L181">
        <f>Scenario_Data!J181-(((SQRT((Inputs!$C$52+(Inputs!$H$8))^2+Inputs!$C$52^2-2*(Inputs!$C$52+(Inputs!$H$8))*Inputs!$C$52*COS(SQRT((Scenario_Data!V181)^2+Inputs!$C$6^2)/Inputs!$C$52)))-(Inputs!$H$8))*1000/Inputs!$C$12)</f>
        <v>-72687.992783106223</v>
      </c>
      <c r="M181">
        <f>Scenario_Data!K181-(((SQRT((Inputs!$C$52+(Inputs!$H$9))^2+Inputs!$C$52^2-2*(Inputs!$C$52+(Inputs!$H$9))*Inputs!$C$52*COS(SQRT((Scenario_Data!W181)^2+Inputs!$C$6^2)/Inputs!$C$52)))-(Inputs!$H$9))*1000/Inputs!$C$12)</f>
        <v>-75596.893145963986</v>
      </c>
      <c r="O181">
        <f>Scenario_Data!T181</f>
        <v>29.519999999999996</v>
      </c>
      <c r="P181">
        <f>2*(Scenario_Data!B181*1000)/Inputs!$C$21*1000000</f>
        <v>2674.9722703164202</v>
      </c>
      <c r="Q181">
        <f>Scenario_Data!U181</f>
        <v>196.79999999999995</v>
      </c>
      <c r="R181">
        <f>2*(Scenario_Data!C181*1000)/Inputs!$C$21*1000000</f>
        <v>822.92503836103822</v>
      </c>
      <c r="S181">
        <f>Scenario_Data!V181</f>
        <v>393.59999999999991</v>
      </c>
      <c r="T181">
        <f>2*(Scenario_Data!D181*1000)/Inputs!$C$21*1000000</f>
        <v>1791.8513480415836</v>
      </c>
      <c r="U181">
        <f>Scenario_Data!W181</f>
        <v>393.59999999999991</v>
      </c>
      <c r="V181">
        <f>2*(Scenario_Data!E181*1000)/Inputs!$C$21*1000000</f>
        <v>1741.2873008299623</v>
      </c>
      <c r="X181">
        <f>Scenario_Data!T181</f>
        <v>29.519999999999996</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2674.8583207942811</v>
      </c>
      <c r="Z181">
        <f>Scenario_Data!U181</f>
        <v>196.79999999999995</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822.96730769889598</v>
      </c>
      <c r="AB181">
        <f>Scenario_Data!V181</f>
        <v>393.59999999999991</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1791.9512689962028</v>
      </c>
      <c r="AD181">
        <f>Scenario_Data!W181</f>
        <v>393.59999999999991</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1741.3872217845812</v>
      </c>
      <c r="AG181">
        <f>Scenario_Data!T181</f>
        <v>29.519999999999996</v>
      </c>
      <c r="AH181">
        <f>2*(SQRT((Inputs!$C$52+(Scenario_Data!B181))^2+Inputs!$C$52^2-2*(Inputs!$C$52+(Scenario_Data!B181))*Inputs!$C$52*COS(SQRT((Scenario_Data!T181)^2+Inputs!$C$6^2)/Inputs!$C$52))*1000)/Inputs!$C$21*1000000</f>
        <v>2690.5728047037751</v>
      </c>
      <c r="AI181">
        <f>Scenario_Data!U181</f>
        <v>196.79999999999995</v>
      </c>
      <c r="AJ181">
        <f>2*(SQRT((Inputs!$C$52+(Scenario_Data!C181))^2+Inputs!$C$52^2-2*(Inputs!$C$52+(Scenario_Data!C181))*Inputs!$C$52*COS(SQRT((Scenario_Data!U181)^2+Inputs!$C$6^2)/Inputs!$C$52))*1000)/Inputs!$C$21*1000000</f>
        <v>1601.4478772869256</v>
      </c>
      <c r="AK181">
        <f>Scenario_Data!V181</f>
        <v>393.59999999999991</v>
      </c>
      <c r="AL181">
        <f>2*(SQRT((Inputs!$C$52+(Scenario_Data!D181))^2+Inputs!$C$52^2-2*(Inputs!$C$52+(Scenario_Data!D181))*Inputs!$C$52*COS(SQRT((Scenario_Data!V181)^2+Inputs!$C$6^2)/Inputs!$C$52))*1000)/Inputs!$C$21*1000000</f>
        <v>3358.8216005216295</v>
      </c>
      <c r="AM181">
        <f>Scenario_Data!W181</f>
        <v>393.59999999999991</v>
      </c>
      <c r="AN181">
        <f>2*(SQRT((Inputs!$C$52+(Scenario_Data!E181))^2+Inputs!$C$52^2-2*(Inputs!$C$52+(Scenario_Data!E181))*Inputs!$C$52*COS(SQRT((Scenario_Data!W181)^2+Inputs!$C$6^2)/Inputs!$C$52))*1000)/Inputs!$C$21*1000000</f>
        <v>3327.0999332019915</v>
      </c>
      <c r="AP181">
        <f>Scenario_Data!T181</f>
        <v>29.519999999999996</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2688.7222176431492</v>
      </c>
      <c r="AR181">
        <f>Scenario_Data!U181</f>
        <v>196.79999999999995</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1601.1205159498156</v>
      </c>
      <c r="AT181">
        <f>Scenario_Data!V181</f>
        <v>393.59999999999991</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3358.5960476551613</v>
      </c>
      <c r="AV181">
        <f>Scenario_Data!W181</f>
        <v>393.59999999999991</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3326.8801699923215</v>
      </c>
    </row>
    <row r="182" spans="1:49">
      <c r="A182">
        <f>Chart_Data!K182</f>
        <v>30</v>
      </c>
      <c r="B182">
        <f>Chart_Data!N182-Chart_Data!L182</f>
        <v>-13.799924431809131</v>
      </c>
      <c r="D182">
        <f>Chart_Data!G182</f>
        <v>30</v>
      </c>
      <c r="E182">
        <f>Chart_Data!H182</f>
        <v>258.38103540276461</v>
      </c>
      <c r="F182">
        <f>Chart_Data!I182</f>
        <v>258.38103540276461</v>
      </c>
      <c r="G182">
        <f>Chart_Data!J182</f>
        <v>11.879118514207924</v>
      </c>
      <c r="I182">
        <f>Scenario_Data!A182</f>
        <v>0.5</v>
      </c>
      <c r="J182">
        <f>Scenario_Data!H182-(((SQRT((Inputs!$C$52+(Inputs!$H$6))^2+Inputs!$C$52^2-2*(Inputs!$C$52+(Inputs!$H$6))*Inputs!$C$52*COS(SQRT((Scenario_Data!T182)^2+Inputs!$C$6^2)/Inputs!$C$52)))-(Inputs!$H$6))*1000/Inputs!$C$12)</f>
        <v>-2.6447875068229223</v>
      </c>
      <c r="K182">
        <f>Scenario_Data!I182-(((SQRT((Inputs!$C$52+(Inputs!$H$7))^2+Inputs!$C$52^2-2*(Inputs!$C$52+(Inputs!$H$7))*Inputs!$C$52*COS(SQRT((Scenario_Data!U182)^2+Inputs!$C$6^2)/Inputs!$C$52)))-(Inputs!$H$7))*1000/Inputs!$C$12)</f>
        <v>-29988.524239953986</v>
      </c>
      <c r="L182">
        <f>Scenario_Data!J182-(((SQRT((Inputs!$C$52+(Inputs!$H$8))^2+Inputs!$C$52^2-2*(Inputs!$C$52+(Inputs!$H$8))*Inputs!$C$52*COS(SQRT((Scenario_Data!V182)^2+Inputs!$C$6^2)/Inputs!$C$52)))-(Inputs!$H$8))*1000/Inputs!$C$12)</f>
        <v>-74588.343833805033</v>
      </c>
      <c r="M182">
        <f>Scenario_Data!K182-(((SQRT((Inputs!$C$52+(Inputs!$H$9))^2+Inputs!$C$52^2-2*(Inputs!$C$52+(Inputs!$H$9))*Inputs!$C$52*COS(SQRT((Scenario_Data!W182)^2+Inputs!$C$6^2)/Inputs!$C$52)))-(Inputs!$H$9))*1000/Inputs!$C$12)</f>
        <v>-77530.754646811518</v>
      </c>
      <c r="O182">
        <f>Scenario_Data!T182</f>
        <v>30</v>
      </c>
      <c r="P182">
        <f>2*(Scenario_Data!B182*1000)/Inputs!$C$21*1000000</f>
        <v>2675.1840434891792</v>
      </c>
      <c r="Q182">
        <f>Scenario_Data!U182</f>
        <v>200</v>
      </c>
      <c r="R182">
        <f>2*(Scenario_Data!C182*1000)/Inputs!$C$21*1000000</f>
        <v>842.24934037533387</v>
      </c>
      <c r="S182">
        <f>Scenario_Data!V182</f>
        <v>400</v>
      </c>
      <c r="T182">
        <f>2*(Scenario_Data!D182*1000)/Inputs!$C$21*1000000</f>
        <v>1842.9416259697903</v>
      </c>
      <c r="U182">
        <f>Scenario_Data!W182</f>
        <v>400</v>
      </c>
      <c r="V182">
        <f>2*(Scenario_Data!E182*1000)/Inputs!$C$21*1000000</f>
        <v>1792.9070116900673</v>
      </c>
      <c r="X182">
        <f>Scenario_Data!T182</f>
        <v>30</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2675.1047945408004</v>
      </c>
      <c r="Z182">
        <f>Scenario_Data!U182</f>
        <v>200</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842.2172398529525</v>
      </c>
      <c r="AB182">
        <f>Scenario_Data!V182</f>
        <v>400</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1842.779486102344</v>
      </c>
      <c r="AD182">
        <f>Scenario_Data!W182</f>
        <v>400</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1792.7448718226212</v>
      </c>
      <c r="AG182">
        <f>Scenario_Data!T182</f>
        <v>30</v>
      </c>
      <c r="AH182">
        <f>2*(SQRT((Inputs!$C$52+(Scenario_Data!B182))^2+Inputs!$C$52^2-2*(Inputs!$C$52+(Scenario_Data!B182))*Inputs!$C$52*COS(SQRT((Scenario_Data!T182)^2+Inputs!$C$6^2)/Inputs!$C$52))*1000)/Inputs!$C$21*1000000</f>
        <v>2691.0805307414003</v>
      </c>
      <c r="AI182">
        <f>Scenario_Data!U182</f>
        <v>200</v>
      </c>
      <c r="AJ182">
        <f>2*(SQRT((Inputs!$C$52+(Scenario_Data!C182))^2+Inputs!$C$52^2-2*(Inputs!$C$52+(Scenario_Data!C182))*Inputs!$C$52*COS(SQRT((Scenario_Data!U182)^2+Inputs!$C$6^2)/Inputs!$C$52))*1000)/Inputs!$C$21*1000000</f>
        <v>1631.2498263703887</v>
      </c>
      <c r="AK182">
        <f>Scenario_Data!V182</f>
        <v>400</v>
      </c>
      <c r="AL182">
        <f>2*(SQRT((Inputs!$C$52+(Scenario_Data!D182))^2+Inputs!$C$52^2-2*(Inputs!$C$52+(Scenario_Data!D182))*Inputs!$C$52*COS(SQRT((Scenario_Data!V182)^2+Inputs!$C$6^2)/Inputs!$C$52))*1000)/Inputs!$C$21*1000000</f>
        <v>3429.9213186632924</v>
      </c>
      <c r="AM182">
        <f>Scenario_Data!W182</f>
        <v>400</v>
      </c>
      <c r="AN182">
        <f>2*(SQRT((Inputs!$C$52+(Scenario_Data!E182))^2+Inputs!$C$52^2-2*(Inputs!$C$52+(Scenario_Data!E182))*Inputs!$C$52*COS(SQRT((Scenario_Data!W182)^2+Inputs!$C$6^2)/Inputs!$C$52))*1000)/Inputs!$C$21*1000000</f>
        <v>3398.275856941299</v>
      </c>
      <c r="AP182">
        <f>Scenario_Data!T182</f>
        <v>30</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2689.3696122533497</v>
      </c>
      <c r="AR182">
        <f>Scenario_Data!U182</f>
        <v>200</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1630.7637614719622</v>
      </c>
      <c r="AT182">
        <f>Scenario_Data!V182</f>
        <v>400</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3429.3588510465356</v>
      </c>
      <c r="AV182">
        <f>Scenario_Data!W182</f>
        <v>400</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3397.7272251123341</v>
      </c>
    </row>
    <row r="183" spans="1:49">
      <c r="A183">
        <f>Chart_Data!K183</f>
        <v>30.5</v>
      </c>
      <c r="B183">
        <f>Chart_Data!N183-Chart_Data!L183</f>
        <v>-6.1036281431614725</v>
      </c>
      <c r="D183">
        <f>Chart_Data!G183</f>
        <v>30.5</v>
      </c>
      <c r="E183">
        <f>Chart_Data!H183</f>
        <v>239.98613946244137</v>
      </c>
      <c r="F183">
        <f>Chart_Data!I183</f>
        <v>239.98613946244137</v>
      </c>
      <c r="G183">
        <f>Chart_Data!J183</f>
        <v>4.284803604386866</v>
      </c>
      <c r="I183">
        <f>Scenario_Data!A183</f>
        <v>0.50800000000000001</v>
      </c>
      <c r="J183">
        <f>Scenario_Data!H183-(((SQRT((Inputs!$C$52+(Inputs!$H$6))^2+Inputs!$C$52^2-2*(Inputs!$C$52+(Inputs!$H$6))*Inputs!$C$52*COS(SQRT((Scenario_Data!T183)^2+Inputs!$C$6^2)/Inputs!$C$52)))-(Inputs!$H$6))*1000/Inputs!$C$12)</f>
        <v>-2.7813345652473345</v>
      </c>
      <c r="K183">
        <f>Scenario_Data!I183-(((SQRT((Inputs!$C$52+(Inputs!$H$7))^2+Inputs!$C$52^2-2*(Inputs!$C$52+(Inputs!$H$7))*Inputs!$C$52*COS(SQRT((Scenario_Data!U183)^2+Inputs!$C$6^2)/Inputs!$C$52)))-(Inputs!$H$7))*1000/Inputs!$C$12)</f>
        <v>-30887.934860679583</v>
      </c>
      <c r="L183">
        <f>Scenario_Data!J183-(((SQRT((Inputs!$C$52+(Inputs!$H$8))^2+Inputs!$C$52^2-2*(Inputs!$C$52+(Inputs!$H$8))*Inputs!$C$52*COS(SQRT((Scenario_Data!V183)^2+Inputs!$C$6^2)/Inputs!$C$52)))-(Inputs!$H$8))*1000/Inputs!$C$12)</f>
        <v>-76495.550616892637</v>
      </c>
      <c r="M183">
        <f>Scenario_Data!K183-(((SQRT((Inputs!$C$52+(Inputs!$H$9))^2+Inputs!$C$52^2-2*(Inputs!$C$52+(Inputs!$H$9))*Inputs!$C$52*COS(SQRT((Scenario_Data!W183)^2+Inputs!$C$6^2)/Inputs!$C$52)))-(Inputs!$H$9))*1000/Inputs!$C$12)</f>
        <v>-79470.825965851109</v>
      </c>
      <c r="O183">
        <f>Scenario_Data!T183</f>
        <v>30.480000000000004</v>
      </c>
      <c r="P183">
        <f>2*(Scenario_Data!B183*1000)/Inputs!$C$21*1000000</f>
        <v>2675.3992323582734</v>
      </c>
      <c r="Q183">
        <f>Scenario_Data!U183</f>
        <v>203.20000000000005</v>
      </c>
      <c r="R183">
        <f>2*(Scenario_Data!C183*1000)/Inputs!$C$21*1000000</f>
        <v>861.88532468018286</v>
      </c>
      <c r="S183">
        <f>Scenario_Data!V183</f>
        <v>406.40000000000009</v>
      </c>
      <c r="T183">
        <f>2*(Scenario_Data!D183*1000)/Inputs!$C$21*1000000</f>
        <v>1894.8559406387742</v>
      </c>
      <c r="U183">
        <f>Scenario_Data!W183</f>
        <v>406.40000000000009</v>
      </c>
      <c r="V183">
        <f>2*(Scenario_Data!E183*1000)/Inputs!$C$21*1000000</f>
        <v>1845.3592985317866</v>
      </c>
      <c r="X183">
        <f>Scenario_Data!T183</f>
        <v>30.480000000000004</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2675.2662006819191</v>
      </c>
      <c r="Z183">
        <f>Scenario_Data!U183</f>
        <v>203.20000000000005</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861.79271477454358</v>
      </c>
      <c r="AB183">
        <f>Scenario_Data!V183</f>
        <v>406.40000000000009</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1894.9471352963021</v>
      </c>
      <c r="AD183">
        <f>Scenario_Data!W183</f>
        <v>406.40000000000009</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1845.4504931893146</v>
      </c>
      <c r="AG183">
        <f>Scenario_Data!T183</f>
        <v>30.480000000000004</v>
      </c>
      <c r="AH183">
        <f>2*(SQRT((Inputs!$C$52+(Scenario_Data!B183))^2+Inputs!$C$52^2-2*(Inputs!$C$52+(Scenario_Data!B183))*Inputs!$C$52*COS(SQRT((Scenario_Data!T183)^2+Inputs!$C$6^2)/Inputs!$C$52))*1000)/Inputs!$C$21*1000000</f>
        <v>2691.5963741184592</v>
      </c>
      <c r="AI183">
        <f>Scenario_Data!U183</f>
        <v>203.20000000000005</v>
      </c>
      <c r="AJ183">
        <f>2*(SQRT((Inputs!$C$52+(Scenario_Data!C183))^2+Inputs!$C$52^2-2*(Inputs!$C$52+(Scenario_Data!C183))*Inputs!$C$52*COS(SQRT((Scenario_Data!U183)^2+Inputs!$C$6^2)/Inputs!$C$52))*1000)/Inputs!$C$21*1000000</f>
        <v>1661.27795099574</v>
      </c>
      <c r="AK183">
        <f>Scenario_Data!V183</f>
        <v>406.40000000000009</v>
      </c>
      <c r="AL183">
        <f>2*(SQRT((Inputs!$C$52+(Scenario_Data!D183))^2+Inputs!$C$52^2-2*(Inputs!$C$52+(Scenario_Data!D183))*Inputs!$C$52*COS(SQRT((Scenario_Data!V183)^2+Inputs!$C$6^2)/Inputs!$C$52))*1000)/Inputs!$C$21*1000000</f>
        <v>3501.760091807711</v>
      </c>
      <c r="AM183">
        <f>Scenario_Data!W183</f>
        <v>406.40000000000009</v>
      </c>
      <c r="AN183">
        <f>2*(SQRT((Inputs!$C$52+(Scenario_Data!E183))^2+Inputs!$C$52^2-2*(Inputs!$C$52+(Scenario_Data!E183))*Inputs!$C$52*COS(SQRT((Scenario_Data!W183)^2+Inputs!$C$6^2)/Inputs!$C$52))*1000)/Inputs!$C$21*1000000</f>
        <v>3470.2046174700704</v>
      </c>
      <c r="AP183">
        <f>Scenario_Data!T183</f>
        <v>30.480000000000004</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2689.9524090049945</v>
      </c>
      <c r="AR183">
        <f>Scenario_Data!U183</f>
        <v>203.20000000000005</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1660.6990177446987</v>
      </c>
      <c r="AT183">
        <f>Scenario_Data!V183</f>
        <v>406.40000000000009</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3501.549494764668</v>
      </c>
      <c r="AV183">
        <f>Scenario_Data!W183</f>
        <v>406.40000000000009</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3469.9989806158633</v>
      </c>
    </row>
    <row r="184" spans="1:49">
      <c r="A184">
        <f>Chart_Data!K184</f>
        <v>31</v>
      </c>
      <c r="B184">
        <f>Chart_Data!N184-Chart_Data!L184</f>
        <v>-20.543420099947923</v>
      </c>
      <c r="D184">
        <f>Chart_Data!G184</f>
        <v>31</v>
      </c>
      <c r="E184">
        <f>Chart_Data!H184</f>
        <v>239.58052306016251</v>
      </c>
      <c r="F184">
        <f>Chart_Data!I184</f>
        <v>239.58052306016251</v>
      </c>
      <c r="G184">
        <f>Chart_Data!J184</f>
        <v>18.692329061381155</v>
      </c>
      <c r="I184">
        <f>Scenario_Data!A184</f>
        <v>0.51700000000000002</v>
      </c>
      <c r="J184">
        <f>Scenario_Data!H184-(((SQRT((Inputs!$C$52+(Inputs!$H$6))^2+Inputs!$C$52^2-2*(Inputs!$C$52+(Inputs!$H$6))*Inputs!$C$52*COS(SQRT((Scenario_Data!T184)^2+Inputs!$C$6^2)/Inputs!$C$52)))-(Inputs!$H$6))*1000/Inputs!$C$12)</f>
        <v>-2.9414332074700269</v>
      </c>
      <c r="K184">
        <f>Scenario_Data!I184-(((SQRT((Inputs!$C$52+(Inputs!$H$7))^2+Inputs!$C$52^2-2*(Inputs!$C$52+(Inputs!$H$7))*Inputs!$C$52*COS(SQRT((Scenario_Data!U184)^2+Inputs!$C$6^2)/Inputs!$C$52)))-(Inputs!$H$7))*1000/Inputs!$C$12)</f>
        <v>-31909.462641600694</v>
      </c>
      <c r="L184">
        <f>Scenario_Data!J184-(((SQRT((Inputs!$C$52+(Inputs!$H$8))^2+Inputs!$C$52^2-2*(Inputs!$C$52+(Inputs!$H$8))*Inputs!$C$52*COS(SQRT((Scenario_Data!V184)^2+Inputs!$C$6^2)/Inputs!$C$52)))-(Inputs!$H$8))*1000/Inputs!$C$12)</f>
        <v>-78648.706761738111</v>
      </c>
      <c r="M184">
        <f>Scenario_Data!K184-(((SQRT((Inputs!$C$52+(Inputs!$H$9))^2+Inputs!$C$52^2-2*(Inputs!$C$52+(Inputs!$H$9))*Inputs!$C$52*COS(SQRT((Scenario_Data!W184)^2+Inputs!$C$6^2)/Inputs!$C$52)))-(Inputs!$H$9))*1000/Inputs!$C$12)</f>
        <v>-81660.187434621097</v>
      </c>
      <c r="O184">
        <f>Scenario_Data!T184</f>
        <v>31.019999999999996</v>
      </c>
      <c r="P184">
        <f>2*(Scenario_Data!B184*1000)/Inputs!$C$21*1000000</f>
        <v>2675.6454026605297</v>
      </c>
      <c r="Q184">
        <f>Scenario_Data!U184</f>
        <v>206.79999999999995</v>
      </c>
      <c r="R184">
        <f>2*(Scenario_Data!C184*1000)/Inputs!$C$21*1000000</f>
        <v>884.34836476106409</v>
      </c>
      <c r="S184">
        <f>Scenario_Data!V184</f>
        <v>413.59999999999991</v>
      </c>
      <c r="T184">
        <f>2*(Scenario_Data!D184*1000)/Inputs!$C$21*1000000</f>
        <v>1954.2445260580898</v>
      </c>
      <c r="U184">
        <f>Scenario_Data!W184</f>
        <v>413.59999999999991</v>
      </c>
      <c r="V184">
        <f>2*(Scenario_Data!E184*1000)/Inputs!$C$21*1000000</f>
        <v>1905.3633097067434</v>
      </c>
      <c r="X184">
        <f>Scenario_Data!T184</f>
        <v>31.019999999999996</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2675.6070097095831</v>
      </c>
      <c r="Z184">
        <f>Scenario_Data!U184</f>
        <v>206.79999999999995</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884.34748750000233</v>
      </c>
      <c r="AB184">
        <f>Scenario_Data!V184</f>
        <v>413.59999999999991</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1954.2554299760664</v>
      </c>
      <c r="AD184">
        <f>Scenario_Data!W184</f>
        <v>413.59999999999991</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1905.3742136247199</v>
      </c>
      <c r="AG184">
        <f>Scenario_Data!T184</f>
        <v>31.019999999999996</v>
      </c>
      <c r="AH184">
        <f>2*(SQRT((Inputs!$C$52+(Scenario_Data!B184))^2+Inputs!$C$52^2-2*(Inputs!$C$52+(Scenario_Data!B184))*Inputs!$C$52*COS(SQRT((Scenario_Data!T184)^2+Inputs!$C$6^2)/Inputs!$C$52))*1000)/Inputs!$C$21*1000000</f>
        <v>2692.1863964353583</v>
      </c>
      <c r="AI184">
        <f>Scenario_Data!U184</f>
        <v>206.79999999999995</v>
      </c>
      <c r="AJ184">
        <f>2*(SQRT((Inputs!$C$52+(Scenario_Data!C184))^2+Inputs!$C$52^2-2*(Inputs!$C$52+(Scenario_Data!C184))*Inputs!$C$52*COS(SQRT((Scenario_Data!U184)^2+Inputs!$C$6^2)/Inputs!$C$52))*1000)/Inputs!$C$21*1000000</f>
        <v>1695.3321376263839</v>
      </c>
      <c r="AK184">
        <f>Scenario_Data!V184</f>
        <v>413.59999999999991</v>
      </c>
      <c r="AL184">
        <f>2*(SQRT((Inputs!$C$52+(Scenario_Data!D184))^2+Inputs!$C$52^2-2*(Inputs!$C$52+(Scenario_Data!D184))*Inputs!$C$52*COS(SQRT((Scenario_Data!V184)^2+Inputs!$C$6^2)/Inputs!$C$52))*1000)/Inputs!$C$21*1000000</f>
        <v>3583.4691205577215</v>
      </c>
      <c r="AM184">
        <f>Scenario_Data!W184</f>
        <v>413.59999999999991</v>
      </c>
      <c r="AN184">
        <f>2*(SQRT((Inputs!$C$52+(Scenario_Data!E184))^2+Inputs!$C$52^2-2*(Inputs!$C$52+(Scenario_Data!E184))*Inputs!$C$52*COS(SQRT((Scenario_Data!W184)^2+Inputs!$C$6^2)/Inputs!$C$52))*1000)/Inputs!$C$21*1000000</f>
        <v>3552.0314391676843</v>
      </c>
      <c r="AP184">
        <f>Scenario_Data!T184</f>
        <v>31.019999999999996</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2690.5667082175996</v>
      </c>
      <c r="AR184">
        <f>Scenario_Data!U184</f>
        <v>206.79999999999995</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1694.8225866146461</v>
      </c>
      <c r="AT184">
        <f>Scenario_Data!V184</f>
        <v>413.59999999999991</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3583.0738605817146</v>
      </c>
      <c r="AV184">
        <f>Scenario_Data!W184</f>
        <v>413.59999999999991</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3551.645051083141</v>
      </c>
    </row>
    <row r="185" spans="1:49">
      <c r="A185">
        <f>Chart_Data!K185</f>
        <v>31.5</v>
      </c>
      <c r="B185">
        <f>Chart_Data!N185-Chart_Data!L185</f>
        <v>-20.285394627742932</v>
      </c>
      <c r="D185">
        <f>Chart_Data!G185</f>
        <v>31.5</v>
      </c>
      <c r="E185">
        <f>Chart_Data!H185</f>
        <v>216.56157473379682</v>
      </c>
      <c r="F185">
        <f>Chart_Data!I185</f>
        <v>216.56157473379682</v>
      </c>
      <c r="G185">
        <f>Chart_Data!J185</f>
        <v>18.579807279110426</v>
      </c>
      <c r="I185">
        <f>Scenario_Data!A185</f>
        <v>0.52500000000000002</v>
      </c>
      <c r="J185">
        <f>Scenario_Data!H185-(((SQRT((Inputs!$C$52+(Inputs!$H$6))^2+Inputs!$C$52^2-2*(Inputs!$C$52+(Inputs!$H$6))*Inputs!$C$52*COS(SQRT((Scenario_Data!T185)^2+Inputs!$C$6^2)/Inputs!$C$52)))-(Inputs!$H$6))*1000/Inputs!$C$12)</f>
        <v>-3.0896730716708589</v>
      </c>
      <c r="K185">
        <f>Scenario_Data!I185-(((SQRT((Inputs!$C$52+(Inputs!$H$7))^2+Inputs!$C$52^2-2*(Inputs!$C$52+(Inputs!$H$7))*Inputs!$C$52*COS(SQRT((Scenario_Data!U185)^2+Inputs!$C$6^2)/Inputs!$C$52)))-(Inputs!$H$7))*1000/Inputs!$C$12)</f>
        <v>-32825.877462688077</v>
      </c>
      <c r="L185">
        <f>Scenario_Data!J185-(((SQRT((Inputs!$C$52+(Inputs!$H$8))^2+Inputs!$C$52^2-2*(Inputs!$C$52+(Inputs!$H$8))*Inputs!$C$52*COS(SQRT((Scenario_Data!V185)^2+Inputs!$C$6^2)/Inputs!$C$52)))-(Inputs!$H$8))*1000/Inputs!$C$12)</f>
        <v>-80568.773681183695</v>
      </c>
      <c r="M185">
        <f>Scenario_Data!K185-(((SQRT((Inputs!$C$52+(Inputs!$H$9))^2+Inputs!$C$52^2-2*(Inputs!$C$52+(Inputs!$H$9))*Inputs!$C$52*COS(SQRT((Scenario_Data!W185)^2+Inputs!$C$6^2)/Inputs!$C$52)))-(Inputs!$H$9))*1000/Inputs!$C$12)</f>
        <v>-83611.759447186691</v>
      </c>
      <c r="O185">
        <f>Scenario_Data!T185</f>
        <v>31.5</v>
      </c>
      <c r="P185">
        <f>2*(Scenario_Data!B185*1000)/Inputs!$C$21*1000000</f>
        <v>2675.867849884336</v>
      </c>
      <c r="Q185">
        <f>Scenario_Data!U185</f>
        <v>210</v>
      </c>
      <c r="R185">
        <f>2*(Scenario_Data!C185*1000)/Inputs!$C$21*1000000</f>
        <v>904.64667393333821</v>
      </c>
      <c r="S185">
        <f>Scenario_Data!V185</f>
        <v>420</v>
      </c>
      <c r="T185">
        <f>2*(Scenario_Data!D185*1000)/Inputs!$C$21*1000000</f>
        <v>2007.9099188012265</v>
      </c>
      <c r="U185">
        <f>Scenario_Data!W185</f>
        <v>420</v>
      </c>
      <c r="V185">
        <f>2*(Scenario_Data!E185*1000)/Inputs!$C$21*1000000</f>
        <v>1959.5848205093939</v>
      </c>
      <c r="X185">
        <f>Scenario_Data!T185</f>
        <v>31.5</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2675.7438987522555</v>
      </c>
      <c r="Z185">
        <f>Scenario_Data!U185</f>
        <v>210</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904.89343483117568</v>
      </c>
      <c r="AB185">
        <f>Scenario_Data!V185</f>
        <v>420</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2007.7962312536522</v>
      </c>
      <c r="AD185">
        <f>Scenario_Data!W185</f>
        <v>420</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1959.4711329618194</v>
      </c>
      <c r="AG185">
        <f>Scenario_Data!T185</f>
        <v>31.5</v>
      </c>
      <c r="AH185">
        <f>2*(SQRT((Inputs!$C$52+(Scenario_Data!B185))^2+Inputs!$C$52^2-2*(Inputs!$C$52+(Scenario_Data!B185))*Inputs!$C$52*COS(SQRT((Scenario_Data!T185)^2+Inputs!$C$6^2)/Inputs!$C$52))*1000)/Inputs!$C$21*1000000</f>
        <v>2692.7194777953123</v>
      </c>
      <c r="AI185">
        <f>Scenario_Data!U185</f>
        <v>210</v>
      </c>
      <c r="AJ185">
        <f>2*(SQRT((Inputs!$C$52+(Scenario_Data!C185))^2+Inputs!$C$52^2-2*(Inputs!$C$52+(Scenario_Data!C185))*Inputs!$C$52*COS(SQRT((Scenario_Data!U185)^2+Inputs!$C$6^2)/Inputs!$C$52))*1000)/Inputs!$C$21*1000000</f>
        <v>1725.8467418024873</v>
      </c>
      <c r="AK185">
        <f>Scenario_Data!V185</f>
        <v>420</v>
      </c>
      <c r="AL185">
        <f>2*(SQRT((Inputs!$C$52+(Scenario_Data!D185))^2+Inputs!$C$52^2-2*(Inputs!$C$52+(Scenario_Data!D185))*Inputs!$C$52*COS(SQRT((Scenario_Data!V185)^2+Inputs!$C$6^2)/Inputs!$C$52))*1000)/Inputs!$C$21*1000000</f>
        <v>3656.8969182108149</v>
      </c>
      <c r="AM185">
        <f>Scenario_Data!W185</f>
        <v>420</v>
      </c>
      <c r="AN185">
        <f>2*(SQRT((Inputs!$C$52+(Scenario_Data!E185))^2+Inputs!$C$52^2-2*(Inputs!$C$52+(Scenario_Data!E185))*Inputs!$C$52*COS(SQRT((Scenario_Data!W185)^2+Inputs!$C$6^2)/Inputs!$C$52))*1000)/Inputs!$C$21*1000000</f>
        <v>3625.5787216297722</v>
      </c>
      <c r="AP185">
        <f>Scenario_Data!T185</f>
        <v>31.5</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2691.2861129347111</v>
      </c>
      <c r="AR185">
        <f>Scenario_Data!U185</f>
        <v>210</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1725.5482605386435</v>
      </c>
      <c r="AT185">
        <f>Scenario_Data!V185</f>
        <v>420</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3656.4070068229498</v>
      </c>
      <c r="AV185">
        <f>Scenario_Data!W185</f>
        <v>420</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3625.0993448641489</v>
      </c>
    </row>
    <row r="186" spans="1:49">
      <c r="A186">
        <f>Chart_Data!K186</f>
        <v>32</v>
      </c>
      <c r="B186">
        <f>Chart_Data!N186-Chart_Data!L186</f>
        <v>-0.42689792163008633</v>
      </c>
      <c r="D186">
        <f>Chart_Data!G186</f>
        <v>32</v>
      </c>
      <c r="E186">
        <f>Chart_Data!H186</f>
        <v>222.43770342187699</v>
      </c>
      <c r="F186">
        <f>Chart_Data!I186</f>
        <v>222.43770342187699</v>
      </c>
      <c r="G186">
        <f>Chart_Data!J186</f>
        <v>-1.3588316603362678</v>
      </c>
      <c r="I186">
        <f>Scenario_Data!A186</f>
        <v>0.53300000000000003</v>
      </c>
      <c r="J186">
        <f>Scenario_Data!H186-(((SQRT((Inputs!$C$52+(Inputs!$H$6))^2+Inputs!$C$52^2-2*(Inputs!$C$52+(Inputs!$H$6))*Inputs!$C$52*COS(SQRT((Scenario_Data!T186)^2+Inputs!$C$6^2)/Inputs!$C$52)))-(Inputs!$H$6))*1000/Inputs!$C$12)</f>
        <v>-3.2436536593402252</v>
      </c>
      <c r="K186">
        <f>Scenario_Data!I186-(((SQRT((Inputs!$C$52+(Inputs!$H$7))^2+Inputs!$C$52^2-2*(Inputs!$C$52+(Inputs!$H$7))*Inputs!$C$52*COS(SQRT((Scenario_Data!U186)^2+Inputs!$C$6^2)/Inputs!$C$52)))-(Inputs!$H$7))*1000/Inputs!$C$12)</f>
        <v>-33749.981453086351</v>
      </c>
      <c r="L186">
        <f>Scenario_Data!J186-(((SQRT((Inputs!$C$52+(Inputs!$H$8))^2+Inputs!$C$52^2-2*(Inputs!$C$52+(Inputs!$H$8))*Inputs!$C$52*COS(SQRT((Scenario_Data!V186)^2+Inputs!$C$6^2)/Inputs!$C$52)))-(Inputs!$H$8))*1000/Inputs!$C$12)</f>
        <v>-82494.11644292518</v>
      </c>
      <c r="M186">
        <f>Scenario_Data!K186-(((SQRT((Inputs!$C$52+(Inputs!$H$9))^2+Inputs!$C$52^2-2*(Inputs!$C$52+(Inputs!$H$9))*Inputs!$C$52*COS(SQRT((Scenario_Data!W186)^2+Inputs!$C$6^2)/Inputs!$C$52)))-(Inputs!$H$9))*1000/Inputs!$C$12)</f>
        <v>-85567.974379462074</v>
      </c>
      <c r="O186">
        <f>Scenario_Data!T186</f>
        <v>31.97999999999999</v>
      </c>
      <c r="P186">
        <f>2*(Scenario_Data!B186*1000)/Inputs!$C$21*1000000</f>
        <v>2676.0937128044761</v>
      </c>
      <c r="Q186">
        <f>Scenario_Data!U186</f>
        <v>213.19999999999993</v>
      </c>
      <c r="R186">
        <f>2*(Scenario_Data!C186*1000)/Inputs!$C$21*1000000</f>
        <v>925.25666539616498</v>
      </c>
      <c r="S186">
        <f>Scenario_Data!V186</f>
        <v>426.39999999999986</v>
      </c>
      <c r="T186">
        <f>2*(Scenario_Data!D186*1000)/Inputs!$C$21*1000000</f>
        <v>2062.3993482851374</v>
      </c>
      <c r="U186">
        <f>Scenario_Data!W186</f>
        <v>426.39999999999986</v>
      </c>
      <c r="V186">
        <f>2*(Scenario_Data!E186*1000)/Inputs!$C$21*1000000</f>
        <v>2014.638907293657</v>
      </c>
      <c r="X186">
        <f>Scenario_Data!T186</f>
        <v>31.97999999999999</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2676.0368656583214</v>
      </c>
      <c r="Z186">
        <f>Scenario_Data!U186</f>
        <v>213.19999999999993</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925.29611336663845</v>
      </c>
      <c r="AB186">
        <f>Scenario_Data!V186</f>
        <v>426.39999999999986</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2062.4558981393743</v>
      </c>
      <c r="AD186">
        <f>Scenario_Data!W186</f>
        <v>426.39999999999986</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2014.6954571478936</v>
      </c>
      <c r="AG186">
        <f>Scenario_Data!T186</f>
        <v>31.97999999999999</v>
      </c>
      <c r="AH186">
        <f>2*(SQRT((Inputs!$C$52+(Scenario_Data!B186))^2+Inputs!$C$52^2-2*(Inputs!$C$52+(Scenario_Data!B186))*Inputs!$C$52*COS(SQRT((Scenario_Data!T186)^2+Inputs!$C$6^2)/Inputs!$C$52))*1000)/Inputs!$C$21*1000000</f>
        <v>2693.2606656910839</v>
      </c>
      <c r="AI186">
        <f>Scenario_Data!U186</f>
        <v>213.19999999999993</v>
      </c>
      <c r="AJ186">
        <f>2*(SQRT((Inputs!$C$52+(Scenario_Data!C186))^2+Inputs!$C$52^2-2*(Inputs!$C$52+(Scenario_Data!C186))*Inputs!$C$52*COS(SQRT((Scenario_Data!U186)^2+Inputs!$C$6^2)/Inputs!$C$52))*1000)/Inputs!$C$21*1000000</f>
        <v>1756.5930320423138</v>
      </c>
      <c r="AK186">
        <f>Scenario_Data!V186</f>
        <v>426.39999999999986</v>
      </c>
      <c r="AL186">
        <f>2*(SQRT((Inputs!$C$52+(Scenario_Data!D186))^2+Inputs!$C$52^2-2*(Inputs!$C$52+(Scenario_Data!D186))*Inputs!$C$52*COS(SQRT((Scenario_Data!V186)^2+Inputs!$C$6^2)/Inputs!$C$52))*1000)/Inputs!$C$21*1000000</f>
        <v>3731.0809261239924</v>
      </c>
      <c r="AM186">
        <f>Scenario_Data!W186</f>
        <v>426.39999999999986</v>
      </c>
      <c r="AN186">
        <f>2*(SQRT((Inputs!$C$52+(Scenario_Data!E186))^2+Inputs!$C$52^2-2*(Inputs!$C$52+(Scenario_Data!E186))*Inputs!$C$52*COS(SQRT((Scenario_Data!W186)^2+Inputs!$C$6^2)/Inputs!$C$52))*1000)/Inputs!$C$21*1000000</f>
        <v>3699.896173425861</v>
      </c>
      <c r="AP186">
        <f>Scenario_Data!T186</f>
        <v>31.97999999999999</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2691.7084514155754</v>
      </c>
      <c r="AR186">
        <f>Scenario_Data!U186</f>
        <v>213.19999999999993</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1756.3205691070345</v>
      </c>
      <c r="AT186">
        <f>Scenario_Data!V186</f>
        <v>426.39999999999986</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3730.7434368680811</v>
      </c>
      <c r="AV186">
        <f>Scenario_Data!W186</f>
        <v>426.39999999999986</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3699.5656343989554</v>
      </c>
    </row>
    <row r="187" spans="1:49">
      <c r="A187">
        <f>Chart_Data!K187</f>
        <v>32.5</v>
      </c>
      <c r="B187">
        <f>Chart_Data!N187-Chart_Data!L187</f>
        <v>-7.7122295840595143</v>
      </c>
      <c r="D187">
        <f>Chart_Data!G187</f>
        <v>32.5</v>
      </c>
      <c r="E187">
        <f>Chart_Data!H187</f>
        <v>227.97180197682223</v>
      </c>
      <c r="F187">
        <f>Chart_Data!I187</f>
        <v>227.97180197682223</v>
      </c>
      <c r="G187">
        <f>Chart_Data!J187</f>
        <v>5.8468430183224456</v>
      </c>
      <c r="I187">
        <f>Scenario_Data!A187</f>
        <v>0.54200000000000004</v>
      </c>
      <c r="J187">
        <f>Scenario_Data!H187-(((SQRT((Inputs!$C$52+(Inputs!$H$6))^2+Inputs!$C$52^2-2*(Inputs!$C$52+(Inputs!$H$6))*Inputs!$C$52*COS(SQRT((Scenario_Data!T187)^2+Inputs!$C$6^2)/Inputs!$C$52)))-(Inputs!$H$6))*1000/Inputs!$C$12)</f>
        <v>-3.4239373717214221</v>
      </c>
      <c r="K187">
        <f>Scenario_Data!I187-(((SQRT((Inputs!$C$52+(Inputs!$H$7))^2+Inputs!$C$52^2-2*(Inputs!$C$52+(Inputs!$H$7))*Inputs!$C$52*COS(SQRT((Scenario_Data!U187)^2+Inputs!$C$6^2)/Inputs!$C$52)))-(Inputs!$H$7))*1000/Inputs!$C$12)</f>
        <v>-34798.545562910251</v>
      </c>
      <c r="L187">
        <f>Scenario_Data!J187-(((SQRT((Inputs!$C$52+(Inputs!$H$8))^2+Inputs!$C$52^2-2*(Inputs!$C$52+(Inputs!$H$8))*Inputs!$C$52*COS(SQRT((Scenario_Data!V187)^2+Inputs!$C$6^2)/Inputs!$C$52)))-(Inputs!$H$8))*1000/Inputs!$C$12)</f>
        <v>-84665.837128348503</v>
      </c>
      <c r="M187">
        <f>Scenario_Data!K187-(((SQRT((Inputs!$C$52+(Inputs!$H$9))^2+Inputs!$C$52^2-2*(Inputs!$C$52+(Inputs!$H$9))*Inputs!$C$52*COS(SQRT((Scenario_Data!W187)^2+Inputs!$C$6^2)/Inputs!$C$52)))-(Inputs!$H$9))*1000/Inputs!$C$12)</f>
        <v>-87773.675624308933</v>
      </c>
      <c r="O187">
        <f>Scenario_Data!T187</f>
        <v>32.519999999999996</v>
      </c>
      <c r="P187">
        <f>2*(Scenario_Data!B187*1000)/Inputs!$C$21*1000000</f>
        <v>2676.3518914141596</v>
      </c>
      <c r="Q187">
        <f>Scenario_Data!U187</f>
        <v>216.80000000000007</v>
      </c>
      <c r="R187">
        <f>2*(Scenario_Data!C187*1000)/Inputs!$C$21*1000000</f>
        <v>948.8154635297733</v>
      </c>
      <c r="S187">
        <f>Scenario_Data!V187</f>
        <v>433.60000000000014</v>
      </c>
      <c r="T187">
        <f>2*(Scenario_Data!D187*1000)/Inputs!$C$21*1000000</f>
        <v>2124.6849378712532</v>
      </c>
      <c r="U187">
        <f>Scenario_Data!W187</f>
        <v>433.60000000000014</v>
      </c>
      <c r="V187">
        <f>2*(Scenario_Data!E187*1000)/Inputs!$C$21*1000000</f>
        <v>2077.5699434039807</v>
      </c>
      <c r="X187">
        <f>Scenario_Data!T187</f>
        <v>32.519999999999996</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2676.2888769199035</v>
      </c>
      <c r="Z187">
        <f>Scenario_Data!U187</f>
        <v>216.80000000000007</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948.54917388286458</v>
      </c>
      <c r="AB187">
        <f>Scenario_Data!V187</f>
        <v>433.60000000000014</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2124.4276204023909</v>
      </c>
      <c r="AD187">
        <f>Scenario_Data!W187</f>
        <v>433.60000000000014</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2077.3126259351188</v>
      </c>
      <c r="AG187">
        <f>Scenario_Data!T187</f>
        <v>32.519999999999996</v>
      </c>
      <c r="AH187">
        <f>2*(SQRT((Inputs!$C$52+(Scenario_Data!B187))^2+Inputs!$C$52^2-2*(Inputs!$C$52+(Scenario_Data!B187))*Inputs!$C$52*COS(SQRT((Scenario_Data!T187)^2+Inputs!$C$6^2)/Inputs!$C$52))*1000)/Inputs!$C$21*1000000</f>
        <v>2693.8791874812646</v>
      </c>
      <c r="AI187">
        <f>Scenario_Data!U187</f>
        <v>216.80000000000007</v>
      </c>
      <c r="AJ187">
        <f>2*(SQRT((Inputs!$C$52+(Scenario_Data!C187))^2+Inputs!$C$52^2-2*(Inputs!$C$52+(Scenario_Data!C187))*Inputs!$C$52*COS(SQRT((Scenario_Data!U187)^2+Inputs!$C$6^2)/Inputs!$C$52))*1000)/Inputs!$C$21*1000000</f>
        <v>1791.4617344869769</v>
      </c>
      <c r="AK187">
        <f>Scenario_Data!V187</f>
        <v>433.60000000000014</v>
      </c>
      <c r="AL187">
        <f>2*(SQRT((Inputs!$C$52+(Scenario_Data!D187))^2+Inputs!$C$52^2-2*(Inputs!$C$52+(Scenario_Data!D187))*Inputs!$C$52*COS(SQRT((Scenario_Data!V187)^2+Inputs!$C$6^2)/Inputs!$C$52))*1000)/Inputs!$C$21*1000000</f>
        <v>3815.4483329742607</v>
      </c>
      <c r="AM187">
        <f>Scenario_Data!W187</f>
        <v>433.60000000000014</v>
      </c>
      <c r="AN187">
        <f>2*(SQRT((Inputs!$C$52+(Scenario_Data!E187))^2+Inputs!$C$52^2-2*(Inputs!$C$52+(Scenario_Data!E187))*Inputs!$C$52*COS(SQRT((Scenario_Data!W187)^2+Inputs!$C$6^2)/Inputs!$C$52))*1000)/Inputs!$C$21*1000000</f>
        <v>3784.4304363200208</v>
      </c>
      <c r="AP187">
        <f>Scenario_Data!T187</f>
        <v>32.519999999999996</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2692.3320799684448</v>
      </c>
      <c r="AR187">
        <f>Scenario_Data!U187</f>
        <v>216.80000000000007</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1790.9188228799637</v>
      </c>
      <c r="AT187">
        <f>Scenario_Data!V187</f>
        <v>433.60000000000014</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3814.9219703228828</v>
      </c>
      <c r="AV187">
        <f>Scenario_Data!W187</f>
        <v>433.60000000000014</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3783.9144030090297</v>
      </c>
    </row>
    <row r="188" spans="1:49">
      <c r="A188">
        <f>Chart_Data!K188</f>
        <v>33</v>
      </c>
      <c r="B188">
        <f>Chart_Data!N188-Chart_Data!L188</f>
        <v>1.7249272045091288</v>
      </c>
      <c r="D188">
        <f>Chart_Data!G188</f>
        <v>33</v>
      </c>
      <c r="E188">
        <f>Chart_Data!H188</f>
        <v>226.08418221808537</v>
      </c>
      <c r="F188">
        <f>Chart_Data!I188</f>
        <v>226.08418221808537</v>
      </c>
      <c r="G188">
        <f>Chart_Data!J188</f>
        <v>-3.6102909912474139</v>
      </c>
      <c r="I188">
        <f>Scenario_Data!A188</f>
        <v>0.55000000000000004</v>
      </c>
      <c r="J188">
        <f>Scenario_Data!H188-(((SQRT((Inputs!$C$52+(Inputs!$H$6))^2+Inputs!$C$52^2-2*(Inputs!$C$52+(Inputs!$H$6))*Inputs!$C$52*COS(SQRT((Scenario_Data!T188)^2+Inputs!$C$6^2)/Inputs!$C$52)))-(Inputs!$H$6))*1000/Inputs!$C$12)</f>
        <v>-3.5906356710743239</v>
      </c>
      <c r="K188">
        <f>Scenario_Data!I188-(((SQRT((Inputs!$C$52+(Inputs!$H$7))^2+Inputs!$C$52^2-2*(Inputs!$C$52+(Inputs!$H$7))*Inputs!$C$52*COS(SQRT((Scenario_Data!U188)^2+Inputs!$C$6^2)/Inputs!$C$52)))-(Inputs!$H$7))*1000/Inputs!$C$12)</f>
        <v>-35738.342299056225</v>
      </c>
      <c r="L188">
        <f>Scenario_Data!J188-(((SQRT((Inputs!$C$52+(Inputs!$H$8))^2+Inputs!$C$52^2-2*(Inputs!$C$52+(Inputs!$H$8))*Inputs!$C$52*COS(SQRT((Scenario_Data!V188)^2+Inputs!$C$6^2)/Inputs!$C$52)))-(Inputs!$H$8))*1000/Inputs!$C$12)</f>
        <v>-86600.815246497659</v>
      </c>
      <c r="M188">
        <f>Scenario_Data!K188-(((SQRT((Inputs!$C$52+(Inputs!$H$9))^2+Inputs!$C$52^2-2*(Inputs!$C$52+(Inputs!$H$9))*Inputs!$C$52*COS(SQRT((Scenario_Data!W188)^2+Inputs!$C$6^2)/Inputs!$C$52)))-(Inputs!$H$9))*1000/Inputs!$C$12)</f>
        <v>-89738.19699014083</v>
      </c>
      <c r="O188">
        <f>Scenario_Data!T188</f>
        <v>33</v>
      </c>
      <c r="P188">
        <f>2*(Scenario_Data!B188*1000)/Inputs!$C$21*1000000</f>
        <v>2676.5850126890118</v>
      </c>
      <c r="Q188">
        <f>Scenario_Data!U188</f>
        <v>220</v>
      </c>
      <c r="R188">
        <f>2*(Scenario_Data!C188*1000)/Inputs!$C$21*1000000</f>
        <v>970.08777986002588</v>
      </c>
      <c r="S188">
        <f>Scenario_Data!V188</f>
        <v>440</v>
      </c>
      <c r="T188">
        <f>2*(Scenario_Data!D188*1000)/Inputs!$C$21*1000000</f>
        <v>2180.9254454293177</v>
      </c>
      <c r="U188">
        <f>Scenario_Data!W188</f>
        <v>440</v>
      </c>
      <c r="V188">
        <f>2*(Scenario_Data!E188*1000)/Inputs!$C$21*1000000</f>
        <v>2134.3932541491758</v>
      </c>
      <c r="X188">
        <f>Scenario_Data!T188</f>
        <v>33</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2676.6090979579699</v>
      </c>
      <c r="Z188">
        <f>Scenario_Data!U188</f>
        <v>220</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969.72400279150156</v>
      </c>
      <c r="AB188">
        <f>Scenario_Data!V188</f>
        <v>440</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2180.7142495266362</v>
      </c>
      <c r="AD188">
        <f>Scenario_Data!W188</f>
        <v>440</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2134.1820582464943</v>
      </c>
      <c r="AG188">
        <f>Scenario_Data!T188</f>
        <v>33</v>
      </c>
      <c r="AH188">
        <f>2*(SQRT((Inputs!$C$52+(Scenario_Data!B188))^2+Inputs!$C$52^2-2*(Inputs!$C$52+(Scenario_Data!B188))*Inputs!$C$52*COS(SQRT((Scenario_Data!T188)^2+Inputs!$C$6^2)/Inputs!$C$52))*1000)/Inputs!$C$21*1000000</f>
        <v>2694.4375898786375</v>
      </c>
      <c r="AI188">
        <f>Scenario_Data!U188</f>
        <v>220</v>
      </c>
      <c r="AJ188">
        <f>2*(SQRT((Inputs!$C$52+(Scenario_Data!C188))^2+Inputs!$C$52^2-2*(Inputs!$C$52+(Scenario_Data!C188))*Inputs!$C$52*COS(SQRT((Scenario_Data!U188)^2+Inputs!$C$6^2)/Inputs!$C$52))*1000)/Inputs!$C$21*1000000</f>
        <v>1822.7061870307282</v>
      </c>
      <c r="AK188">
        <f>Scenario_Data!V188</f>
        <v>440</v>
      </c>
      <c r="AL188">
        <f>2*(SQRT((Inputs!$C$52+(Scenario_Data!D188))^2+Inputs!$C$52^2-2*(Inputs!$C$52+(Scenario_Data!D188))*Inputs!$C$52*COS(SQRT((Scenario_Data!V188)^2+Inputs!$C$6^2)/Inputs!$C$52))*1000)/Inputs!$C$21*1000000</f>
        <v>3891.256447672386</v>
      </c>
      <c r="AM188">
        <f>Scenario_Data!W188</f>
        <v>440</v>
      </c>
      <c r="AN188">
        <f>2*(SQRT((Inputs!$C$52+(Scenario_Data!E188))^2+Inputs!$C$52^2-2*(Inputs!$C$52+(Scenario_Data!E188))*Inputs!$C$52*COS(SQRT((Scenario_Data!W188)^2+Inputs!$C$6^2)/Inputs!$C$52))*1000)/Inputs!$C$21*1000000</f>
        <v>3860.4017717773222</v>
      </c>
      <c r="AP188">
        <f>Scenario_Data!T188</f>
        <v>33</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2692.9418963583466</v>
      </c>
      <c r="AR188">
        <f>Scenario_Data!U188</f>
        <v>220</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1821.9533285761061</v>
      </c>
      <c r="AT188">
        <f>Scenario_Data!V188</f>
        <v>440</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3890.7671657116257</v>
      </c>
      <c r="AV188">
        <f>Scenario_Data!W188</f>
        <v>440</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3859.9216859248836</v>
      </c>
    </row>
    <row r="189" spans="1:49">
      <c r="A189">
        <f>Chart_Data!K189</f>
        <v>33.5</v>
      </c>
      <c r="B189">
        <f>Chart_Data!N189-Chart_Data!L189</f>
        <v>-4.7420147805559338</v>
      </c>
      <c r="D189">
        <f>Chart_Data!G189</f>
        <v>33.5</v>
      </c>
      <c r="E189">
        <f>Chart_Data!H189</f>
        <v>226.23942491258683</v>
      </c>
      <c r="F189">
        <f>Chart_Data!I189</f>
        <v>226.23942491258683</v>
      </c>
      <c r="G189">
        <f>Chart_Data!J189</f>
        <v>2.8193818928466783</v>
      </c>
      <c r="I189">
        <f>Scenario_Data!A189</f>
        <v>0.55800000000000005</v>
      </c>
      <c r="J189">
        <f>Scenario_Data!H189-(((SQRT((Inputs!$C$52+(Inputs!$H$6))^2+Inputs!$C$52^2-2*(Inputs!$C$52+(Inputs!$H$6))*Inputs!$C$52*COS(SQRT((Scenario_Data!T189)^2+Inputs!$C$6^2)/Inputs!$C$52)))-(Inputs!$H$6))*1000/Inputs!$C$12)</f>
        <v>-3.7635674146301881</v>
      </c>
      <c r="K189">
        <f>Scenario_Data!I189-(((SQRT((Inputs!$C$52+(Inputs!$H$7))^2+Inputs!$C$52^2-2*(Inputs!$C$52+(Inputs!$H$7))*Inputs!$C$52*COS(SQRT((Scenario_Data!U189)^2+Inputs!$C$6^2)/Inputs!$C$52)))-(Inputs!$H$7))*1000/Inputs!$C$12)</f>
        <v>-36685.226067220021</v>
      </c>
      <c r="L189">
        <f>Scenario_Data!J189-(((SQRT((Inputs!$C$52+(Inputs!$H$8))^2+Inputs!$C$52^2-2*(Inputs!$C$52+(Inputs!$H$8))*Inputs!$C$52*COS(SQRT((Scenario_Data!V189)^2+Inputs!$C$6^2)/Inputs!$C$52)))-(Inputs!$H$8))*1000/Inputs!$C$12)</f>
        <v>-88539.612282307149</v>
      </c>
      <c r="M189">
        <f>Scenario_Data!K189-(((SQRT((Inputs!$C$52+(Inputs!$H$9))^2+Inputs!$C$52^2-2*(Inputs!$C$52+(Inputs!$H$9))*Inputs!$C$52*COS(SQRT((Scenario_Data!W189)^2+Inputs!$C$6^2)/Inputs!$C$52)))-(Inputs!$H$9))*1000/Inputs!$C$12)</f>
        <v>-91705.919959116174</v>
      </c>
      <c r="O189">
        <f>Scenario_Data!T189</f>
        <v>33.480000000000004</v>
      </c>
      <c r="P189">
        <f>2*(Scenario_Data!B189*1000)/Inputs!$C$21*1000000</f>
        <v>2676.8215496601988</v>
      </c>
      <c r="Q189">
        <f>Scenario_Data!U189</f>
        <v>223.20000000000005</v>
      </c>
      <c r="R189">
        <f>2*(Scenario_Data!C189*1000)/Inputs!$C$21*1000000</f>
        <v>991.67177848083202</v>
      </c>
      <c r="S189">
        <f>Scenario_Data!V189</f>
        <v>446.40000000000009</v>
      </c>
      <c r="T189">
        <f>2*(Scenario_Data!D189*1000)/Inputs!$C$21*1000000</f>
        <v>2237.9899897281621</v>
      </c>
      <c r="U189">
        <f>Scenario_Data!W189</f>
        <v>446.40000000000009</v>
      </c>
      <c r="V189">
        <f>2*(Scenario_Data!E189*1000)/Inputs!$C$21*1000000</f>
        <v>2192.0491408759867</v>
      </c>
      <c r="X189">
        <f>Scenario_Data!T189</f>
        <v>33.480000000000004</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2676.7614368371142</v>
      </c>
      <c r="Z189">
        <f>Scenario_Data!U189</f>
        <v>223.20000000000005</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991.30442967562442</v>
      </c>
      <c r="AB189">
        <f>Scenario_Data!V189</f>
        <v>446.40000000000009</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2237.9762205627935</v>
      </c>
      <c r="AD189">
        <f>Scenario_Data!W189</f>
        <v>446.40000000000009</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2192.0353717106186</v>
      </c>
      <c r="AG189">
        <f>Scenario_Data!T189</f>
        <v>33.480000000000004</v>
      </c>
      <c r="AH189">
        <f>2*(SQRT((Inputs!$C$52+(Scenario_Data!B189))^2+Inputs!$C$52^2-2*(Inputs!$C$52+(Scenario_Data!B189))*Inputs!$C$52*COS(SQRT((Scenario_Data!T189)^2+Inputs!$C$6^2)/Inputs!$C$52))*1000)/Inputs!$C$21*1000000</f>
        <v>2695.0040875164605</v>
      </c>
      <c r="AI189">
        <f>Scenario_Data!U189</f>
        <v>223.20000000000005</v>
      </c>
      <c r="AJ189">
        <f>2*(SQRT((Inputs!$C$52+(Scenario_Data!C189))^2+Inputs!$C$52^2-2*(Inputs!$C$52+(Scenario_Data!C189))*Inputs!$C$52*COS(SQRT((Scenario_Data!U189)^2+Inputs!$C$6^2)/Inputs!$C$52))*1000)/Inputs!$C$21*1000000</f>
        <v>1854.1877969704217</v>
      </c>
      <c r="AK189">
        <f>Scenario_Data!V189</f>
        <v>446.40000000000009</v>
      </c>
      <c r="AL189">
        <f>2*(SQRT((Inputs!$C$52+(Scenario_Data!D189))^2+Inputs!$C$52^2-2*(Inputs!$C$52+(Scenario_Data!D189))*Inputs!$C$52*COS(SQRT((Scenario_Data!V189)^2+Inputs!$C$6^2)/Inputs!$C$52))*1000)/Inputs!$C$21*1000000</f>
        <v>3967.8366472645534</v>
      </c>
      <c r="AM189">
        <f>Scenario_Data!W189</f>
        <v>446.40000000000009</v>
      </c>
      <c r="AN189">
        <f>2*(SQRT((Inputs!$C$52+(Scenario_Data!E189))^2+Inputs!$C$52^2-2*(Inputs!$C$52+(Scenario_Data!E189))*Inputs!$C$52*COS(SQRT((Scenario_Data!W189)^2+Inputs!$C$6^2)/Inputs!$C$52))*1000)/Inputs!$C$21*1000000</f>
        <v>3937.159241278996</v>
      </c>
      <c r="AP189">
        <f>Scenario_Data!T189</f>
        <v>33.480000000000004</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2693.5471794573295</v>
      </c>
      <c r="AR189">
        <f>Scenario_Data!U189</f>
        <v>223.20000000000005</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1853.5962489578701</v>
      </c>
      <c r="AT189">
        <f>Scenario_Data!V189</f>
        <v>446.40000000000009</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3967.4807487458083</v>
      </c>
      <c r="AV189">
        <f>Scenario_Data!W189</f>
        <v>446.40000000000009</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3936.8097483681718</v>
      </c>
    </row>
    <row r="190" spans="1:49">
      <c r="A190">
        <f>Chart_Data!K190</f>
        <v>34</v>
      </c>
      <c r="B190">
        <f>Chart_Data!N190-Chart_Data!L190</f>
        <v>-12.008270604959733</v>
      </c>
      <c r="D190">
        <f>Chart_Data!G190</f>
        <v>34</v>
      </c>
      <c r="E190">
        <f>Chart_Data!H190</f>
        <v>243.27042748832011</v>
      </c>
      <c r="F190">
        <f>Chart_Data!I190</f>
        <v>243.27042748832011</v>
      </c>
      <c r="G190">
        <f>Chart_Data!J190</f>
        <v>9.9015781941524494</v>
      </c>
      <c r="I190">
        <f>Scenario_Data!A190</f>
        <v>0.56699999999999995</v>
      </c>
      <c r="J190">
        <f>Scenario_Data!H190-(((SQRT((Inputs!$C$52+(Inputs!$H$6))^2+Inputs!$C$52^2-2*(Inputs!$C$52+(Inputs!$H$6))*Inputs!$C$52*COS(SQRT((Scenario_Data!T190)^2+Inputs!$C$6^2)/Inputs!$C$52)))-(Inputs!$H$6))*1000/Inputs!$C$12)</f>
        <v>-3.965768378529674</v>
      </c>
      <c r="K190">
        <f>Scenario_Data!I190-(((SQRT((Inputs!$C$52+(Inputs!$H$7))^2+Inputs!$C$52^2-2*(Inputs!$C$52+(Inputs!$H$7))*Inputs!$C$52*COS(SQRT((Scenario_Data!U190)^2+Inputs!$C$6^2)/Inputs!$C$52)))-(Inputs!$H$7))*1000/Inputs!$C$12)</f>
        <v>-37758.709506008992</v>
      </c>
      <c r="L190">
        <f>Scenario_Data!J190-(((SQRT((Inputs!$C$52+(Inputs!$H$8))^2+Inputs!$C$52^2-2*(Inputs!$C$52+(Inputs!$H$8))*Inputs!$C$52*COS(SQRT((Scenario_Data!V190)^2+Inputs!$C$6^2)/Inputs!$C$52)))-(Inputs!$H$8))*1000/Inputs!$C$12)</f>
        <v>-90724.77444856253</v>
      </c>
      <c r="M190">
        <f>Scenario_Data!K190-(((SQRT((Inputs!$C$52+(Inputs!$H$9))^2+Inputs!$C$52^2-2*(Inputs!$C$52+(Inputs!$H$9))*Inputs!$C$52*COS(SQRT((Scenario_Data!W190)^2+Inputs!$C$6^2)/Inputs!$C$52)))-(Inputs!$H$9))*1000/Inputs!$C$12)</f>
        <v>-93922.892718857969</v>
      </c>
      <c r="O190">
        <f>Scenario_Data!T190</f>
        <v>34.019999999999996</v>
      </c>
      <c r="P190">
        <f>2*(Scenario_Data!B190*1000)/Inputs!$C$21*1000000</f>
        <v>2677.0917365773089</v>
      </c>
      <c r="Q190">
        <f>Scenario_Data!U190</f>
        <v>226.79999999999995</v>
      </c>
      <c r="R190">
        <f>2*(Scenario_Data!C190*1000)/Inputs!$C$21*1000000</f>
        <v>1016.3263346671646</v>
      </c>
      <c r="S190">
        <f>Scenario_Data!V190</f>
        <v>453.59999999999991</v>
      </c>
      <c r="T190">
        <f>2*(Scenario_Data!D190*1000)/Inputs!$C$21*1000000</f>
        <v>2303.1725834810677</v>
      </c>
      <c r="U190">
        <f>Scenario_Data!W190</f>
        <v>453.59999999999991</v>
      </c>
      <c r="V190">
        <f>2*(Scenario_Data!E190*1000)/Inputs!$C$21*1000000</f>
        <v>2257.9072019216701</v>
      </c>
      <c r="X190">
        <f>Scenario_Data!T190</f>
        <v>34.019999999999996</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2676.9678952459385</v>
      </c>
      <c r="Z190">
        <f>Scenario_Data!U190</f>
        <v>226.79999999999995</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1016.1752855742253</v>
      </c>
      <c r="AB190">
        <f>Scenario_Data!V190</f>
        <v>453.59999999999991</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2302.7493589619621</v>
      </c>
      <c r="AD190">
        <f>Scenario_Data!W190</f>
        <v>453.59999999999991</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2257.4839774025636</v>
      </c>
      <c r="AG190">
        <f>Scenario_Data!T190</f>
        <v>34.019999999999996</v>
      </c>
      <c r="AH190">
        <f>2*(SQRT((Inputs!$C$52+(Scenario_Data!B190))^2+Inputs!$C$52^2-2*(Inputs!$C$52+(Scenario_Data!B190))*Inputs!$C$52*COS(SQRT((Scenario_Data!T190)^2+Inputs!$C$6^2)/Inputs!$C$52))*1000)/Inputs!$C$21*1000000</f>
        <v>2695.6510690703108</v>
      </c>
      <c r="AI190">
        <f>Scenario_Data!U190</f>
        <v>226.79999999999995</v>
      </c>
      <c r="AJ190">
        <f>2*(SQRT((Inputs!$C$52+(Scenario_Data!C190))^2+Inputs!$C$52^2-2*(Inputs!$C$52+(Scenario_Data!C190))*Inputs!$C$52*COS(SQRT((Scenario_Data!U190)^2+Inputs!$C$6^2)/Inputs!$C$52))*1000)/Inputs!$C$21*1000000</f>
        <v>1889.8902432096763</v>
      </c>
      <c r="AK190">
        <f>Scenario_Data!V190</f>
        <v>453.59999999999991</v>
      </c>
      <c r="AL190">
        <f>2*(SQRT((Inputs!$C$52+(Scenario_Data!D190))^2+Inputs!$C$52^2-2*(Inputs!$C$52+(Scenario_Data!D190))*Inputs!$C$52*COS(SQRT((Scenario_Data!V190)^2+Inputs!$C$6^2)/Inputs!$C$52))*1000)/Inputs!$C$21*1000000</f>
        <v>4054.9182491071751</v>
      </c>
      <c r="AM190">
        <f>Scenario_Data!W190</f>
        <v>453.59999999999991</v>
      </c>
      <c r="AN190">
        <f>2*(SQRT((Inputs!$C$52+(Scenario_Data!E190))^2+Inputs!$C$52^2-2*(Inputs!$C$52+(Scenario_Data!E190))*Inputs!$C$52*COS(SQRT((Scenario_Data!W190)^2+Inputs!$C$6^2)/Inputs!$C$52))*1000)/Inputs!$C$21*1000000</f>
        <v>4024.4570813468608</v>
      </c>
      <c r="AP190">
        <f>Scenario_Data!T190</f>
        <v>34.019999999999996</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2694.1066115218923</v>
      </c>
      <c r="AR190">
        <f>Scenario_Data!U190</f>
        <v>226.79999999999995</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1889.5699053140133</v>
      </c>
      <c r="AT190">
        <f>Scenario_Data!V190</f>
        <v>453.59999999999991</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4054.3706512176195</v>
      </c>
      <c r="AV190">
        <f>Scenario_Data!W190</f>
        <v>453.59999999999991</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4023.9188730757278</v>
      </c>
    </row>
    <row r="191" spans="1:49">
      <c r="A191">
        <f>Chart_Data!K191</f>
        <v>34.5</v>
      </c>
      <c r="B191">
        <f>Chart_Data!N191-Chart_Data!L191</f>
        <v>-24.501863179500816</v>
      </c>
      <c r="D191">
        <f>Chart_Data!G191</f>
        <v>34.5</v>
      </c>
      <c r="E191">
        <f>Chart_Data!H191</f>
        <v>248.84143597822731</v>
      </c>
      <c r="F191">
        <f>Chart_Data!I191</f>
        <v>248.84143597822731</v>
      </c>
      <c r="G191">
        <f>Chart_Data!J191</f>
        <v>22.306190725387925</v>
      </c>
      <c r="I191">
        <f>Scenario_Data!A191</f>
        <v>0.57499999999999996</v>
      </c>
      <c r="J191">
        <f>Scenario_Data!H191-(((SQRT((Inputs!$C$52+(Inputs!$H$6))^2+Inputs!$C$52^2-2*(Inputs!$C$52+(Inputs!$H$6))*Inputs!$C$52*COS(SQRT((Scenario_Data!T191)^2+Inputs!$C$6^2)/Inputs!$C$52)))-(Inputs!$H$6))*1000/Inputs!$C$12)</f>
        <v>-4.1524868146580047</v>
      </c>
      <c r="K191">
        <f>Scenario_Data!I191-(((SQRT((Inputs!$C$52+(Inputs!$H$7))^2+Inputs!$C$52^2-2*(Inputs!$C$52+(Inputs!$H$7))*Inputs!$C$52*COS(SQRT((Scenario_Data!U191)^2+Inputs!$C$6^2)/Inputs!$C$52)))-(Inputs!$H$7))*1000/Inputs!$C$12)</f>
        <v>-38720.0379034832</v>
      </c>
      <c r="L191">
        <f>Scenario_Data!J191-(((SQRT((Inputs!$C$52+(Inputs!$H$8))^2+Inputs!$C$52^2-2*(Inputs!$C$52+(Inputs!$H$8))*Inputs!$C$52*COS(SQRT((Scenario_Data!V191)^2+Inputs!$C$6^2)/Inputs!$C$52)))-(Inputs!$H$8))*1000/Inputs!$C$12)</f>
        <v>-92670.235040711414</v>
      </c>
      <c r="M191">
        <f>Scenario_Data!K191-(((SQRT((Inputs!$C$52+(Inputs!$H$9))^2+Inputs!$C$52^2-2*(Inputs!$C$52+(Inputs!$H$9))*Inputs!$C$52*COS(SQRT((Scenario_Data!W191)^2+Inputs!$C$6^2)/Inputs!$C$52)))-(Inputs!$H$9))*1000/Inputs!$C$12)</f>
        <v>-95895.985812650615</v>
      </c>
      <c r="O191">
        <f>Scenario_Data!T191</f>
        <v>34.5</v>
      </c>
      <c r="P191">
        <f>2*(Scenario_Data!B191*1000)/Inputs!$C$21*1000000</f>
        <v>2677.3355319032075</v>
      </c>
      <c r="Q191">
        <f>Scenario_Data!U191</f>
        <v>230</v>
      </c>
      <c r="R191">
        <f>2*(Scenario_Data!C191*1000)/Inputs!$C$21*1000000</f>
        <v>1038.5726581553961</v>
      </c>
      <c r="S191">
        <f>Scenario_Data!V191</f>
        <v>460</v>
      </c>
      <c r="T191">
        <f>2*(Scenario_Data!D191*1000)/Inputs!$C$21*1000000</f>
        <v>2361.9882058540638</v>
      </c>
      <c r="U191">
        <f>Scenario_Data!W191</f>
        <v>460</v>
      </c>
      <c r="V191">
        <f>2*(Scenario_Data!E191*1000)/Inputs!$C$21*1000000</f>
        <v>2317.3323126094115</v>
      </c>
      <c r="X191">
        <f>Scenario_Data!T191</f>
        <v>34.5</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2677.1867210166747</v>
      </c>
      <c r="Z191">
        <f>Scenario_Data!U191</f>
        <v>230</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1038.4017236883185</v>
      </c>
      <c r="AB191">
        <f>Scenario_Data!V191</f>
        <v>460</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2361.943478253394</v>
      </c>
      <c r="AD191">
        <f>Scenario_Data!W191</f>
        <v>460</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2317.2875850087416</v>
      </c>
      <c r="AG191">
        <f>Scenario_Data!T191</f>
        <v>34.5</v>
      </c>
      <c r="AH191">
        <f>2*(SQRT((Inputs!$C$52+(Scenario_Data!B191))^2+Inputs!$C$52^2-2*(Inputs!$C$52+(Scenario_Data!B191))*Inputs!$C$52*COS(SQRT((Scenario_Data!T191)^2+Inputs!$C$6^2)/Inputs!$C$52))*1000)/Inputs!$C$21*1000000</f>
        <v>2696.2347566886478</v>
      </c>
      <c r="AI191">
        <f>Scenario_Data!U191</f>
        <v>230</v>
      </c>
      <c r="AJ191">
        <f>2*(SQRT((Inputs!$C$52+(Scenario_Data!C191))^2+Inputs!$C$52^2-2*(Inputs!$C$52+(Scenario_Data!C191))*Inputs!$C$52*COS(SQRT((Scenario_Data!U191)^2+Inputs!$C$6^2)/Inputs!$C$52))*1000)/Inputs!$C$21*1000000</f>
        <v>1921.8815542974669</v>
      </c>
      <c r="AK191">
        <f>Scenario_Data!V191</f>
        <v>460</v>
      </c>
      <c r="AL191">
        <f>2*(SQRT((Inputs!$C$52+(Scenario_Data!D191))^2+Inputs!$C$52^2-2*(Inputs!$C$52+(Scenario_Data!D191))*Inputs!$C$52*COS(SQRT((Scenario_Data!V191)^2+Inputs!$C$6^2)/Inputs!$C$52))*1000)/Inputs!$C$21*1000000</f>
        <v>4133.1549738663607</v>
      </c>
      <c r="AM191">
        <f>Scenario_Data!W191</f>
        <v>460</v>
      </c>
      <c r="AN191">
        <f>2*(SQRT((Inputs!$C$52+(Scenario_Data!E191))^2+Inputs!$C$52^2-2*(Inputs!$C$52+(Scenario_Data!E191))*Inputs!$C$52*COS(SQRT((Scenario_Data!W191)^2+Inputs!$C$6^2)/Inputs!$C$52))*1000)/Inputs!$C$21*1000000</f>
        <v>4102.9009668625113</v>
      </c>
      <c r="AP191">
        <f>Scenario_Data!T191</f>
        <v>34.5</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2694.5893132697602</v>
      </c>
      <c r="AR191">
        <f>Scenario_Data!U191</f>
        <v>230</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1921.4798302362296</v>
      </c>
      <c r="AT191">
        <f>Scenario_Data!V191</f>
        <v>460</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4132.7477325196587</v>
      </c>
      <c r="AV191">
        <f>Scenario_Data!W191</f>
        <v>460</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4102.5004112922288</v>
      </c>
    </row>
    <row r="192" spans="1:49">
      <c r="A192">
        <f>Chart_Data!K192</f>
        <v>35</v>
      </c>
      <c r="B192">
        <f>Chart_Data!N192-Chart_Data!L192</f>
        <v>-31.099457789278858</v>
      </c>
      <c r="D192">
        <f>Chart_Data!G192</f>
        <v>35</v>
      </c>
      <c r="E192">
        <f>Chart_Data!H192</f>
        <v>242.00890812042311</v>
      </c>
      <c r="F192">
        <f>Chart_Data!I192</f>
        <v>242.00890812042311</v>
      </c>
      <c r="G192">
        <f>Chart_Data!J192</f>
        <v>28.92396994213728</v>
      </c>
      <c r="I192">
        <f>Scenario_Data!A192</f>
        <v>0.58299999999999996</v>
      </c>
      <c r="J192">
        <f>Scenario_Data!H192-(((SQRT((Inputs!$C$52+(Inputs!$H$6))^2+Inputs!$C$52^2-2*(Inputs!$C$52+(Inputs!$H$6))*Inputs!$C$52*COS(SQRT((Scenario_Data!T192)^2+Inputs!$C$6^2)/Inputs!$C$52)))-(Inputs!$H$6))*1000/Inputs!$C$12)</f>
        <v>-4.3459520128728855</v>
      </c>
      <c r="K192">
        <f>Scenario_Data!I192-(((SQRT((Inputs!$C$52+(Inputs!$H$7))^2+Inputs!$C$52^2-2*(Inputs!$C$52+(Inputs!$H$7))*Inputs!$C$52*COS(SQRT((Scenario_Data!U192)^2+Inputs!$C$6^2)/Inputs!$C$52)))-(Inputs!$H$7))*1000/Inputs!$C$12)</f>
        <v>-39687.880586280618</v>
      </c>
      <c r="L192">
        <f>Scenario_Data!J192-(((SQRT((Inputs!$C$52+(Inputs!$H$8))^2+Inputs!$C$52^2-2*(Inputs!$C$52+(Inputs!$H$8))*Inputs!$C$52*COS(SQRT((Scenario_Data!V192)^2+Inputs!$C$6^2)/Inputs!$C$52)))-(Inputs!$H$8))*1000/Inputs!$C$12)</f>
        <v>-94618.172780739114</v>
      </c>
      <c r="M192">
        <f>Scenario_Data!K192-(((SQRT((Inputs!$C$52+(Inputs!$H$9))^2+Inputs!$C$52^2-2*(Inputs!$C$52+(Inputs!$H$9))*Inputs!$C$52*COS(SQRT((Scenario_Data!W192)^2+Inputs!$C$6^2)/Inputs!$C$52)))-(Inputs!$H$9))*1000/Inputs!$C$12)</f>
        <v>-97870.956421788025</v>
      </c>
      <c r="O192">
        <f>Scenario_Data!T192</f>
        <v>34.980000000000004</v>
      </c>
      <c r="P192">
        <f>2*(Scenario_Data!B192*1000)/Inputs!$C$21*1000000</f>
        <v>2677.5827429254409</v>
      </c>
      <c r="Q192">
        <f>Scenario_Data!U192</f>
        <v>233.19999999999993</v>
      </c>
      <c r="R192">
        <f>2*(Scenario_Data!C192*1000)/Inputs!$C$21*1000000</f>
        <v>1061.1306639341801</v>
      </c>
      <c r="S192">
        <f>Scenario_Data!V192</f>
        <v>466.39999999999986</v>
      </c>
      <c r="T192">
        <f>2*(Scenario_Data!D192*1000)/Inputs!$C$21*1000000</f>
        <v>2421.6278649678361</v>
      </c>
      <c r="U192">
        <f>Scenario_Data!W192</f>
        <v>466.39999999999986</v>
      </c>
      <c r="V192">
        <f>2*(Scenario_Data!E192*1000)/Inputs!$C$21*1000000</f>
        <v>2377.5899992787668</v>
      </c>
      <c r="X192">
        <f>Scenario_Data!T192</f>
        <v>34.980000000000004</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2677.3815092232917</v>
      </c>
      <c r="Z192">
        <f>Scenario_Data!U192</f>
        <v>233.19999999999993</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1060.8081910527985</v>
      </c>
      <c r="AB192">
        <f>Scenario_Data!V192</f>
        <v>466.39999999999986</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2421.619819894157</v>
      </c>
      <c r="AD192">
        <f>Scenario_Data!W192</f>
        <v>466.39999999999986</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2377.5819542050881</v>
      </c>
      <c r="AG192">
        <f>Scenario_Data!T192</f>
        <v>34.980000000000004</v>
      </c>
      <c r="AH192">
        <f>2*(SQRT((Inputs!$C$52+(Scenario_Data!B192))^2+Inputs!$C$52^2-2*(Inputs!$C$52+(Scenario_Data!B192))*Inputs!$C$52*COS(SQRT((Scenario_Data!T192)^2+Inputs!$C$6^2)/Inputs!$C$52))*1000)/Inputs!$C$21*1000000</f>
        <v>2696.8265277651735</v>
      </c>
      <c r="AI192">
        <f>Scenario_Data!U192</f>
        <v>233.19999999999993</v>
      </c>
      <c r="AJ192">
        <f>2*(SQRT((Inputs!$C$52+(Scenario_Data!C192))^2+Inputs!$C$52^2-2*(Inputs!$C$52+(Scenario_Data!C192))*Inputs!$C$52*COS(SQRT((Scenario_Data!U192)^2+Inputs!$C$6^2)/Inputs!$C$52))*1000)/Inputs!$C$21*1000000</f>
        <v>1954.1154016181265</v>
      </c>
      <c r="AK192">
        <f>Scenario_Data!V192</f>
        <v>466.39999999999986</v>
      </c>
      <c r="AL192">
        <f>2*(SQRT((Inputs!$C$52+(Scenario_Data!D192))^2+Inputs!$C$52^2-2*(Inputs!$C$52+(Scenario_Data!D192))*Inputs!$C$52*COS(SQRT((Scenario_Data!V192)^2+Inputs!$C$6^2)/Inputs!$C$52))*1000)/Inputs!$C$21*1000000</f>
        <v>4212.1784335476086</v>
      </c>
      <c r="AM192">
        <f>Scenario_Data!W192</f>
        <v>466.39999999999986</v>
      </c>
      <c r="AN192">
        <f>2*(SQRT((Inputs!$C$52+(Scenario_Data!E192))^2+Inputs!$C$52^2-2*(Inputs!$C$52+(Scenario_Data!E192))*Inputs!$C$52*COS(SQRT((Scenario_Data!W192)^2+Inputs!$C$6^2)/Inputs!$C$52))*1000)/Inputs!$C$21*1000000</f>
        <v>4182.1456571735444</v>
      </c>
      <c r="AP192">
        <f>Scenario_Data!T192</f>
        <v>34.980000000000004</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2695.2278389412959</v>
      </c>
      <c r="AR192">
        <f>Scenario_Data!U192</f>
        <v>233.19999999999993</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1953.5879483646522</v>
      </c>
      <c r="AT192">
        <f>Scenario_Data!V192</f>
        <v>466.39999999999986</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4211.9413090353128</v>
      </c>
      <c r="AV192">
        <f>Scenario_Data!W192</f>
        <v>466.39999999999986</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4181.9122594539649</v>
      </c>
    </row>
    <row r="193" spans="1:49">
      <c r="A193">
        <f>Chart_Data!K193</f>
        <v>35.5</v>
      </c>
      <c r="B193">
        <f>Chart_Data!N193-Chart_Data!L193</f>
        <v>-34.449555771216552</v>
      </c>
      <c r="D193">
        <f>Chart_Data!G193</f>
        <v>35.5</v>
      </c>
      <c r="E193">
        <f>Chart_Data!H193</f>
        <v>242.63788270086079</v>
      </c>
      <c r="F193">
        <f>Chart_Data!I193</f>
        <v>242.63788270086079</v>
      </c>
      <c r="G193">
        <f>Chart_Data!J193</f>
        <v>32.227616256478356</v>
      </c>
      <c r="I193">
        <f>Scenario_Data!A193</f>
        <v>0.59199999999999997</v>
      </c>
      <c r="J193">
        <f>Scenario_Data!H193-(((SQRT((Inputs!$C$52+(Inputs!$H$6))^2+Inputs!$C$52^2-2*(Inputs!$C$52+(Inputs!$H$6))*Inputs!$C$52*COS(SQRT((Scenario_Data!T193)^2+Inputs!$C$6^2)/Inputs!$C$52)))-(Inputs!$H$6))*1000/Inputs!$C$12)</f>
        <v>-4.5718748099950517</v>
      </c>
      <c r="K193">
        <f>Scenario_Data!I193-(((SQRT((Inputs!$C$52+(Inputs!$H$7))^2+Inputs!$C$52^2-2*(Inputs!$C$52+(Inputs!$H$7))*Inputs!$C$52*COS(SQRT((Scenario_Data!U193)^2+Inputs!$C$6^2)/Inputs!$C$52)))-(Inputs!$H$7))*1000/Inputs!$C$12)</f>
        <v>-40784.269673397313</v>
      </c>
      <c r="L193">
        <f>Scenario_Data!J193-(((SQRT((Inputs!$C$52+(Inputs!$H$8))^2+Inputs!$C$52^2-2*(Inputs!$C$52+(Inputs!$H$8))*Inputs!$C$52*COS(SQRT((Scenario_Data!V193)^2+Inputs!$C$6^2)/Inputs!$C$52)))-(Inputs!$H$8))*1000/Inputs!$C$12)</f>
        <v>-96812.058229060291</v>
      </c>
      <c r="M193">
        <f>Scenario_Data!K193-(((SQRT((Inputs!$C$52+(Inputs!$H$9))^2+Inputs!$C$52^2-2*(Inputs!$C$52+(Inputs!$H$9))*Inputs!$C$52*COS(SQRT((Scenario_Data!W193)^2+Inputs!$C$6^2)/Inputs!$C$52)))-(Inputs!$H$9))*1000/Inputs!$C$12)</f>
        <v>-100094.54459469789</v>
      </c>
      <c r="O193">
        <f>Scenario_Data!T193</f>
        <v>35.52000000000001</v>
      </c>
      <c r="P193">
        <f>2*(Scenario_Data!B193*1000)/Inputs!$C$21*1000000</f>
        <v>2677.8649381499786</v>
      </c>
      <c r="Q193">
        <f>Scenario_Data!U193</f>
        <v>236.80000000000007</v>
      </c>
      <c r="R193">
        <f>2*(Scenario_Data!C193*1000)/Inputs!$C$21*1000000</f>
        <v>1086.8809781732407</v>
      </c>
      <c r="S193">
        <f>Scenario_Data!V193</f>
        <v>473.60000000000014</v>
      </c>
      <c r="T193">
        <f>2*(Scenario_Data!D193*1000)/Inputs!$C$21*1000000</f>
        <v>2489.7074628875434</v>
      </c>
      <c r="U193">
        <f>Scenario_Data!W193</f>
        <v>473.60000000000014</v>
      </c>
      <c r="V193">
        <f>2*(Scenario_Data!E193*1000)/Inputs!$C$21*1000000</f>
        <v>2446.3750852598187</v>
      </c>
      <c r="X193">
        <f>Scenario_Data!T193</f>
        <v>35.52000000000001</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2677.619339587693</v>
      </c>
      <c r="Z193">
        <f>Scenario_Data!U193</f>
        <v>236.80000000000007</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1086.4391980001599</v>
      </c>
      <c r="AB193">
        <f>Scenario_Data!V193</f>
        <v>473.60000000000014</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2489.3835360654489</v>
      </c>
      <c r="AD193">
        <f>Scenario_Data!W193</f>
        <v>473.60000000000014</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2446.0511584377236</v>
      </c>
      <c r="AG193">
        <f>Scenario_Data!T193</f>
        <v>35.52000000000001</v>
      </c>
      <c r="AH193">
        <f>2*(SQRT((Inputs!$C$52+(Scenario_Data!B193))^2+Inputs!$C$52^2-2*(Inputs!$C$52+(Scenario_Data!B193))*Inputs!$C$52*COS(SQRT((Scenario_Data!T193)^2+Inputs!$C$6^2)/Inputs!$C$52))*1000)/Inputs!$C$21*1000000</f>
        <v>2697.5019276614603</v>
      </c>
      <c r="AI193">
        <f>Scenario_Data!U193</f>
        <v>236.80000000000007</v>
      </c>
      <c r="AJ193">
        <f>2*(SQRT((Inputs!$C$52+(Scenario_Data!C193))^2+Inputs!$C$52^2-2*(Inputs!$C$52+(Scenario_Data!C193))*Inputs!$C$52*COS(SQRT((Scenario_Data!U193)^2+Inputs!$C$6^2)/Inputs!$C$52))*1000)/Inputs!$C$21*1000000</f>
        <v>1990.6704964522148</v>
      </c>
      <c r="AK193">
        <f>Scenario_Data!V193</f>
        <v>473.60000000000014</v>
      </c>
      <c r="AL193">
        <f>2*(SQRT((Inputs!$C$52+(Scenario_Data!D193))^2+Inputs!$C$52^2-2*(Inputs!$C$52+(Scenario_Data!D193))*Inputs!$C$52*COS(SQRT((Scenario_Data!V193)^2+Inputs!$C$6^2)/Inputs!$C$52))*1000)/Inputs!$C$21*1000000</f>
        <v>4302.0257429515896</v>
      </c>
      <c r="AM193">
        <f>Scenario_Data!W193</f>
        <v>473.60000000000014</v>
      </c>
      <c r="AN193">
        <f>2*(SQRT((Inputs!$C$52+(Scenario_Data!E193))^2+Inputs!$C$52^2-2*(Inputs!$C$52+(Scenario_Data!E193))*Inputs!$C$52*COS(SQRT((Scenario_Data!W193)^2+Inputs!$C$6^2)/Inputs!$C$52))*1000)/Inputs!$C$21*1000000</f>
        <v>4272.258661802538</v>
      </c>
      <c r="AP193">
        <f>Scenario_Data!T193</f>
        <v>35.52000000000001</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2695.8930735840954</v>
      </c>
      <c r="AR193">
        <f>Scenario_Data!U193</f>
        <v>236.80000000000007</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1990.0401318933384</v>
      </c>
      <c r="AT193">
        <f>Scenario_Data!V193</f>
        <v>473.60000000000014</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4301.4635118338947</v>
      </c>
      <c r="AV193">
        <f>Scenario_Data!W193</f>
        <v>473.60000000000014</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4271.7048468823714</v>
      </c>
    </row>
    <row r="194" spans="1:49">
      <c r="A194">
        <f>Chart_Data!K194</f>
        <v>36</v>
      </c>
      <c r="B194">
        <f>Chart_Data!N194-Chart_Data!L194</f>
        <v>-47.771784178639138</v>
      </c>
      <c r="D194">
        <f>Chart_Data!G194</f>
        <v>36</v>
      </c>
      <c r="E194">
        <f>Chart_Data!H194</f>
        <v>251.84803304144381</v>
      </c>
      <c r="F194">
        <f>Chart_Data!I194</f>
        <v>251.84803304144381</v>
      </c>
      <c r="G194">
        <f>Chart_Data!J194</f>
        <v>45.422536466318</v>
      </c>
      <c r="I194">
        <f>Scenario_Data!A194</f>
        <v>0.6</v>
      </c>
      <c r="J194">
        <f>Scenario_Data!H194-(((SQRT((Inputs!$C$52+(Inputs!$H$6))^2+Inputs!$C$52^2-2*(Inputs!$C$52+(Inputs!$H$6))*Inputs!$C$52*COS(SQRT((Scenario_Data!T194)^2+Inputs!$C$6^2)/Inputs!$C$52)))-(Inputs!$H$6))*1000/Inputs!$C$12)</f>
        <v>-4.780239127223922</v>
      </c>
      <c r="K194">
        <f>Scenario_Data!I194-(((SQRT((Inputs!$C$52+(Inputs!$H$7))^2+Inputs!$C$52^2-2*(Inputs!$C$52+(Inputs!$H$7))*Inputs!$C$52*COS(SQRT((Scenario_Data!U194)^2+Inputs!$C$6^2)/Inputs!$C$52)))-(Inputs!$H$7))*1000/Inputs!$C$12)</f>
        <v>-41765.370410184376</v>
      </c>
      <c r="L194">
        <f>Scenario_Data!J194-(((SQRT((Inputs!$C$52+(Inputs!$H$8))^2+Inputs!$C$52^2-2*(Inputs!$C$52+(Inputs!$H$8))*Inputs!$C$52*COS(SQRT((Scenario_Data!V194)^2+Inputs!$C$6^2)/Inputs!$C$52)))-(Inputs!$H$8))*1000/Inputs!$C$12)</f>
        <v>-98763.924239837128</v>
      </c>
      <c r="M194">
        <f>Scenario_Data!K194-(((SQRT((Inputs!$C$52+(Inputs!$H$9))^2+Inputs!$C$52^2-2*(Inputs!$C$52+(Inputs!$H$9))*Inputs!$C$52*COS(SQRT((Scenario_Data!W194)^2+Inputs!$C$6^2)/Inputs!$C$52)))-(Inputs!$H$9))*1000/Inputs!$C$12)</f>
        <v>-102072.18940950758</v>
      </c>
      <c r="O194">
        <f>Scenario_Data!T194</f>
        <v>36</v>
      </c>
      <c r="P194">
        <f>2*(Scenario_Data!B194*1000)/Inputs!$C$21*1000000</f>
        <v>2678.1194075269232</v>
      </c>
      <c r="Q194">
        <f>Scenario_Data!U194</f>
        <v>240</v>
      </c>
      <c r="R194">
        <f>2*(Scenario_Data!C194*1000)/Inputs!$C$21*1000000</f>
        <v>1110.1013088194502</v>
      </c>
      <c r="S194">
        <f>Scenario_Data!V194</f>
        <v>480</v>
      </c>
      <c r="T194">
        <f>2*(Scenario_Data!D194*1000)/Inputs!$C$21*1000000</f>
        <v>2551.098200075467</v>
      </c>
      <c r="U194">
        <f>Scenario_Data!W194</f>
        <v>480</v>
      </c>
      <c r="V194">
        <f>2*(Scenario_Data!E194*1000)/Inputs!$C$21*1000000</f>
        <v>2508.4019958901035</v>
      </c>
      <c r="X194">
        <f>Scenario_Data!T194</f>
        <v>36</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2677.8163809813632</v>
      </c>
      <c r="Z194">
        <f>Scenario_Data!U194</f>
        <v>240</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1109.5134375416669</v>
      </c>
      <c r="AB194">
        <f>Scenario_Data!V194</f>
        <v>480</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2551.1472763301176</v>
      </c>
      <c r="AD194">
        <f>Scenario_Data!W194</f>
        <v>480</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2508.4510721447541</v>
      </c>
      <c r="AG194">
        <f>Scenario_Data!T194</f>
        <v>36</v>
      </c>
      <c r="AH194">
        <f>2*(SQRT((Inputs!$C$52+(Scenario_Data!B194))^2+Inputs!$C$52^2-2*(Inputs!$C$52+(Scenario_Data!B194))*Inputs!$C$52*COS(SQRT((Scenario_Data!T194)^2+Inputs!$C$6^2)/Inputs!$C$52))*1000)/Inputs!$C$21*1000000</f>
        <v>2698.1108631681168</v>
      </c>
      <c r="AI194">
        <f>Scenario_Data!U194</f>
        <v>240</v>
      </c>
      <c r="AJ194">
        <f>2*(SQRT((Inputs!$C$52+(Scenario_Data!C194))^2+Inputs!$C$52^2-2*(Inputs!$C$52+(Scenario_Data!C194))*Inputs!$C$52*COS(SQRT((Scenario_Data!U194)^2+Inputs!$C$6^2)/Inputs!$C$52))*1000)/Inputs!$C$21*1000000</f>
        <v>2023.4253433638573</v>
      </c>
      <c r="AK194">
        <f>Scenario_Data!V194</f>
        <v>480</v>
      </c>
      <c r="AL194">
        <f>2*(SQRT((Inputs!$C$52+(Scenario_Data!D194))^2+Inputs!$C$52^2-2*(Inputs!$C$52+(Scenario_Data!D194))*Inputs!$C$52*COS(SQRT((Scenario_Data!V194)^2+Inputs!$C$6^2)/Inputs!$C$52))*1000)/Inputs!$C$21*1000000</f>
        <v>4382.7356096105759</v>
      </c>
      <c r="AM194">
        <f>Scenario_Data!W194</f>
        <v>480</v>
      </c>
      <c r="AN194">
        <f>2*(SQRT((Inputs!$C$52+(Scenario_Data!E194))^2+Inputs!$C$52^2-2*(Inputs!$C$52+(Scenario_Data!E194))*Inputs!$C$52*COS(SQRT((Scenario_Data!W194)^2+Inputs!$C$6^2)/Inputs!$C$52))*1000)/Inputs!$C$21*1000000</f>
        <v>4353.2196326758594</v>
      </c>
      <c r="AP194">
        <f>Scenario_Data!T194</f>
        <v>36</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2696.4463864364902</v>
      </c>
      <c r="AR194">
        <f>Scenario_Data!U194</f>
        <v>240</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2022.8801679683361</v>
      </c>
      <c r="AT194">
        <f>Scenario_Data!V194</f>
        <v>480</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4382.539155040683</v>
      </c>
      <c r="AV194">
        <f>Scenario_Data!W194</f>
        <v>480</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4353.0259921204488</v>
      </c>
    </row>
    <row r="195" spans="1:49">
      <c r="A195">
        <f>Chart_Data!K195</f>
        <v>36.5</v>
      </c>
      <c r="B195">
        <f>Chart_Data!N195-Chart_Data!L195</f>
        <v>-47.588505005609107</v>
      </c>
      <c r="D195">
        <f>Chart_Data!G195</f>
        <v>36.5</v>
      </c>
      <c r="E195">
        <f>Chart_Data!H195</f>
        <v>274.31313500223371</v>
      </c>
      <c r="F195">
        <f>Chart_Data!I195</f>
        <v>274.31313500223371</v>
      </c>
      <c r="G195">
        <f>Chart_Data!J195</f>
        <v>44.982194799694888</v>
      </c>
      <c r="I195">
        <f>Scenario_Data!A195</f>
        <v>0.60799999999999998</v>
      </c>
      <c r="J195">
        <f>Scenario_Data!H195-(((SQRT((Inputs!$C$52+(Inputs!$H$6))^2+Inputs!$C$52^2-2*(Inputs!$C$52+(Inputs!$H$6))*Inputs!$C$52*COS(SQRT((Scenario_Data!T195)^2+Inputs!$C$6^2)/Inputs!$C$52)))-(Inputs!$H$6))*1000/Inputs!$C$12)</f>
        <v>-4.995883813084447</v>
      </c>
      <c r="K195">
        <f>Scenario_Data!I195-(((SQRT((Inputs!$C$52+(Inputs!$H$7))^2+Inputs!$C$52^2-2*(Inputs!$C$52+(Inputs!$H$7))*Inputs!$C$52*COS(SQRT((Scenario_Data!U195)^2+Inputs!$C$6^2)/Inputs!$C$52)))-(Inputs!$H$7))*1000/Inputs!$C$12)</f>
        <v>-42752.441205505645</v>
      </c>
      <c r="L195">
        <f>Scenario_Data!J195-(((SQRT((Inputs!$C$52+(Inputs!$H$8))^2+Inputs!$C$52^2-2*(Inputs!$C$52+(Inputs!$H$8))*Inputs!$C$52*COS(SQRT((Scenario_Data!V195)^2+Inputs!$C$6^2)/Inputs!$C$52)))-(Inputs!$H$8))*1000/Inputs!$C$12)</f>
        <v>-100717.0331168441</v>
      </c>
      <c r="M195">
        <f>Scenario_Data!K195-(((SQRT((Inputs!$C$52+(Inputs!$H$9))^2+Inputs!$C$52^2-2*(Inputs!$C$52+(Inputs!$H$9))*Inputs!$C$52*COS(SQRT((Scenario_Data!W195)^2+Inputs!$C$6^2)/Inputs!$C$52)))-(Inputs!$H$9))*1000/Inputs!$C$12)</f>
        <v>-104050.49672552545</v>
      </c>
      <c r="O195">
        <f>Scenario_Data!T195</f>
        <v>36.480000000000004</v>
      </c>
      <c r="P195">
        <f>2*(Scenario_Data!B195*1000)/Inputs!$C$21*1000000</f>
        <v>2678.377292600203</v>
      </c>
      <c r="Q195">
        <f>Scenario_Data!U195</f>
        <v>243.20000000000005</v>
      </c>
      <c r="R195">
        <f>2*(Scenario_Data!C195*1000)/Inputs!$C$21*1000000</f>
        <v>1133.6333217562135</v>
      </c>
      <c r="S195">
        <f>Scenario_Data!V195</f>
        <v>486.40000000000009</v>
      </c>
      <c r="T195">
        <f>2*(Scenario_Data!D195*1000)/Inputs!$C$21*1000000</f>
        <v>2613.31297400417</v>
      </c>
      <c r="U195">
        <f>Scenario_Data!W195</f>
        <v>486.40000000000009</v>
      </c>
      <c r="V195">
        <f>2*(Scenario_Data!E195*1000)/Inputs!$C$21*1000000</f>
        <v>2571.2614825020055</v>
      </c>
      <c r="X195">
        <f>Scenario_Data!T195</f>
        <v>36.480000000000004</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2678.077818920377</v>
      </c>
      <c r="Z195">
        <f>Scenario_Data!U195</f>
        <v>243.20000000000005</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1133.2303407408722</v>
      </c>
      <c r="AB195">
        <f>Scenario_Data!V195</f>
        <v>486.40000000000009</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2612.9574942317927</v>
      </c>
      <c r="AD195">
        <f>Scenario_Data!W195</f>
        <v>486.40000000000009</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2570.9060027296282</v>
      </c>
      <c r="AG195">
        <f>Scenario_Data!T195</f>
        <v>36.480000000000004</v>
      </c>
      <c r="AH195">
        <f>2*(SQRT((Inputs!$C$52+(Scenario_Data!B195))^2+Inputs!$C$52^2-2*(Inputs!$C$52+(Scenario_Data!B195))*Inputs!$C$52*COS(SQRT((Scenario_Data!T195)^2+Inputs!$C$6^2)/Inputs!$C$52))*1000)/Inputs!$C$21*1000000</f>
        <v>2698.7278698689106</v>
      </c>
      <c r="AI195">
        <f>Scenario_Data!U195</f>
        <v>243.20000000000005</v>
      </c>
      <c r="AJ195">
        <f>2*(SQRT((Inputs!$C$52+(Scenario_Data!C195))^2+Inputs!$C$52^2-2*(Inputs!$C$52+(Scenario_Data!C195))*Inputs!$C$52*COS(SQRT((Scenario_Data!U195)^2+Inputs!$C$6^2)/Inputs!$C$52))*1000)/Inputs!$C$21*1000000</f>
        <v>2056.4279743959246</v>
      </c>
      <c r="AK195">
        <f>Scenario_Data!V195</f>
        <v>486.40000000000009</v>
      </c>
      <c r="AL195">
        <f>2*(SQRT((Inputs!$C$52+(Scenario_Data!D195))^2+Inputs!$C$52^2-2*(Inputs!$C$52+(Scenario_Data!D195))*Inputs!$C$52*COS(SQRT((Scenario_Data!V195)^2+Inputs!$C$6^2)/Inputs!$C$52))*1000)/Inputs!$C$21*1000000</f>
        <v>4464.2456995999191</v>
      </c>
      <c r="AM195">
        <f>Scenario_Data!W195</f>
        <v>486.40000000000009</v>
      </c>
      <c r="AN195">
        <f>2*(SQRT((Inputs!$C$52+(Scenario_Data!E195))^2+Inputs!$C$52^2-2*(Inputs!$C$52+(Scenario_Data!E195))*Inputs!$C$52*COS(SQRT((Scenario_Data!W195)^2+Inputs!$C$6^2)/Inputs!$C$52))*1000)/Inputs!$C$21*1000000</f>
        <v>4434.9948626697578</v>
      </c>
      <c r="AP195">
        <f>Scenario_Data!T195</f>
        <v>36.480000000000004</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2696.9847033524652</v>
      </c>
      <c r="AR195">
        <f>Scenario_Data!U195</f>
        <v>243.20000000000005</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2055.9167011409659</v>
      </c>
      <c r="AT195">
        <f>Scenario_Data!V195</f>
        <v>486.40000000000009</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4463.7348531875177</v>
      </c>
      <c r="AV195">
        <f>Scenario_Data!W195</f>
        <v>486.40000000000009</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4434.4910214656966</v>
      </c>
    </row>
    <row r="196" spans="1:49">
      <c r="A196">
        <f>Chart_Data!K196</f>
        <v>37</v>
      </c>
      <c r="B196">
        <f>Chart_Data!N196-Chart_Data!L196</f>
        <v>-61.043912792825353</v>
      </c>
      <c r="D196">
        <f>Chart_Data!G196</f>
        <v>37</v>
      </c>
      <c r="E196">
        <f>Chart_Data!H196</f>
        <v>277.26991348245565</v>
      </c>
      <c r="F196">
        <f>Chart_Data!I196</f>
        <v>277.26991348245565</v>
      </c>
      <c r="G196">
        <f>Chart_Data!J196</f>
        <v>58.360988043050376</v>
      </c>
      <c r="I196">
        <f>Scenario_Data!A196</f>
        <v>0.61699999999999999</v>
      </c>
      <c r="J196">
        <f>Scenario_Data!H196-(((SQRT((Inputs!$C$52+(Inputs!$H$6))^2+Inputs!$C$52^2-2*(Inputs!$C$52+(Inputs!$H$6))*Inputs!$C$52*COS(SQRT((Scenario_Data!T196)^2+Inputs!$C$6^2)/Inputs!$C$52)))-(Inputs!$H$6))*1000/Inputs!$C$12)</f>
        <v>-5.2474043572378832</v>
      </c>
      <c r="K196">
        <f>Scenario_Data!I196-(((SQRT((Inputs!$C$52+(Inputs!$H$7))^2+Inputs!$C$52^2-2*(Inputs!$C$52+(Inputs!$H$7))*Inputs!$C$52*COS(SQRT((Scenario_Data!U196)^2+Inputs!$C$6^2)/Inputs!$C$52)))-(Inputs!$H$7))*1000/Inputs!$C$12)</f>
        <v>-43869.822519639056</v>
      </c>
      <c r="L196">
        <f>Scenario_Data!J196-(((SQRT((Inputs!$C$52+(Inputs!$H$8))^2+Inputs!$C$52^2-2*(Inputs!$C$52+(Inputs!$H$8))*Inputs!$C$52*COS(SQRT((Scenario_Data!V196)^2+Inputs!$C$6^2)/Inputs!$C$52)))-(Inputs!$H$8))*1000/Inputs!$C$12)</f>
        <v>-102915.30156679449</v>
      </c>
      <c r="M196">
        <f>Scenario_Data!K196-(((SQRT((Inputs!$C$52+(Inputs!$H$9))^2+Inputs!$C$52^2-2*(Inputs!$C$52+(Inputs!$H$9))*Inputs!$C$52*COS(SQRT((Scenario_Data!W196)^2+Inputs!$C$6^2)/Inputs!$C$52)))-(Inputs!$H$9))*1000/Inputs!$C$12)</f>
        <v>-106276.42770998081</v>
      </c>
      <c r="O196">
        <f>Scenario_Data!T196</f>
        <v>37.019999999999996</v>
      </c>
      <c r="P196">
        <f>2*(Scenario_Data!B196*1000)/Inputs!$C$21*1000000</f>
        <v>2678.6714961321677</v>
      </c>
      <c r="Q196">
        <f>Scenario_Data!U196</f>
        <v>246.79999999999995</v>
      </c>
      <c r="R196">
        <f>2*(Scenario_Data!C196*1000)/Inputs!$C$21*1000000</f>
        <v>1160.4793940479979</v>
      </c>
      <c r="S196">
        <f>Scenario_Data!V196</f>
        <v>493.59999999999991</v>
      </c>
      <c r="T196">
        <f>2*(Scenario_Data!D196*1000)/Inputs!$C$21*1000000</f>
        <v>2684.289576090669</v>
      </c>
      <c r="U196">
        <f>Scenario_Data!W196</f>
        <v>493.59999999999991</v>
      </c>
      <c r="V196">
        <f>2*(Scenario_Data!E196*1000)/Inputs!$C$21*1000000</f>
        <v>2642.9735934184168</v>
      </c>
      <c r="X196">
        <f>Scenario_Data!T196</f>
        <v>37.019999999999996</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2678.2572674085541</v>
      </c>
      <c r="Z196">
        <f>Scenario_Data!U196</f>
        <v>246.79999999999995</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1160.4424143897661</v>
      </c>
      <c r="AB196">
        <f>Scenario_Data!V196</f>
        <v>493.59999999999991</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2683.9185129860048</v>
      </c>
      <c r="AD196">
        <f>Scenario_Data!W196</f>
        <v>493.59999999999991</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2642.6025303137526</v>
      </c>
      <c r="AG196">
        <f>Scenario_Data!T196</f>
        <v>37.019999999999996</v>
      </c>
      <c r="AH196">
        <f>2*(SQRT((Inputs!$C$52+(Scenario_Data!B196))^2+Inputs!$C$52^2-2*(Inputs!$C$52+(Scenario_Data!B196))*Inputs!$C$52*COS(SQRT((Scenario_Data!T196)^2+Inputs!$C$6^2)/Inputs!$C$52))*1000)/Inputs!$C$21*1000000</f>
        <v>2699.43164499259</v>
      </c>
      <c r="AI196">
        <f>Scenario_Data!U196</f>
        <v>246.79999999999995</v>
      </c>
      <c r="AJ196">
        <f>2*(SQRT((Inputs!$C$52+(Scenario_Data!C196))^2+Inputs!$C$52^2-2*(Inputs!$C$52+(Scenario_Data!C196))*Inputs!$C$52*COS(SQRT((Scenario_Data!U196)^2+Inputs!$C$6^2)/Inputs!$C$52))*1000)/Inputs!$C$21*1000000</f>
        <v>2093.8541637602912</v>
      </c>
      <c r="AK196">
        <f>Scenario_Data!V196</f>
        <v>493.59999999999991</v>
      </c>
      <c r="AL196">
        <f>2*(SQRT((Inputs!$C$52+(Scenario_Data!D196))^2+Inputs!$C$52^2-2*(Inputs!$C$52+(Scenario_Data!D196))*Inputs!$C$52*COS(SQRT((Scenario_Data!V196)^2+Inputs!$C$6^2)/Inputs!$C$52))*1000)/Inputs!$C$21*1000000</f>
        <v>4556.9061458124152</v>
      </c>
      <c r="AM196">
        <f>Scenario_Data!W196</f>
        <v>493.59999999999991</v>
      </c>
      <c r="AN196">
        <f>2*(SQRT((Inputs!$C$52+(Scenario_Data!E196))^2+Inputs!$C$52^2-2*(Inputs!$C$52+(Scenario_Data!E196))*Inputs!$C$52*COS(SQRT((Scenario_Data!W196)^2+Inputs!$C$6^2)/Inputs!$C$52))*1000)/Inputs!$C$21*1000000</f>
        <v>4527.9703428920966</v>
      </c>
      <c r="AP196">
        <f>Scenario_Data!T196</f>
        <v>37.019999999999996</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2697.5027559631326</v>
      </c>
      <c r="AR196">
        <f>Scenario_Data!U196</f>
        <v>246.79999999999995</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2093.535999451713</v>
      </c>
      <c r="AT196">
        <f>Scenario_Data!V196</f>
        <v>493.59999999999991</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4556.3885695193476</v>
      </c>
      <c r="AV196">
        <f>Scenario_Data!W196</f>
        <v>493.59999999999991</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4527.4595208184792</v>
      </c>
    </row>
    <row r="197" spans="1:49">
      <c r="A197">
        <f>Chart_Data!K197</f>
        <v>37.5</v>
      </c>
      <c r="B197">
        <f>Chart_Data!N197-Chart_Data!L197</f>
        <v>-58.846802725709239</v>
      </c>
      <c r="D197">
        <f>Chart_Data!G197</f>
        <v>37.5</v>
      </c>
      <c r="E197">
        <f>Chart_Data!H197</f>
        <v>280.68428636923539</v>
      </c>
      <c r="F197">
        <f>Chart_Data!I197</f>
        <v>280.68428636923539</v>
      </c>
      <c r="G197">
        <f>Chart_Data!J197</f>
        <v>56.081084744036659</v>
      </c>
      <c r="I197">
        <f>Scenario_Data!A197</f>
        <v>0.625</v>
      </c>
      <c r="J197">
        <f>Scenario_Data!H197-(((SQRT((Inputs!$C$52+(Inputs!$H$6))^2+Inputs!$C$52^2-2*(Inputs!$C$52+(Inputs!$H$6))*Inputs!$C$52*COS(SQRT((Scenario_Data!T197)^2+Inputs!$C$6^2)/Inputs!$C$52)))-(Inputs!$H$6))*1000/Inputs!$C$12)</f>
        <v>-5.479103372775171</v>
      </c>
      <c r="K197">
        <f>Scenario_Data!I197-(((SQRT((Inputs!$C$52+(Inputs!$H$7))^2+Inputs!$C$52^2-2*(Inputs!$C$52+(Inputs!$H$7))*Inputs!$C$52*COS(SQRT((Scenario_Data!U197)^2+Inputs!$C$6^2)/Inputs!$C$52)))-(Inputs!$H$7))*1000/Inputs!$C$12)</f>
        <v>-44869.024435891464</v>
      </c>
      <c r="L197">
        <f>Scenario_Data!J197-(((SQRT((Inputs!$C$52+(Inputs!$H$8))^2+Inputs!$C$52^2-2*(Inputs!$C$52+(Inputs!$H$8))*Inputs!$C$52*COS(SQRT((Scenario_Data!V197)^2+Inputs!$C$6^2)/Inputs!$C$52)))-(Inputs!$H$8))*1000/Inputs!$C$12)</f>
        <v>-104869.82387216578</v>
      </c>
      <c r="M197">
        <f>Scenario_Data!K197-(((SQRT((Inputs!$C$52+(Inputs!$H$9))^2+Inputs!$C$52^2-2*(Inputs!$C$52+(Inputs!$H$9))*Inputs!$C$52*COS(SQRT((Scenario_Data!W197)^2+Inputs!$C$6^2)/Inputs!$C$52)))-(Inputs!$H$9))*1000/Inputs!$C$12)</f>
        <v>-108254.93665267841</v>
      </c>
      <c r="O197">
        <f>Scenario_Data!T197</f>
        <v>37.5</v>
      </c>
      <c r="P197">
        <f>2*(Scenario_Data!B197*1000)/Inputs!$C$21*1000000</f>
        <v>2678.9366395601587</v>
      </c>
      <c r="Q197">
        <f>Scenario_Data!U197</f>
        <v>250</v>
      </c>
      <c r="R197">
        <f>2*(Scenario_Data!C197*1000)/Inputs!$C$21*1000000</f>
        <v>1184.6737318521868</v>
      </c>
      <c r="S197">
        <f>Scenario_Data!V197</f>
        <v>500</v>
      </c>
      <c r="T197">
        <f>2*(Scenario_Data!D197*1000)/Inputs!$C$21*1000000</f>
        <v>2748.2554280935246</v>
      </c>
      <c r="U197">
        <f>Scenario_Data!W197</f>
        <v>500</v>
      </c>
      <c r="V197">
        <f>2*(Scenario_Data!E197*1000)/Inputs!$C$21*1000000</f>
        <v>2707.6023039912498</v>
      </c>
      <c r="X197">
        <f>Scenario_Data!T197</f>
        <v>37.5</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2678.5625068343511</v>
      </c>
      <c r="Z197">
        <f>Scenario_Data!U197</f>
        <v>250</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1184.7688552263792</v>
      </c>
      <c r="AB197">
        <f>Scenario_Data!V197</f>
        <v>500</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2748.1539582175906</v>
      </c>
      <c r="AD197">
        <f>Scenario_Data!W197</f>
        <v>500</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2707.5008341153157</v>
      </c>
      <c r="AG197">
        <f>Scenario_Data!T197</f>
        <v>37.5</v>
      </c>
      <c r="AH197">
        <f>2*(SQRT((Inputs!$C$52+(Scenario_Data!B197))^2+Inputs!$C$52^2-2*(Inputs!$C$52+(Scenario_Data!B197))*Inputs!$C$52*COS(SQRT((Scenario_Data!T197)^2+Inputs!$C$6^2)/Inputs!$C$52))*1000)/Inputs!$C$21*1000000</f>
        <v>2700.0657895548352</v>
      </c>
      <c r="AI197">
        <f>Scenario_Data!U197</f>
        <v>250</v>
      </c>
      <c r="AJ197">
        <f>2*(SQRT((Inputs!$C$52+(Scenario_Data!C197))^2+Inputs!$C$52^2-2*(Inputs!$C$52+(Scenario_Data!C197))*Inputs!$C$52*COS(SQRT((Scenario_Data!U197)^2+Inputs!$C$6^2)/Inputs!$C$52))*1000)/Inputs!$C$21*1000000</f>
        <v>2127.3887833117165</v>
      </c>
      <c r="AK197">
        <f>Scenario_Data!V197</f>
        <v>500</v>
      </c>
      <c r="AL197">
        <f>2*(SQRT((Inputs!$C$52+(Scenario_Data!D197))^2+Inputs!$C$52^2-2*(Inputs!$C$52+(Scenario_Data!D197))*Inputs!$C$52*COS(SQRT((Scenario_Data!V197)^2+Inputs!$C$6^2)/Inputs!$C$52))*1000)/Inputs!$C$21*1000000</f>
        <v>4640.1301264745007</v>
      </c>
      <c r="AM197">
        <f>Scenario_Data!W197</f>
        <v>500</v>
      </c>
      <c r="AN197">
        <f>2*(SQRT((Inputs!$C$52+(Scenario_Data!E197))^2+Inputs!$C$52^2-2*(Inputs!$C$52+(Scenario_Data!E197))*Inputs!$C$52*COS(SQRT((Scenario_Data!W197)^2+Inputs!$C$6^2)/Inputs!$C$52))*1000)/Inputs!$C$21*1000000</f>
        <v>4611.4892166235932</v>
      </c>
      <c r="AP197">
        <f>Scenario_Data!T197</f>
        <v>37.5</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2698.211716438776</v>
      </c>
      <c r="AR197">
        <f>Scenario_Data!U197</f>
        <v>250</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2127.0890152273869</v>
      </c>
      <c r="AT197">
        <f>Scenario_Data!V197</f>
        <v>500</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4639.8085071502774</v>
      </c>
      <c r="AV197">
        <f>Scenario_Data!W197</f>
        <v>500</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4611.1716118682671</v>
      </c>
    </row>
    <row r="198" spans="1:49">
      <c r="A198">
        <f>Chart_Data!K198</f>
        <v>38</v>
      </c>
      <c r="B198">
        <f>Chart_Data!N198-Chart_Data!L198</f>
        <v>-77.724391464355591</v>
      </c>
      <c r="D198">
        <f>Chart_Data!G198</f>
        <v>38</v>
      </c>
      <c r="E198">
        <f>Chart_Data!H198</f>
        <v>282.3717678695042</v>
      </c>
      <c r="F198">
        <f>Chart_Data!I198</f>
        <v>282.3717678695042</v>
      </c>
      <c r="G198">
        <f>Chart_Data!J198</f>
        <v>74.89136844725374</v>
      </c>
      <c r="I198">
        <f>Scenario_Data!A198</f>
        <v>0.63300000000000001</v>
      </c>
      <c r="J198">
        <f>Scenario_Data!H198-(((SQRT((Inputs!$C$52+(Inputs!$H$6))^2+Inputs!$C$52^2-2*(Inputs!$C$52+(Inputs!$H$6))*Inputs!$C$52*COS(SQRT((Scenario_Data!T198)^2+Inputs!$C$6^2)/Inputs!$C$52)))-(Inputs!$H$6))*1000/Inputs!$C$12)</f>
        <v>-5.7186363390651422</v>
      </c>
      <c r="K198">
        <f>Scenario_Data!I198-(((SQRT((Inputs!$C$52+(Inputs!$H$7))^2+Inputs!$C$52^2-2*(Inputs!$C$52+(Inputs!$H$7))*Inputs!$C$52*COS(SQRT((Scenario_Data!U198)^2+Inputs!$C$6^2)/Inputs!$C$52)))-(Inputs!$H$7))*1000/Inputs!$C$12)</f>
        <v>-45873.679789055182</v>
      </c>
      <c r="L198">
        <f>Scenario_Data!J198-(((SQRT((Inputs!$C$52+(Inputs!$H$8))^2+Inputs!$C$52^2-2*(Inputs!$C$52+(Inputs!$H$8))*Inputs!$C$52*COS(SQRT((Scenario_Data!V198)^2+Inputs!$C$6^2)/Inputs!$C$52)))-(Inputs!$H$8))*1000/Inputs!$C$12)</f>
        <v>-106824.4548063119</v>
      </c>
      <c r="M198">
        <f>Scenario_Data!K198-(((SQRT((Inputs!$C$52+(Inputs!$H$9))^2+Inputs!$C$52^2-2*(Inputs!$C$52+(Inputs!$H$9))*Inputs!$C$52*COS(SQRT((Scenario_Data!W198)^2+Inputs!$C$6^2)/Inputs!$C$52)))-(Inputs!$H$9))*1000/Inputs!$C$12)</f>
        <v>-110232.99428005761</v>
      </c>
      <c r="O198">
        <f>Scenario_Data!T198</f>
        <v>37.980000000000004</v>
      </c>
      <c r="P198">
        <f>2*(Scenario_Data!B198*1000)/Inputs!$C$21*1000000</f>
        <v>2679.2051986844849</v>
      </c>
      <c r="Q198">
        <f>Scenario_Data!U198</f>
        <v>253.20000000000005</v>
      </c>
      <c r="R198">
        <f>2*(Scenario_Data!C198*1000)/Inputs!$C$21*1000000</f>
        <v>1209.1797519469292</v>
      </c>
      <c r="S198">
        <f>Scenario_Data!V198</f>
        <v>506.40000000000009</v>
      </c>
      <c r="T198">
        <f>2*(Scenario_Data!D198*1000)/Inputs!$C$21*1000000</f>
        <v>2813.0453168371578</v>
      </c>
      <c r="U198">
        <f>Scenario_Data!W198</f>
        <v>506.40000000000009</v>
      </c>
      <c r="V198">
        <f>2*(Scenario_Data!E198*1000)/Inputs!$C$21*1000000</f>
        <v>2773.0635905456975</v>
      </c>
      <c r="X198">
        <f>Scenario_Data!T198</f>
        <v>37.980000000000004</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2678.7296092144975</v>
      </c>
      <c r="Z198">
        <f>Scenario_Data!U198</f>
        <v>253.20000000000005</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1208.901125428142</v>
      </c>
      <c r="AB198">
        <f>Scenario_Data!V198</f>
        <v>506.40000000000009</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2812.6430211949514</v>
      </c>
      <c r="AD198">
        <f>Scenario_Data!W198</f>
        <v>506.40000000000009</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2772.6612949034916</v>
      </c>
      <c r="AG198">
        <f>Scenario_Data!T198</f>
        <v>37.980000000000004</v>
      </c>
      <c r="AH198">
        <f>2*(SQRT((Inputs!$C$52+(Scenario_Data!B198))^2+Inputs!$C$52^2-2*(Inputs!$C$52+(Scenario_Data!B198))*Inputs!$C$52*COS(SQRT((Scenario_Data!T198)^2+Inputs!$C$6^2)/Inputs!$C$52))*1000)/Inputs!$C$21*1000000</f>
        <v>2700.7079925706203</v>
      </c>
      <c r="AI198">
        <f>Scenario_Data!U198</f>
        <v>253.20000000000005</v>
      </c>
      <c r="AJ198">
        <f>2*(SQRT((Inputs!$C$52+(Scenario_Data!C198))^2+Inputs!$C$52^2-2*(Inputs!$C$52+(Scenario_Data!C198))*Inputs!$C$52*COS(SQRT((Scenario_Data!U198)^2+Inputs!$C$6^2)/Inputs!$C$52))*1000)/Inputs!$C$21*1000000</f>
        <v>2161.1762766414804</v>
      </c>
      <c r="AK198">
        <f>Scenario_Data!V198</f>
        <v>506.40000000000009</v>
      </c>
      <c r="AL198">
        <f>2*(SQRT((Inputs!$C$52+(Scenario_Data!D198))^2+Inputs!$C$52^2-2*(Inputs!$C$52+(Scenario_Data!D198))*Inputs!$C$52*COS(SQRT((Scenario_Data!V198)^2+Inputs!$C$6^2)/Inputs!$C$52))*1000)/Inputs!$C$21*1000000</f>
        <v>4724.1667239784065</v>
      </c>
      <c r="AM198">
        <f>Scenario_Data!W198</f>
        <v>506.40000000000009</v>
      </c>
      <c r="AN198">
        <f>2*(SQRT((Inputs!$C$52+(Scenario_Data!E198))^2+Inputs!$C$52^2-2*(Inputs!$C$52+(Scenario_Data!E198))*Inputs!$C$52*COS(SQRT((Scenario_Data!W198)^2+Inputs!$C$6^2)/Inputs!$C$52))*1000)/Inputs!$C$21*1000000</f>
        <v>4695.8346660074885</v>
      </c>
      <c r="AP198">
        <f>Scenario_Data!T198</f>
        <v>37.980000000000004</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2698.7445748679534</v>
      </c>
      <c r="AR198">
        <f>Scenario_Data!U198</f>
        <v>253.20000000000005</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2160.6819275242242</v>
      </c>
      <c r="AT198">
        <f>Scenario_Data!V198</f>
        <v>506.40000000000009</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4723.4754348042952</v>
      </c>
      <c r="AV198">
        <f>Scenario_Data!W198</f>
        <v>506.40000000000009</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4695.1516327932304</v>
      </c>
    </row>
    <row r="199" spans="1:49">
      <c r="A199">
        <f>Chart_Data!K199</f>
        <v>38.5</v>
      </c>
      <c r="B199">
        <f>Chart_Data!N199-Chart_Data!L199</f>
        <v>-84.408268775503075</v>
      </c>
      <c r="D199">
        <f>Chart_Data!G199</f>
        <v>38.5</v>
      </c>
      <c r="E199">
        <f>Chart_Data!H199</f>
        <v>311.18191933727104</v>
      </c>
      <c r="F199">
        <f>Chart_Data!I199</f>
        <v>311.18191933727104</v>
      </c>
      <c r="G199">
        <f>Chart_Data!J199</f>
        <v>81.229436651819583</v>
      </c>
      <c r="I199">
        <f>Scenario_Data!A199</f>
        <v>0.64200000000000002</v>
      </c>
      <c r="J199">
        <f>Scenario_Data!H199-(((SQRT((Inputs!$C$52+(Inputs!$H$6))^2+Inputs!$C$52^2-2*(Inputs!$C$52+(Inputs!$H$6))*Inputs!$C$52*COS(SQRT((Scenario_Data!T199)^2+Inputs!$C$6^2)/Inputs!$C$52)))-(Inputs!$H$6))*1000/Inputs!$C$12)</f>
        <v>-5.9977007769762167</v>
      </c>
      <c r="K199">
        <f>Scenario_Data!I199-(((SQRT((Inputs!$C$52+(Inputs!$H$7))^2+Inputs!$C$52^2-2*(Inputs!$C$52+(Inputs!$H$7))*Inputs!$C$52*COS(SQRT((Scenario_Data!U199)^2+Inputs!$C$6^2)/Inputs!$C$52)))-(Inputs!$H$7))*1000/Inputs!$C$12)</f>
        <v>-47010.236953450061</v>
      </c>
      <c r="L199">
        <f>Scenario_Data!J199-(((SQRT((Inputs!$C$52+(Inputs!$H$8))^2+Inputs!$C$52^2-2*(Inputs!$C$52+(Inputs!$H$8))*Inputs!$C$52*COS(SQRT((Scenario_Data!V199)^2+Inputs!$C$6^2)/Inputs!$C$52)))-(Inputs!$H$8))*1000/Inputs!$C$12)</f>
        <v>-109023.11773384197</v>
      </c>
      <c r="M199">
        <f>Scenario_Data!K199-(((SQRT((Inputs!$C$52+(Inputs!$H$9))^2+Inputs!$C$52^2-2*(Inputs!$C$52+(Inputs!$H$9))*Inputs!$C$52*COS(SQRT((Scenario_Data!W199)^2+Inputs!$C$6^2)/Inputs!$C$52)))-(Inputs!$H$9))*1000/Inputs!$C$12)</f>
        <v>-112457.35129337219</v>
      </c>
      <c r="O199">
        <f>Scenario_Data!T199</f>
        <v>38.519999999999996</v>
      </c>
      <c r="P199">
        <f>2*(Scenario_Data!B199*1000)/Inputs!$C$21*1000000</f>
        <v>2679.5114105238763</v>
      </c>
      <c r="Q199">
        <f>Scenario_Data!U199</f>
        <v>256.79999999999995</v>
      </c>
      <c r="R199">
        <f>2*(Scenario_Data!C199*1000)/Inputs!$C$21*1000000</f>
        <v>1237.1215822914396</v>
      </c>
      <c r="S199">
        <f>Scenario_Data!V199</f>
        <v>513.59999999999991</v>
      </c>
      <c r="T199">
        <f>2*(Scenario_Data!D199*1000)/Inputs!$C$21*1000000</f>
        <v>2886.9189230904522</v>
      </c>
      <c r="U199">
        <f>Scenario_Data!W199</f>
        <v>513.59999999999991</v>
      </c>
      <c r="V199">
        <f>2*(Scenario_Data!E199*1000)/Inputs!$C$21*1000000</f>
        <v>2847.7027263974724</v>
      </c>
      <c r="X199">
        <f>Scenario_Data!T199</f>
        <v>38.519999999999996</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2678.9468219985015</v>
      </c>
      <c r="Z199">
        <f>Scenario_Data!U199</f>
        <v>256.79999999999995</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1236.4423753811409</v>
      </c>
      <c r="AB199">
        <f>Scenario_Data!V199</f>
        <v>513.59999999999991</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2886.7454611946159</v>
      </c>
      <c r="AD199">
        <f>Scenario_Data!W199</f>
        <v>513.59999999999991</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2847.5292645016361</v>
      </c>
      <c r="AG199">
        <f>Scenario_Data!T199</f>
        <v>38.519999999999996</v>
      </c>
      <c r="AH199">
        <f>2*(SQRT((Inputs!$C$52+(Scenario_Data!B199))^2+Inputs!$C$52^2-2*(Inputs!$C$52+(Scenario_Data!B199))*Inputs!$C$52*COS(SQRT((Scenario_Data!T199)^2+Inputs!$C$6^2)/Inputs!$C$52))*1000)/Inputs!$C$21*1000000</f>
        <v>2701.4400981312092</v>
      </c>
      <c r="AI199">
        <f>Scenario_Data!U199</f>
        <v>256.79999999999995</v>
      </c>
      <c r="AJ199">
        <f>2*(SQRT((Inputs!$C$52+(Scenario_Data!C199))^2+Inputs!$C$52^2-2*(Inputs!$C$52+(Scenario_Data!C199))*Inputs!$C$52*COS(SQRT((Scenario_Data!U199)^2+Inputs!$C$6^2)/Inputs!$C$52))*1000)/Inputs!$C$21*1000000</f>
        <v>2199.4914513372773</v>
      </c>
      <c r="AK199">
        <f>Scenario_Data!V199</f>
        <v>513.59999999999991</v>
      </c>
      <c r="AL199">
        <f>2*(SQRT((Inputs!$C$52+(Scenario_Data!D199))^2+Inputs!$C$52^2-2*(Inputs!$C$52+(Scenario_Data!D199))*Inputs!$C$52*COS(SQRT((Scenario_Data!V199)^2+Inputs!$C$6^2)/Inputs!$C$52))*1000)/Inputs!$C$21*1000000</f>
        <v>4819.6838871821474</v>
      </c>
      <c r="AM199">
        <f>Scenario_Data!W199</f>
        <v>513.59999999999991</v>
      </c>
      <c r="AN199">
        <f>2*(SQRT((Inputs!$C$52+(Scenario_Data!E199))^2+Inputs!$C$52^2-2*(Inputs!$C$52+(Scenario_Data!E199))*Inputs!$C$52*COS(SQRT((Scenario_Data!W199)^2+Inputs!$C$6^2)/Inputs!$C$52))*1000)/Inputs!$C$21*1000000</f>
        <v>4791.715932694854</v>
      </c>
      <c r="AP199">
        <f>Scenario_Data!T199</f>
        <v>38.519999999999996</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2699.5507501819761</v>
      </c>
      <c r="AR199">
        <f>Scenario_Data!U199</f>
        <v>256.79999999999995</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2198.8670009595298</v>
      </c>
      <c r="AT199">
        <f>Scenario_Data!V199</f>
        <v>513.59999999999991</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4819.2543627230234</v>
      </c>
      <c r="AV199">
        <f>Scenario_Data!W199</f>
        <v>513.59999999999991</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4791.2912850201192</v>
      </c>
    </row>
    <row r="200" spans="1:49">
      <c r="A200">
        <f>Chart_Data!K200</f>
        <v>39</v>
      </c>
      <c r="B200">
        <f>Chart_Data!N200-Chart_Data!L200</f>
        <v>-85.907004709544339</v>
      </c>
      <c r="D200">
        <f>Chart_Data!G200</f>
        <v>39</v>
      </c>
      <c r="E200">
        <f>Chart_Data!H200</f>
        <v>302.84354967777892</v>
      </c>
      <c r="F200">
        <f>Chart_Data!I200</f>
        <v>302.84354967777892</v>
      </c>
      <c r="G200">
        <f>Chart_Data!J200</f>
        <v>82.757717027313632</v>
      </c>
      <c r="I200">
        <f>Scenario_Data!A200</f>
        <v>0.65</v>
      </c>
      <c r="J200">
        <f>Scenario_Data!H200-(((SQRT((Inputs!$C$52+(Inputs!$H$6))^2+Inputs!$C$52^2-2*(Inputs!$C$52+(Inputs!$H$6))*Inputs!$C$52*COS(SQRT((Scenario_Data!T200)^2+Inputs!$C$6^2)/Inputs!$C$52)))-(Inputs!$H$6))*1000/Inputs!$C$12)</f>
        <v>-6.2544853914218947</v>
      </c>
      <c r="K200">
        <f>Scenario_Data!I200-(((SQRT((Inputs!$C$52+(Inputs!$H$7))^2+Inputs!$C$52^2-2*(Inputs!$C$52+(Inputs!$H$7))*Inputs!$C$52*COS(SQRT((Scenario_Data!U200)^2+Inputs!$C$6^2)/Inputs!$C$52)))-(Inputs!$H$7))*1000/Inputs!$C$12)</f>
        <v>-48025.954152811115</v>
      </c>
      <c r="L200">
        <f>Scenario_Data!J200-(((SQRT((Inputs!$C$52+(Inputs!$H$8))^2+Inputs!$C$52^2-2*(Inputs!$C$52+(Inputs!$H$8))*Inputs!$C$52*COS(SQRT((Scenario_Data!V200)^2+Inputs!$C$6^2)/Inputs!$C$52)))-(Inputs!$H$8))*1000/Inputs!$C$12)</f>
        <v>-110976.85216755129</v>
      </c>
      <c r="M200">
        <f>Scenario_Data!K200-(((SQRT((Inputs!$C$52+(Inputs!$H$9))^2+Inputs!$C$52^2-2*(Inputs!$C$52+(Inputs!$H$9))*Inputs!$C$52*COS(SQRT((Scenario_Data!W200)^2+Inputs!$C$6^2)/Inputs!$C$52)))-(Inputs!$H$9))*1000/Inputs!$C$12)</f>
        <v>-114433.34492030981</v>
      </c>
      <c r="O200">
        <f>Scenario_Data!T200</f>
        <v>39</v>
      </c>
      <c r="P200">
        <f>2*(Scenario_Data!B200*1000)/Inputs!$C$21*1000000</f>
        <v>2679.7872280029137</v>
      </c>
      <c r="Q200">
        <f>Scenario_Data!U200</f>
        <v>260</v>
      </c>
      <c r="R200">
        <f>2*(Scenario_Data!C200*1000)/Inputs!$C$21*1000000</f>
        <v>1262.2899272536067</v>
      </c>
      <c r="S200">
        <f>Scenario_Data!V200</f>
        <v>520</v>
      </c>
      <c r="T200">
        <f>2*(Scenario_Data!D200*1000)/Inputs!$C$21*1000000</f>
        <v>2953.459889908238</v>
      </c>
      <c r="U200">
        <f>Scenario_Data!W200</f>
        <v>520</v>
      </c>
      <c r="V200">
        <f>2*(Scenario_Data!E200*1000)/Inputs!$C$21*1000000</f>
        <v>2914.9332369128515</v>
      </c>
      <c r="X200">
        <f>Scenario_Data!T200</f>
        <v>39</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2679.2351279428963</v>
      </c>
      <c r="Z200">
        <f>Scenario_Data!U200</f>
        <v>260</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1261.9553443495984</v>
      </c>
      <c r="AB200">
        <f>Scenario_Data!V200</f>
        <v>520</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2953.4833326943167</v>
      </c>
      <c r="AD200">
        <f>Scenario_Data!W200</f>
        <v>520</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2914.9566796989302</v>
      </c>
      <c r="AG200">
        <f>Scenario_Data!T200</f>
        <v>39</v>
      </c>
      <c r="AH200">
        <f>2*(SQRT((Inputs!$C$52+(Scenario_Data!B200))^2+Inputs!$C$52^2-2*(Inputs!$C$52+(Scenario_Data!B200))*Inputs!$C$52*COS(SQRT((Scenario_Data!T200)^2+Inputs!$C$6^2)/Inputs!$C$52))*1000)/Inputs!$C$21*1000000</f>
        <v>2702.0994114328023</v>
      </c>
      <c r="AI200">
        <f>Scenario_Data!U200</f>
        <v>260</v>
      </c>
      <c r="AJ200">
        <f>2*(SQRT((Inputs!$C$52+(Scenario_Data!C200))^2+Inputs!$C$52^2-2*(Inputs!$C$52+(Scenario_Data!C200))*Inputs!$C$52*COS(SQRT((Scenario_Data!U200)^2+Inputs!$C$6^2)/Inputs!$C$52))*1000)/Inputs!$C$21*1000000</f>
        <v>2233.8215641775168</v>
      </c>
      <c r="AK200">
        <f>Scenario_Data!V200</f>
        <v>520</v>
      </c>
      <c r="AL200">
        <f>2*(SQRT((Inputs!$C$52+(Scenario_Data!D200))^2+Inputs!$C$52^2-2*(Inputs!$C$52+(Scenario_Data!D200))*Inputs!$C$52*COS(SQRT((Scenario_Data!V200)^2+Inputs!$C$6^2)/Inputs!$C$52))*1000)/Inputs!$C$21*1000000</f>
        <v>4905.4596046667839</v>
      </c>
      <c r="AM200">
        <f>Scenario_Data!W200</f>
        <v>520</v>
      </c>
      <c r="AN200">
        <f>2*(SQRT((Inputs!$C$52+(Scenario_Data!E200))^2+Inputs!$C$52^2-2*(Inputs!$C$52+(Scenario_Data!E200))*Inputs!$C$52*COS(SQRT((Scenario_Data!W200)^2+Inputs!$C$6^2)/Inputs!$C$52))*1000)/Inputs!$C$21*1000000</f>
        <v>4877.8300542852958</v>
      </c>
      <c r="AP200">
        <f>Scenario_Data!T200</f>
        <v>39</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2700.1000665260294</v>
      </c>
      <c r="AR200">
        <f>Scenario_Data!U200</f>
        <v>260</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2233.3796452003226</v>
      </c>
      <c r="AT200">
        <f>Scenario_Data!V200</f>
        <v>520</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4905.0062605782241</v>
      </c>
      <c r="AV200">
        <f>Scenario_Data!W200</f>
        <v>520</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4877.3816308441801</v>
      </c>
    </row>
    <row r="201" spans="1:49">
      <c r="A201">
        <f>Chart_Data!K201</f>
        <v>39.5</v>
      </c>
      <c r="B201">
        <f>Chart_Data!N201-Chart_Data!L201</f>
        <v>-79.47691436006437</v>
      </c>
      <c r="D201">
        <f>Chart_Data!G201</f>
        <v>39.5</v>
      </c>
      <c r="E201">
        <f>Chart_Data!H201</f>
        <v>298.92940490778824</v>
      </c>
      <c r="F201">
        <f>Chart_Data!I201</f>
        <v>298.92940490778824</v>
      </c>
      <c r="G201">
        <f>Chart_Data!J201</f>
        <v>76.312714900519723</v>
      </c>
      <c r="I201">
        <f>Scenario_Data!A201</f>
        <v>0.65800000000000003</v>
      </c>
      <c r="J201">
        <f>Scenario_Data!H201-(((SQRT((Inputs!$C$52+(Inputs!$H$6))^2+Inputs!$C$52^2-2*(Inputs!$C$52+(Inputs!$H$6))*Inputs!$C$52*COS(SQRT((Scenario_Data!T201)^2+Inputs!$C$6^2)/Inputs!$C$52)))-(Inputs!$H$6))*1000/Inputs!$C$12)</f>
        <v>-6.5196771902137698</v>
      </c>
      <c r="K201">
        <f>Scenario_Data!I201-(((SQRT((Inputs!$C$52+(Inputs!$H$7))^2+Inputs!$C$52^2-2*(Inputs!$C$52+(Inputs!$H$7))*Inputs!$C$52*COS(SQRT((Scenario_Data!U201)^2+Inputs!$C$6^2)/Inputs!$C$52)))-(Inputs!$H$7))*1000/Inputs!$C$12)</f>
        <v>-49046.634821966058</v>
      </c>
      <c r="L201">
        <f>Scenario_Data!J201-(((SQRT((Inputs!$C$52+(Inputs!$H$8))^2+Inputs!$C$52^2-2*(Inputs!$C$52+(Inputs!$H$8))*Inputs!$C$52*COS(SQRT((Scenario_Data!V201)^2+Inputs!$C$6^2)/Inputs!$C$52)))-(Inputs!$H$8))*1000/Inputs!$C$12)</f>
        <v>-112929.65387596656</v>
      </c>
      <c r="M201">
        <f>Scenario_Data!K201-(((SQRT((Inputs!$C$52+(Inputs!$H$9))^2+Inputs!$C$52^2-2*(Inputs!$C$52+(Inputs!$H$9))*Inputs!$C$52*COS(SQRT((Scenario_Data!W201)^2+Inputs!$C$6^2)/Inputs!$C$52)))-(Inputs!$H$9))*1000/Inputs!$C$12)</f>
        <v>-116407.86707581836</v>
      </c>
      <c r="O201">
        <f>Scenario_Data!T201</f>
        <v>39.47999999999999</v>
      </c>
      <c r="P201">
        <f>2*(Scenario_Data!B201*1000)/Inputs!$C$21*1000000</f>
        <v>2680.0664611782863</v>
      </c>
      <c r="Q201">
        <f>Scenario_Data!U201</f>
        <v>263.19999999999993</v>
      </c>
      <c r="R201">
        <f>2*(Scenario_Data!C201*1000)/Inputs!$C$21*1000000</f>
        <v>1287.7699545063265</v>
      </c>
      <c r="S201">
        <f>Scenario_Data!V201</f>
        <v>526.39999999999986</v>
      </c>
      <c r="T201">
        <f>2*(Scenario_Data!D201*1000)/Inputs!$C$21*1000000</f>
        <v>3020.8248934667977</v>
      </c>
      <c r="U201">
        <f>Scenario_Data!W201</f>
        <v>526.39999999999986</v>
      </c>
      <c r="V201">
        <f>2*(Scenario_Data!E201*1000)/Inputs!$C$21*1000000</f>
        <v>2982.9963234098418</v>
      </c>
      <c r="X201">
        <f>Scenario_Data!T201</f>
        <v>39.47999999999999</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2679.5429217645637</v>
      </c>
      <c r="Z201">
        <f>Scenario_Data!U201</f>
        <v>263.19999999999993</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1287.9071431225977</v>
      </c>
      <c r="AB201">
        <f>Scenario_Data!V201</f>
        <v>526.39999999999986</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3020.5476721756841</v>
      </c>
      <c r="AD201">
        <f>Scenario_Data!W201</f>
        <v>526.39999999999986</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2982.7191021187282</v>
      </c>
      <c r="AG201">
        <f>Scenario_Data!T201</f>
        <v>39.47999999999999</v>
      </c>
      <c r="AH201">
        <f>2*(SQRT((Inputs!$C$52+(Scenario_Data!B201))^2+Inputs!$C$52^2-2*(Inputs!$C$52+(Scenario_Data!B201))*Inputs!$C$52*COS(SQRT((Scenario_Data!T201)^2+Inputs!$C$6^2)/Inputs!$C$52))*1000)/Inputs!$C$21*1000000</f>
        <v>2702.7667699761951</v>
      </c>
      <c r="AI201">
        <f>Scenario_Data!U201</f>
        <v>263.19999999999993</v>
      </c>
      <c r="AJ201">
        <f>2*(SQRT((Inputs!$C$52+(Scenario_Data!C201))^2+Inputs!$C$52^2-2*(Inputs!$C$52+(Scenario_Data!C201))*Inputs!$C$52*COS(SQRT((Scenario_Data!U201)^2+Inputs!$C$6^2)/Inputs!$C$52))*1000)/Inputs!$C$21*1000000</f>
        <v>2268.4094634231324</v>
      </c>
      <c r="AK201">
        <f>Scenario_Data!V201</f>
        <v>526.39999999999986</v>
      </c>
      <c r="AL201">
        <f>2*(SQRT((Inputs!$C$52+(Scenario_Data!D201))^2+Inputs!$C$52^2-2*(Inputs!$C$52+(Scenario_Data!D201))*Inputs!$C$52*COS(SQRT((Scenario_Data!V201)^2+Inputs!$C$6^2)/Inputs!$C$52))*1000)/Inputs!$C$21*1000000</f>
        <v>4992.0593057230435</v>
      </c>
      <c r="AM201">
        <f>Scenario_Data!W201</f>
        <v>526.39999999999986</v>
      </c>
      <c r="AN201">
        <f>2*(SQRT((Inputs!$C$52+(Scenario_Data!E201))^2+Inputs!$C$52^2-2*(Inputs!$C$52+(Scenario_Data!E201))*Inputs!$C$52*COS(SQRT((Scenario_Data!W201)^2+Inputs!$C$6^2)/Inputs!$C$52))*1000)/Inputs!$C$21*1000000</f>
        <v>4964.7820081571645</v>
      </c>
      <c r="AP201">
        <f>Scenario_Data!T201</f>
        <v>39.47999999999999</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2700.798934050626</v>
      </c>
      <c r="AR201">
        <f>Scenario_Data!U201</f>
        <v>263.19999999999993</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2268.093572924754</v>
      </c>
      <c r="AT201">
        <f>Scenario_Data!V201</f>
        <v>526.39999999999986</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4991.4893814494799</v>
      </c>
      <c r="AV201">
        <f>Scenario_Data!W201</f>
        <v>526.39999999999986</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4964.2179962937817</v>
      </c>
    </row>
    <row r="202" spans="1:49">
      <c r="A202">
        <f>Chart_Data!K202</f>
        <v>40</v>
      </c>
      <c r="B202">
        <f>Chart_Data!N202-Chart_Data!L202</f>
        <v>-69.550122715753446</v>
      </c>
      <c r="D202">
        <f>Chart_Data!G202</f>
        <v>40</v>
      </c>
      <c r="E202">
        <f>Chart_Data!H202</f>
        <v>304.82117281226778</v>
      </c>
      <c r="F202">
        <f>Chart_Data!I202</f>
        <v>304.82117281226778</v>
      </c>
      <c r="G202">
        <f>Chart_Data!J202</f>
        <v>66.26609020115302</v>
      </c>
      <c r="I202">
        <f>Scenario_Data!A202</f>
        <v>0.66700000000000004</v>
      </c>
      <c r="J202">
        <f>Scenario_Data!H202-(((SQRT((Inputs!$C$52+(Inputs!$H$6))^2+Inputs!$C$52^2-2*(Inputs!$C$52+(Inputs!$H$6))*Inputs!$C$52*COS(SQRT((Scenario_Data!T202)^2+Inputs!$C$6^2)/Inputs!$C$52)))-(Inputs!$H$6))*1000/Inputs!$C$12)</f>
        <v>-6.8283007484997142</v>
      </c>
      <c r="K202">
        <f>Scenario_Data!I202-(((SQRT((Inputs!$C$52+(Inputs!$H$7))^2+Inputs!$C$52^2-2*(Inputs!$C$52+(Inputs!$H$7))*Inputs!$C$52*COS(SQRT((Scenario_Data!U202)^2+Inputs!$C$6^2)/Inputs!$C$52)))-(Inputs!$H$7))*1000/Inputs!$C$12)</f>
        <v>-50200.645163369787</v>
      </c>
      <c r="L202">
        <f>Scenario_Data!J202-(((SQRT((Inputs!$C$52+(Inputs!$H$8))^2+Inputs!$C$52^2-2*(Inputs!$C$52+(Inputs!$H$8))*Inputs!$C$52*COS(SQRT((Scenario_Data!V202)^2+Inputs!$C$6^2)/Inputs!$C$52)))-(Inputs!$H$8))*1000/Inputs!$C$12)</f>
        <v>-115125.04934461691</v>
      </c>
      <c r="M202">
        <f>Scenario_Data!K202-(((SQRT((Inputs!$C$52+(Inputs!$H$9))^2+Inputs!$C$52^2-2*(Inputs!$C$52+(Inputs!$H$9))*Inputs!$C$52*COS(SQRT((Scenario_Data!W202)^2+Inputs!$C$6^2)/Inputs!$C$52)))-(Inputs!$H$9))*1000/Inputs!$C$12)</f>
        <v>-118627.06266188357</v>
      </c>
      <c r="O202">
        <f>Scenario_Data!T202</f>
        <v>40.019999999999996</v>
      </c>
      <c r="P202">
        <f>2*(Scenario_Data!B202*1000)/Inputs!$C$21*1000000</f>
        <v>2680.3846813251052</v>
      </c>
      <c r="Q202">
        <f>Scenario_Data!U202</f>
        <v>266.80000000000007</v>
      </c>
      <c r="R202">
        <f>2*(Scenario_Data!C202*1000)/Inputs!$C$21*1000000</f>
        <v>1316.8075429035648</v>
      </c>
      <c r="S202">
        <f>Scenario_Data!V202</f>
        <v>533.60000000000014</v>
      </c>
      <c r="T202">
        <f>2*(Scenario_Data!D202*1000)/Inputs!$C$21*1000000</f>
        <v>3097.5955038868938</v>
      </c>
      <c r="U202">
        <f>Scenario_Data!W202</f>
        <v>533.60000000000014</v>
      </c>
      <c r="V202">
        <f>2*(Scenario_Data!E202*1000)/Inputs!$C$21*1000000</f>
        <v>3060.5624841969852</v>
      </c>
      <c r="X202">
        <f>Scenario_Data!T202</f>
        <v>40.019999999999996</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2679.9105799026788</v>
      </c>
      <c r="Z202">
        <f>Scenario_Data!U202</f>
        <v>266.80000000000007</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1316.748844131012</v>
      </c>
      <c r="AB202">
        <f>Scenario_Data!V202</f>
        <v>533.60000000000014</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3097.7527678159954</v>
      </c>
      <c r="AD202">
        <f>Scenario_Data!W202</f>
        <v>533.60000000000014</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3060.7197481260864</v>
      </c>
      <c r="AG202">
        <f>Scenario_Data!T202</f>
        <v>40.019999999999996</v>
      </c>
      <c r="AH202">
        <f>2*(SQRT((Inputs!$C$52+(Scenario_Data!B202))^2+Inputs!$C$52^2-2*(Inputs!$C$52+(Scenario_Data!B202))*Inputs!$C$52*COS(SQRT((Scenario_Data!T202)^2+Inputs!$C$6^2)/Inputs!$C$52))*1000)/Inputs!$C$21*1000000</f>
        <v>2703.527159526966</v>
      </c>
      <c r="AI202">
        <f>Scenario_Data!U202</f>
        <v>266.80000000000007</v>
      </c>
      <c r="AJ202">
        <f>2*(SQRT((Inputs!$C$52+(Scenario_Data!C202))^2+Inputs!$C$52^2-2*(Inputs!$C$52+(Scenario_Data!C202))*Inputs!$C$52*COS(SQRT((Scenario_Data!U202)^2+Inputs!$C$6^2)/Inputs!$C$52))*1000)/Inputs!$C$21*1000000</f>
        <v>2307.6308927499517</v>
      </c>
      <c r="AK202">
        <f>Scenario_Data!V202</f>
        <v>533.60000000000014</v>
      </c>
      <c r="AL202">
        <f>2*(SQRT((Inputs!$C$52+(Scenario_Data!D202))^2+Inputs!$C$52^2-2*(Inputs!$C$52+(Scenario_Data!D202))*Inputs!$C$52*COS(SQRT((Scenario_Data!V202)^2+Inputs!$C$6^2)/Inputs!$C$52))*1000)/Inputs!$C$21*1000000</f>
        <v>5090.4731562763036</v>
      </c>
      <c r="AM202">
        <f>Scenario_Data!W202</f>
        <v>533.60000000000014</v>
      </c>
      <c r="AN202">
        <f>2*(SQRT((Inputs!$C$52+(Scenario_Data!E202))^2+Inputs!$C$52^2-2*(Inputs!$C$52+(Scenario_Data!E202))*Inputs!$C$52*COS(SQRT((Scenario_Data!W202)^2+Inputs!$C$6^2)/Inputs!$C$52))*1000)/Inputs!$C$21*1000000</f>
        <v>5063.6086456793228</v>
      </c>
      <c r="AP202">
        <f>Scenario_Data!T202</f>
        <v>40.019999999999996</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2701.6135071673953</v>
      </c>
      <c r="AR202">
        <f>Scenario_Data!U202</f>
        <v>266.80000000000007</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2307.269279658743</v>
      </c>
      <c r="AT202">
        <f>Scenario_Data!V202</f>
        <v>533.60000000000014</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5090.1470497930613</v>
      </c>
      <c r="AV202">
        <f>Scenario_Data!W202</f>
        <v>533.60000000000014</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5063.2857521844699</v>
      </c>
    </row>
    <row r="203" spans="1:49">
      <c r="A203">
        <f>Chart_Data!K203</f>
        <v>40.5</v>
      </c>
      <c r="B203">
        <f>Chart_Data!N203-Chart_Data!L203</f>
        <v>-63.44908989814266</v>
      </c>
      <c r="D203">
        <f>Chart_Data!G203</f>
        <v>40.5</v>
      </c>
      <c r="E203">
        <f>Chart_Data!H203</f>
        <v>300.69750601512629</v>
      </c>
      <c r="F203">
        <f>Chart_Data!I203</f>
        <v>300.69750601512629</v>
      </c>
      <c r="G203">
        <f>Chart_Data!J203</f>
        <v>60.152205166209214</v>
      </c>
      <c r="I203">
        <f>Scenario_Data!A203</f>
        <v>0.67500000000000004</v>
      </c>
      <c r="J203">
        <f>Scenario_Data!H203-(((SQRT((Inputs!$C$52+(Inputs!$H$6))^2+Inputs!$C$52^2-2*(Inputs!$C$52+(Inputs!$H$6))*Inputs!$C$52*COS(SQRT((Scenario_Data!T203)^2+Inputs!$C$6^2)/Inputs!$C$52)))-(Inputs!$H$6))*1000/Inputs!$C$12)</f>
        <v>-7.1119829201097673</v>
      </c>
      <c r="K203">
        <f>Scenario_Data!I203-(((SQRT((Inputs!$C$52+(Inputs!$H$7))^2+Inputs!$C$52^2-2*(Inputs!$C$52+(Inputs!$H$7))*Inputs!$C$52*COS(SQRT((Scenario_Data!U203)^2+Inputs!$C$6^2)/Inputs!$C$52)))-(Inputs!$H$7))*1000/Inputs!$C$12)</f>
        <v>-51231.374010913656</v>
      </c>
      <c r="L203">
        <f>Scenario_Data!J203-(((SQRT((Inputs!$C$52+(Inputs!$H$8))^2+Inputs!$C$52^2-2*(Inputs!$C$52+(Inputs!$H$8))*Inputs!$C$52*COS(SQRT((Scenario_Data!V203)^2+Inputs!$C$6^2)/Inputs!$C$52)))-(Inputs!$H$8))*1000/Inputs!$C$12)</f>
        <v>-117074.83465957025</v>
      </c>
      <c r="M203">
        <f>Scenario_Data!K203-(((SQRT((Inputs!$C$52+(Inputs!$H$9))^2+Inputs!$C$52^2-2*(Inputs!$C$52+(Inputs!$H$9))*Inputs!$C$52*COS(SQRT((Scenario_Data!W203)^2+Inputs!$C$6^2)/Inputs!$C$52)))-(Inputs!$H$9))*1000/Inputs!$C$12)</f>
        <v>-120597.44652148281</v>
      </c>
      <c r="O203">
        <f>Scenario_Data!T203</f>
        <v>40.5</v>
      </c>
      <c r="P203">
        <f>2*(Scenario_Data!B203*1000)/Inputs!$C$21*1000000</f>
        <v>2680.6711728551891</v>
      </c>
      <c r="Q203">
        <f>Scenario_Data!U203</f>
        <v>270</v>
      </c>
      <c r="R203">
        <f>2*(Scenario_Data!C203*1000)/Inputs!$C$21*1000000</f>
        <v>1342.9498950237103</v>
      </c>
      <c r="S203">
        <f>Scenario_Data!V203</f>
        <v>540</v>
      </c>
      <c r="T203">
        <f>2*(Scenario_Data!D203*1000)/Inputs!$C$21*1000000</f>
        <v>3166.7115855196066</v>
      </c>
      <c r="U203">
        <f>Scenario_Data!W203</f>
        <v>540</v>
      </c>
      <c r="V203">
        <f>2*(Scenario_Data!E203*1000)/Inputs!$C$21*1000000</f>
        <v>3130.3947946549083</v>
      </c>
      <c r="X203">
        <f>Scenario_Data!T203</f>
        <v>40.5</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2680.2698805373798</v>
      </c>
      <c r="Z203">
        <f>Scenario_Data!U203</f>
        <v>270</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1342.781784912361</v>
      </c>
      <c r="AB203">
        <f>Scenario_Data!V203</f>
        <v>540</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3166.7358346388191</v>
      </c>
      <c r="AD203">
        <f>Scenario_Data!W203</f>
        <v>540</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3130.4190437741199</v>
      </c>
      <c r="AG203">
        <f>Scenario_Data!T203</f>
        <v>40.5</v>
      </c>
      <c r="AH203">
        <f>2*(SQRT((Inputs!$C$52+(Scenario_Data!B203))^2+Inputs!$C$52^2-2*(Inputs!$C$52+(Scenario_Data!B203))*Inputs!$C$52*COS(SQRT((Scenario_Data!T203)^2+Inputs!$C$6^2)/Inputs!$C$52))*1000)/Inputs!$C$21*1000000</f>
        <v>2704.2115997852675</v>
      </c>
      <c r="AI203">
        <f>Scenario_Data!U203</f>
        <v>270</v>
      </c>
      <c r="AJ203">
        <f>2*(SQRT((Inputs!$C$52+(Scenario_Data!C203))^2+Inputs!$C$52^2-2*(Inputs!$C$52+(Scenario_Data!C203))*Inputs!$C$52*COS(SQRT((Scenario_Data!U203)^2+Inputs!$C$6^2)/Inputs!$C$52))*1000)/Inputs!$C$21*1000000</f>
        <v>2342.7716518918514</v>
      </c>
      <c r="AK203">
        <f>Scenario_Data!V203</f>
        <v>540</v>
      </c>
      <c r="AL203">
        <f>2*(SQRT((Inputs!$C$52+(Scenario_Data!D203))^2+Inputs!$C$52^2-2*(Inputs!$C$52+(Scenario_Data!D203))*Inputs!$C$52*COS(SQRT((Scenario_Data!V203)^2+Inputs!$C$6^2)/Inputs!$C$52))*1000)/Inputs!$C$21*1000000</f>
        <v>5178.835096993912</v>
      </c>
      <c r="AM203">
        <f>Scenario_Data!W203</f>
        <v>540</v>
      </c>
      <c r="AN203">
        <f>2*(SQRT((Inputs!$C$52+(Scenario_Data!E203))^2+Inputs!$C$52^2-2*(Inputs!$C$52+(Scenario_Data!E203))*Inputs!$C$52*COS(SQRT((Scenario_Data!W203)^2+Inputs!$C$6^2)/Inputs!$C$52))*1000)/Inputs!$C$21*1000000</f>
        <v>5152.352129116699</v>
      </c>
      <c r="AP203">
        <f>Scenario_Data!T203</f>
        <v>40.5</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2702.2275564022739</v>
      </c>
      <c r="AR203">
        <f>Scenario_Data!U203</f>
        <v>270</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2342.3978367116929</v>
      </c>
      <c r="AT203">
        <f>Scenario_Data!V203</f>
        <v>540</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5178.5082795811222</v>
      </c>
      <c r="AV203">
        <f>Scenario_Data!W203</f>
        <v>540</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5152.0283868009174</v>
      </c>
    </row>
    <row r="204" spans="1:49">
      <c r="A204">
        <f>Chart_Data!K204</f>
        <v>41</v>
      </c>
      <c r="B204">
        <f>Chart_Data!N204-Chart_Data!L204</f>
        <v>-55.694686250897377</v>
      </c>
      <c r="D204">
        <f>Chart_Data!G204</f>
        <v>41</v>
      </c>
      <c r="E204">
        <f>Chart_Data!H204</f>
        <v>276.55710773826542</v>
      </c>
      <c r="F204">
        <f>Chart_Data!I204</f>
        <v>276.55710773826542</v>
      </c>
      <c r="G204">
        <f>Chart_Data!J204</f>
        <v>52.609338989159092</v>
      </c>
      <c r="I204">
        <f>Scenario_Data!A204</f>
        <v>0.68300000000000005</v>
      </c>
      <c r="J204">
        <f>Scenario_Data!H204-(((SQRT((Inputs!$C$52+(Inputs!$H$6))^2+Inputs!$C$52^2-2*(Inputs!$C$52+(Inputs!$H$6))*Inputs!$C$52*COS(SQRT((Scenario_Data!T204)^2+Inputs!$C$6^2)/Inputs!$C$52)))-(Inputs!$H$6))*1000/Inputs!$C$12)</f>
        <v>-7.4046648244461721</v>
      </c>
      <c r="K204">
        <f>Scenario_Data!I204-(((SQRT((Inputs!$C$52+(Inputs!$H$7))^2+Inputs!$C$52^2-2*(Inputs!$C$52+(Inputs!$H$7))*Inputs!$C$52*COS(SQRT((Scenario_Data!U204)^2+Inputs!$C$6^2)/Inputs!$C$52)))-(Inputs!$H$7))*1000/Inputs!$C$12)</f>
        <v>-52266.602037422461</v>
      </c>
      <c r="L204">
        <f>Scenario_Data!J204-(((SQRT((Inputs!$C$52+(Inputs!$H$8))^2+Inputs!$C$52^2-2*(Inputs!$C$52+(Inputs!$H$8))*Inputs!$C$52*COS(SQRT((Scenario_Data!V204)^2+Inputs!$C$6^2)/Inputs!$C$52)))-(Inputs!$H$8))*1000/Inputs!$C$12)</f>
        <v>-119022.73194468833</v>
      </c>
      <c r="M204">
        <f>Scenario_Data!K204-(((SQRT((Inputs!$C$52+(Inputs!$H$9))^2+Inputs!$C$52^2-2*(Inputs!$C$52+(Inputs!$H$9))*Inputs!$C$52*COS(SQRT((Scenario_Data!W204)^2+Inputs!$C$6^2)/Inputs!$C$52)))-(Inputs!$H$9))*1000/Inputs!$C$12)</f>
        <v>-122565.42525707473</v>
      </c>
      <c r="O204">
        <f>Scenario_Data!T204</f>
        <v>40.980000000000004</v>
      </c>
      <c r="P204">
        <f>2*(Scenario_Data!B204*1000)/Inputs!$C$21*1000000</f>
        <v>2680.9610800816076</v>
      </c>
      <c r="Q204">
        <f>Scenario_Data!U204</f>
        <v>273.20000000000005</v>
      </c>
      <c r="R204">
        <f>2*(Scenario_Data!C204*1000)/Inputs!$C$21*1000000</f>
        <v>1369.4039294344093</v>
      </c>
      <c r="S204">
        <f>Scenario_Data!V204</f>
        <v>546.40000000000009</v>
      </c>
      <c r="T204">
        <f>2*(Scenario_Data!D204*1000)/Inputs!$C$21*1000000</f>
        <v>3236.6517038930992</v>
      </c>
      <c r="U204">
        <f>Scenario_Data!W204</f>
        <v>546.40000000000009</v>
      </c>
      <c r="V204">
        <f>2*(Scenario_Data!E204*1000)/Inputs!$C$21*1000000</f>
        <v>3201.0596810944471</v>
      </c>
      <c r="X204">
        <f>Scenario_Data!T204</f>
        <v>40.980000000000004</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2680.6154974151013</v>
      </c>
      <c r="Z204">
        <f>Scenario_Data!U204</f>
        <v>273.20000000000005</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1369.0331480409086</v>
      </c>
      <c r="AB204">
        <f>Scenario_Data!V204</f>
        <v>546.40000000000009</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3236.5059270244437</v>
      </c>
      <c r="AD204">
        <f>Scenario_Data!W204</f>
        <v>546.40000000000009</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3200.9139042257916</v>
      </c>
      <c r="AG204">
        <f>Scenario_Data!T204</f>
        <v>40.980000000000004</v>
      </c>
      <c r="AH204">
        <f>2*(SQRT((Inputs!$C$52+(Scenario_Data!B204))^2+Inputs!$C$52^2-2*(Inputs!$C$52+(Scenario_Data!B204))*Inputs!$C$52*COS(SQRT((Scenario_Data!T204)^2+Inputs!$C$6^2)/Inputs!$C$52))*1000)/Inputs!$C$21*1000000</f>
        <v>2704.9040716081277</v>
      </c>
      <c r="AI204">
        <f>Scenario_Data!U204</f>
        <v>273.20000000000005</v>
      </c>
      <c r="AJ204">
        <f>2*(SQRT((Inputs!$C$52+(Scenario_Data!C204))^2+Inputs!$C$52^2-2*(Inputs!$C$52+(Scenario_Data!C204))*Inputs!$C$52*COS(SQRT((Scenario_Data!U204)^2+Inputs!$C$6^2)/Inputs!$C$52))*1000)/Inputs!$C$21*1000000</f>
        <v>2378.1749207105045</v>
      </c>
      <c r="AK204">
        <f>Scenario_Data!V204</f>
        <v>546.40000000000009</v>
      </c>
      <c r="AL204">
        <f>2*(SQRT((Inputs!$C$52+(Scenario_Data!D204))^2+Inputs!$C$52^2-2*(Inputs!$C$52+(Scenario_Data!D204))*Inputs!$C$52*COS(SQRT((Scenario_Data!V204)^2+Inputs!$C$6^2)/Inputs!$C$52))*1000)/Inputs!$C$21*1000000</f>
        <v>5268.0314290477454</v>
      </c>
      <c r="AM204">
        <f>Scenario_Data!W204</f>
        <v>546.40000000000009</v>
      </c>
      <c r="AN204">
        <f>2*(SQRT((Inputs!$C$52+(Scenario_Data!E204))^2+Inputs!$C$52^2-2*(Inputs!$C$52+(Scenario_Data!E204))*Inputs!$C$52*COS(SQRT((Scenario_Data!W204)^2+Inputs!$C$6^2)/Inputs!$C$52))*1000)/Inputs!$C$21*1000000</f>
        <v>5241.943717406506</v>
      </c>
      <c r="AP204">
        <f>Scenario_Data!T204</f>
        <v>40.980000000000004</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2702.9347012405674</v>
      </c>
      <c r="AR204">
        <f>Scenario_Data!U204</f>
        <v>273.20000000000005</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2377.586319197082</v>
      </c>
      <c r="AT204">
        <f>Scenario_Data!V204</f>
        <v>546.40000000000009</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5267.4812917949212</v>
      </c>
      <c r="AV204">
        <f>Scenario_Data!W204</f>
        <v>546.40000000000009</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5241.3985225164788</v>
      </c>
    </row>
    <row r="205" spans="1:49">
      <c r="A205">
        <f>Chart_Data!K205</f>
        <v>41.5</v>
      </c>
      <c r="B205">
        <f>Chart_Data!N205-Chart_Data!L205</f>
        <v>-61.436839734876884</v>
      </c>
      <c r="D205">
        <f>Chart_Data!G205</f>
        <v>41.5</v>
      </c>
      <c r="E205">
        <f>Chart_Data!H205</f>
        <v>269.21554101681534</v>
      </c>
      <c r="F205">
        <f>Chart_Data!I205</f>
        <v>269.21554101681534</v>
      </c>
      <c r="G205">
        <f>Chart_Data!J205</f>
        <v>58.380951897935333</v>
      </c>
      <c r="I205">
        <f>Scenario_Data!A205</f>
        <v>0.69199999999999995</v>
      </c>
      <c r="J205">
        <f>Scenario_Data!H205-(((SQRT((Inputs!$C$52+(Inputs!$H$6))^2+Inputs!$C$52^2-2*(Inputs!$C$52+(Inputs!$H$6))*Inputs!$C$52*COS(SQRT((Scenario_Data!T205)^2+Inputs!$C$6^2)/Inputs!$C$52)))-(Inputs!$H$6))*1000/Inputs!$C$12)</f>
        <v>-7.7449306373637228</v>
      </c>
      <c r="K205">
        <f>Scenario_Data!I205-(((SQRT((Inputs!$C$52+(Inputs!$H$7))^2+Inputs!$C$52^2-2*(Inputs!$C$52+(Inputs!$H$7))*Inputs!$C$52*COS(SQRT((Scenario_Data!U205)^2+Inputs!$C$6^2)/Inputs!$C$52)))-(Inputs!$H$7))*1000/Inputs!$C$12)</f>
        <v>-53436.433148204567</v>
      </c>
      <c r="L205">
        <f>Scenario_Data!J205-(((SQRT((Inputs!$C$52+(Inputs!$H$8))^2+Inputs!$C$52^2-2*(Inputs!$C$52+(Inputs!$H$8))*Inputs!$C$52*COS(SQRT((Scenario_Data!V205)^2+Inputs!$C$6^2)/Inputs!$C$52)))-(Inputs!$H$8))*1000/Inputs!$C$12)</f>
        <v>-121211.50058427514</v>
      </c>
      <c r="M205">
        <f>Scenario_Data!K205-(((SQRT((Inputs!$C$52+(Inputs!$H$9))^2+Inputs!$C$52^2-2*(Inputs!$C$52+(Inputs!$H$9))*Inputs!$C$52*COS(SQRT((Scenario_Data!W205)^2+Inputs!$C$6^2)/Inputs!$C$52)))-(Inputs!$H$9))*1000/Inputs!$C$12)</f>
        <v>-124776.17612891932</v>
      </c>
      <c r="O205">
        <f>Scenario_Data!T205</f>
        <v>41.519999999999996</v>
      </c>
      <c r="P205">
        <f>2*(Scenario_Data!B205*1000)/Inputs!$C$21*1000000</f>
        <v>2681.2913085358537</v>
      </c>
      <c r="Q205">
        <f>Scenario_Data!U205</f>
        <v>276.79999999999995</v>
      </c>
      <c r="R205">
        <f>2*(Scenario_Data!C205*1000)/Inputs!$C$21*1000000</f>
        <v>1399.5372758843714</v>
      </c>
      <c r="S205">
        <f>Scenario_Data!V205</f>
        <v>553.59999999999991</v>
      </c>
      <c r="T205">
        <f>2*(Scenario_Data!D205*1000)/Inputs!$C$21*1000000</f>
        <v>3316.3193184799852</v>
      </c>
      <c r="U205">
        <f>Scenario_Data!W205</f>
        <v>553.59999999999991</v>
      </c>
      <c r="V205">
        <f>2*(Scenario_Data!E205*1000)/Inputs!$C$21*1000000</f>
        <v>3281.5528668169482</v>
      </c>
      <c r="X205">
        <f>Scenario_Data!T205</f>
        <v>41.519999999999996</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2681.0146298396603</v>
      </c>
      <c r="Z205">
        <f>Scenario_Data!U205</f>
        <v>276.79999999999995</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1399.215260026979</v>
      </c>
      <c r="AB205">
        <f>Scenario_Data!V205</f>
        <v>553.59999999999991</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3316.5188117920811</v>
      </c>
      <c r="AD205">
        <f>Scenario_Data!W205</f>
        <v>553.59999999999991</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3281.7523601290445</v>
      </c>
      <c r="AG205">
        <f>Scenario_Data!T205</f>
        <v>41.519999999999996</v>
      </c>
      <c r="AH205">
        <f>2*(SQRT((Inputs!$C$52+(Scenario_Data!B205))^2+Inputs!$C$52^2-2*(Inputs!$C$52+(Scenario_Data!B205))*Inputs!$C$52*COS(SQRT((Scenario_Data!T205)^2+Inputs!$C$6^2)/Inputs!$C$52))*1000)/Inputs!$C$21*1000000</f>
        <v>2705.6926970657478</v>
      </c>
      <c r="AI205">
        <f>Scenario_Data!U205</f>
        <v>276.79999999999995</v>
      </c>
      <c r="AJ205">
        <f>2*(SQRT((Inputs!$C$52+(Scenario_Data!C205))^2+Inputs!$C$52^2-2*(Inputs!$C$52+(Scenario_Data!C205))*Inputs!$C$52*COS(SQRT((Scenario_Data!U205)^2+Inputs!$C$6^2)/Inputs!$C$52))*1000)/Inputs!$C$21*1000000</f>
        <v>2418.3192089337513</v>
      </c>
      <c r="AK205">
        <f>Scenario_Data!V205</f>
        <v>553.59999999999991</v>
      </c>
      <c r="AL205">
        <f>2*(SQRT((Inputs!$C$52+(Scenario_Data!D205))^2+Inputs!$C$52^2-2*(Inputs!$C$52+(Scenario_Data!D205))*Inputs!$C$52*COS(SQRT((Scenario_Data!V205)^2+Inputs!$C$6^2)/Inputs!$C$52))*1000)/Inputs!$C$21*1000000</f>
        <v>5369.3785657395565</v>
      </c>
      <c r="AM205">
        <f>Scenario_Data!W205</f>
        <v>553.59999999999991</v>
      </c>
      <c r="AN205">
        <f>2*(SQRT((Inputs!$C$52+(Scenario_Data!E205))^2+Inputs!$C$52^2-2*(Inputs!$C$52+(Scenario_Data!E205))*Inputs!$C$52*COS(SQRT((Scenario_Data!W205)^2+Inputs!$C$6^2)/Inputs!$C$52))*1000)/Inputs!$C$21*1000000</f>
        <v>5343.7518501523427</v>
      </c>
      <c r="AP205">
        <f>Scenario_Data!T205</f>
        <v>41.519999999999996</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2703.8102548708271</v>
      </c>
      <c r="AR205">
        <f>Scenario_Data!U205</f>
        <v>276.79999999999995</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2417.6598864735997</v>
      </c>
      <c r="AT205">
        <f>Scenario_Data!V205</f>
        <v>553.59999999999991</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5369.1561202217617</v>
      </c>
      <c r="AV205">
        <f>Scenario_Data!W205</f>
        <v>553.59999999999991</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5343.5312999492644</v>
      </c>
    </row>
    <row r="206" spans="1:49">
      <c r="A206">
        <f>Chart_Data!K206</f>
        <v>42</v>
      </c>
      <c r="B206">
        <f>Chart_Data!N206-Chart_Data!L206</f>
        <v>-37.652302301928188</v>
      </c>
      <c r="D206">
        <f>Chart_Data!G206</f>
        <v>42</v>
      </c>
      <c r="E206">
        <f>Chart_Data!H206</f>
        <v>271.12620211290232</v>
      </c>
      <c r="F206">
        <f>Chart_Data!I206</f>
        <v>271.12620211290232</v>
      </c>
      <c r="G206">
        <f>Chart_Data!J206</f>
        <v>34.521242112789622</v>
      </c>
      <c r="I206">
        <f>Scenario_Data!A206</f>
        <v>0.7</v>
      </c>
      <c r="J206">
        <f>Scenario_Data!H206-(((SQRT((Inputs!$C$52+(Inputs!$H$6))^2+Inputs!$C$52^2-2*(Inputs!$C$52+(Inputs!$H$6))*Inputs!$C$52*COS(SQRT((Scenario_Data!T206)^2+Inputs!$C$6^2)/Inputs!$C$52)))-(Inputs!$H$6))*1000/Inputs!$C$12)</f>
        <v>-8.0573823215368066</v>
      </c>
      <c r="K206">
        <f>Scenario_Data!I206-(((SQRT((Inputs!$C$52+(Inputs!$H$7))^2+Inputs!$C$52^2-2*(Inputs!$C$52+(Inputs!$H$7))*Inputs!$C$52*COS(SQRT((Scenario_Data!U206)^2+Inputs!$C$6^2)/Inputs!$C$52)))-(Inputs!$H$7))*1000/Inputs!$C$12)</f>
        <v>-54480.749191198192</v>
      </c>
      <c r="L206">
        <f>Scenario_Data!J206-(((SQRT((Inputs!$C$52+(Inputs!$H$8))^2+Inputs!$C$52^2-2*(Inputs!$C$52+(Inputs!$H$8))*Inputs!$C$52*COS(SQRT((Scenario_Data!V206)^2+Inputs!$C$6^2)/Inputs!$C$52)))-(Inputs!$H$8))*1000/Inputs!$C$12)</f>
        <v>-123154.43747008915</v>
      </c>
      <c r="M206">
        <f>Scenario_Data!K206-(((SQRT((Inputs!$C$52+(Inputs!$H$9))^2+Inputs!$C$52^2-2*(Inputs!$C$52+(Inputs!$H$9))*Inputs!$C$52*COS(SQRT((Scenario_Data!W206)^2+Inputs!$C$6^2)/Inputs!$C$52)))-(Inputs!$H$9))*1000/Inputs!$C$12)</f>
        <v>-126738.11882360443</v>
      </c>
      <c r="O206">
        <f>Scenario_Data!T206</f>
        <v>42</v>
      </c>
      <c r="P206">
        <f>2*(Scenario_Data!B206*1000)/Inputs!$C$21*1000000</f>
        <v>2681.5884741169839</v>
      </c>
      <c r="Q206">
        <f>Scenario_Data!U206</f>
        <v>280</v>
      </c>
      <c r="R206">
        <f>2*(Scenario_Data!C206*1000)/Inputs!$C$21*1000000</f>
        <v>1426.6536351624961</v>
      </c>
      <c r="S206">
        <f>Scenario_Data!V206</f>
        <v>560</v>
      </c>
      <c r="T206">
        <f>2*(Scenario_Data!D206*1000)/Inputs!$C$21*1000000</f>
        <v>3388.0105149276301</v>
      </c>
      <c r="U206">
        <f>Scenario_Data!W206</f>
        <v>560</v>
      </c>
      <c r="V206">
        <f>2*(Scenario_Data!E206*1000)/Inputs!$C$21*1000000</f>
        <v>3353.9869772174184</v>
      </c>
      <c r="X206">
        <f>Scenario_Data!T206</f>
        <v>42</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2681.3581731791746</v>
      </c>
      <c r="Z206">
        <f>Scenario_Data!U206</f>
        <v>280</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1426.519680102296</v>
      </c>
      <c r="AB206">
        <f>Scenario_Data!V206</f>
        <v>560</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3387.654474031865</v>
      </c>
      <c r="AD206">
        <f>Scenario_Data!W206</f>
        <v>560</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3353.6309363216533</v>
      </c>
      <c r="AG206">
        <f>Scenario_Data!T206</f>
        <v>42</v>
      </c>
      <c r="AH206">
        <f>2*(SQRT((Inputs!$C$52+(Scenario_Data!B206))^2+Inputs!$C$52^2-2*(Inputs!$C$52+(Scenario_Data!B206))*Inputs!$C$52*COS(SQRT((Scenario_Data!T206)^2+Inputs!$C$6^2)/Inputs!$C$52))*1000)/Inputs!$C$21*1000000</f>
        <v>2706.4022210494791</v>
      </c>
      <c r="AI206">
        <f>Scenario_Data!U206</f>
        <v>280</v>
      </c>
      <c r="AJ206">
        <f>2*(SQRT((Inputs!$C$52+(Scenario_Data!C206))^2+Inputs!$C$52^2-2*(Inputs!$C$52+(Scenario_Data!C206))*Inputs!$C$52*COS(SQRT((Scenario_Data!U206)^2+Inputs!$C$6^2)/Inputs!$C$52))*1000)/Inputs!$C$21*1000000</f>
        <v>2454.2851668233561</v>
      </c>
      <c r="AK206">
        <f>Scenario_Data!V206</f>
        <v>560</v>
      </c>
      <c r="AL206">
        <f>2*(SQRT((Inputs!$C$52+(Scenario_Data!D206))^2+Inputs!$C$52^2-2*(Inputs!$C$52+(Scenario_Data!D206))*Inputs!$C$52*COS(SQRT((Scenario_Data!V206)^2+Inputs!$C$6^2)/Inputs!$C$52))*1000)/Inputs!$C$21*1000000</f>
        <v>5460.3582902555545</v>
      </c>
      <c r="AM206">
        <f>Scenario_Data!W206</f>
        <v>560</v>
      </c>
      <c r="AN206">
        <f>2*(SQRT((Inputs!$C$52+(Scenario_Data!E206))^2+Inputs!$C$52^2-2*(Inputs!$C$52+(Scenario_Data!E206))*Inputs!$C$52*COS(SQRT((Scenario_Data!W206)^2+Inputs!$C$6^2)/Inputs!$C$52))*1000)/Inputs!$C$21*1000000</f>
        <v>5435.1558124688245</v>
      </c>
      <c r="AP206">
        <f>Scenario_Data!T206</f>
        <v>42</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2704.614349908813</v>
      </c>
      <c r="AR206">
        <f>Scenario_Data!U206</f>
        <v>280</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2453.8264418630224</v>
      </c>
      <c r="AT206">
        <f>Scenario_Data!V206</f>
        <v>560</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5459.8605829956996</v>
      </c>
      <c r="AV206">
        <f>Scenario_Data!W206</f>
        <v>560</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5434.6621505308067</v>
      </c>
    </row>
    <row r="207" spans="1:49">
      <c r="A207">
        <f>Chart_Data!K207</f>
        <v>42.5</v>
      </c>
      <c r="B207">
        <f>Chart_Data!N207-Chart_Data!L207</f>
        <v>-43.302988348369951</v>
      </c>
      <c r="D207">
        <f>Chart_Data!G207</f>
        <v>42.5</v>
      </c>
      <c r="E207">
        <f>Chart_Data!H207</f>
        <v>259.77685513673219</v>
      </c>
      <c r="F207">
        <f>Chart_Data!I207</f>
        <v>259.77685513673219</v>
      </c>
      <c r="G207">
        <f>Chart_Data!J207</f>
        <v>40.251276360901549</v>
      </c>
      <c r="I207">
        <f>Scenario_Data!A207</f>
        <v>0.70799999999999996</v>
      </c>
      <c r="J207">
        <f>Scenario_Data!H207-(((SQRT((Inputs!$C$52+(Inputs!$H$6))^2+Inputs!$C$52^2-2*(Inputs!$C$52+(Inputs!$H$6))*Inputs!$C$52*COS(SQRT((Scenario_Data!T207)^2+Inputs!$C$6^2)/Inputs!$C$52)))-(Inputs!$H$6))*1000/Inputs!$C$12)</f>
        <v>-8.379445258978194</v>
      </c>
      <c r="K207">
        <f>Scenario_Data!I207-(((SQRT((Inputs!$C$52+(Inputs!$H$7))^2+Inputs!$C$52^2-2*(Inputs!$C$52+(Inputs!$H$7))*Inputs!$C$52*COS(SQRT((Scenario_Data!U207)^2+Inputs!$C$6^2)/Inputs!$C$52)))-(Inputs!$H$7))*1000/Inputs!$C$12)</f>
        <v>-55529.124801208076</v>
      </c>
      <c r="L207">
        <f>Scenario_Data!J207-(((SQRT((Inputs!$C$52+(Inputs!$H$8))^2+Inputs!$C$52^2-2*(Inputs!$C$52+(Inputs!$H$8))*Inputs!$C$52*COS(SQRT((Scenario_Data!V207)^2+Inputs!$C$6^2)/Inputs!$C$52)))-(Inputs!$H$8))*1000/Inputs!$C$12)</f>
        <v>-125094.61059367246</v>
      </c>
      <c r="M207">
        <f>Scenario_Data!K207-(((SQRT((Inputs!$C$52+(Inputs!$H$9))^2+Inputs!$C$52^2-2*(Inputs!$C$52+(Inputs!$H$9))*Inputs!$C$52*COS(SQRT((Scenario_Data!W207)^2+Inputs!$C$6^2)/Inputs!$C$52)))-(Inputs!$H$9))*1000/Inputs!$C$12)</f>
        <v>-128696.80249462544</v>
      </c>
      <c r="O207">
        <f>Scenario_Data!T207</f>
        <v>42.480000000000004</v>
      </c>
      <c r="P207">
        <f>2*(Scenario_Data!B207*1000)/Inputs!$C$21*1000000</f>
        <v>2681.8890553944493</v>
      </c>
      <c r="Q207">
        <f>Scenario_Data!U207</f>
        <v>283.19999999999993</v>
      </c>
      <c r="R207">
        <f>2*(Scenario_Data!C207*1000)/Inputs!$C$21*1000000</f>
        <v>1454.0816767311733</v>
      </c>
      <c r="S207">
        <f>Scenario_Data!V207</f>
        <v>566.39999999999986</v>
      </c>
      <c r="T207">
        <f>2*(Scenario_Data!D207*1000)/Inputs!$C$21*1000000</f>
        <v>3460.5257481160506</v>
      </c>
      <c r="U207">
        <f>Scenario_Data!W207</f>
        <v>566.39999999999986</v>
      </c>
      <c r="V207">
        <f>2*(Scenario_Data!E207*1000)/Inputs!$C$21*1000000</f>
        <v>3427.2536635995016</v>
      </c>
      <c r="X207">
        <f>Scenario_Data!T207</f>
        <v>42.480000000000004</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2681.7323374639054</v>
      </c>
      <c r="Z207">
        <f>Scenario_Data!U207</f>
        <v>283.19999999999993</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1454.3031298706867</v>
      </c>
      <c r="AB207">
        <f>Scenario_Data!V207</f>
        <v>566.39999999999986</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3460.2015967853608</v>
      </c>
      <c r="AD207">
        <f>Scenario_Data!W207</f>
        <v>566.39999999999986</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3426.9295122688118</v>
      </c>
      <c r="AG207">
        <f>Scenario_Data!T207</f>
        <v>42.480000000000004</v>
      </c>
      <c r="AH207">
        <f>2*(SQRT((Inputs!$C$52+(Scenario_Data!B207))^2+Inputs!$C$52^2-2*(Inputs!$C$52+(Scenario_Data!B207))*Inputs!$C$52*COS(SQRT((Scenario_Data!T207)^2+Inputs!$C$6^2)/Inputs!$C$52))*1000)/Inputs!$C$21*1000000</f>
        <v>2707.1197624607562</v>
      </c>
      <c r="AI207">
        <f>Scenario_Data!U207</f>
        <v>283.19999999999993</v>
      </c>
      <c r="AJ207">
        <f>2*(SQRT((Inputs!$C$52+(Scenario_Data!C207))^2+Inputs!$C$52^2-2*(Inputs!$C$52+(Scenario_Data!C207))*Inputs!$C$52*COS(SQRT((Scenario_Data!U207)^2+Inputs!$C$6^2)/Inputs!$C$52))*1000)/Inputs!$C$21*1000000</f>
        <v>2490.5181609486822</v>
      </c>
      <c r="AK207">
        <f>Scenario_Data!V207</f>
        <v>566.39999999999986</v>
      </c>
      <c r="AL207">
        <f>2*(SQRT((Inputs!$C$52+(Scenario_Data!D207))^2+Inputs!$C$52^2-2*(Inputs!$C$52+(Scenario_Data!D207))*Inputs!$C$52*COS(SQRT((Scenario_Data!V207)^2+Inputs!$C$6^2)/Inputs!$C$52))*1000)/Inputs!$C$21*1000000</f>
        <v>5552.1819212211276</v>
      </c>
      <c r="AM207">
        <f>Scenario_Data!W207</f>
        <v>566.39999999999986</v>
      </c>
      <c r="AN207">
        <f>2*(SQRT((Inputs!$C$52+(Scenario_Data!E207))^2+Inputs!$C$52^2-2*(Inputs!$C$52+(Scenario_Data!E207))*Inputs!$C$52*COS(SQRT((Scenario_Data!W207)^2+Inputs!$C$6^2)/Inputs!$C$52))*1000)/Inputs!$C$21*1000000</f>
        <v>5527.4172410510055</v>
      </c>
      <c r="AP207">
        <f>Scenario_Data!T207</f>
        <v>42.480000000000004</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2705.3495311488232</v>
      </c>
      <c r="AR207">
        <f>Scenario_Data!U207</f>
        <v>283.19999999999993</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2490.2166397829856</v>
      </c>
      <c r="AT207">
        <f>Scenario_Data!V207</f>
        <v>566.39999999999986</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5551.6388512875928</v>
      </c>
      <c r="AV207">
        <f>Scenario_Data!W207</f>
        <v>566.39999999999986</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5526.8783790378302</v>
      </c>
    </row>
    <row r="208" spans="1:49">
      <c r="A208">
        <f>Chart_Data!K208</f>
        <v>43</v>
      </c>
      <c r="B208">
        <f>Chart_Data!N208-Chart_Data!L208</f>
        <v>-36.282442991945771</v>
      </c>
      <c r="D208">
        <f>Chart_Data!G208</f>
        <v>43</v>
      </c>
      <c r="E208">
        <f>Chart_Data!H208</f>
        <v>247.2629698422237</v>
      </c>
      <c r="F208">
        <f>Chart_Data!I208</f>
        <v>247.2629698422237</v>
      </c>
      <c r="G208">
        <f>Chart_Data!J208</f>
        <v>33.32797910139238</v>
      </c>
      <c r="I208">
        <f>Scenario_Data!A208</f>
        <v>0.71699999999999997</v>
      </c>
      <c r="J208">
        <f>Scenario_Data!H208-(((SQRT((Inputs!$C$52+(Inputs!$H$6))^2+Inputs!$C$52^2-2*(Inputs!$C$52+(Inputs!$H$6))*Inputs!$C$52*COS(SQRT((Scenario_Data!T208)^2+Inputs!$C$6^2)/Inputs!$C$52)))-(Inputs!$H$6))*1000/Inputs!$C$12)</f>
        <v>-8.7535031569864259</v>
      </c>
      <c r="K208">
        <f>Scenario_Data!I208-(((SQRT((Inputs!$C$52+(Inputs!$H$7))^2+Inputs!$C$52^2-2*(Inputs!$C$52+(Inputs!$H$7))*Inputs!$C$52*COS(SQRT((Scenario_Data!U208)^2+Inputs!$C$6^2)/Inputs!$C$52)))-(Inputs!$H$7))*1000/Inputs!$C$12)</f>
        <v>-56713.231033901524</v>
      </c>
      <c r="L208">
        <f>Scenario_Data!J208-(((SQRT((Inputs!$C$52+(Inputs!$H$8))^2+Inputs!$C$52^2-2*(Inputs!$C$52+(Inputs!$H$8))*Inputs!$C$52*COS(SQRT((Scenario_Data!V208)^2+Inputs!$C$6^2)/Inputs!$C$52)))-(Inputs!$H$8))*1000/Inputs!$C$12)</f>
        <v>-127273.67283059817</v>
      </c>
      <c r="M208">
        <f>Scenario_Data!K208-(((SQRT((Inputs!$C$52+(Inputs!$H$9))^2+Inputs!$C$52^2-2*(Inputs!$C$52+(Inputs!$H$9))*Inputs!$C$52*COS(SQRT((Scenario_Data!W208)^2+Inputs!$C$6^2)/Inputs!$C$52)))-(Inputs!$H$9))*1000/Inputs!$C$12)</f>
        <v>-130896.10580357289</v>
      </c>
      <c r="O208">
        <f>Scenario_Data!T208</f>
        <v>43.02000000000001</v>
      </c>
      <c r="P208">
        <f>2*(Scenario_Data!B208*1000)/Inputs!$C$21*1000000</f>
        <v>2682.231292156122</v>
      </c>
      <c r="Q208">
        <f>Scenario_Data!U208</f>
        <v>286.80000000000007</v>
      </c>
      <c r="R208">
        <f>2*(Scenario_Data!C208*1000)/Inputs!$C$21*1000000</f>
        <v>1485.3107812338633</v>
      </c>
      <c r="S208">
        <f>Scenario_Data!V208</f>
        <v>573.60000000000014</v>
      </c>
      <c r="T208">
        <f>2*(Scenario_Data!D208*1000)/Inputs!$C$21*1000000</f>
        <v>3543.090366869737</v>
      </c>
      <c r="U208">
        <f>Scenario_Data!W208</f>
        <v>573.60000000000014</v>
      </c>
      <c r="V208">
        <f>2*(Scenario_Data!E208*1000)/Inputs!$C$21*1000000</f>
        <v>3510.6738742573721</v>
      </c>
      <c r="X208">
        <f>Scenario_Data!T208</f>
        <v>43.02000000000001</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2682.021911892592</v>
      </c>
      <c r="Z208">
        <f>Scenario_Data!U208</f>
        <v>286.80000000000007</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1485.195318540033</v>
      </c>
      <c r="AB208">
        <f>Scenario_Data!V208</f>
        <v>573.60000000000014</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3542.8247059020114</v>
      </c>
      <c r="AD208">
        <f>Scenario_Data!W208</f>
        <v>573.60000000000014</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3510.4082132896465</v>
      </c>
      <c r="AG208">
        <f>Scenario_Data!T208</f>
        <v>43.02000000000001</v>
      </c>
      <c r="AH208">
        <f>2*(SQRT((Inputs!$C$52+(Scenario_Data!B208))^2+Inputs!$C$52^2-2*(Inputs!$C$52+(Scenario_Data!B208))*Inputs!$C$52*COS(SQRT((Scenario_Data!T208)^2+Inputs!$C$6^2)/Inputs!$C$52))*1000)/Inputs!$C$21*1000000</f>
        <v>2707.9365741255974</v>
      </c>
      <c r="AI208">
        <f>Scenario_Data!U208</f>
        <v>286.80000000000007</v>
      </c>
      <c r="AJ208">
        <f>2*(SQRT((Inputs!$C$52+(Scenario_Data!C208))^2+Inputs!$C$52^2-2*(Inputs!$C$52+(Scenario_Data!C208))*Inputs!$C$52*COS(SQRT((Scenario_Data!U208)^2+Inputs!$C$6^2)/Inputs!$C$52))*1000)/Inputs!$C$21*1000000</f>
        <v>2531.6012212817732</v>
      </c>
      <c r="AK208">
        <f>Scenario_Data!V208</f>
        <v>573.60000000000014</v>
      </c>
      <c r="AL208">
        <f>2*(SQRT((Inputs!$C$52+(Scenario_Data!D208))^2+Inputs!$C$52^2-2*(Inputs!$C$52+(Scenario_Data!D208))*Inputs!$C$52*COS(SQRT((Scenario_Data!V208)^2+Inputs!$C$6^2)/Inputs!$C$52))*1000)/Inputs!$C$21*1000000</f>
        <v>5656.4958042939516</v>
      </c>
      <c r="AM208">
        <f>Scenario_Data!W208</f>
        <v>573.60000000000014</v>
      </c>
      <c r="AN208">
        <f>2*(SQRT((Inputs!$C$52+(Scenario_Data!E208))^2+Inputs!$C$52^2-2*(Inputs!$C$52+(Scenario_Data!E208))*Inputs!$C$52*COS(SQRT((Scenario_Data!W208)^2+Inputs!$C$6^2)/Inputs!$C$52))*1000)/Inputs!$C$21*1000000</f>
        <v>5632.2397896392322</v>
      </c>
      <c r="AP208">
        <f>Scenario_Data!T208</f>
        <v>43.02000000000001</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2706.4288747660044</v>
      </c>
      <c r="AR208">
        <f>Scenario_Data!U208</f>
        <v>286.80000000000007</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2531.154808755311</v>
      </c>
      <c r="AT208">
        <f>Scenario_Data!V208</f>
        <v>573.60000000000014</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5656.2511890795613</v>
      </c>
      <c r="AV208">
        <f>Scenario_Data!W208</f>
        <v>573.60000000000014</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5631.9969689362852</v>
      </c>
    </row>
    <row r="209" spans="1:49">
      <c r="A209">
        <f>Chart_Data!K209</f>
        <v>43.5</v>
      </c>
      <c r="B209">
        <f>Chart_Data!N209-Chart_Data!L209</f>
        <v>-23.261421172748356</v>
      </c>
      <c r="D209">
        <f>Chart_Data!G209</f>
        <v>43.5</v>
      </c>
      <c r="E209">
        <f>Chart_Data!H209</f>
        <v>225.35528260314678</v>
      </c>
      <c r="F209">
        <f>Chart_Data!I209</f>
        <v>225.35528260314678</v>
      </c>
      <c r="G209">
        <f>Chart_Data!J209</f>
        <v>20.522948331557505</v>
      </c>
      <c r="I209">
        <f>Scenario_Data!A209</f>
        <v>0.72499999999999998</v>
      </c>
      <c r="J209">
        <f>Scenario_Data!H209-(((SQRT((Inputs!$C$52+(Inputs!$H$6))^2+Inputs!$C$52^2-2*(Inputs!$C$52+(Inputs!$H$6))*Inputs!$C$52*COS(SQRT((Scenario_Data!T209)^2+Inputs!$C$6^2)/Inputs!$C$52)))-(Inputs!$H$6))*1000/Inputs!$C$12)</f>
        <v>-9.0966552194690848</v>
      </c>
      <c r="K209">
        <f>Scenario_Data!I209-(((SQRT((Inputs!$C$52+(Inputs!$H$7))^2+Inputs!$C$52^2-2*(Inputs!$C$52+(Inputs!$H$7))*Inputs!$C$52*COS(SQRT((Scenario_Data!U209)^2+Inputs!$C$6^2)/Inputs!$C$52)))-(Inputs!$H$7))*1000/Inputs!$C$12)</f>
        <v>-57769.785871170316</v>
      </c>
      <c r="L209">
        <f>Scenario_Data!J209-(((SQRT((Inputs!$C$52+(Inputs!$H$8))^2+Inputs!$C$52^2-2*(Inputs!$C$52+(Inputs!$H$8))*Inputs!$C$52*COS(SQRT((Scenario_Data!V209)^2+Inputs!$C$6^2)/Inputs!$C$52)))-(Inputs!$H$8))*1000/Inputs!$C$12)</f>
        <v>-129207.10406628711</v>
      </c>
      <c r="M209">
        <f>Scenario_Data!K209-(((SQRT((Inputs!$C$52+(Inputs!$H$9))^2+Inputs!$C$52^2-2*(Inputs!$C$52+(Inputs!$H$9))*Inputs!$C$52*COS(SQRT((Scenario_Data!W209)^2+Inputs!$C$6^2)/Inputs!$C$52)))-(Inputs!$H$9))*1000/Inputs!$C$12)</f>
        <v>-132847.0183380536</v>
      </c>
      <c r="O209">
        <f>Scenario_Data!T209</f>
        <v>43.5</v>
      </c>
      <c r="P209">
        <f>2*(Scenario_Data!B209*1000)/Inputs!$C$21*1000000</f>
        <v>2682.5391317882991</v>
      </c>
      <c r="Q209">
        <f>Scenario_Data!U209</f>
        <v>290</v>
      </c>
      <c r="R209">
        <f>2*(Scenario_Data!C209*1000)/Inputs!$C$21*1000000</f>
        <v>1513.4011476699659</v>
      </c>
      <c r="S209">
        <f>Scenario_Data!V209</f>
        <v>580</v>
      </c>
      <c r="T209">
        <f>2*(Scenario_Data!D209*1000)/Inputs!$C$21*1000000</f>
        <v>3617.3566781323107</v>
      </c>
      <c r="U209">
        <f>Scenario_Data!W209</f>
        <v>580</v>
      </c>
      <c r="V209">
        <f>2*(Scenario_Data!E209*1000)/Inputs!$C$21*1000000</f>
        <v>3585.7097846003849</v>
      </c>
      <c r="X209">
        <f>Scenario_Data!T209</f>
        <v>43.5</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2682.4022174144784</v>
      </c>
      <c r="Z209">
        <f>Scenario_Data!U209</f>
        <v>290</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1512.9108568074798</v>
      </c>
      <c r="AB209">
        <f>Scenario_Data!V209</f>
        <v>580</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3616.803052164903</v>
      </c>
      <c r="AD209">
        <f>Scenario_Data!W209</f>
        <v>580</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3585.1561586329776</v>
      </c>
      <c r="AG209">
        <f>Scenario_Data!T209</f>
        <v>43.5</v>
      </c>
      <c r="AH209">
        <f>2*(SQRT((Inputs!$C$52+(Scenario_Data!B209))^2+Inputs!$C$52^2-2*(Inputs!$C$52+(Scenario_Data!B209))*Inputs!$C$52*COS(SQRT((Scenario_Data!T209)^2+Inputs!$C$6^2)/Inputs!$C$52))*1000)/Inputs!$C$21*1000000</f>
        <v>2708.6711371730257</v>
      </c>
      <c r="AI209">
        <f>Scenario_Data!U209</f>
        <v>290</v>
      </c>
      <c r="AJ209">
        <f>2*(SQRT((Inputs!$C$52+(Scenario_Data!C209))^2+Inputs!$C$52^2-2*(Inputs!$C$52+(Scenario_Data!C209))*Inputs!$C$52*COS(SQRT((Scenario_Data!U209)^2+Inputs!$C$6^2)/Inputs!$C$52))*1000)/Inputs!$C$21*1000000</f>
        <v>2568.4063111009086</v>
      </c>
      <c r="AK209">
        <f>Scenario_Data!V209</f>
        <v>580</v>
      </c>
      <c r="AL209">
        <f>2*(SQRT((Inputs!$C$52+(Scenario_Data!D209))^2+Inputs!$C$52^2-2*(Inputs!$C$52+(Scenario_Data!D209))*Inputs!$C$52*COS(SQRT((Scenario_Data!V209)^2+Inputs!$C$6^2)/Inputs!$C$52))*1000)/Inputs!$C$21*1000000</f>
        <v>5750.1221522344285</v>
      </c>
      <c r="AM209">
        <f>Scenario_Data!W209</f>
        <v>580</v>
      </c>
      <c r="AN209">
        <f>2*(SQRT((Inputs!$C$52+(Scenario_Data!E209))^2+Inputs!$C$52^2-2*(Inputs!$C$52+(Scenario_Data!E209))*Inputs!$C$52*COS(SQRT((Scenario_Data!W209)^2+Inputs!$C$6^2)/Inputs!$C$52))*1000)/Inputs!$C$21*1000000</f>
        <v>5726.332575075653</v>
      </c>
      <c r="AP209">
        <f>Scenario_Data!T209</f>
        <v>43.5</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2707.1859976785427</v>
      </c>
      <c r="AR209">
        <f>Scenario_Data!U209</f>
        <v>290</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2567.7411755466196</v>
      </c>
      <c r="AT209">
        <f>Scenario_Data!V209</f>
        <v>580</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5749.3574043712242</v>
      </c>
      <c r="AV209">
        <f>Scenario_Data!W209</f>
        <v>580</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5725.5731708500762</v>
      </c>
    </row>
    <row r="210" spans="1:49">
      <c r="A210">
        <f>Chart_Data!K210</f>
        <v>44</v>
      </c>
      <c r="B210">
        <f>Chart_Data!N210-Chart_Data!L210</f>
        <v>-9.6325912578188309</v>
      </c>
      <c r="D210">
        <f>Chart_Data!G210</f>
        <v>44</v>
      </c>
      <c r="E210">
        <f>Chart_Data!H210</f>
        <v>208.84015984832814</v>
      </c>
      <c r="F210">
        <f>Chart_Data!I210</f>
        <v>208.84015984832814</v>
      </c>
      <c r="G210">
        <f>Chart_Data!J210</f>
        <v>7.0518996381457164</v>
      </c>
      <c r="I210">
        <f>Scenario_Data!A210</f>
        <v>0.73299999999999998</v>
      </c>
      <c r="J210">
        <f>Scenario_Data!H210-(((SQRT((Inputs!$C$52+(Inputs!$H$6))^2+Inputs!$C$52^2-2*(Inputs!$C$52+(Inputs!$H$6))*Inputs!$C$52*COS(SQRT((Scenario_Data!T210)^2+Inputs!$C$6^2)/Inputs!$C$52)))-(Inputs!$H$6))*1000/Inputs!$C$12)</f>
        <v>-9.4500486732272293</v>
      </c>
      <c r="K210">
        <f>Scenario_Data!I210-(((SQRT((Inputs!$C$52+(Inputs!$H$7))^2+Inputs!$C$52^2-2*(Inputs!$C$52+(Inputs!$H$7))*Inputs!$C$52*COS(SQRT((Scenario_Data!U210)^2+Inputs!$C$6^2)/Inputs!$C$52)))-(Inputs!$H$7))*1000/Inputs!$C$12)</f>
        <v>-58829.984333780376</v>
      </c>
      <c r="L210">
        <f>Scenario_Data!J210-(((SQRT((Inputs!$C$52+(Inputs!$H$8))^2+Inputs!$C$52^2-2*(Inputs!$C$52+(Inputs!$H$8))*Inputs!$C$52*COS(SQRT((Scenario_Data!V210)^2+Inputs!$C$6^2)/Inputs!$C$52)))-(Inputs!$H$8))*1000/Inputs!$C$12)</f>
        <v>-131136.96927609123</v>
      </c>
      <c r="M210">
        <f>Scenario_Data!K210-(((SQRT((Inputs!$C$52+(Inputs!$H$9))^2+Inputs!$C$52^2-2*(Inputs!$C$52+(Inputs!$H$9))*Inputs!$C$52*COS(SQRT((Scenario_Data!W210)^2+Inputs!$C$6^2)/Inputs!$C$52)))-(Inputs!$H$9))*1000/Inputs!$C$12)</f>
        <v>-134793.8913710381</v>
      </c>
      <c r="O210">
        <f>Scenario_Data!T210</f>
        <v>43.980000000000004</v>
      </c>
      <c r="P210">
        <f>2*(Scenario_Data!B210*1000)/Inputs!$C$21*1000000</f>
        <v>2682.85038711681</v>
      </c>
      <c r="Q210">
        <f>Scenario_Data!U210</f>
        <v>293.20000000000005</v>
      </c>
      <c r="R210">
        <f>2*(Scenario_Data!C210*1000)/Inputs!$C$21*1000000</f>
        <v>1541.8031963966221</v>
      </c>
      <c r="S210">
        <f>Scenario_Data!V210</f>
        <v>586.40000000000009</v>
      </c>
      <c r="T210">
        <f>2*(Scenario_Data!D210*1000)/Inputs!$C$21*1000000</f>
        <v>3692.4470261356614</v>
      </c>
      <c r="U210">
        <f>Scenario_Data!W210</f>
        <v>586.40000000000009</v>
      </c>
      <c r="V210">
        <f>2*(Scenario_Data!E210*1000)/Inputs!$C$21*1000000</f>
        <v>3661.5782709250157</v>
      </c>
      <c r="X210">
        <f>Scenario_Data!T210</f>
        <v>43.980000000000004</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2682.7748799157594</v>
      </c>
      <c r="Z210">
        <f>Scenario_Data!U210</f>
        <v>293.20000000000005</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1541.4540654481948</v>
      </c>
      <c r="AB210">
        <f>Scenario_Data!V210</f>
        <v>586.40000000000009</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3692.1830494024643</v>
      </c>
      <c r="AD210">
        <f>Scenario_Data!W210</f>
        <v>586.40000000000009</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3661.3142941918177</v>
      </c>
      <c r="AG210">
        <f>Scenario_Data!T210</f>
        <v>43.980000000000004</v>
      </c>
      <c r="AH210">
        <f>2*(SQRT((Inputs!$C$52+(Scenario_Data!B210))^2+Inputs!$C$52^2-2*(Inputs!$C$52+(Scenario_Data!B210))*Inputs!$C$52*COS(SQRT((Scenario_Data!T210)^2+Inputs!$C$6^2)/Inputs!$C$52))*1000)/Inputs!$C$21*1000000</f>
        <v>2709.4137030571701</v>
      </c>
      <c r="AI210">
        <f>Scenario_Data!U210</f>
        <v>293.20000000000005</v>
      </c>
      <c r="AJ210">
        <f>2*(SQRT((Inputs!$C$52+(Scenario_Data!C210))^2+Inputs!$C$52^2-2*(Inputs!$C$52+(Scenario_Data!C210))*Inputs!$C$52*COS(SQRT((Scenario_Data!U210)^2+Inputs!$C$6^2)/Inputs!$C$52))*1000)/Inputs!$C$21*1000000</f>
        <v>2605.4827634648645</v>
      </c>
      <c r="AK210">
        <f>Scenario_Data!V210</f>
        <v>586.40000000000009</v>
      </c>
      <c r="AL210">
        <f>2*(SQRT((Inputs!$C$52+(Scenario_Data!D210))^2+Inputs!$C$52^2-2*(Inputs!$C$52+(Scenario_Data!D210))*Inputs!$C$52*COS(SQRT((Scenario_Data!V210)^2+Inputs!$C$6^2)/Inputs!$C$52))*1000)/Inputs!$C$21*1000000</f>
        <v>5844.6010930614657</v>
      </c>
      <c r="AM210">
        <f>Scenario_Data!W210</f>
        <v>586.40000000000009</v>
      </c>
      <c r="AN210">
        <f>2*(SQRT((Inputs!$C$52+(Scenario_Data!E210))^2+Inputs!$C$52^2-2*(Inputs!$C$52+(Scenario_Data!E210))*Inputs!$C$52*COS(SQRT((Scenario_Data!W210)^2+Inputs!$C$6^2)/Inputs!$C$52))*1000)/Inputs!$C$21*1000000</f>
        <v>5821.2913463973637</v>
      </c>
      <c r="AP210">
        <f>Scenario_Data!T210</f>
        <v>43.980000000000004</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2708.0535136916324</v>
      </c>
      <c r="AR210">
        <f>Scenario_Data!U210</f>
        <v>293.20000000000005</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2604.7028372749974</v>
      </c>
      <c r="AT210">
        <f>Scenario_Data!V210</f>
        <v>586.40000000000009</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5844.2746200925321</v>
      </c>
      <c r="AV210">
        <f>Scenario_Data!W210</f>
        <v>586.40000000000009</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5820.9670434296495</v>
      </c>
    </row>
    <row r="211" spans="1:49">
      <c r="A211">
        <f>Chart_Data!K211</f>
        <v>44.5</v>
      </c>
      <c r="B211">
        <f>Chart_Data!N211-Chart_Data!L211</f>
        <v>1.0351428006268861</v>
      </c>
      <c r="D211">
        <f>Chart_Data!G211</f>
        <v>44.5</v>
      </c>
      <c r="E211">
        <f>Chart_Data!H211</f>
        <v>178.96296340227542</v>
      </c>
      <c r="F211">
        <f>Chart_Data!I211</f>
        <v>178.96296340227542</v>
      </c>
      <c r="G211">
        <f>Chart_Data!J211</f>
        <v>-3.2837161089439029</v>
      </c>
      <c r="I211">
        <f>Scenario_Data!A211</f>
        <v>0.74199999999999999</v>
      </c>
      <c r="J211">
        <f>Scenario_Data!H211-(((SQRT((Inputs!$C$52+(Inputs!$H$6))^2+Inputs!$C$52^2-2*(Inputs!$C$52+(Inputs!$H$6))*Inputs!$C$52*COS(SQRT((Scenario_Data!T211)^2+Inputs!$C$6^2)/Inputs!$C$52)))-(Inputs!$H$6))*1000/Inputs!$C$12)</f>
        <v>-9.8601139367465294</v>
      </c>
      <c r="K211">
        <f>Scenario_Data!I211-(((SQRT((Inputs!$C$52+(Inputs!$H$7))^2+Inputs!$C$52^2-2*(Inputs!$C$52+(Inputs!$H$7))*Inputs!$C$52*COS(SQRT((Scenario_Data!U211)^2+Inputs!$C$6^2)/Inputs!$C$52)))-(Inputs!$H$7))*1000/Inputs!$C$12)</f>
        <v>-60026.903256236474</v>
      </c>
      <c r="L211">
        <f>Scenario_Data!J211-(((SQRT((Inputs!$C$52+(Inputs!$H$8))^2+Inputs!$C$52^2-2*(Inputs!$C$52+(Inputs!$H$8))*Inputs!$C$52*COS(SQRT((Scenario_Data!V211)^2+Inputs!$C$6^2)/Inputs!$C$52)))-(Inputs!$H$8))*1000/Inputs!$C$12)</f>
        <v>-133303.50387707388</v>
      </c>
      <c r="M211">
        <f>Scenario_Data!K211-(((SQRT((Inputs!$C$52+(Inputs!$H$9))^2+Inputs!$C$52^2-2*(Inputs!$C$52+(Inputs!$H$9))*Inputs!$C$52*COS(SQRT((Scenario_Data!W211)^2+Inputs!$C$6^2)/Inputs!$C$52)))-(Inputs!$H$9))*1000/Inputs!$C$12)</f>
        <v>-136979.00244933437</v>
      </c>
      <c r="O211">
        <f>Scenario_Data!T211</f>
        <v>44.519999999999996</v>
      </c>
      <c r="P211">
        <f>2*(Scenario_Data!B211*1000)/Inputs!$C$21*1000000</f>
        <v>2683.2046321859102</v>
      </c>
      <c r="Q211">
        <f>Scenario_Data!U211</f>
        <v>296.79999999999995</v>
      </c>
      <c r="R211">
        <f>2*(Scenario_Data!C211*1000)/Inputs!$C$21*1000000</f>
        <v>1574.1280589520366</v>
      </c>
      <c r="S211">
        <f>Scenario_Data!V211</f>
        <v>593.59999999999991</v>
      </c>
      <c r="T211">
        <f>2*(Scenario_Data!D211*1000)/Inputs!$C$21*1000000</f>
        <v>3777.9086490561399</v>
      </c>
      <c r="U211">
        <f>Scenario_Data!W211</f>
        <v>593.59999999999991</v>
      </c>
      <c r="V211">
        <f>2*(Scenario_Data!E211*1000)/Inputs!$C$21*1000000</f>
        <v>3747.9255065182456</v>
      </c>
      <c r="X211">
        <f>Scenario_Data!T211</f>
        <v>44.519999999999996</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2683.2285243627853</v>
      </c>
      <c r="Z211">
        <f>Scenario_Data!U211</f>
        <v>296.79999999999995</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1574.1976338491966</v>
      </c>
      <c r="AB211">
        <f>Scenario_Data!V211</f>
        <v>593.59999999999991</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3777.6203108286313</v>
      </c>
      <c r="AD211">
        <f>Scenario_Data!W211</f>
        <v>593.59999999999991</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3747.6371682907366</v>
      </c>
      <c r="AG211">
        <f>Scenario_Data!T211</f>
        <v>44.519999999999996</v>
      </c>
      <c r="AH211">
        <f>2*(SQRT((Inputs!$C$52+(Scenario_Data!B211))^2+Inputs!$C$52^2-2*(Inputs!$C$52+(Scenario_Data!B211))*Inputs!$C$52*COS(SQRT((Scenario_Data!T211)^2+Inputs!$C$6^2)/Inputs!$C$52))*1000)/Inputs!$C$21*1000000</f>
        <v>2710.2586496341951</v>
      </c>
      <c r="AI211">
        <f>Scenario_Data!U211</f>
        <v>296.79999999999995</v>
      </c>
      <c r="AJ211">
        <f>2*(SQRT((Inputs!$C$52+(Scenario_Data!C211))^2+Inputs!$C$52^2-2*(Inputs!$C$52+(Scenario_Data!C211))*Inputs!$C$52*COS(SQRT((Scenario_Data!U211)^2+Inputs!$C$6^2)/Inputs!$C$52))*1000)/Inputs!$C$21*1000000</f>
        <v>2647.519805513155</v>
      </c>
      <c r="AK211">
        <f>Scenario_Data!V211</f>
        <v>593.59999999999991</v>
      </c>
      <c r="AL211">
        <f>2*(SQRT((Inputs!$C$52+(Scenario_Data!D211))^2+Inputs!$C$52^2-2*(Inputs!$C$52+(Scenario_Data!D211))*Inputs!$C$52*COS(SQRT((Scenario_Data!V211)^2+Inputs!$C$6^2)/Inputs!$C$52))*1000)/Inputs!$C$21*1000000</f>
        <v>5951.9122690476443</v>
      </c>
      <c r="AM211">
        <f>Scenario_Data!W211</f>
        <v>593.59999999999991</v>
      </c>
      <c r="AN211">
        <f>2*(SQRT((Inputs!$C$52+(Scenario_Data!E211))^2+Inputs!$C$52^2-2*(Inputs!$C$52+(Scenario_Data!E211))*Inputs!$C$52*COS(SQRT((Scenario_Data!W211)^2+Inputs!$C$6^2)/Inputs!$C$52))*1000)/Inputs!$C$21*1000000</f>
        <v>5929.1582714862625</v>
      </c>
      <c r="AP211">
        <f>Scenario_Data!T211</f>
        <v>44.519999999999996</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2708.9759331232062</v>
      </c>
      <c r="AR211">
        <f>Scenario_Data!U211</f>
        <v>296.79999999999995</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2646.9794339407081</v>
      </c>
      <c r="AT211">
        <f>Scenario_Data!V211</f>
        <v>593.59999999999991</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5951.4289657749514</v>
      </c>
      <c r="AV211">
        <f>Scenario_Data!W211</f>
        <v>593.59999999999991</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5928.6780038190936</v>
      </c>
    </row>
    <row r="212" spans="1:49">
      <c r="A212">
        <f>Chart_Data!K212</f>
        <v>45</v>
      </c>
      <c r="B212">
        <f>Chart_Data!N212-Chart_Data!L212</f>
        <v>2.6350518935005312</v>
      </c>
      <c r="D212">
        <f>Chart_Data!G212</f>
        <v>45</v>
      </c>
      <c r="E212">
        <f>Chart_Data!H212</f>
        <v>165.26573251393552</v>
      </c>
      <c r="F212">
        <f>Chart_Data!I212</f>
        <v>165.26573251393552</v>
      </c>
      <c r="G212">
        <f>Chart_Data!J212</f>
        <v>-4.7462079682678002</v>
      </c>
      <c r="I212">
        <f>Scenario_Data!A212</f>
        <v>0.75</v>
      </c>
      <c r="J212">
        <f>Scenario_Data!H212-(((SQRT((Inputs!$C$52+(Inputs!$H$6))^2+Inputs!$C$52^2-2*(Inputs!$C$52+(Inputs!$H$6))*Inputs!$C$52*COS(SQRT((Scenario_Data!T212)^2+Inputs!$C$6^2)/Inputs!$C$52)))-(Inputs!$H$6))*1000/Inputs!$C$12)</f>
        <v>-10.235955038383963</v>
      </c>
      <c r="K212">
        <f>Scenario_Data!I212-(((SQRT((Inputs!$C$52+(Inputs!$H$7))^2+Inputs!$C$52^2-2*(Inputs!$C$52+(Inputs!$H$7))*Inputs!$C$52*COS(SQRT((Scenario_Data!U212)^2+Inputs!$C$6^2)/Inputs!$C$52)))-(Inputs!$H$7))*1000/Inputs!$C$12)</f>
        <v>-61094.421380709784</v>
      </c>
      <c r="L212">
        <f>Scenario_Data!J212-(((SQRT((Inputs!$C$52+(Inputs!$H$8))^2+Inputs!$C$52^2-2*(Inputs!$C$52+(Inputs!$H$8))*Inputs!$C$52*COS(SQRT((Scenario_Data!V212)^2+Inputs!$C$6^2)/Inputs!$C$52)))-(Inputs!$H$8))*1000/Inputs!$C$12)</f>
        <v>-135224.99566257387</v>
      </c>
      <c r="M212">
        <f>Scenario_Data!K212-(((SQRT((Inputs!$C$52+(Inputs!$H$9))^2+Inputs!$C$52^2-2*(Inputs!$C$52+(Inputs!$H$9))*Inputs!$C$52*COS(SQRT((Scenario_Data!W212)^2+Inputs!$C$6^2)/Inputs!$C$52)))-(Inputs!$H$9))*1000/Inputs!$C$12)</f>
        <v>-138916.51889518261</v>
      </c>
      <c r="O212">
        <f>Scenario_Data!T212</f>
        <v>45</v>
      </c>
      <c r="P212">
        <f>2*(Scenario_Data!B212*1000)/Inputs!$C$21*1000000</f>
        <v>2683.5231458691333</v>
      </c>
      <c r="Q212">
        <f>Scenario_Data!U212</f>
        <v>300</v>
      </c>
      <c r="R212">
        <f>2*(Scenario_Data!C212*1000)/Inputs!$C$21*1000000</f>
        <v>1603.1924325461182</v>
      </c>
      <c r="S212">
        <f>Scenario_Data!V212</f>
        <v>600</v>
      </c>
      <c r="T212">
        <f>2*(Scenario_Data!D212*1000)/Inputs!$C$21*1000000</f>
        <v>3854.7500751336447</v>
      </c>
      <c r="U212">
        <f>Scenario_Data!W212</f>
        <v>600</v>
      </c>
      <c r="V212">
        <f>2*(Scenario_Data!E212*1000)/Inputs!$C$21*1000000</f>
        <v>3825.5632168038064</v>
      </c>
      <c r="X212">
        <f>Scenario_Data!T212</f>
        <v>45</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2683.5548091604642</v>
      </c>
      <c r="Z212">
        <f>Scenario_Data!U212</f>
        <v>300</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1603.1443212159713</v>
      </c>
      <c r="AB212">
        <f>Scenario_Data!V212</f>
        <v>600</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3854.3093981437132</v>
      </c>
      <c r="AD212">
        <f>Scenario_Data!W212</f>
        <v>600</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3825.1225398138749</v>
      </c>
      <c r="AG212">
        <f>Scenario_Data!T212</f>
        <v>45</v>
      </c>
      <c r="AH212">
        <f>2*(SQRT((Inputs!$C$52+(Scenario_Data!B212))^2+Inputs!$C$52^2-2*(Inputs!$C$52+(Scenario_Data!B212))*Inputs!$C$52*COS(SQRT((Scenario_Data!T212)^2+Inputs!$C$6^2)/Inputs!$C$52))*1000)/Inputs!$C$21*1000000</f>
        <v>2711.0182056718681</v>
      </c>
      <c r="AI212">
        <f>Scenario_Data!U212</f>
        <v>300</v>
      </c>
      <c r="AJ212">
        <f>2*(SQRT((Inputs!$C$52+(Scenario_Data!C212))^2+Inputs!$C$52^2-2*(Inputs!$C$52+(Scenario_Data!C212))*Inputs!$C$52*COS(SQRT((Scenario_Data!U212)^2+Inputs!$C$6^2)/Inputs!$C$52))*1000)/Inputs!$C$21*1000000</f>
        <v>2685.1773334232421</v>
      </c>
      <c r="AK212">
        <f>Scenario_Data!V212</f>
        <v>600</v>
      </c>
      <c r="AL212">
        <f>2*(SQRT((Inputs!$C$52+(Scenario_Data!D212))^2+Inputs!$C$52^2-2*(Inputs!$C$52+(Scenario_Data!D212))*Inputs!$C$52*COS(SQRT((Scenario_Data!V212)^2+Inputs!$C$6^2)/Inputs!$C$52))*1000)/Inputs!$C$21*1000000</f>
        <v>6048.2115560449747</v>
      </c>
      <c r="AM212">
        <f>Scenario_Data!W212</f>
        <v>600</v>
      </c>
      <c r="AN212">
        <f>2*(SQRT((Inputs!$C$52+(Scenario_Data!E212))^2+Inputs!$C$52^2-2*(Inputs!$C$52+(Scenario_Data!E212))*Inputs!$C$52*COS(SQRT((Scenario_Data!W212)^2+Inputs!$C$6^2)/Inputs!$C$52))*1000)/Inputs!$C$21*1000000</f>
        <v>6025.9656641770644</v>
      </c>
      <c r="AP212">
        <f>Scenario_Data!T212</f>
        <v>45</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2709.9297554985205</v>
      </c>
      <c r="AR212">
        <f>Scenario_Data!U212</f>
        <v>300</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2684.8439175922672</v>
      </c>
      <c r="AT212">
        <f>Scenario_Data!V212</f>
        <v>600</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6047.7020502811029</v>
      </c>
      <c r="AV212">
        <f>Scenario_Data!W212</f>
        <v>600</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6025.4591988659058</v>
      </c>
    </row>
    <row r="213" spans="1:49">
      <c r="A213">
        <f>Chart_Data!K213</f>
        <v>45.5</v>
      </c>
      <c r="B213">
        <f>Chart_Data!N213-Chart_Data!L213</f>
        <v>2.7628297661277941</v>
      </c>
      <c r="D213">
        <f>Chart_Data!G213</f>
        <v>45.5</v>
      </c>
      <c r="E213">
        <f>Chart_Data!H213</f>
        <v>168.78187987738474</v>
      </c>
      <c r="F213">
        <f>Chart_Data!I213</f>
        <v>168.78187987738474</v>
      </c>
      <c r="G213">
        <f>Chart_Data!J213</f>
        <v>-4.9547764189191454</v>
      </c>
      <c r="I213">
        <f>Scenario_Data!A213</f>
        <v>0.75800000000000001</v>
      </c>
      <c r="J213">
        <f>Scenario_Data!H213-(((SQRT((Inputs!$C$52+(Inputs!$H$6))^2+Inputs!$C$52^2-2*(Inputs!$C$52+(Inputs!$H$6))*Inputs!$C$52*COS(SQRT((Scenario_Data!T213)^2+Inputs!$C$6^2)/Inputs!$C$52)))-(Inputs!$H$6))*1000/Inputs!$C$12)</f>
        <v>-10.622685923482095</v>
      </c>
      <c r="K213">
        <f>Scenario_Data!I213-(((SQRT((Inputs!$C$52+(Inputs!$H$7))^2+Inputs!$C$52^2-2*(Inputs!$C$52+(Inputs!$H$7))*Inputs!$C$52*COS(SQRT((Scenario_Data!U213)^2+Inputs!$C$6^2)/Inputs!$C$52)))-(Inputs!$H$7))*1000/Inputs!$C$12)</f>
        <v>-62165.189846866822</v>
      </c>
      <c r="L213">
        <f>Scenario_Data!J213-(((SQRT((Inputs!$C$52+(Inputs!$H$8))^2+Inputs!$C$52^2-2*(Inputs!$C$52+(Inputs!$H$8))*Inputs!$C$52*COS(SQRT((Scenario_Data!V213)^2+Inputs!$C$6^2)/Inputs!$C$52)))-(Inputs!$H$8))*1000/Inputs!$C$12)</f>
        <v>-137142.1869054522</v>
      </c>
      <c r="M213">
        <f>Scenario_Data!K213-(((SQRT((Inputs!$C$52+(Inputs!$H$9))^2+Inputs!$C$52^2-2*(Inputs!$C$52+(Inputs!$H$9))*Inputs!$C$52*COS(SQRT((Scenario_Data!W213)^2+Inputs!$C$6^2)/Inputs!$C$52)))-(Inputs!$H$9))*1000/Inputs!$C$12)</f>
        <v>-140849.28287495405</v>
      </c>
      <c r="O213">
        <f>Scenario_Data!T213</f>
        <v>45.480000000000004</v>
      </c>
      <c r="P213">
        <f>2*(Scenario_Data!B213*1000)/Inputs!$C$21*1000000</f>
        <v>2683.8450752486906</v>
      </c>
      <c r="Q213">
        <f>Scenario_Data!U213</f>
        <v>303.20000000000005</v>
      </c>
      <c r="R213">
        <f>2*(Scenario_Data!C213*1000)/Inputs!$C$21*1000000</f>
        <v>1632.5684884307536</v>
      </c>
      <c r="S213">
        <f>Scenario_Data!V213</f>
        <v>606.40000000000009</v>
      </c>
      <c r="T213">
        <f>2*(Scenario_Data!D213*1000)/Inputs!$C$21*1000000</f>
        <v>3932.4155379519266</v>
      </c>
      <c r="U213">
        <f>Scenario_Data!W213</f>
        <v>606.40000000000009</v>
      </c>
      <c r="V213">
        <f>2*(Scenario_Data!E213*1000)/Inputs!$C$21*1000000</f>
        <v>3904.0335030709825</v>
      </c>
      <c r="X213">
        <f>Scenario_Data!T213</f>
        <v>45.480000000000004</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2683.8975540425167</v>
      </c>
      <c r="Z213">
        <f>Scenario_Data!U213</f>
        <v>303.20000000000005</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1632.5427234407928</v>
      </c>
      <c r="AB213">
        <f>Scenario_Data!V213</f>
        <v>606.40000000000009</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3932.4165893514773</v>
      </c>
      <c r="AD213">
        <f>Scenario_Data!W213</f>
        <v>606.40000000000009</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3904.0345544705324</v>
      </c>
      <c r="AG213">
        <f>Scenario_Data!T213</f>
        <v>45.480000000000004</v>
      </c>
      <c r="AH213">
        <f>2*(SQRT((Inputs!$C$52+(Scenario_Data!B213))^2+Inputs!$C$52^2-2*(Inputs!$C$52+(Scenario_Data!B213))*Inputs!$C$52*COS(SQRT((Scenario_Data!T213)^2+Inputs!$C$6^2)/Inputs!$C$52))*1000)/Inputs!$C$21*1000000</f>
        <v>2711.7857495077187</v>
      </c>
      <c r="AI213">
        <f>Scenario_Data!U213</f>
        <v>303.20000000000005</v>
      </c>
      <c r="AJ213">
        <f>2*(SQRT((Inputs!$C$52+(Scenario_Data!C213))^2+Inputs!$C$52^2-2*(Inputs!$C$52+(Scenario_Data!C213))*Inputs!$C$52*COS(SQRT((Scenario_Data!U213)^2+Inputs!$C$6^2)/Inputs!$C$52))*1000)/Inputs!$C$21*1000000</f>
        <v>2723.1103493336241</v>
      </c>
      <c r="AK213">
        <f>Scenario_Data!V213</f>
        <v>606.40000000000009</v>
      </c>
      <c r="AL213">
        <f>2*(SQRT((Inputs!$C$52+(Scenario_Data!D213))^2+Inputs!$C$52^2-2*(Inputs!$C$52+(Scenario_Data!D213))*Inputs!$C$52*COS(SQRT((Scenario_Data!V213)^2+Inputs!$C$6^2)/Inputs!$C$52))*1000)/Inputs!$C$21*1000000</f>
        <v>6145.3713547660127</v>
      </c>
      <c r="AM213">
        <f>Scenario_Data!W213</f>
        <v>606.40000000000009</v>
      </c>
      <c r="AN213">
        <f>2*(SQRT((Inputs!$C$52+(Scenario_Data!E213))^2+Inputs!$C$52^2-2*(Inputs!$C$52+(Scenario_Data!E213))*Inputs!$C$52*COS(SQRT((Scenario_Data!W213)^2+Inputs!$C$6^2)/Inputs!$C$52))*1000)/Inputs!$C$21*1000000</f>
        <v>6123.6467860475295</v>
      </c>
      <c r="AP213">
        <f>Scenario_Data!T213</f>
        <v>45.480000000000004</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2710.7767597783932</v>
      </c>
      <c r="AR213">
        <f>Scenario_Data!U213</f>
        <v>303.20000000000005</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2722.7356281270404</v>
      </c>
      <c r="AT213">
        <f>Scenario_Data!V213</f>
        <v>606.40000000000009</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6145.1113384527371</v>
      </c>
      <c r="AV213">
        <f>Scenario_Data!W213</f>
        <v>606.40000000000009</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6123.388242453002</v>
      </c>
    </row>
    <row r="214" spans="1:49">
      <c r="A214">
        <f>Chart_Data!K214</f>
        <v>46</v>
      </c>
      <c r="B214">
        <f>Chart_Data!N214-Chart_Data!L214</f>
        <v>-1.8952716670484335</v>
      </c>
      <c r="D214">
        <f>Chart_Data!G214</f>
        <v>46</v>
      </c>
      <c r="E214">
        <f>Chart_Data!H214</f>
        <v>147.22365110398141</v>
      </c>
      <c r="F214">
        <f>Chart_Data!I214</f>
        <v>147.22365110398141</v>
      </c>
      <c r="G214">
        <f>Chart_Data!J214</f>
        <v>-4.8192565136201182E-2</v>
      </c>
      <c r="I214">
        <f>Scenario_Data!A214</f>
        <v>0.76700000000000002</v>
      </c>
      <c r="J214">
        <f>Scenario_Data!H214-(((SQRT((Inputs!$C$52+(Inputs!$H$6))^2+Inputs!$C$52^2-2*(Inputs!$C$52+(Inputs!$H$6))*Inputs!$C$52*COS(SQRT((Scenario_Data!T214)^2+Inputs!$C$6^2)/Inputs!$C$52)))-(Inputs!$H$6))*1000/Inputs!$C$12)</f>
        <v>-11.071038001998204</v>
      </c>
      <c r="K214">
        <f>Scenario_Data!I214-(((SQRT((Inputs!$C$52+(Inputs!$H$7))^2+Inputs!$C$52^2-2*(Inputs!$C$52+(Inputs!$H$7))*Inputs!$C$52*COS(SQRT((Scenario_Data!U214)^2+Inputs!$C$6^2)/Inputs!$C$52)))-(Inputs!$H$7))*1000/Inputs!$C$12)</f>
        <v>-63373.538684469881</v>
      </c>
      <c r="L214">
        <f>Scenario_Data!J214-(((SQRT((Inputs!$C$52+(Inputs!$H$8))^2+Inputs!$C$52^2-2*(Inputs!$C$52+(Inputs!$H$8))*Inputs!$C$52*COS(SQRT((Scenario_Data!V214)^2+Inputs!$C$6^2)/Inputs!$C$52)))-(Inputs!$H$8))*1000/Inputs!$C$12)</f>
        <v>-139293.61086167686</v>
      </c>
      <c r="M214">
        <f>Scenario_Data!K214-(((SQRT((Inputs!$C$52+(Inputs!$H$9))^2+Inputs!$C$52^2-2*(Inputs!$C$52+(Inputs!$H$9))*Inputs!$C$52*COS(SQRT((Scenario_Data!W214)^2+Inputs!$C$6^2)/Inputs!$C$52)))-(Inputs!$H$9))*1000/Inputs!$C$12)</f>
        <v>-143017.69446274079</v>
      </c>
      <c r="O214">
        <f>Scenario_Data!T214</f>
        <v>46.019999999999996</v>
      </c>
      <c r="P214">
        <f>2*(Scenario_Data!B214*1000)/Inputs!$C$21*1000000</f>
        <v>2684.2113286252188</v>
      </c>
      <c r="Q214">
        <f>Scenario_Data!U214</f>
        <v>306.79999999999995</v>
      </c>
      <c r="R214">
        <f>2*(Scenario_Data!C214*1000)/Inputs!$C$21*1000000</f>
        <v>1665.9891090388933</v>
      </c>
      <c r="S214">
        <f>Scenario_Data!V214</f>
        <v>613.59999999999991</v>
      </c>
      <c r="T214">
        <f>2*(Scenario_Data!D214*1000)/Inputs!$C$21*1000000</f>
        <v>4020.7741650392004</v>
      </c>
      <c r="U214">
        <f>Scenario_Data!W214</f>
        <v>613.59999999999991</v>
      </c>
      <c r="V214">
        <f>2*(Scenario_Data!E214*1000)/Inputs!$C$21*1000000</f>
        <v>3993.3077635995755</v>
      </c>
      <c r="X214">
        <f>Scenario_Data!T214</f>
        <v>46.019999999999996</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2684.2763942375609</v>
      </c>
      <c r="Z214">
        <f>Scenario_Data!U214</f>
        <v>306.79999999999995</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1665.8157365634884</v>
      </c>
      <c r="AB214">
        <f>Scenario_Data!V214</f>
        <v>613.59999999999991</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4020.5820211383834</v>
      </c>
      <c r="AD214">
        <f>Scenario_Data!W214</f>
        <v>613.59999999999991</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3993.1156196987595</v>
      </c>
      <c r="AG214">
        <f>Scenario_Data!T214</f>
        <v>46.019999999999996</v>
      </c>
      <c r="AH214">
        <f>2*(SQRT((Inputs!$C$52+(Scenario_Data!B214))^2+Inputs!$C$52^2-2*(Inputs!$C$52+(Scenario_Data!B214))*Inputs!$C$52*COS(SQRT((Scenario_Data!T214)^2+Inputs!$C$6^2)/Inputs!$C$52))*1000)/Inputs!$C$21*1000000</f>
        <v>2712.6587781279418</v>
      </c>
      <c r="AI214">
        <f>Scenario_Data!U214</f>
        <v>306.79999999999995</v>
      </c>
      <c r="AJ214">
        <f>2*(SQRT((Inputs!$C$52+(Scenario_Data!C214))^2+Inputs!$C$52^2-2*(Inputs!$C$52+(Scenario_Data!C214))*Inputs!$C$52*COS(SQRT((Scenario_Data!U214)^2+Inputs!$C$6^2)/Inputs!$C$52))*1000)/Inputs!$C$21*1000000</f>
        <v>2766.1158768793084</v>
      </c>
      <c r="AK214">
        <f>Scenario_Data!V214</f>
        <v>613.59999999999991</v>
      </c>
      <c r="AL214">
        <f>2*(SQRT((Inputs!$C$52+(Scenario_Data!D214))^2+Inputs!$C$52^2-2*(Inputs!$C$52+(Scenario_Data!D214))*Inputs!$C$52*COS(SQRT((Scenario_Data!V214)^2+Inputs!$C$6^2)/Inputs!$C$52))*1000)/Inputs!$C$21*1000000</f>
        <v>6255.7076711632635</v>
      </c>
      <c r="AM214">
        <f>Scenario_Data!W214</f>
        <v>613.59999999999991</v>
      </c>
      <c r="AN214">
        <f>2*(SQRT((Inputs!$C$52+(Scenario_Data!E214))^2+Inputs!$C$52^2-2*(Inputs!$C$52+(Scenario_Data!E214))*Inputs!$C$52*COS(SQRT((Scenario_Data!W214)^2+Inputs!$C$6^2)/Inputs!$C$52))*1000)/Inputs!$C$21*1000000</f>
        <v>6234.5853184731659</v>
      </c>
      <c r="AP214">
        <f>Scenario_Data!T214</f>
        <v>46.019999999999996</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2711.6756857341511</v>
      </c>
      <c r="AR214">
        <f>Scenario_Data!U214</f>
        <v>306.79999999999995</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2765.5141301691888</v>
      </c>
      <c r="AT214">
        <f>Scenario_Data!V214</f>
        <v>613.59999999999991</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6255.2175947007745</v>
      </c>
      <c r="AV214">
        <f>Scenario_Data!W214</f>
        <v>613.59999999999991</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6234.0978575250019</v>
      </c>
    </row>
    <row r="215" spans="1:49">
      <c r="A215">
        <f>Chart_Data!K215</f>
        <v>46.5</v>
      </c>
      <c r="B215">
        <f>Chart_Data!N215-Chart_Data!L215</f>
        <v>10.643125662069693</v>
      </c>
      <c r="D215">
        <f>Chart_Data!G215</f>
        <v>46.5</v>
      </c>
      <c r="E215">
        <f>Chart_Data!H215</f>
        <v>125.26409736726505</v>
      </c>
      <c r="F215">
        <f>Chart_Data!I215</f>
        <v>125.26409736726505</v>
      </c>
      <c r="G215">
        <f>Chart_Data!J215</f>
        <v>-12.323766405407561</v>
      </c>
      <c r="I215">
        <f>Scenario_Data!A215</f>
        <v>0.77500000000000002</v>
      </c>
      <c r="J215">
        <f>Scenario_Data!H215-(((SQRT((Inputs!$C$52+(Inputs!$H$6))^2+Inputs!$C$52^2-2*(Inputs!$C$52+(Inputs!$H$6))*Inputs!$C$52*COS(SQRT((Scenario_Data!T215)^2+Inputs!$C$6^2)/Inputs!$C$52)))-(Inputs!$H$6))*1000/Inputs!$C$12)</f>
        <v>-11.481613456182458</v>
      </c>
      <c r="K215">
        <f>Scenario_Data!I215-(((SQRT((Inputs!$C$52+(Inputs!$H$7))^2+Inputs!$C$52^2-2*(Inputs!$C$52+(Inputs!$H$7))*Inputs!$C$52*COS(SQRT((Scenario_Data!U215)^2+Inputs!$C$6^2)/Inputs!$C$52)))-(Inputs!$H$7))*1000/Inputs!$C$12)</f>
        <v>-64450.814321778293</v>
      </c>
      <c r="L215">
        <f>Scenario_Data!J215-(((SQRT((Inputs!$C$52+(Inputs!$H$8))^2+Inputs!$C$52^2-2*(Inputs!$C$52+(Inputs!$H$8))*Inputs!$C$52*COS(SQRT((Scenario_Data!V215)^2+Inputs!$C$6^2)/Inputs!$C$52)))-(Inputs!$H$8))*1000/Inputs!$C$12)</f>
        <v>-141200.93534309621</v>
      </c>
      <c r="M215">
        <f>Scenario_Data!K215-(((SQRT((Inputs!$C$52+(Inputs!$H$9))^2+Inputs!$C$52^2-2*(Inputs!$C$52+(Inputs!$H$9))*Inputs!$C$52*COS(SQRT((Scenario_Data!W215)^2+Inputs!$C$6^2)/Inputs!$C$52)))-(Inputs!$H$9))*1000/Inputs!$C$12)</f>
        <v>-144939.65393967155</v>
      </c>
      <c r="O215">
        <f>Scenario_Data!T215</f>
        <v>46.5</v>
      </c>
      <c r="P215">
        <f>2*(Scenario_Data!B215*1000)/Inputs!$C$21*1000000</f>
        <v>2684.5405163594878</v>
      </c>
      <c r="Q215">
        <f>Scenario_Data!U215</f>
        <v>310</v>
      </c>
      <c r="R215">
        <f>2*(Scenario_Data!C215*1000)/Inputs!$C$21*1000000</f>
        <v>1696.0274897909542</v>
      </c>
      <c r="S215">
        <f>Scenario_Data!V215</f>
        <v>620</v>
      </c>
      <c r="T215">
        <f>2*(Scenario_Data!D215*1000)/Inputs!$C$21*1000000</f>
        <v>4100.1907059316354</v>
      </c>
      <c r="U215">
        <f>Scenario_Data!W215</f>
        <v>620</v>
      </c>
      <c r="V215">
        <f>2*(Scenario_Data!E215*1000)/Inputs!$C$21*1000000</f>
        <v>4073.5472738276831</v>
      </c>
      <c r="X215">
        <f>Scenario_Data!T215</f>
        <v>46.5</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2684.622731679297</v>
      </c>
      <c r="Z215">
        <f>Scenario_Data!U215</f>
        <v>310</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1695.9271546505779</v>
      </c>
      <c r="AB215">
        <f>Scenario_Data!V215</f>
        <v>620</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4100.0862314704727</v>
      </c>
      <c r="AD215">
        <f>Scenario_Data!W215</f>
        <v>620</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4073.4427993665199</v>
      </c>
      <c r="AG215">
        <f>Scenario_Data!T215</f>
        <v>46.5</v>
      </c>
      <c r="AH215">
        <f>2*(SQRT((Inputs!$C$52+(Scenario_Data!B215))^2+Inputs!$C$52^2-2*(Inputs!$C$52+(Scenario_Data!B215))*Inputs!$C$52*COS(SQRT((Scenario_Data!T215)^2+Inputs!$C$6^2)/Inputs!$C$52))*1000)/Inputs!$C$21*1000000</f>
        <v>2713.4432796899005</v>
      </c>
      <c r="AI215">
        <f>Scenario_Data!U215</f>
        <v>310</v>
      </c>
      <c r="AJ215">
        <f>2*(SQRT((Inputs!$C$52+(Scenario_Data!C215))^2+Inputs!$C$52^2-2*(Inputs!$C$52+(Scenario_Data!C215))*Inputs!$C$52*COS(SQRT((Scenario_Data!U215)^2+Inputs!$C$6^2)/Inputs!$C$52))*1000)/Inputs!$C$21*1000000</f>
        <v>2804.6385226625612</v>
      </c>
      <c r="AK215">
        <f>Scenario_Data!V215</f>
        <v>620</v>
      </c>
      <c r="AL215">
        <f>2*(SQRT((Inputs!$C$52+(Scenario_Data!D215))^2+Inputs!$C$52^2-2*(Inputs!$C$52+(Scenario_Data!D215))*Inputs!$C$52*COS(SQRT((Scenario_Data!V215)^2+Inputs!$C$6^2)/Inputs!$C$52))*1000)/Inputs!$C$21*1000000</f>
        <v>6354.703876330992</v>
      </c>
      <c r="AM215">
        <f>Scenario_Data!W215</f>
        <v>620</v>
      </c>
      <c r="AN215">
        <f>2*(SQRT((Inputs!$C$52+(Scenario_Data!E215))^2+Inputs!$C$52^2-2*(Inputs!$C$52+(Scenario_Data!E215))*Inputs!$C$52*COS(SQRT((Scenario_Data!W215)^2+Inputs!$C$6^2)/Inputs!$C$52))*1000)/Inputs!$C$21*1000000</f>
        <v>6334.130742726853</v>
      </c>
      <c r="AP215">
        <f>Scenario_Data!T215</f>
        <v>46.5</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2712.6188196120961</v>
      </c>
      <c r="AR215">
        <f>Scenario_Data!U215</f>
        <v>310</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2803.9763312366531</v>
      </c>
      <c r="AT215">
        <f>Scenario_Data!V215</f>
        <v>620</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6354.2808257531133</v>
      </c>
      <c r="AV215">
        <f>Scenario_Data!W215</f>
        <v>620</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6333.7098311128047</v>
      </c>
    </row>
    <row r="216" spans="1:49">
      <c r="A216">
        <f>Chart_Data!K216</f>
        <v>47</v>
      </c>
      <c r="B216">
        <f>Chart_Data!N216-Chart_Data!L216</f>
        <v>-7.2483720897441515</v>
      </c>
      <c r="D216">
        <f>Chart_Data!G216</f>
        <v>47</v>
      </c>
      <c r="E216">
        <f>Chart_Data!H216</f>
        <v>119.07484471646131</v>
      </c>
      <c r="F216">
        <f>Chart_Data!I216</f>
        <v>119.07484471646131</v>
      </c>
      <c r="G216">
        <f>Chart_Data!J216</f>
        <v>5.6247334384920968</v>
      </c>
      <c r="I216">
        <f>Scenario_Data!A216</f>
        <v>0.78300000000000003</v>
      </c>
      <c r="J216">
        <f>Scenario_Data!H216-(((SQRT((Inputs!$C$52+(Inputs!$H$6))^2+Inputs!$C$52^2-2*(Inputs!$C$52+(Inputs!$H$6))*Inputs!$C$52*COS(SQRT((Scenario_Data!T216)^2+Inputs!$C$6^2)/Inputs!$C$52)))-(Inputs!$H$6))*1000/Inputs!$C$12)</f>
        <v>-11.903744966717568</v>
      </c>
      <c r="K216">
        <f>Scenario_Data!I216-(((SQRT((Inputs!$C$52+(Inputs!$H$7))^2+Inputs!$C$52^2-2*(Inputs!$C$52+(Inputs!$H$7))*Inputs!$C$52*COS(SQRT((Scenario_Data!U216)^2+Inputs!$C$6^2)/Inputs!$C$52)))-(Inputs!$H$7))*1000/Inputs!$C$12)</f>
        <v>-65530.968666103057</v>
      </c>
      <c r="L216">
        <f>Scenario_Data!J216-(((SQRT((Inputs!$C$52+(Inputs!$H$8))^2+Inputs!$C$52^2-2*(Inputs!$C$52+(Inputs!$H$8))*Inputs!$C$52*COS(SQRT((Scenario_Data!V216)^2+Inputs!$C$6^2)/Inputs!$C$52)))-(Inputs!$H$8))*1000/Inputs!$C$12)</f>
        <v>-143103.28717150204</v>
      </c>
      <c r="M216">
        <f>Scenario_Data!K216-(((SQRT((Inputs!$C$52+(Inputs!$H$9))^2+Inputs!$C$52^2-2*(Inputs!$C$52+(Inputs!$H$9))*Inputs!$C$52*COS(SQRT((Scenario_Data!W216)^2+Inputs!$C$6^2)/Inputs!$C$52)))-(Inputs!$H$9))*1000/Inputs!$C$12)</f>
        <v>-146856.21000814691</v>
      </c>
      <c r="O216">
        <f>Scenario_Data!T216</f>
        <v>46.97999999999999</v>
      </c>
      <c r="P216">
        <f>2*(Scenario_Data!B216*1000)/Inputs!$C$21*1000000</f>
        <v>2684.873119790092</v>
      </c>
      <c r="Q216">
        <f>Scenario_Data!U216</f>
        <v>313.19999999999993</v>
      </c>
      <c r="R216">
        <f>2*(Scenario_Data!C216*1000)/Inputs!$C$21*1000000</f>
        <v>1726.3775528335661</v>
      </c>
      <c r="S216">
        <f>Scenario_Data!V216</f>
        <v>626.39999999999986</v>
      </c>
      <c r="T216">
        <f>2*(Scenario_Data!D216*1000)/Inputs!$C$21*1000000</f>
        <v>4180.4312835648425</v>
      </c>
      <c r="U216">
        <f>Scenario_Data!W216</f>
        <v>626.39999999999986</v>
      </c>
      <c r="V216">
        <f>2*(Scenario_Data!E216*1000)/Inputs!$C$21*1000000</f>
        <v>4154.6193600374008</v>
      </c>
      <c r="X216">
        <f>Scenario_Data!T216</f>
        <v>46.97999999999999</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2684.9589026777235</v>
      </c>
      <c r="Z216">
        <f>Scenario_Data!U216</f>
        <v>313.19999999999993</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1726.1480175819888</v>
      </c>
      <c r="AB216">
        <f>Scenario_Data!V216</f>
        <v>626.39999999999986</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4180.5724957116963</v>
      </c>
      <c r="AD216">
        <f>Scenario_Data!W216</f>
        <v>626.39999999999986</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4154.7605721842538</v>
      </c>
      <c r="AG216">
        <f>Scenario_Data!T216</f>
        <v>46.97999999999999</v>
      </c>
      <c r="AH216">
        <f>2*(SQRT((Inputs!$C$52+(Scenario_Data!B216))^2+Inputs!$C$52^2-2*(Inputs!$C$52+(Scenario_Data!B216))*Inputs!$C$52*COS(SQRT((Scenario_Data!T216)^2+Inputs!$C$6^2)/Inputs!$C$52))*1000)/Inputs!$C$21*1000000</f>
        <v>2714.235753570058</v>
      </c>
      <c r="AI216">
        <f>Scenario_Data!U216</f>
        <v>313.19999999999993</v>
      </c>
      <c r="AJ216">
        <f>2*(SQRT((Inputs!$C$52+(Scenario_Data!C216))^2+Inputs!$C$52^2-2*(Inputs!$C$52+(Scenario_Data!C216))*Inputs!$C$52*COS(SQRT((Scenario_Data!U216)^2+Inputs!$C$6^2)/Inputs!$C$52))*1000)/Inputs!$C$21*1000000</f>
        <v>2843.4405826900188</v>
      </c>
      <c r="AK216">
        <f>Scenario_Data!V216</f>
        <v>626.39999999999986</v>
      </c>
      <c r="AL216">
        <f>2*(SQRT((Inputs!$C$52+(Scenario_Data!D216))^2+Inputs!$C$52^2-2*(Inputs!$C$52+(Scenario_Data!D216))*Inputs!$C$52*COS(SQRT((Scenario_Data!V216)^2+Inputs!$C$6^2)/Inputs!$C$52))*1000)/Inputs!$C$21*1000000</f>
        <v>6454.5678022887641</v>
      </c>
      <c r="AM216">
        <f>Scenario_Data!W216</f>
        <v>626.39999999999986</v>
      </c>
      <c r="AN216">
        <f>2*(SQRT((Inputs!$C$52+(Scenario_Data!E216))^2+Inputs!$C$52^2-2*(Inputs!$C$52+(Scenario_Data!E216))*Inputs!$C$52*COS(SQRT((Scenario_Data!W216)^2+Inputs!$C$6^2)/Inputs!$C$52))*1000)/Inputs!$C$21*1000000</f>
        <v>6434.5569245182351</v>
      </c>
      <c r="AP216">
        <f>Scenario_Data!T216</f>
        <v>46.97999999999999</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2713.4032506309049</v>
      </c>
      <c r="AR216">
        <f>Scenario_Data!U216</f>
        <v>313.19999999999993</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2842.8304615876677</v>
      </c>
      <c r="AT216">
        <f>Scenario_Data!V216</f>
        <v>626.39999999999986</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6454.255793929251</v>
      </c>
      <c r="AV216">
        <f>Scenario_Data!W216</f>
        <v>626.39999999999986</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6434.2464090236699</v>
      </c>
    </row>
    <row r="217" spans="1:49">
      <c r="A217">
        <f>Chart_Data!K217</f>
        <v>47.5</v>
      </c>
      <c r="B217">
        <f>Chart_Data!N217-Chart_Data!L217</f>
        <v>-6.2188489817701509</v>
      </c>
      <c r="D217">
        <f>Chart_Data!G217</f>
        <v>47.5</v>
      </c>
      <c r="E217">
        <f>Chart_Data!H217</f>
        <v>107.7527102272833</v>
      </c>
      <c r="F217">
        <f>Chart_Data!I217</f>
        <v>107.7527102272833</v>
      </c>
      <c r="G217">
        <f>Chart_Data!J217</f>
        <v>4.7258194939479337</v>
      </c>
      <c r="I217">
        <f>Scenario_Data!A217</f>
        <v>0.79200000000000004</v>
      </c>
      <c r="J217">
        <f>Scenario_Data!H217-(((SQRT((Inputs!$C$52+(Inputs!$H$6))^2+Inputs!$C$52^2-2*(Inputs!$C$52+(Inputs!$H$6))*Inputs!$C$52*COS(SQRT((Scenario_Data!T217)^2+Inputs!$C$6^2)/Inputs!$C$52)))-(Inputs!$H$6))*1000/Inputs!$C$12)</f>
        <v>-12.392726180069985</v>
      </c>
      <c r="K217">
        <f>Scenario_Data!I217-(((SQRT((Inputs!$C$52+(Inputs!$H$7))^2+Inputs!$C$52^2-2*(Inputs!$C$52+(Inputs!$H$7))*Inputs!$C$52*COS(SQRT((Scenario_Data!U217)^2+Inputs!$C$6^2)/Inputs!$C$52)))-(Inputs!$H$7))*1000/Inputs!$C$12)</f>
        <v>-66749.440755261516</v>
      </c>
      <c r="L217">
        <f>Scenario_Data!J217-(((SQRT((Inputs!$C$52+(Inputs!$H$8))^2+Inputs!$C$52^2-2*(Inputs!$C$52+(Inputs!$H$8))*Inputs!$C$52*COS(SQRT((Scenario_Data!V217)^2+Inputs!$C$6^2)/Inputs!$C$52)))-(Inputs!$H$8))*1000/Inputs!$C$12)</f>
        <v>-145237.23692226943</v>
      </c>
      <c r="M217">
        <f>Scenario_Data!K217-(((SQRT((Inputs!$C$52+(Inputs!$H$9))^2+Inputs!$C$52^2-2*(Inputs!$C$52+(Inputs!$H$9))*Inputs!$C$52*COS(SQRT((Scenario_Data!W217)^2+Inputs!$C$6^2)/Inputs!$C$52)))-(Inputs!$H$9))*1000/Inputs!$C$12)</f>
        <v>-149005.63294747737</v>
      </c>
      <c r="O217">
        <f>Scenario_Data!T217</f>
        <v>47.519999999999996</v>
      </c>
      <c r="P217">
        <f>2*(Scenario_Data!B217*1000)/Inputs!$C$21*1000000</f>
        <v>2685.251381474046</v>
      </c>
      <c r="Q217">
        <f>Scenario_Data!U217</f>
        <v>316.80000000000007</v>
      </c>
      <c r="R217">
        <f>2*(Scenario_Data!C217*1000)/Inputs!$C$21*1000000</f>
        <v>1760.893931494435</v>
      </c>
      <c r="S217">
        <f>Scenario_Data!V217</f>
        <v>633.60000000000014</v>
      </c>
      <c r="T217">
        <f>2*(Scenario_Data!D217*1000)/Inputs!$C$21*1000000</f>
        <v>4271.6869148189198</v>
      </c>
      <c r="U217">
        <f>Scenario_Data!W217</f>
        <v>633.60000000000014</v>
      </c>
      <c r="V217">
        <f>2*(Scenario_Data!E217*1000)/Inputs!$C$21*1000000</f>
        <v>4246.8206455013642</v>
      </c>
      <c r="X217">
        <f>Scenario_Data!T217</f>
        <v>47.519999999999996</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2685.3018573956542</v>
      </c>
      <c r="Z217">
        <f>Scenario_Data!U217</f>
        <v>316.80000000000007</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1760.8952378153272</v>
      </c>
      <c r="AB217">
        <f>Scenario_Data!V217</f>
        <v>633.60000000000014</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4271.2581348630956</v>
      </c>
      <c r="AD217">
        <f>Scenario_Data!W217</f>
        <v>633.60000000000014</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4246.39186554554</v>
      </c>
      <c r="AG217">
        <f>Scenario_Data!T217</f>
        <v>47.519999999999996</v>
      </c>
      <c r="AH217">
        <f>2*(SQRT((Inputs!$C$52+(Scenario_Data!B217))^2+Inputs!$C$52^2-2*(Inputs!$C$52+(Scenario_Data!B217))*Inputs!$C$52*COS(SQRT((Scenario_Data!T217)^2+Inputs!$C$6^2)/Inputs!$C$52))*1000)/Inputs!$C$21*1000000</f>
        <v>2715.1368098124726</v>
      </c>
      <c r="AI217">
        <f>Scenario_Data!U217</f>
        <v>316.80000000000007</v>
      </c>
      <c r="AJ217">
        <f>2*(SQRT((Inputs!$C$52+(Scenario_Data!C217))^2+Inputs!$C$52^2-2*(Inputs!$C$52+(Scenario_Data!C217))*Inputs!$C$52*COS(SQRT((Scenario_Data!U217)^2+Inputs!$C$6^2)/Inputs!$C$52))*1000)/Inputs!$C$21*1000000</f>
        <v>2887.428399392069</v>
      </c>
      <c r="AK217">
        <f>Scenario_Data!V217</f>
        <v>633.60000000000014</v>
      </c>
      <c r="AL217">
        <f>2*(SQRT((Inputs!$C$52+(Scenario_Data!D217))^2+Inputs!$C$52^2-2*(Inputs!$C$52+(Scenario_Data!D217))*Inputs!$C$52*COS(SQRT((Scenario_Data!V217)^2+Inputs!$C$6^2)/Inputs!$C$52))*1000)/Inputs!$C$21*1000000</f>
        <v>6567.9546108397826</v>
      </c>
      <c r="AM217">
        <f>Scenario_Data!W217</f>
        <v>633.60000000000014</v>
      </c>
      <c r="AN217">
        <f>2*(SQRT((Inputs!$C$52+(Scenario_Data!E217))^2+Inputs!$C$52^2-2*(Inputs!$C$52+(Scenario_Data!E217))*Inputs!$C$52*COS(SQRT((Scenario_Data!W217)^2+Inputs!$C$6^2)/Inputs!$C$52))*1000)/Inputs!$C$21*1000000</f>
        <v>6548.5917811077343</v>
      </c>
      <c r="AP217">
        <f>Scenario_Data!T217</f>
        <v>47.519999999999996</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2714.4305325830087</v>
      </c>
      <c r="AR217">
        <f>Scenario_Data!U217</f>
        <v>316.80000000000007</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2886.984046410364</v>
      </c>
      <c r="AT217">
        <f>Scenario_Data!V217</f>
        <v>633.60000000000014</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6567.3472902900339</v>
      </c>
      <c r="AV217">
        <f>Scenario_Data!W217</f>
        <v>633.60000000000014</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6547.9871884356353</v>
      </c>
    </row>
    <row r="218" spans="1:49">
      <c r="A218">
        <f>Chart_Data!K218</f>
        <v>48</v>
      </c>
      <c r="B218">
        <f>Chart_Data!N218-Chart_Data!L218</f>
        <v>7.3169792390276314</v>
      </c>
      <c r="D218">
        <f>Chart_Data!G218</f>
        <v>48</v>
      </c>
      <c r="E218">
        <f>Chart_Data!H218</f>
        <v>124.99715373473305</v>
      </c>
      <c r="F218">
        <f>Chart_Data!I218</f>
        <v>124.99715373473305</v>
      </c>
      <c r="G218">
        <f>Chart_Data!J218</f>
        <v>-9.0769147289597925</v>
      </c>
      <c r="I218">
        <f>Scenario_Data!A218</f>
        <v>0.8</v>
      </c>
      <c r="J218">
        <f>Scenario_Data!H218-(((SQRT((Inputs!$C$52+(Inputs!$H$6))^2+Inputs!$C$52^2-2*(Inputs!$C$52+(Inputs!$H$6))*Inputs!$C$52*COS(SQRT((Scenario_Data!T218)^2+Inputs!$C$6^2)/Inputs!$C$52)))-(Inputs!$H$6))*1000/Inputs!$C$12)</f>
        <v>-12.840136776974759</v>
      </c>
      <c r="K218">
        <f>Scenario_Data!I218-(((SQRT((Inputs!$C$52+(Inputs!$H$7))^2+Inputs!$C$52^2-2*(Inputs!$C$52+(Inputs!$H$7))*Inputs!$C$52*COS(SQRT((Scenario_Data!U218)^2+Inputs!$C$6^2)/Inputs!$C$52)))-(Inputs!$H$7))*1000/Inputs!$C$12)</f>
        <v>-67835.334719187129</v>
      </c>
      <c r="L218">
        <f>Scenario_Data!J218-(((SQRT((Inputs!$C$52+(Inputs!$H$8))^2+Inputs!$C$52^2-2*(Inputs!$C$52+(Inputs!$H$8))*Inputs!$C$52*COS(SQRT((Scenario_Data!V218)^2+Inputs!$C$6^2)/Inputs!$C$52)))-(Inputs!$H$8))*1000/Inputs!$C$12)</f>
        <v>-147128.35590287362</v>
      </c>
      <c r="M218">
        <f>Scenario_Data!K218-(((SQRT((Inputs!$C$52+(Inputs!$H$9))^2+Inputs!$C$52^2-2*(Inputs!$C$52+(Inputs!$H$9))*Inputs!$C$52*COS(SQRT((Scenario_Data!W218)^2+Inputs!$C$6^2)/Inputs!$C$52)))-(Inputs!$H$9))*1000/Inputs!$C$12)</f>
        <v>-150910.062898851</v>
      </c>
      <c r="O218">
        <f>Scenario_Data!T218</f>
        <v>48</v>
      </c>
      <c r="P218">
        <f>2*(Scenario_Data!B218*1000)/Inputs!$C$21*1000000</f>
        <v>2685.5912432593618</v>
      </c>
      <c r="Q218">
        <f>Scenario_Data!U218</f>
        <v>320</v>
      </c>
      <c r="R218">
        <f>2*(Scenario_Data!C218*1000)/Inputs!$C$21*1000000</f>
        <v>1791.9063194044727</v>
      </c>
      <c r="S218">
        <f>Scenario_Data!V218</f>
        <v>640</v>
      </c>
      <c r="T218">
        <f>2*(Scenario_Data!D218*1000)/Inputs!$C$21*1000000</f>
        <v>4353.678570526281</v>
      </c>
      <c r="U218">
        <f>Scenario_Data!W218</f>
        <v>640</v>
      </c>
      <c r="V218">
        <f>2*(Scenario_Data!E218*1000)/Inputs!$C$21*1000000</f>
        <v>4329.6619556720143</v>
      </c>
      <c r="X218">
        <f>Scenario_Data!T218</f>
        <v>48</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2685.6517979163368</v>
      </c>
      <c r="Z218">
        <f>Scenario_Data!U218</f>
        <v>320</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1792.1092244281049</v>
      </c>
      <c r="AB218">
        <f>Scenario_Data!V218</f>
        <v>640</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4353.6239154244649</v>
      </c>
      <c r="AD218">
        <f>Scenario_Data!W218</f>
        <v>640</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4329.6073005701974</v>
      </c>
      <c r="AG218">
        <f>Scenario_Data!T218</f>
        <v>48</v>
      </c>
      <c r="AH218">
        <f>2*(SQRT((Inputs!$C$52+(Scenario_Data!B218))^2+Inputs!$C$52^2-2*(Inputs!$C$52+(Scenario_Data!B218))*Inputs!$C$52*COS(SQRT((Scenario_Data!T218)^2+Inputs!$C$6^2)/Inputs!$C$52))*1000)/Inputs!$C$21*1000000</f>
        <v>2715.9462080599938</v>
      </c>
      <c r="AI218">
        <f>Scenario_Data!U218</f>
        <v>320</v>
      </c>
      <c r="AJ218">
        <f>2*(SQRT((Inputs!$C$52+(Scenario_Data!C218))^2+Inputs!$C$52^2-2*(Inputs!$C$52+(Scenario_Data!C218))*Inputs!$C$52*COS(SQRT((Scenario_Data!U218)^2+Inputs!$C$6^2)/Inputs!$C$52))*1000)/Inputs!$C$21*1000000</f>
        <v>2926.8282235073743</v>
      </c>
      <c r="AK218">
        <f>Scenario_Data!V218</f>
        <v>640</v>
      </c>
      <c r="AL218">
        <f>2*(SQRT((Inputs!$C$52+(Scenario_Data!D218))^2+Inputs!$C$52^2-2*(Inputs!$C$52+(Scenario_Data!D218))*Inputs!$C$52*COS(SQRT((Scenario_Data!V218)^2+Inputs!$C$6^2)/Inputs!$C$52))*1000)/Inputs!$C$21*1000000</f>
        <v>6669.6695538641015</v>
      </c>
      <c r="AM218">
        <f>Scenario_Data!W218</f>
        <v>640</v>
      </c>
      <c r="AN218">
        <f>2*(SQRT((Inputs!$C$52+(Scenario_Data!E218))^2+Inputs!$C$52^2-2*(Inputs!$C$52+(Scenario_Data!E218))*Inputs!$C$52*COS(SQRT((Scenario_Data!W218)^2+Inputs!$C$6^2)/Inputs!$C$52))*1000)/Inputs!$C$21*1000000</f>
        <v>6650.8964888556302</v>
      </c>
      <c r="AP218">
        <f>Scenario_Data!T218</f>
        <v>48</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2715.1240578360221</v>
      </c>
      <c r="AR218">
        <f>Scenario_Data!U218</f>
        <v>320</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2926.6072868304295</v>
      </c>
      <c r="AT218">
        <f>Scenario_Data!V218</f>
        <v>640</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6669.1577665974264</v>
      </c>
      <c r="AV218">
        <f>Scenario_Data!W218</f>
        <v>640</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6650.386871354116</v>
      </c>
    </row>
    <row r="219" spans="1:49">
      <c r="A219">
        <f>Chart_Data!K219</f>
        <v>48.5</v>
      </c>
      <c r="B219">
        <f>Chart_Data!N219-Chart_Data!L219</f>
        <v>0.40634772954453524</v>
      </c>
      <c r="D219">
        <f>Chart_Data!G219</f>
        <v>48.5</v>
      </c>
      <c r="E219">
        <f>Chart_Data!H219</f>
        <v>114.26484888006172</v>
      </c>
      <c r="F219">
        <f>Chart_Data!I219</f>
        <v>114.26484888006172</v>
      </c>
      <c r="G219">
        <f>Chart_Data!J219</f>
        <v>-2.0408727900443155</v>
      </c>
      <c r="I219">
        <f>Scenario_Data!A219</f>
        <v>0.80800000000000005</v>
      </c>
      <c r="J219">
        <f>Scenario_Data!H219-(((SQRT((Inputs!$C$52+(Inputs!$H$6))^2+Inputs!$C$52^2-2*(Inputs!$C$52+(Inputs!$H$6))*Inputs!$C$52*COS(SQRT((Scenario_Data!T219)^2+Inputs!$C$6^2)/Inputs!$C$52)))-(Inputs!$H$6))*1000/Inputs!$C$12)</f>
        <v>-13.299787208880844</v>
      </c>
      <c r="K219">
        <f>Scenario_Data!I219-(((SQRT((Inputs!$C$52+(Inputs!$H$7))^2+Inputs!$C$52^2-2*(Inputs!$C$52+(Inputs!$H$7))*Inputs!$C$52*COS(SQRT((Scenario_Data!U219)^2+Inputs!$C$6^2)/Inputs!$C$52)))-(Inputs!$H$7))*1000/Inputs!$C$12)</f>
        <v>-68923.75640485117</v>
      </c>
      <c r="L219">
        <f>Scenario_Data!J219-(((SQRT((Inputs!$C$52+(Inputs!$H$8))^2+Inputs!$C$52^2-2*(Inputs!$C$52+(Inputs!$H$8))*Inputs!$C$52*COS(SQRT((Scenario_Data!V219)^2+Inputs!$C$6^2)/Inputs!$C$52)))-(Inputs!$H$8))*1000/Inputs!$C$12)</f>
        <v>-149013.88756056636</v>
      </c>
      <c r="M219">
        <f>Scenario_Data!K219-(((SQRT((Inputs!$C$52+(Inputs!$H$9))^2+Inputs!$C$52^2-2*(Inputs!$C$52+(Inputs!$H$9))*Inputs!$C$52*COS(SQRT((Scenario_Data!W219)^2+Inputs!$C$6^2)/Inputs!$C$52)))-(Inputs!$H$9))*1000/Inputs!$C$12)</f>
        <v>-152808.49543699686</v>
      </c>
      <c r="O219">
        <f>Scenario_Data!T219</f>
        <v>48.480000000000004</v>
      </c>
      <c r="P219">
        <f>2*(Scenario_Data!B219*1000)/Inputs!$C$21*1000000</f>
        <v>2685.9345207410115</v>
      </c>
      <c r="Q219">
        <f>Scenario_Data!U219</f>
        <v>323.20000000000005</v>
      </c>
      <c r="R219">
        <f>2*(Scenario_Data!C219*1000)/Inputs!$C$21*1000000</f>
        <v>1823.2303896050653</v>
      </c>
      <c r="S219">
        <f>Scenario_Data!V219</f>
        <v>646.40000000000009</v>
      </c>
      <c r="T219">
        <f>2*(Scenario_Data!D219*1000)/Inputs!$C$21*1000000</f>
        <v>4436.4942629744219</v>
      </c>
      <c r="U219">
        <f>Scenario_Data!W219</f>
        <v>646.40000000000009</v>
      </c>
      <c r="V219">
        <f>2*(Scenario_Data!E219*1000)/Inputs!$C$21*1000000</f>
        <v>4413.3358418242815</v>
      </c>
      <c r="X219">
        <f>Scenario_Data!T219</f>
        <v>48.480000000000004</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2686.0128380585302</v>
      </c>
      <c r="Z219">
        <f>Scenario_Data!U219</f>
        <v>323.20000000000005</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1823.4048538981949</v>
      </c>
      <c r="AB219">
        <f>Scenario_Data!V219</f>
        <v>646.40000000000009</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4436.5284317048536</v>
      </c>
      <c r="AD219">
        <f>Scenario_Data!W219</f>
        <v>646.40000000000009</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4413.3700105547132</v>
      </c>
      <c r="AG219">
        <f>Scenario_Data!T219</f>
        <v>48.480000000000004</v>
      </c>
      <c r="AH219">
        <f>2*(SQRT((Inputs!$C$52+(Scenario_Data!B219))^2+Inputs!$C$52^2-2*(Inputs!$C$52+(Scenario_Data!B219))*Inputs!$C$52*COS(SQRT((Scenario_Data!T219)^2+Inputs!$C$6^2)/Inputs!$C$52))*1000)/Inputs!$C$21*1000000</f>
        <v>2716.7635627106388</v>
      </c>
      <c r="AI219">
        <f>Scenario_Data!U219</f>
        <v>323.20000000000005</v>
      </c>
      <c r="AJ219">
        <f>2*(SQRT((Inputs!$C$52+(Scenario_Data!C219))^2+Inputs!$C$52^2-2*(Inputs!$C$52+(Scenario_Data!C219))*Inputs!$C$52*COS(SQRT((Scenario_Data!U219)^2+Inputs!$C$6^2)/Inputs!$C$52))*1000)/Inputs!$C$21*1000000</f>
        <v>2966.5111922476426</v>
      </c>
      <c r="AK219">
        <f>Scenario_Data!V219</f>
        <v>646.40000000000009</v>
      </c>
      <c r="AL219">
        <f>2*(SQRT((Inputs!$C$52+(Scenario_Data!D219))^2+Inputs!$C$52^2-2*(Inputs!$C$52+(Scenario_Data!D219))*Inputs!$C$52*COS(SQRT((Scenario_Data!V219)^2+Inputs!$C$6^2)/Inputs!$C$52))*1000)/Inputs!$C$21*1000000</f>
        <v>6772.2587713643579</v>
      </c>
      <c r="AM219">
        <f>Scenario_Data!W219</f>
        <v>646.40000000000009</v>
      </c>
      <c r="AN219">
        <f>2*(SQRT((Inputs!$C$52+(Scenario_Data!E219))^2+Inputs!$C$52^2-2*(Inputs!$C$52+(Scenario_Data!E219))*Inputs!$C$52*COS(SQRT((Scenario_Data!W219)^2+Inputs!$C$6^2)/Inputs!$C$52))*1000)/Inputs!$C$21*1000000</f>
        <v>6754.0883248186901</v>
      </c>
      <c r="AP219">
        <f>Scenario_Data!T219</f>
        <v>48.480000000000004</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2716.0288479017681</v>
      </c>
      <c r="AR219">
        <f>Scenario_Data!U219</f>
        <v>323.20000000000005</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2966.1118770408548</v>
      </c>
      <c r="AT219">
        <f>Scenario_Data!V219</f>
        <v>646.40000000000009</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6771.9546878484725</v>
      </c>
      <c r="AV219">
        <f>Scenario_Data!W219</f>
        <v>646.40000000000009</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6753.7854563481624</v>
      </c>
    </row>
    <row r="220" spans="1:49">
      <c r="A220">
        <f>Chart_Data!K220</f>
        <v>49</v>
      </c>
      <c r="B220">
        <f>Chart_Data!N220-Chart_Data!L220</f>
        <v>-12.02291335515622</v>
      </c>
      <c r="D220">
        <f>Chart_Data!G220</f>
        <v>49</v>
      </c>
      <c r="E220">
        <f>Chart_Data!H220</f>
        <v>109.54402369059221</v>
      </c>
      <c r="F220">
        <f>Chart_Data!I220</f>
        <v>109.54402369059221</v>
      </c>
      <c r="G220">
        <f>Chart_Data!J220</f>
        <v>10.431027200722241</v>
      </c>
      <c r="I220">
        <f>Scenario_Data!A220</f>
        <v>0.81699999999999995</v>
      </c>
      <c r="J220">
        <f>Scenario_Data!H220-(((SQRT((Inputs!$C$52+(Inputs!$H$6))^2+Inputs!$C$52^2-2*(Inputs!$C$52+(Inputs!$H$6))*Inputs!$C$52*COS(SQRT((Scenario_Data!T220)^2+Inputs!$C$6^2)/Inputs!$C$52)))-(Inputs!$H$6))*1000/Inputs!$C$12)</f>
        <v>-13.831801402375277</v>
      </c>
      <c r="K220">
        <f>Scenario_Data!I220-(((SQRT((Inputs!$C$52+(Inputs!$H$7))^2+Inputs!$C$52^2-2*(Inputs!$C$52+(Inputs!$H$7))*Inputs!$C$52*COS(SQRT((Scenario_Data!U220)^2+Inputs!$C$6^2)/Inputs!$C$52)))-(Inputs!$H$7))*1000/Inputs!$C$12)</f>
        <v>-70151.117679492658</v>
      </c>
      <c r="L220">
        <f>Scenario_Data!J220-(((SQRT((Inputs!$C$52+(Inputs!$H$8))^2+Inputs!$C$52^2-2*(Inputs!$C$52+(Inputs!$H$8))*Inputs!$C$52*COS(SQRT((Scenario_Data!V220)^2+Inputs!$C$6^2)/Inputs!$C$52)))-(Inputs!$H$8))*1000/Inputs!$C$12)</f>
        <v>-151128.20153368788</v>
      </c>
      <c r="M220">
        <f>Scenario_Data!K220-(((SQRT((Inputs!$C$52+(Inputs!$H$9))^2+Inputs!$C$52^2-2*(Inputs!$C$52+(Inputs!$H$9))*Inputs!$C$52*COS(SQRT((Scenario_Data!W220)^2+Inputs!$C$6^2)/Inputs!$C$52)))-(Inputs!$H$9))*1000/Inputs!$C$12)</f>
        <v>-154936.84079418762</v>
      </c>
      <c r="O220">
        <f>Scenario_Data!T220</f>
        <v>49.019999999999996</v>
      </c>
      <c r="P220">
        <f>2*(Scenario_Data!B220*1000)/Inputs!$C$21*1000000</f>
        <v>2686.3247907323939</v>
      </c>
      <c r="Q220">
        <f>Scenario_Data!U220</f>
        <v>326.79999999999995</v>
      </c>
      <c r="R220">
        <f>2*(Scenario_Data!C220*1000)/Inputs!$C$21*1000000</f>
        <v>1858.8425263186568</v>
      </c>
      <c r="S220">
        <f>Scenario_Data!V220</f>
        <v>653.59999999999991</v>
      </c>
      <c r="T220">
        <f>2*(Scenario_Data!D220*1000)/Inputs!$C$21*1000000</f>
        <v>4530.6468983952882</v>
      </c>
      <c r="U220">
        <f>Scenario_Data!W220</f>
        <v>653.59999999999991</v>
      </c>
      <c r="V220">
        <f>2*(Scenario_Data!E220*1000)/Inputs!$C$21*1000000</f>
        <v>4508.4641522236016</v>
      </c>
      <c r="X220">
        <f>Scenario_Data!T220</f>
        <v>49.019999999999996</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2686.2620306147478</v>
      </c>
      <c r="Z220">
        <f>Scenario_Data!U220</f>
        <v>326.79999999999995</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1858.7218553094999</v>
      </c>
      <c r="AB220">
        <f>Scenario_Data!V220</f>
        <v>653.59999999999991</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4530.3282792832006</v>
      </c>
      <c r="AD220">
        <f>Scenario_Data!W220</f>
        <v>653.59999999999991</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4508.1455331115139</v>
      </c>
      <c r="AG220">
        <f>Scenario_Data!T220</f>
        <v>49.019999999999996</v>
      </c>
      <c r="AH220">
        <f>2*(SQRT((Inputs!$C$52+(Scenario_Data!B220))^2+Inputs!$C$52^2-2*(Inputs!$C$52+(Scenario_Data!B220))*Inputs!$C$52*COS(SQRT((Scenario_Data!T220)^2+Inputs!$C$6^2)/Inputs!$C$52))*1000)/Inputs!$C$21*1000000</f>
        <v>2717.6925906248262</v>
      </c>
      <c r="AI220">
        <f>Scenario_Data!U220</f>
        <v>326.79999999999995</v>
      </c>
      <c r="AJ220">
        <f>2*(SQRT((Inputs!$C$52+(Scenario_Data!C220))^2+Inputs!$C$52^2-2*(Inputs!$C$52+(Scenario_Data!C220))*Inputs!$C$52*COS(SQRT((Scenario_Data!U220)^2+Inputs!$C$6^2)/Inputs!$C$52))*1000)/Inputs!$C$21*1000000</f>
        <v>3011.4944133564245</v>
      </c>
      <c r="AK220">
        <f>Scenario_Data!V220</f>
        <v>653.59999999999991</v>
      </c>
      <c r="AL220">
        <f>2*(SQRT((Inputs!$C$52+(Scenario_Data!D220))^2+Inputs!$C$52^2-2*(Inputs!$C$52+(Scenario_Data!D220))*Inputs!$C$52*COS(SQRT((Scenario_Data!V220)^2+Inputs!$C$6^2)/Inputs!$C$52))*1000)/Inputs!$C$21*1000000</f>
        <v>6888.7191192634255</v>
      </c>
      <c r="AM220">
        <f>Scenario_Data!W220</f>
        <v>653.59999999999991</v>
      </c>
      <c r="AN220">
        <f>2*(SQRT((Inputs!$C$52+(Scenario_Data!E220))^2+Inputs!$C$52^2-2*(Inputs!$C$52+(Scenario_Data!E220))*Inputs!$C$52*COS(SQRT((Scenario_Data!W220)^2+Inputs!$C$6^2)/Inputs!$C$52))*1000)/Inputs!$C$21*1000000</f>
        <v>6871.2419096860749</v>
      </c>
      <c r="AP220">
        <f>Scenario_Data!T220</f>
        <v>49.019999999999996</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2717.0017454216668</v>
      </c>
      <c r="AR220">
        <f>Scenario_Data!U220</f>
        <v>326.79999999999995</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3010.7839804780428</v>
      </c>
      <c r="AT220">
        <f>Scenario_Data!V220</f>
        <v>653.59999999999991</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6888.0214262066011</v>
      </c>
      <c r="AV220">
        <f>Scenario_Data!W220</f>
        <v>653.59999999999991</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6870.5468208439188</v>
      </c>
    </row>
    <row r="221" spans="1:49">
      <c r="A221">
        <f>Chart_Data!K221</f>
        <v>49.5</v>
      </c>
      <c r="B221">
        <f>Chart_Data!N221-Chart_Data!L221</f>
        <v>0.56025338643667055</v>
      </c>
      <c r="D221">
        <f>Chart_Data!G221</f>
        <v>49.5</v>
      </c>
      <c r="E221">
        <f>Chart_Data!H221</f>
        <v>115.81874031490976</v>
      </c>
      <c r="F221">
        <f>Chart_Data!I221</f>
        <v>115.81874031490976</v>
      </c>
      <c r="G221">
        <f>Chart_Data!J221</f>
        <v>-2.2699304094542576</v>
      </c>
      <c r="I221">
        <f>Scenario_Data!A221</f>
        <v>0.82499999999999996</v>
      </c>
      <c r="J221">
        <f>Scenario_Data!H221-(((SQRT((Inputs!$C$52+(Inputs!$H$6))^2+Inputs!$C$52^2-2*(Inputs!$C$52+(Inputs!$H$6))*Inputs!$C$52*COS(SQRT((Scenario_Data!T221)^2+Inputs!$C$6^2)/Inputs!$C$52)))-(Inputs!$H$6))*1000/Inputs!$C$12)</f>
        <v>-14.318202220481453</v>
      </c>
      <c r="K221">
        <f>Scenario_Data!I221-(((SQRT((Inputs!$C$52+(Inputs!$H$7))^2+Inputs!$C$52^2-2*(Inputs!$C$52+(Inputs!$H$7))*Inputs!$C$52*COS(SQRT((Scenario_Data!U221)^2+Inputs!$C$6^2)/Inputs!$C$52)))-(Inputs!$H$7))*1000/Inputs!$C$12)</f>
        <v>-71244.554262802048</v>
      </c>
      <c r="L221">
        <f>Scenario_Data!J221-(((SQRT((Inputs!$C$52+(Inputs!$H$8))^2+Inputs!$C$52^2-2*(Inputs!$C$52+(Inputs!$H$8))*Inputs!$C$52*COS(SQRT((Scenario_Data!V221)^2+Inputs!$C$6^2)/Inputs!$C$52)))-(Inputs!$H$8))*1000/Inputs!$C$12)</f>
        <v>-153001.25134490427</v>
      </c>
      <c r="M221">
        <f>Scenario_Data!K221-(((SQRT((Inputs!$C$52+(Inputs!$H$9))^2+Inputs!$C$52^2-2*(Inputs!$C$52+(Inputs!$H$9))*Inputs!$C$52*COS(SQRT((Scenario_Data!W221)^2+Inputs!$C$6^2)/Inputs!$C$52)))-(Inputs!$H$9))*1000/Inputs!$C$12)</f>
        <v>-156821.9415170548</v>
      </c>
      <c r="O221">
        <f>Scenario_Data!T221</f>
        <v>49.5</v>
      </c>
      <c r="P221">
        <f>2*(Scenario_Data!B221*1000)/Inputs!$C$21*1000000</f>
        <v>2686.6753265687557</v>
      </c>
      <c r="Q221">
        <f>Scenario_Data!U221</f>
        <v>330</v>
      </c>
      <c r="R221">
        <f>2*(Scenario_Data!C221*1000)/Inputs!$C$21*1000000</f>
        <v>1890.8289213866744</v>
      </c>
      <c r="S221">
        <f>Scenario_Data!V221</f>
        <v>660</v>
      </c>
      <c r="T221">
        <f>2*(Scenario_Data!D221*1000)/Inputs!$C$21*1000000</f>
        <v>4615.2136689175813</v>
      </c>
      <c r="U221">
        <f>Scenario_Data!W221</f>
        <v>660</v>
      </c>
      <c r="V221">
        <f>2*(Scenario_Data!E221*1000)/Inputs!$C$21*1000000</f>
        <v>4593.9072623367983</v>
      </c>
      <c r="X221">
        <f>Scenario_Data!T221</f>
        <v>49.5</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2686.6904699144197</v>
      </c>
      <c r="Z221">
        <f>Scenario_Data!U221</f>
        <v>330</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1890.6387614596908</v>
      </c>
      <c r="AB221">
        <f>Scenario_Data!V221</f>
        <v>660</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4615.4294066950188</v>
      </c>
      <c r="AD221">
        <f>Scenario_Data!W221</f>
        <v>660</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4594.1230001142367</v>
      </c>
      <c r="AG221">
        <f>Scenario_Data!T221</f>
        <v>49.5</v>
      </c>
      <c r="AH221">
        <f>2*(SQRT((Inputs!$C$52+(Scenario_Data!B221))^2+Inputs!$C$52^2-2*(Inputs!$C$52+(Scenario_Data!B221))*Inputs!$C$52*COS(SQRT((Scenario_Data!T221)^2+Inputs!$C$6^2)/Inputs!$C$52))*1000)/Inputs!$C$21*1000000</f>
        <v>2718.5268353664997</v>
      </c>
      <c r="AI221">
        <f>Scenario_Data!U221</f>
        <v>330</v>
      </c>
      <c r="AJ221">
        <f>2*(SQRT((Inputs!$C$52+(Scenario_Data!C221))^2+Inputs!$C$52^2-2*(Inputs!$C$52+(Scenario_Data!C221))*Inputs!$C$52*COS(SQRT((Scenario_Data!U221)^2+Inputs!$C$6^2)/Inputs!$C$52))*1000)/Inputs!$C$21*1000000</f>
        <v>3051.7828688525797</v>
      </c>
      <c r="AK221">
        <f>Scenario_Data!V221</f>
        <v>660</v>
      </c>
      <c r="AL221">
        <f>2*(SQRT((Inputs!$C$52+(Scenario_Data!D221))^2+Inputs!$C$52^2-2*(Inputs!$C$52+(Scenario_Data!D221))*Inputs!$C$52*COS(SQRT((Scenario_Data!V221)^2+Inputs!$C$6^2)/Inputs!$C$52))*1000)/Inputs!$C$21*1000000</f>
        <v>6993.1726266478481</v>
      </c>
      <c r="AM221">
        <f>Scenario_Data!W221</f>
        <v>660</v>
      </c>
      <c r="AN221">
        <f>2*(SQRT((Inputs!$C$52+(Scenario_Data!E221))^2+Inputs!$C$52^2-2*(Inputs!$C$52+(Scenario_Data!E221))*Inputs!$C$52*COS(SQRT((Scenario_Data!W221)^2+Inputs!$C$6^2)/Inputs!$C$52))*1000)/Inputs!$C$21*1000000</f>
        <v>6976.325155041407</v>
      </c>
      <c r="AP221">
        <f>Scenario_Data!T221</f>
        <v>49.5</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2717.7655816374827</v>
      </c>
      <c r="AR221">
        <f>Scenario_Data!U221</f>
        <v>330</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3051.1779591603058</v>
      </c>
      <c r="AT221">
        <f>Scenario_Data!V221</f>
        <v>660</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6992.888996566192</v>
      </c>
      <c r="AV221">
        <f>Scenario_Data!W221</f>
        <v>660</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6976.0425191762042</v>
      </c>
    </row>
    <row r="222" spans="1:49">
      <c r="A222">
        <f>Chart_Data!K222</f>
        <v>50</v>
      </c>
      <c r="B222">
        <f>Chart_Data!N222-Chart_Data!L222</f>
        <v>-9.9003402180450593</v>
      </c>
      <c r="D222">
        <f>Chart_Data!G222</f>
        <v>50</v>
      </c>
      <c r="E222">
        <f>Chart_Data!H222</f>
        <v>115.23525161719914</v>
      </c>
      <c r="F222">
        <f>Chart_Data!I222</f>
        <v>115.23525161719914</v>
      </c>
      <c r="G222">
        <f>Chart_Data!J222</f>
        <v>8.1725883775596202</v>
      </c>
      <c r="I222">
        <f>Scenario_Data!A222</f>
        <v>0.83299999999999996</v>
      </c>
      <c r="J222">
        <f>Scenario_Data!H222-(((SQRT((Inputs!$C$52+(Inputs!$H$6))^2+Inputs!$C$52^2-2*(Inputs!$C$52+(Inputs!$H$6))*Inputs!$C$52*COS(SQRT((Scenario_Data!T222)^2+Inputs!$C$6^2)/Inputs!$C$52)))-(Inputs!$H$6))*1000/Inputs!$C$12)</f>
        <v>-14.817543761564139</v>
      </c>
      <c r="K222">
        <f>Scenario_Data!I222-(((SQRT((Inputs!$C$52+(Inputs!$H$7))^2+Inputs!$C$52^2-2*(Inputs!$C$52+(Inputs!$H$7))*Inputs!$C$52*COS(SQRT((Scenario_Data!U222)^2+Inputs!$C$6^2)/Inputs!$C$52)))-(Inputs!$H$7))*1000/Inputs!$C$12)</f>
        <v>-72340.187247200345</v>
      </c>
      <c r="L222">
        <f>Scenario_Data!J222-(((SQRT((Inputs!$C$52+(Inputs!$H$8))^2+Inputs!$C$52^2-2*(Inputs!$C$52+(Inputs!$H$8))*Inputs!$C$52*COS(SQRT((Scenario_Data!V222)^2+Inputs!$C$6^2)/Inputs!$C$52)))-(Inputs!$H$8))*1000/Inputs!$C$12)</f>
        <v>-154868.15200145351</v>
      </c>
      <c r="M222">
        <f>Scenario_Data!K222-(((SQRT((Inputs!$C$52+(Inputs!$H$9))^2+Inputs!$C$52^2-2*(Inputs!$C$52+(Inputs!$H$9))*Inputs!$C$52*COS(SQRT((Scenario_Data!W222)^2+Inputs!$C$6^2)/Inputs!$C$52)))-(Inputs!$H$9))*1000/Inputs!$C$12)</f>
        <v>-158700.50306586799</v>
      </c>
      <c r="O222">
        <f>Scenario_Data!T222</f>
        <v>49.980000000000004</v>
      </c>
      <c r="P222">
        <f>2*(Scenario_Data!B222*1000)/Inputs!$C$21*1000000</f>
        <v>2687.0292781014527</v>
      </c>
      <c r="Q222">
        <f>Scenario_Data!U222</f>
        <v>333.19999999999993</v>
      </c>
      <c r="R222">
        <f>2*(Scenario_Data!C222*1000)/Inputs!$C$21*1000000</f>
        <v>1923.1269987452447</v>
      </c>
      <c r="S222">
        <f>Scenario_Data!V222</f>
        <v>666.39999999999986</v>
      </c>
      <c r="T222">
        <f>2*(Scenario_Data!D222*1000)/Inputs!$C$21*1000000</f>
        <v>4700.6044761806506</v>
      </c>
      <c r="U222">
        <f>Scenario_Data!W222</f>
        <v>666.39999999999986</v>
      </c>
      <c r="V222">
        <f>2*(Scenario_Data!E222*1000)/Inputs!$C$21*1000000</f>
        <v>4680.1829484316095</v>
      </c>
      <c r="X222">
        <f>Scenario_Data!T222</f>
        <v>49.980000000000004</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2687.075837528585</v>
      </c>
      <c r="Z222">
        <f>Scenario_Data!U222</f>
        <v>333.19999999999993</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1923.1125076645915</v>
      </c>
      <c r="AB222">
        <f>Scenario_Data!V222</f>
        <v>666.39999999999986</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4700.4031122124379</v>
      </c>
      <c r="AD222">
        <f>Scenario_Data!W222</f>
        <v>666.39999999999986</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4679.9815844633977</v>
      </c>
      <c r="AG222">
        <f>Scenario_Data!T222</f>
        <v>49.980000000000004</v>
      </c>
      <c r="AH222">
        <f>2*(SQRT((Inputs!$C$52+(Scenario_Data!B222))^2+Inputs!$C$52^2-2*(Inputs!$C$52+(Scenario_Data!B222))*Inputs!$C$52*COS(SQRT((Scenario_Data!T222)^2+Inputs!$C$6^2)/Inputs!$C$52))*1000)/Inputs!$C$21*1000000</f>
        <v>2719.3690201677696</v>
      </c>
      <c r="AI222">
        <f>Scenario_Data!U222</f>
        <v>333.19999999999993</v>
      </c>
      <c r="AJ222">
        <f>2*(SQRT((Inputs!$C$52+(Scenario_Data!C222))^2+Inputs!$C$52^2-2*(Inputs!$C$52+(Scenario_Data!C222))*Inputs!$C$52*COS(SQRT((Scenario_Data!U222)^2+Inputs!$C$6^2)/Inputs!$C$52))*1000)/Inputs!$C$21*1000000</f>
        <v>3092.3580081209293</v>
      </c>
      <c r="AK222">
        <f>Scenario_Data!V222</f>
        <v>666.39999999999986</v>
      </c>
      <c r="AL222">
        <f>2*(SQRT((Inputs!$C$52+(Scenario_Data!D222))^2+Inputs!$C$52^2-2*(Inputs!$C$52+(Scenario_Data!D222))*Inputs!$C$52*COS(SQRT((Scenario_Data!V222)^2+Inputs!$C$6^2)/Inputs!$C$52))*1000)/Inputs!$C$21*1000000</f>
        <v>7098.5063576925695</v>
      </c>
      <c r="AM222">
        <f>Scenario_Data!W222</f>
        <v>666.39999999999986</v>
      </c>
      <c r="AN222">
        <f>2*(SQRT((Inputs!$C$52+(Scenario_Data!E222))^2+Inputs!$C$52^2-2*(Inputs!$C$52+(Scenario_Data!E222))*Inputs!$C$52*COS(SQRT((Scenario_Data!W222)^2+Inputs!$C$6^2)/Inputs!$C$52))*1000)/Inputs!$C$21*1000000</f>
        <v>7082.3012947740099</v>
      </c>
      <c r="AP222">
        <f>Scenario_Data!T222</f>
        <v>49.980000000000004</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2718.5624236411568</v>
      </c>
      <c r="AR222">
        <f>Scenario_Data!U222</f>
        <v>333.19999999999993</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3091.9929842947872</v>
      </c>
      <c r="AT222">
        <f>Scenario_Data!V222</f>
        <v>666.39999999999986</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7098.013869852497</v>
      </c>
      <c r="AV222">
        <f>Scenario_Data!W222</f>
        <v>666.39999999999986</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7081.8104256366196</v>
      </c>
    </row>
    <row r="223" spans="1:49">
      <c r="A223">
        <f>Chart_Data!K223</f>
        <v>50.5</v>
      </c>
      <c r="B223">
        <f>Chart_Data!N223-Chart_Data!L223</f>
        <v>-9.2614082539395923</v>
      </c>
      <c r="D223">
        <f>Chart_Data!G223</f>
        <v>50.5</v>
      </c>
      <c r="E223">
        <f>Chart_Data!H223</f>
        <v>136.98620076238512</v>
      </c>
      <c r="F223">
        <f>Chart_Data!I223</f>
        <v>136.98620076238512</v>
      </c>
      <c r="G223">
        <f>Chart_Data!J223</f>
        <v>7.1754118877202355</v>
      </c>
      <c r="I223">
        <f>Scenario_Data!A223</f>
        <v>0.84199999999999997</v>
      </c>
      <c r="J223">
        <f>Scenario_Data!H223-(((SQRT((Inputs!$C$52+(Inputs!$H$6))^2+Inputs!$C$52^2-2*(Inputs!$C$52+(Inputs!$H$6))*Inputs!$C$52*COS(SQRT((Scenario_Data!T223)^2+Inputs!$C$6^2)/Inputs!$C$52)))-(Inputs!$H$6))*1000/Inputs!$C$12)</f>
        <v>-15.39505495210642</v>
      </c>
      <c r="K223">
        <f>Scenario_Data!I223-(((SQRT((Inputs!$C$52+(Inputs!$H$7))^2+Inputs!$C$52^2-2*(Inputs!$C$52+(Inputs!$H$7))*Inputs!$C$52*COS(SQRT((Scenario_Data!U223)^2+Inputs!$C$6^2)/Inputs!$C$52)))-(Inputs!$H$7))*1000/Inputs!$C$12)</f>
        <v>-73575.272777374368</v>
      </c>
      <c r="L223">
        <f>Scenario_Data!J223-(((SQRT((Inputs!$C$52+(Inputs!$H$8))^2+Inputs!$C$52^2-2*(Inputs!$C$52+(Inputs!$H$8))*Inputs!$C$52*COS(SQRT((Scenario_Data!V223)^2+Inputs!$C$6^2)/Inputs!$C$52)))-(Inputs!$H$8))*1000/Inputs!$C$12)</f>
        <v>-156960.85443111658</v>
      </c>
      <c r="M223">
        <f>Scenario_Data!K223-(((SQRT((Inputs!$C$52+(Inputs!$H$9))^2+Inputs!$C$52^2-2*(Inputs!$C$52+(Inputs!$H$9))*Inputs!$C$52*COS(SQRT((Scenario_Data!W223)^2+Inputs!$C$6^2)/Inputs!$C$52)))-(Inputs!$H$9))*1000/Inputs!$C$12)</f>
        <v>-160805.86562780722</v>
      </c>
      <c r="O223">
        <f>Scenario_Data!T223</f>
        <v>50.52000000000001</v>
      </c>
      <c r="P223">
        <f>2*(Scenario_Data!B223*1000)/Inputs!$C$21*1000000</f>
        <v>2687.4315564002609</v>
      </c>
      <c r="Q223">
        <f>Scenario_Data!U223</f>
        <v>336.80000000000007</v>
      </c>
      <c r="R223">
        <f>2*(Scenario_Data!C223*1000)/Inputs!$C$21*1000000</f>
        <v>1959.8348935115648</v>
      </c>
      <c r="S223">
        <f>Scenario_Data!V223</f>
        <v>673.60000000000014</v>
      </c>
      <c r="T223">
        <f>2*(Scenario_Data!D223*1000)/Inputs!$C$21*1000000</f>
        <v>4797.6541157683187</v>
      </c>
      <c r="U223">
        <f>Scenario_Data!W223</f>
        <v>673.60000000000014</v>
      </c>
      <c r="V223">
        <f>2*(Scenario_Data!E223*1000)/Inputs!$C$21*1000000</f>
        <v>4778.2382837662999</v>
      </c>
      <c r="X223">
        <f>Scenario_Data!T223</f>
        <v>50.52000000000001</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2687.5172186847417</v>
      </c>
      <c r="Z223">
        <f>Scenario_Data!U223</f>
        <v>336.80000000000007</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1960.0763885223253</v>
      </c>
      <c r="AB223">
        <f>Scenario_Data!V223</f>
        <v>673.60000000000014</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4797.5367354717901</v>
      </c>
      <c r="AD223">
        <f>Scenario_Data!W223</f>
        <v>673.60000000000014</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4778.1209034697722</v>
      </c>
      <c r="AG223">
        <f>Scenario_Data!T223</f>
        <v>50.52000000000001</v>
      </c>
      <c r="AH223">
        <f>2*(SQRT((Inputs!$C$52+(Scenario_Data!B223))^2+Inputs!$C$52^2-2*(Inputs!$C$52+(Scenario_Data!B223))*Inputs!$C$52*COS(SQRT((Scenario_Data!T223)^2+Inputs!$C$6^2)/Inputs!$C$52))*1000)/Inputs!$C$21*1000000</f>
        <v>2720.3259622967576</v>
      </c>
      <c r="AI223">
        <f>Scenario_Data!U223</f>
        <v>336.80000000000007</v>
      </c>
      <c r="AJ223">
        <f>2*(SQRT((Inputs!$C$52+(Scenario_Data!C223))^2+Inputs!$C$52^2-2*(Inputs!$C$52+(Scenario_Data!C223))*Inputs!$C$52*COS(SQRT((Scenario_Data!U223)^2+Inputs!$C$6^2)/Inputs!$C$52))*1000)/Inputs!$C$21*1000000</f>
        <v>3138.34907670858</v>
      </c>
      <c r="AK223">
        <f>Scenario_Data!V223</f>
        <v>673.60000000000014</v>
      </c>
      <c r="AL223">
        <f>2*(SQRT((Inputs!$C$52+(Scenario_Data!D223))^2+Inputs!$C$52^2-2*(Inputs!$C$52+(Scenario_Data!D223))*Inputs!$C$52*COS(SQRT((Scenario_Data!V223)^2+Inputs!$C$6^2)/Inputs!$C$52))*1000)/Inputs!$C$21*1000000</f>
        <v>7218.0611664589442</v>
      </c>
      <c r="AM223">
        <f>Scenario_Data!W223</f>
        <v>673.60000000000014</v>
      </c>
      <c r="AN223">
        <f>2*(SQRT((Inputs!$C$52+(Scenario_Data!E223))^2+Inputs!$C$52^2-2*(Inputs!$C$52+(Scenario_Data!E223))*Inputs!$C$52*COS(SQRT((Scenario_Data!W223)^2+Inputs!$C$6^2)/Inputs!$C$52))*1000)/Inputs!$C$21*1000000</f>
        <v>7202.5938862445973</v>
      </c>
      <c r="AP223">
        <f>Scenario_Data!T223</f>
        <v>50.52000000000001</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2719.4600228979743</v>
      </c>
      <c r="AR223">
        <f>Scenario_Data!U223</f>
        <v>336.80000000000007</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3137.9971314740387</v>
      </c>
      <c r="AT223">
        <f>Scenario_Data!V223</f>
        <v>673.60000000000014</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7217.5464800794807</v>
      </c>
      <c r="AV223">
        <f>Scenario_Data!W223</f>
        <v>673.60000000000014</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7202.0807691718983</v>
      </c>
    </row>
    <row r="224" spans="1:49">
      <c r="A224">
        <f>Chart_Data!K224</f>
        <v>51</v>
      </c>
      <c r="B224">
        <f>Chart_Data!N224-Chart_Data!L224</f>
        <v>-13.645035215684629</v>
      </c>
      <c r="D224">
        <f>Chart_Data!G224</f>
        <v>51</v>
      </c>
      <c r="E224">
        <f>Chart_Data!H224</f>
        <v>137.08289632779307</v>
      </c>
      <c r="F224">
        <f>Chart_Data!I224</f>
        <v>137.08289632779307</v>
      </c>
      <c r="G224">
        <f>Chart_Data!J224</f>
        <v>11.525237738664625</v>
      </c>
      <c r="I224">
        <f>Scenario_Data!A224</f>
        <v>0.85</v>
      </c>
      <c r="J224">
        <f>Scenario_Data!H224-(((SQRT((Inputs!$C$52+(Inputs!$H$6))^2+Inputs!$C$52^2-2*(Inputs!$C$52+(Inputs!$H$6))*Inputs!$C$52*COS(SQRT((Scenario_Data!T224)^2+Inputs!$C$6^2)/Inputs!$C$52)))-(Inputs!$H$6))*1000/Inputs!$C$12)</f>
        <v>-15.922654129073635</v>
      </c>
      <c r="K224">
        <f>Scenario_Data!I224-(((SQRT((Inputs!$C$52+(Inputs!$H$7))^2+Inputs!$C$52^2-2*(Inputs!$C$52+(Inputs!$H$7))*Inputs!$C$52*COS(SQRT((Scenario_Data!U224)^2+Inputs!$C$6^2)/Inputs!$C$52)))-(Inputs!$H$7))*1000/Inputs!$C$12)</f>
        <v>-74675.236694186082</v>
      </c>
      <c r="L224">
        <f>Scenario_Data!J224-(((SQRT((Inputs!$C$52+(Inputs!$H$8))^2+Inputs!$C$52^2-2*(Inputs!$C$52+(Inputs!$H$8))*Inputs!$C$52*COS(SQRT((Scenario_Data!V224)^2+Inputs!$C$6^2)/Inputs!$C$52)))-(Inputs!$H$8))*1000/Inputs!$C$12)</f>
        <v>-158814.13192459266</v>
      </c>
      <c r="M224">
        <f>Scenario_Data!K224-(((SQRT((Inputs!$C$52+(Inputs!$H$9))^2+Inputs!$C$52^2-2*(Inputs!$C$52+(Inputs!$H$9))*Inputs!$C$52*COS(SQRT((Scenario_Data!W224)^2+Inputs!$C$6^2)/Inputs!$C$52)))-(Inputs!$H$9))*1000/Inputs!$C$12)</f>
        <v>-162669.99600543149</v>
      </c>
      <c r="O224">
        <f>Scenario_Data!T224</f>
        <v>51</v>
      </c>
      <c r="P224">
        <f>2*(Scenario_Data!B224*1000)/Inputs!$C$21*1000000</f>
        <v>2687.7927662876696</v>
      </c>
      <c r="Q224">
        <f>Scenario_Data!U224</f>
        <v>340</v>
      </c>
      <c r="R224">
        <f>2*(Scenario_Data!C224*1000)/Inputs!$C$21*1000000</f>
        <v>1992.7952957375599</v>
      </c>
      <c r="S224">
        <f>Scenario_Data!V224</f>
        <v>680</v>
      </c>
      <c r="T224">
        <f>2*(Scenario_Data!D224*1000)/Inputs!$C$21*1000000</f>
        <v>4884.7960011055375</v>
      </c>
      <c r="U224">
        <f>Scenario_Data!W224</f>
        <v>680</v>
      </c>
      <c r="V224">
        <f>2*(Scenario_Data!E224*1000)/Inputs!$C$21*1000000</f>
        <v>4866.2831938220397</v>
      </c>
      <c r="X224">
        <f>Scenario_Data!T224</f>
        <v>51</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2687.7158781777048</v>
      </c>
      <c r="Z224">
        <f>Scenario_Data!U224</f>
        <v>340</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1992.8224473858181</v>
      </c>
      <c r="AB224">
        <f>Scenario_Data!V224</f>
        <v>680</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4885.0168871785563</v>
      </c>
      <c r="AD224">
        <f>Scenario_Data!W224</f>
        <v>680</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4866.5040798950586</v>
      </c>
      <c r="AG224">
        <f>Scenario_Data!T224</f>
        <v>51</v>
      </c>
      <c r="AH224">
        <f>2*(SQRT((Inputs!$C$52+(Scenario_Data!B224))^2+Inputs!$C$52^2-2*(Inputs!$C$52+(Scenario_Data!B224))*Inputs!$C$52*COS(SQRT((Scenario_Data!T224)^2+Inputs!$C$6^2)/Inputs!$C$52))*1000)/Inputs!$C$21*1000000</f>
        <v>2721.1850020092143</v>
      </c>
      <c r="AI224">
        <f>Scenario_Data!U224</f>
        <v>340</v>
      </c>
      <c r="AJ224">
        <f>2*(SQRT((Inputs!$C$52+(Scenario_Data!C224))^2+Inputs!$C$52^2-2*(Inputs!$C$52+(Scenario_Data!C224))*Inputs!$C$52*COS(SQRT((Scenario_Data!U224)^2+Inputs!$C$6^2)/Inputs!$C$52))*1000)/Inputs!$C$21*1000000</f>
        <v>3179.5370247648771</v>
      </c>
      <c r="AK224">
        <f>Scenario_Data!V224</f>
        <v>680</v>
      </c>
      <c r="AL224">
        <f>2*(SQRT((Inputs!$C$52+(Scenario_Data!D224))^2+Inputs!$C$52^2-2*(Inputs!$C$52+(Scenario_Data!D224))*Inputs!$C$52*COS(SQRT((Scenario_Data!V224)^2+Inputs!$C$6^2)/Inputs!$C$52))*1000)/Inputs!$C$21*1000000</f>
        <v>7325.2712267935003</v>
      </c>
      <c r="AM224">
        <f>Scenario_Data!W224</f>
        <v>680</v>
      </c>
      <c r="AN224">
        <f>2*(SQRT((Inputs!$C$52+(Scenario_Data!E224))^2+Inputs!$C$52^2-2*(Inputs!$C$52+(Scenario_Data!E224))*Inputs!$C$52*COS(SQRT((Scenario_Data!W224)^2+Inputs!$C$6^2)/Inputs!$C$52))*1000)/Inputs!$C$21*1000000</f>
        <v>7310.4730873835651</v>
      </c>
      <c r="AP224">
        <f>Scenario_Data!T224</f>
        <v>51</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2720.284625130148</v>
      </c>
      <c r="AR224">
        <f>Scenario_Data!U224</f>
        <v>340</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3179.0930306359223</v>
      </c>
      <c r="AT224">
        <f>Scenario_Data!V224</f>
        <v>680</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7325.1092721845771</v>
      </c>
      <c r="AV224">
        <f>Scenario_Data!W224</f>
        <v>680</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7310.3115934458438</v>
      </c>
    </row>
    <row r="225" spans="1:49">
      <c r="A225">
        <f>Chart_Data!K225</f>
        <v>51.5</v>
      </c>
      <c r="B225">
        <f>Chart_Data!N225-Chart_Data!L225</f>
        <v>2.0445562852635533</v>
      </c>
      <c r="D225">
        <f>Chart_Data!G225</f>
        <v>51.5</v>
      </c>
      <c r="E225">
        <f>Chart_Data!H225</f>
        <v>159.61831316527434</v>
      </c>
      <c r="F225">
        <f>Chart_Data!I225</f>
        <v>159.61831316527434</v>
      </c>
      <c r="G225">
        <f>Chart_Data!J225</f>
        <v>-4.5509465319165372</v>
      </c>
      <c r="I225">
        <f>Scenario_Data!A225</f>
        <v>0.85799999999999998</v>
      </c>
      <c r="J225">
        <f>Scenario_Data!H225-(((SQRT((Inputs!$C$52+(Inputs!$H$6))^2+Inputs!$C$52^2-2*(Inputs!$C$52+(Inputs!$H$6))*Inputs!$C$52*COS(SQRT((Scenario_Data!T225)^2+Inputs!$C$6^2)/Inputs!$C$52)))-(Inputs!$H$6))*1000/Inputs!$C$12)</f>
        <v>-16.463911639531943</v>
      </c>
      <c r="K225">
        <f>Scenario_Data!I225-(((SQRT((Inputs!$C$52+(Inputs!$H$7))^2+Inputs!$C$52^2-2*(Inputs!$C$52+(Inputs!$H$7))*Inputs!$C$52*COS(SQRT((Scenario_Data!U225)^2+Inputs!$C$6^2)/Inputs!$C$52)))-(Inputs!$H$7))*1000/Inputs!$C$12)</f>
        <v>-75777.084390837059</v>
      </c>
      <c r="L225">
        <f>Scenario_Data!J225-(((SQRT((Inputs!$C$52+(Inputs!$H$8))^2+Inputs!$C$52^2-2*(Inputs!$C$52+(Inputs!$H$8))*Inputs!$C$52*COS(SQRT((Scenario_Data!V225)^2+Inputs!$C$6^2)/Inputs!$C$52)))-(Inputs!$H$8))*1000/Inputs!$C$12)</f>
        <v>-160660.74701629803</v>
      </c>
      <c r="M225">
        <f>Scenario_Data!K225-(((SQRT((Inputs!$C$52+(Inputs!$H$9))^2+Inputs!$C$52^2-2*(Inputs!$C$52+(Inputs!$H$9))*Inputs!$C$52*COS(SQRT((Scenario_Data!W225)^2+Inputs!$C$6^2)/Inputs!$C$52)))-(Inputs!$H$9))*1000/Inputs!$C$12)</f>
        <v>-164527.09337077409</v>
      </c>
      <c r="O225">
        <f>Scenario_Data!T225</f>
        <v>51.480000000000004</v>
      </c>
      <c r="P225">
        <f>2*(Scenario_Data!B225*1000)/Inputs!$C$21*1000000</f>
        <v>2688.1573918714125</v>
      </c>
      <c r="Q225">
        <f>Scenario_Data!U225</f>
        <v>343.20000000000005</v>
      </c>
      <c r="R225">
        <f>2*(Scenario_Data!C225*1000)/Inputs!$C$21*1000000</f>
        <v>2026.0673802541094</v>
      </c>
      <c r="S225">
        <f>Scenario_Data!V225</f>
        <v>686.40000000000009</v>
      </c>
      <c r="T225">
        <f>2*(Scenario_Data!D225*1000)/Inputs!$C$21*1000000</f>
        <v>4972.7619231835379</v>
      </c>
      <c r="U225">
        <f>Scenario_Data!W225</f>
        <v>686.40000000000009</v>
      </c>
      <c r="V225">
        <f>2*(Scenario_Data!E225*1000)/Inputs!$C$21*1000000</f>
        <v>4955.1606798593994</v>
      </c>
      <c r="X225">
        <f>Scenario_Data!T225</f>
        <v>51.480000000000004</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2688.2272914906202</v>
      </c>
      <c r="Z225">
        <f>Scenario_Data!U225</f>
        <v>343.20000000000005</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2025.9670355035455</v>
      </c>
      <c r="AB225">
        <f>Scenario_Data!V225</f>
        <v>686.40000000000009</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4972.4418683291915</v>
      </c>
      <c r="AD225">
        <f>Scenario_Data!W225</f>
        <v>686.40000000000009</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4954.8406250050512</v>
      </c>
      <c r="AG225">
        <f>Scenario_Data!T225</f>
        <v>51.480000000000004</v>
      </c>
      <c r="AH225">
        <f>2*(SQRT((Inputs!$C$52+(Scenario_Data!B225))^2+Inputs!$C$52^2-2*(Inputs!$C$52+(Scenario_Data!B225))*Inputs!$C$52*COS(SQRT((Scenario_Data!T225)^2+Inputs!$C$6^2)/Inputs!$C$52))*1000)/Inputs!$C$21*1000000</f>
        <v>2722.0519650158485</v>
      </c>
      <c r="AI225">
        <f>Scenario_Data!U225</f>
        <v>343.20000000000005</v>
      </c>
      <c r="AJ225">
        <f>2*(SQRT((Inputs!$C$52+(Scenario_Data!C225))^2+Inputs!$C$52^2-2*(Inputs!$C$52+(Scenario_Data!C225))*Inputs!$C$52*COS(SQRT((Scenario_Data!U225)^2+Inputs!$C$6^2)/Inputs!$C$52))*1000)/Inputs!$C$21*1000000</f>
        <v>3221.0150100806709</v>
      </c>
      <c r="AK225">
        <f>Scenario_Data!V225</f>
        <v>686.40000000000009</v>
      </c>
      <c r="AL225">
        <f>2*(SQRT((Inputs!$C$52+(Scenario_Data!D225))^2+Inputs!$C$52^2-2*(Inputs!$C$52+(Scenario_Data!D225))*Inputs!$C$52*COS(SQRT((Scenario_Data!V225)^2+Inputs!$C$6^2)/Inputs!$C$52))*1000)/Inputs!$C$21*1000000</f>
        <v>7433.3669028529466</v>
      </c>
      <c r="AM225">
        <f>Scenario_Data!W225</f>
        <v>686.40000000000009</v>
      </c>
      <c r="AN225">
        <f>2*(SQRT((Inputs!$C$52+(Scenario_Data!E225))^2+Inputs!$C$52^2-2*(Inputs!$C$52+(Scenario_Data!E225))*Inputs!$C$52*COS(SQRT((Scenario_Data!W225)^2+Inputs!$C$6^2)/Inputs!$C$52))*1000)/Inputs!$C$21*1000000</f>
        <v>7419.2503937327128</v>
      </c>
      <c r="AP225">
        <f>Scenario_Data!T225</f>
        <v>51.480000000000004</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2721.136694205718</v>
      </c>
      <c r="AR225">
        <f>Scenario_Data!U225</f>
        <v>343.20000000000005</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3220.474419904112</v>
      </c>
      <c r="AT225">
        <f>Scenario_Data!V225</f>
        <v>686.40000000000009</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7432.7823912122676</v>
      </c>
      <c r="AV225">
        <f>Scenario_Data!W225</f>
        <v>686.40000000000009</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7418.6674296546635</v>
      </c>
    </row>
    <row r="226" spans="1:49">
      <c r="A226">
        <f>Chart_Data!K226</f>
        <v>52</v>
      </c>
      <c r="B226">
        <f>Chart_Data!N226-Chart_Data!L226</f>
        <v>5.1886278057727964</v>
      </c>
      <c r="D226">
        <f>Chart_Data!G226</f>
        <v>52</v>
      </c>
      <c r="E226">
        <f>Chart_Data!H226</f>
        <v>166.99312244433131</v>
      </c>
      <c r="F226">
        <f>Chart_Data!I226</f>
        <v>166.99312244433131</v>
      </c>
      <c r="G226">
        <f>Chart_Data!J226</f>
        <v>-7.8509490215719673</v>
      </c>
      <c r="I226">
        <f>Scenario_Data!A226</f>
        <v>0.86699999999999999</v>
      </c>
      <c r="J226">
        <f>Scenario_Data!H226-(((SQRT((Inputs!$C$52+(Inputs!$H$6))^2+Inputs!$C$52^2-2*(Inputs!$C$52+(Inputs!$H$6))*Inputs!$C$52*COS(SQRT((Scenario_Data!T226)^2+Inputs!$C$6^2)/Inputs!$C$52)))-(Inputs!$H$6))*1000/Inputs!$C$12)</f>
        <v>-17.089442616799715</v>
      </c>
      <c r="K226">
        <f>Scenario_Data!I226-(((SQRT((Inputs!$C$52+(Inputs!$H$7))^2+Inputs!$C$52^2-2*(Inputs!$C$52+(Inputs!$H$7))*Inputs!$C$52*COS(SQRT((Scenario_Data!U226)^2+Inputs!$C$6^2)/Inputs!$C$52)))-(Inputs!$H$7))*1000/Inputs!$C$12)</f>
        <v>-77018.794989844479</v>
      </c>
      <c r="L226">
        <f>Scenario_Data!J226-(((SQRT((Inputs!$C$52+(Inputs!$H$8))^2+Inputs!$C$52^2-2*(Inputs!$C$52+(Inputs!$H$8))*Inputs!$C$52*COS(SQRT((Scenario_Data!V226)^2+Inputs!$C$6^2)/Inputs!$C$52)))-(Inputs!$H$8))*1000/Inputs!$C$12)</f>
        <v>-162730.03298707728</v>
      </c>
      <c r="M226">
        <f>Scenario_Data!K226-(((SQRT((Inputs!$C$52+(Inputs!$H$9))^2+Inputs!$C$52^2-2*(Inputs!$C$52+(Inputs!$H$9))*Inputs!$C$52*COS(SQRT((Scenario_Data!W226)^2+Inputs!$C$6^2)/Inputs!$C$52)))-(Inputs!$H$9))*1000/Inputs!$C$12)</f>
        <v>-166607.73644990035</v>
      </c>
      <c r="O226">
        <f>Scenario_Data!T226</f>
        <v>52.019999999999996</v>
      </c>
      <c r="P226">
        <f>2*(Scenario_Data!B226*1000)/Inputs!$C$21*1000000</f>
        <v>2688.5716784776487</v>
      </c>
      <c r="Q226">
        <f>Scenario_Data!U226</f>
        <v>346.79999999999995</v>
      </c>
      <c r="R226">
        <f>2*(Scenario_Data!C226*1000)/Inputs!$C$21*1000000</f>
        <v>2063.8710330731533</v>
      </c>
      <c r="S226">
        <f>Scenario_Data!V226</f>
        <v>693.59999999999991</v>
      </c>
      <c r="T226">
        <f>2*(Scenario_Data!D226*1000)/Inputs!$C$21*1000000</f>
        <v>5072.7085669379967</v>
      </c>
      <c r="U226">
        <f>Scenario_Data!W226</f>
        <v>693.59999999999991</v>
      </c>
      <c r="V226">
        <f>2*(Scenario_Data!E226*1000)/Inputs!$C$21*1000000</f>
        <v>5056.1430401294474</v>
      </c>
      <c r="X226">
        <f>Scenario_Data!T226</f>
        <v>52.019999999999996</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2688.5106820417809</v>
      </c>
      <c r="Z226">
        <f>Scenario_Data!U226</f>
        <v>346.79999999999995</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2063.5225689138215</v>
      </c>
      <c r="AB226">
        <f>Scenario_Data!V226</f>
        <v>693.59999999999991</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5072.5799317173605</v>
      </c>
      <c r="AD226">
        <f>Scenario_Data!W226</f>
        <v>693.59999999999991</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5056.0144049088103</v>
      </c>
      <c r="AG226">
        <f>Scenario_Data!T226</f>
        <v>52.019999999999996</v>
      </c>
      <c r="AH226">
        <f>2*(SQRT((Inputs!$C$52+(Scenario_Data!B226))^2+Inputs!$C$52^2-2*(Inputs!$C$52+(Scenario_Data!B226))*Inputs!$C$52*COS(SQRT((Scenario_Data!T226)^2+Inputs!$C$6^2)/Inputs!$C$52))*1000)/Inputs!$C$21*1000000</f>
        <v>2723.0367624197406</v>
      </c>
      <c r="AI226">
        <f>Scenario_Data!U226</f>
        <v>346.79999999999995</v>
      </c>
      <c r="AJ226">
        <f>2*(SQRT((Inputs!$C$52+(Scenario_Data!C226))^2+Inputs!$C$52^2-2*(Inputs!$C$52+(Scenario_Data!C226))*Inputs!$C$52*COS(SQRT((Scenario_Data!U226)^2+Inputs!$C$6^2)/Inputs!$C$52))*1000)/Inputs!$C$21*1000000</f>
        <v>3268.0257165997627</v>
      </c>
      <c r="AK226">
        <f>Scenario_Data!V226</f>
        <v>693.59999999999991</v>
      </c>
      <c r="AL226">
        <f>2*(SQRT((Inputs!$C$52+(Scenario_Data!D226))^2+Inputs!$C$52^2-2*(Inputs!$C$52+(Scenario_Data!D226))*Inputs!$C$52*COS(SQRT((Scenario_Data!V226)^2+Inputs!$C$6^2)/Inputs!$C$52))*1000)/Inputs!$C$21*1000000</f>
        <v>7556.0351349179427</v>
      </c>
      <c r="AM226">
        <f>Scenario_Data!W226</f>
        <v>693.59999999999991</v>
      </c>
      <c r="AN226">
        <f>2*(SQRT((Inputs!$C$52+(Scenario_Data!E226))^2+Inputs!$C$52^2-2*(Inputs!$C$52+(Scenario_Data!E226))*Inputs!$C$52*COS(SQRT((Scenario_Data!W226)^2+Inputs!$C$6^2)/Inputs!$C$52))*1000)/Inputs!$C$21*1000000</f>
        <v>7542.700317284668</v>
      </c>
      <c r="AP226">
        <f>Scenario_Data!T226</f>
        <v>52.019999999999996</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2722.0161317735797</v>
      </c>
      <c r="AR226">
        <f>Scenario_Data!U226</f>
        <v>346.79999999999995</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3267.3868480184751</v>
      </c>
      <c r="AT226">
        <f>Scenario_Data!V226</f>
        <v>693.59999999999991</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7555.73320099179</v>
      </c>
      <c r="AV226">
        <f>Scenario_Data!W226</f>
        <v>693.59999999999991</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7542.3991178521374</v>
      </c>
    </row>
    <row r="227" spans="1:49">
      <c r="A227">
        <f>Chart_Data!K227</f>
        <v>52.5</v>
      </c>
      <c r="B227">
        <f>Chart_Data!N227-Chart_Data!L227</f>
        <v>-9.2437422691086795</v>
      </c>
      <c r="D227">
        <f>Chart_Data!G227</f>
        <v>52.5</v>
      </c>
      <c r="E227">
        <f>Chart_Data!H227</f>
        <v>164.06842387185546</v>
      </c>
      <c r="F227">
        <f>Chart_Data!I227</f>
        <v>164.06842387185546</v>
      </c>
      <c r="G227">
        <f>Chart_Data!J227</f>
        <v>6.5883469319652015</v>
      </c>
      <c r="I227">
        <f>Scenario_Data!A227</f>
        <v>0.875</v>
      </c>
      <c r="J227">
        <f>Scenario_Data!H227-(((SQRT((Inputs!$C$52+(Inputs!$H$6))^2+Inputs!$C$52^2-2*(Inputs!$C$52+(Inputs!$H$6))*Inputs!$C$52*COS(SQRT((Scenario_Data!T227)^2+Inputs!$C$6^2)/Inputs!$C$52)))-(Inputs!$H$6))*1000/Inputs!$C$12)</f>
        <v>-17.660500113955095</v>
      </c>
      <c r="K227">
        <f>Scenario_Data!I227-(((SQRT((Inputs!$C$52+(Inputs!$H$7))^2+Inputs!$C$52^2-2*(Inputs!$C$52+(Inputs!$H$7))*Inputs!$C$52*COS(SQRT((Scenario_Data!U227)^2+Inputs!$C$6^2)/Inputs!$C$52)))-(Inputs!$H$7))*1000/Inputs!$C$12)</f>
        <v>-78124.328383369575</v>
      </c>
      <c r="L227">
        <f>Scenario_Data!J227-(((SQRT((Inputs!$C$52+(Inputs!$H$8))^2+Inputs!$C$52^2-2*(Inputs!$C$52+(Inputs!$H$8))*Inputs!$C$52*COS(SQRT((Scenario_Data!V227)^2+Inputs!$C$6^2)/Inputs!$C$52)))-(Inputs!$H$8))*1000/Inputs!$C$12)</f>
        <v>-164561.98259931064</v>
      </c>
      <c r="M227">
        <f>Scenario_Data!K227-(((SQRT((Inputs!$C$52+(Inputs!$H$9))^2+Inputs!$C$52^2-2*(Inputs!$C$52+(Inputs!$H$9))*Inputs!$C$52*COS(SQRT((Scenario_Data!W227)^2+Inputs!$C$6^2)/Inputs!$C$52)))-(Inputs!$H$9))*1000/Inputs!$C$12)</f>
        <v>-168449.40082622971</v>
      </c>
      <c r="O227">
        <f>Scenario_Data!T227</f>
        <v>52.5</v>
      </c>
      <c r="P227">
        <f>2*(Scenario_Data!B227*1000)/Inputs!$C$21*1000000</f>
        <v>2688.9435624161033</v>
      </c>
      <c r="Q227">
        <f>Scenario_Data!U227</f>
        <v>350</v>
      </c>
      <c r="R227">
        <f>2*(Scenario_Data!C227*1000)/Inputs!$C$21*1000000</f>
        <v>2097.8054424571283</v>
      </c>
      <c r="S227">
        <f>Scenario_Data!V227</f>
        <v>700</v>
      </c>
      <c r="T227">
        <f>2*(Scenario_Data!D227*1000)/Inputs!$C$21*1000000</f>
        <v>5162.4255670901503</v>
      </c>
      <c r="U227">
        <f>Scenario_Data!W227</f>
        <v>700</v>
      </c>
      <c r="V227">
        <f>2*(Scenario_Data!E227*1000)/Inputs!$C$21*1000000</f>
        <v>5146.7897501277366</v>
      </c>
      <c r="X227">
        <f>Scenario_Data!T227</f>
        <v>52.5</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2688.8996096964388</v>
      </c>
      <c r="Z227">
        <f>Scenario_Data!U227</f>
        <v>350</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2097.3953409322794</v>
      </c>
      <c r="AB227">
        <f>Scenario_Data!V227</f>
        <v>700</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5162.2940643604143</v>
      </c>
      <c r="AD227">
        <f>Scenario_Data!W227</f>
        <v>700</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5146.6582473980006</v>
      </c>
      <c r="AG227">
        <f>Scenario_Data!T227</f>
        <v>52.5</v>
      </c>
      <c r="AH227">
        <f>2*(SQRT((Inputs!$C$52+(Scenario_Data!B227))^2+Inputs!$C$52^2-2*(Inputs!$C$52+(Scenario_Data!B227))*Inputs!$C$52*COS(SQRT((Scenario_Data!T227)^2+Inputs!$C$6^2)/Inputs!$C$52))*1000)/Inputs!$C$21*1000000</f>
        <v>2723.920544268542</v>
      </c>
      <c r="AI227">
        <f>Scenario_Data!U227</f>
        <v>350</v>
      </c>
      <c r="AJ227">
        <f>2*(SQRT((Inputs!$C$52+(Scenario_Data!C227))^2+Inputs!$C$52^2-2*(Inputs!$C$52+(Scenario_Data!C227))*Inputs!$C$52*COS(SQRT((Scenario_Data!U227)^2+Inputs!$C$6^2)/Inputs!$C$52))*1000)/Inputs!$C$21*1000000</f>
        <v>3310.1234447175161</v>
      </c>
      <c r="AK227">
        <f>Scenario_Data!V227</f>
        <v>700</v>
      </c>
      <c r="AL227">
        <f>2*(SQRT((Inputs!$C$52+(Scenario_Data!D227))^2+Inputs!$C$52^2-2*(Inputs!$C$52+(Scenario_Data!D227))*Inputs!$C$52*COS(SQRT((Scenario_Data!V227)^2+Inputs!$C$6^2)/Inputs!$C$52))*1000)/Inputs!$C$21*1000000</f>
        <v>7666.0180432897014</v>
      </c>
      <c r="AM227">
        <f>Scenario_Data!W227</f>
        <v>700</v>
      </c>
      <c r="AN227">
        <f>2*(SQRT((Inputs!$C$52+(Scenario_Data!E227))^2+Inputs!$C$52^2-2*(Inputs!$C$52+(Scenario_Data!E227))*Inputs!$C$52*COS(SQRT((Scenario_Data!W227)^2+Inputs!$C$6^2)/Inputs!$C$52))*1000)/Inputs!$C$21*1000000</f>
        <v>7653.3912060529701</v>
      </c>
      <c r="AP227">
        <f>Scenario_Data!T227</f>
        <v>52.5</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2722.8437124522143</v>
      </c>
      <c r="AR227">
        <f>Scenario_Data!U227</f>
        <v>350</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3309.459484632871</v>
      </c>
      <c r="AT227">
        <f>Scenario_Data!V227</f>
        <v>700</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7665.6363551419226</v>
      </c>
      <c r="AV227">
        <f>Scenario_Data!W227</f>
        <v>700</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7653.0103761009914</v>
      </c>
    </row>
    <row r="228" spans="1:49">
      <c r="A228">
        <f>Chart_Data!K228</f>
        <v>53</v>
      </c>
      <c r="B228">
        <f>Chart_Data!N228-Chart_Data!L228</f>
        <v>-7.5236153525493137</v>
      </c>
      <c r="D228">
        <f>Chart_Data!G228</f>
        <v>53</v>
      </c>
      <c r="E228">
        <f>Chart_Data!H228</f>
        <v>183.52328091519169</v>
      </c>
      <c r="F228">
        <f>Chart_Data!I228</f>
        <v>183.52328091519169</v>
      </c>
      <c r="G228">
        <f>Chart_Data!J228</f>
        <v>4.5083965407611828</v>
      </c>
      <c r="I228">
        <f>Scenario_Data!A228</f>
        <v>0.88300000000000001</v>
      </c>
      <c r="J228">
        <f>Scenario_Data!H228-(((SQRT((Inputs!$C$52+(Inputs!$H$6))^2+Inputs!$C$52^2-2*(Inputs!$C$52+(Inputs!$H$6))*Inputs!$C$52*COS(SQRT((Scenario_Data!T228)^2+Inputs!$C$6^2)/Inputs!$C$52)))-(Inputs!$H$6))*1000/Inputs!$C$12)</f>
        <v>-18.245949870930872</v>
      </c>
      <c r="K228">
        <f>Scenario_Data!I228-(((SQRT((Inputs!$C$52+(Inputs!$H$7))^2+Inputs!$C$52^2-2*(Inputs!$C$52+(Inputs!$H$7))*Inputs!$C$52*COS(SQRT((Scenario_Data!U228)^2+Inputs!$C$6^2)/Inputs!$C$52)))-(Inputs!$H$7))*1000/Inputs!$C$12)</f>
        <v>-79231.450693104271</v>
      </c>
      <c r="L228">
        <f>Scenario_Data!J228-(((SQRT((Inputs!$C$52+(Inputs!$H$8))^2+Inputs!$C$52^2-2*(Inputs!$C$52+(Inputs!$H$8))*Inputs!$C$52*COS(SQRT((Scenario_Data!V228)^2+Inputs!$C$6^2)/Inputs!$C$52)))-(Inputs!$H$8))*1000/Inputs!$C$12)</f>
        <v>-166386.8012256964</v>
      </c>
      <c r="M228">
        <f>Scenario_Data!K228-(((SQRT((Inputs!$C$52+(Inputs!$H$9))^2+Inputs!$C$52^2-2*(Inputs!$C$52+(Inputs!$H$9))*Inputs!$C$52*COS(SQRT((Scenario_Data!W228)^2+Inputs!$C$6^2)/Inputs!$C$52)))-(Inputs!$H$9))*1000/Inputs!$C$12)</f>
        <v>-170283.58230501931</v>
      </c>
      <c r="O228">
        <f>Scenario_Data!T228</f>
        <v>52.980000000000004</v>
      </c>
      <c r="P228">
        <f>2*(Scenario_Data!B228*1000)/Inputs!$C$21*1000000</f>
        <v>2689.3188620508927</v>
      </c>
      <c r="Q228">
        <f>Scenario_Data!U228</f>
        <v>353.20000000000005</v>
      </c>
      <c r="R228">
        <f>2*(Scenario_Data!C228*1000)/Inputs!$C$21*1000000</f>
        <v>2132.0515341316568</v>
      </c>
      <c r="S228">
        <f>Scenario_Data!V228</f>
        <v>706.40000000000009</v>
      </c>
      <c r="T228">
        <f>2*(Scenario_Data!D228*1000)/Inputs!$C$21*1000000</f>
        <v>5252.9666039830799</v>
      </c>
      <c r="U228">
        <f>Scenario_Data!W228</f>
        <v>706.40000000000009</v>
      </c>
      <c r="V228">
        <f>2*(Scenario_Data!E228*1000)/Inputs!$C$21*1000000</f>
        <v>5238.2690361076411</v>
      </c>
      <c r="X228">
        <f>Scenario_Data!T228</f>
        <v>52.980000000000004</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2689.4096505813941</v>
      </c>
      <c r="Z228">
        <f>Scenario_Data!U228</f>
        <v>353.20000000000005</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2131.8969934042402</v>
      </c>
      <c r="AB228">
        <f>Scenario_Data!V228</f>
        <v>706.40000000000009</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5252.466158272302</v>
      </c>
      <c r="AD228">
        <f>Scenario_Data!W228</f>
        <v>706.40000000000009</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5237.7685903968631</v>
      </c>
      <c r="AG228">
        <f>Scenario_Data!T228</f>
        <v>52.980000000000004</v>
      </c>
      <c r="AH228">
        <f>2*(SQRT((Inputs!$C$52+(Scenario_Data!B228))^2+Inputs!$C$52^2-2*(Inputs!$C$52+(Scenario_Data!B228))*Inputs!$C$52*COS(SQRT((Scenario_Data!T228)^2+Inputs!$C$6^2)/Inputs!$C$52))*1000)/Inputs!$C$21*1000000</f>
        <v>2724.8122322311165</v>
      </c>
      <c r="AI228">
        <f>Scenario_Data!U228</f>
        <v>353.20000000000005</v>
      </c>
      <c r="AJ228">
        <f>2*(SQRT((Inputs!$C$52+(Scenario_Data!C228))^2+Inputs!$C$52^2-2*(Inputs!$C$52+(Scenario_Data!C228))*Inputs!$C$52*COS(SQRT((Scenario_Data!U228)^2+Inputs!$C$6^2)/Inputs!$C$52))*1000)/Inputs!$C$21*1000000</f>
        <v>3352.5143841718163</v>
      </c>
      <c r="AK228">
        <f>Scenario_Data!V228</f>
        <v>706.40000000000009</v>
      </c>
      <c r="AL228">
        <f>2*(SQRT((Inputs!$C$52+(Scenario_Data!D228))^2+Inputs!$C$52^2-2*(Inputs!$C$52+(Scenario_Data!D228))*Inputs!$C$52*COS(SQRT((Scenario_Data!V228)^2+Inputs!$C$6^2)/Inputs!$C$52))*1000)/Inputs!$C$21*1000000</f>
        <v>7776.8914462931562</v>
      </c>
      <c r="AM228">
        <f>Scenario_Data!W228</f>
        <v>706.40000000000009</v>
      </c>
      <c r="AN228">
        <f>2*(SQRT((Inputs!$C$52+(Scenario_Data!E228))^2+Inputs!$C$52^2-2*(Inputs!$C$52+(Scenario_Data!E228))*Inputs!$C$52*COS(SQRT((Scenario_Data!W228)^2+Inputs!$C$6^2)/Inputs!$C$52))*1000)/Inputs!$C$21*1000000</f>
        <v>7764.9849009013706</v>
      </c>
      <c r="AP228">
        <f>Scenario_Data!T228</f>
        <v>52.980000000000004</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2723.7535103247137</v>
      </c>
      <c r="AR228">
        <f>Scenario_Data!U228</f>
        <v>353.20000000000005</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3352.0649024359104</v>
      </c>
      <c r="AT228">
        <f>Scenario_Data!V228</f>
        <v>706.40000000000009</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7776.3134840233197</v>
      </c>
      <c r="AV228">
        <f>Scenario_Data!W228</f>
        <v>706.40000000000009</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7764.4081350914239</v>
      </c>
    </row>
    <row r="229" spans="1:49">
      <c r="A229">
        <f>Chart_Data!K229</f>
        <v>53.5</v>
      </c>
      <c r="B229">
        <f>Chart_Data!N229-Chart_Data!L229</f>
        <v>-2.890955997517267</v>
      </c>
      <c r="D229">
        <f>Chart_Data!G229</f>
        <v>53.5</v>
      </c>
      <c r="E229">
        <f>Chart_Data!H229</f>
        <v>181.04186719105834</v>
      </c>
      <c r="F229">
        <f>Chart_Data!I229</f>
        <v>181.04186719105834</v>
      </c>
      <c r="G229">
        <f>Chart_Data!J229</f>
        <v>-0.1280560890739677</v>
      </c>
      <c r="I229">
        <f>Scenario_Data!A229</f>
        <v>0.89200000000000002</v>
      </c>
      <c r="J229">
        <f>Scenario_Data!H229-(((SQRT((Inputs!$C$52+(Inputs!$H$6))^2+Inputs!$C$52^2-2*(Inputs!$C$52+(Inputs!$H$6))*Inputs!$C$52*COS(SQRT((Scenario_Data!T229)^2+Inputs!$C$6^2)/Inputs!$C$52)))-(Inputs!$H$6))*1000/Inputs!$C$12)</f>
        <v>-18.922080788589938</v>
      </c>
      <c r="K229">
        <f>Scenario_Data!I229-(((SQRT((Inputs!$C$52+(Inputs!$H$7))^2+Inputs!$C$52^2-2*(Inputs!$C$52+(Inputs!$H$7))*Inputs!$C$52*COS(SQRT((Scenario_Data!U229)^2+Inputs!$C$6^2)/Inputs!$C$52)))-(Inputs!$H$7))*1000/Inputs!$C$12)</f>
        <v>-80478.749607010046</v>
      </c>
      <c r="L229">
        <f>Scenario_Data!J229-(((SQRT((Inputs!$C$52+(Inputs!$H$8))^2+Inputs!$C$52^2-2*(Inputs!$C$52+(Inputs!$H$8))*Inputs!$C$52*COS(SQRT((Scenario_Data!V229)^2+Inputs!$C$6^2)/Inputs!$C$52)))-(Inputs!$H$8))*1000/Inputs!$C$12)</f>
        <v>-168431.02288308344</v>
      </c>
      <c r="M229">
        <f>Scenario_Data!K229-(((SQRT((Inputs!$C$52+(Inputs!$H$9))^2+Inputs!$C$52^2-2*(Inputs!$C$52+(Inputs!$H$9))*Inputs!$C$52*COS(SQRT((Scenario_Data!W229)^2+Inputs!$C$6^2)/Inputs!$C$52)))-(Inputs!$H$9))*1000/Inputs!$C$12)</f>
        <v>-172337.92378063095</v>
      </c>
      <c r="O229">
        <f>Scenario_Data!T229</f>
        <v>53.519999999999996</v>
      </c>
      <c r="P229">
        <f>2*(Scenario_Data!B229*1000)/Inputs!$C$21*1000000</f>
        <v>2689.7451569645559</v>
      </c>
      <c r="Q229">
        <f>Scenario_Data!U229</f>
        <v>356.79999999999995</v>
      </c>
      <c r="R229">
        <f>2*(Scenario_Data!C229*1000)/Inputs!$C$21*1000000</f>
        <v>2170.9509450034257</v>
      </c>
      <c r="S229">
        <f>Scenario_Data!V229</f>
        <v>713.59999999999991</v>
      </c>
      <c r="T229">
        <f>2*(Scenario_Data!D229*1000)/Inputs!$C$21*1000000</f>
        <v>5355.810251904335</v>
      </c>
      <c r="U229">
        <f>Scenario_Data!W229</f>
        <v>713.59999999999991</v>
      </c>
      <c r="V229">
        <f>2*(Scenario_Data!E229*1000)/Inputs!$C$21*1000000</f>
        <v>5342.1784213130522</v>
      </c>
      <c r="X229">
        <f>Scenario_Data!T229</f>
        <v>53.519999999999996</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2689.7775551001491</v>
      </c>
      <c r="Z229">
        <f>Scenario_Data!U229</f>
        <v>356.79999999999995</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2170.9661833407722</v>
      </c>
      <c r="AB229">
        <f>Scenario_Data!V229</f>
        <v>713.59999999999991</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5355.5487004070555</v>
      </c>
      <c r="AD229">
        <f>Scenario_Data!W229</f>
        <v>713.59999999999991</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5341.9168698157728</v>
      </c>
      <c r="AG229">
        <f>Scenario_Data!T229</f>
        <v>53.519999999999996</v>
      </c>
      <c r="AH229">
        <f>2*(SQRT((Inputs!$C$52+(Scenario_Data!B229))^2+Inputs!$C$52^2-2*(Inputs!$C$52+(Scenario_Data!B229))*Inputs!$C$52*COS(SQRT((Scenario_Data!T229)^2+Inputs!$C$6^2)/Inputs!$C$52))*1000)/Inputs!$C$21*1000000</f>
        <v>2725.8248245109639</v>
      </c>
      <c r="AI229">
        <f>Scenario_Data!U229</f>
        <v>356.79999999999995</v>
      </c>
      <c r="AJ229">
        <f>2*(SQRT((Inputs!$C$52+(Scenario_Data!C229))^2+Inputs!$C$52^2-2*(Inputs!$C$52+(Scenario_Data!C229))*Inputs!$C$52*COS(SQRT((Scenario_Data!U229)^2+Inputs!$C$6^2)/Inputs!$C$52))*1000)/Inputs!$C$21*1000000</f>
        <v>3400.5558883978983</v>
      </c>
      <c r="AK229">
        <f>Scenario_Data!V229</f>
        <v>713.59999999999991</v>
      </c>
      <c r="AL229">
        <f>2*(SQRT((Inputs!$C$52+(Scenario_Data!D229))^2+Inputs!$C$52^2-2*(Inputs!$C$52+(Scenario_Data!D229))*Inputs!$C$52*COS(SQRT((Scenario_Data!V229)^2+Inputs!$C$6^2)/Inputs!$C$52))*1000)/Inputs!$C$21*1000000</f>
        <v>7902.6902595707261</v>
      </c>
      <c r="AM229">
        <f>Scenario_Data!W229</f>
        <v>713.59999999999991</v>
      </c>
      <c r="AN229">
        <f>2*(SQRT((Inputs!$C$52+(Scenario_Data!E229))^2+Inputs!$C$52^2-2*(Inputs!$C$52+(Scenario_Data!E229))*Inputs!$C$52*COS(SQRT((Scenario_Data!W229)^2+Inputs!$C$6^2)/Inputs!$C$52))*1000)/Inputs!$C$21*1000000</f>
        <v>7891.6086886825724</v>
      </c>
      <c r="AP229">
        <f>Scenario_Data!T229</f>
        <v>53.519999999999996</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2724.6194788259563</v>
      </c>
      <c r="AR229">
        <f>Scenario_Data!U229</f>
        <v>356.79999999999995</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3400.2165495983063</v>
      </c>
      <c r="AT229">
        <f>Scenario_Data!V229</f>
        <v>713.59999999999991</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7902.2341100275926</v>
      </c>
      <c r="AV229">
        <f>Scenario_Data!W229</f>
        <v>713.59999999999991</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7891.1533948112265</v>
      </c>
    </row>
    <row r="230" spans="1:49">
      <c r="A230">
        <f>Chart_Data!K230</f>
        <v>54</v>
      </c>
      <c r="B230">
        <f>Chart_Data!N230-Chart_Data!L230</f>
        <v>4.7804079838427356</v>
      </c>
      <c r="D230">
        <f>Chart_Data!G230</f>
        <v>54</v>
      </c>
      <c r="E230">
        <f>Chart_Data!H230</f>
        <v>181.54184215615243</v>
      </c>
      <c r="F230">
        <f>Chart_Data!I230</f>
        <v>181.54184215615243</v>
      </c>
      <c r="G230">
        <f>Chart_Data!J230</f>
        <v>-7.8528378251423838</v>
      </c>
      <c r="I230">
        <f>Scenario_Data!A230</f>
        <v>0.9</v>
      </c>
      <c r="J230">
        <f>Scenario_Data!H230-(((SQRT((Inputs!$C$52+(Inputs!$H$6))^2+Inputs!$C$52^2-2*(Inputs!$C$52+(Inputs!$H$6))*Inputs!$C$52*COS(SQRT((Scenario_Data!T230)^2+Inputs!$C$6^2)/Inputs!$C$52)))-(Inputs!$H$6))*1000/Inputs!$C$12)</f>
        <v>-19.538907124212074</v>
      </c>
      <c r="K230">
        <f>Scenario_Data!I230-(((SQRT((Inputs!$C$52+(Inputs!$H$7))^2+Inputs!$C$52^2-2*(Inputs!$C$52+(Inputs!$H$7))*Inputs!$C$52*COS(SQRT((Scenario_Data!U230)^2+Inputs!$C$6^2)/Inputs!$C$52)))-(Inputs!$H$7))*1000/Inputs!$C$12)</f>
        <v>-81588.949134183073</v>
      </c>
      <c r="L230">
        <f>Scenario_Data!J230-(((SQRT((Inputs!$C$52+(Inputs!$H$8))^2+Inputs!$C$52^2-2*(Inputs!$C$52+(Inputs!$H$8))*Inputs!$C$52*COS(SQRT((Scenario_Data!V230)^2+Inputs!$C$6^2)/Inputs!$C$52)))-(Inputs!$H$8))*1000/Inputs!$C$12)</f>
        <v>-170240.22471774745</v>
      </c>
      <c r="M230">
        <f>Scenario_Data!K230-(((SQRT((Inputs!$C$52+(Inputs!$H$9))^2+Inputs!$C$52^2-2*(Inputs!$C$52+(Inputs!$H$9))*Inputs!$C$52*COS(SQRT((Scenario_Data!W230)^2+Inputs!$C$6^2)/Inputs!$C$52)))-(Inputs!$H$9))*1000/Inputs!$C$12)</f>
        <v>-174155.75991096892</v>
      </c>
      <c r="O230">
        <f>Scenario_Data!T230</f>
        <v>54</v>
      </c>
      <c r="P230">
        <f>2*(Scenario_Data!B230*1000)/Inputs!$C$21*1000000</f>
        <v>2690.1277149540565</v>
      </c>
      <c r="Q230">
        <f>Scenario_Data!U230</f>
        <v>360</v>
      </c>
      <c r="R230">
        <f>2*(Scenario_Data!C230*1000)/Inputs!$C$21*1000000</f>
        <v>2205.8593615453797</v>
      </c>
      <c r="S230">
        <f>Scenario_Data!V230</f>
        <v>720</v>
      </c>
      <c r="T230">
        <f>2*(Scenario_Data!D230*1000)/Inputs!$C$21*1000000</f>
        <v>5448.1023668714188</v>
      </c>
      <c r="U230">
        <f>Scenario_Data!W230</f>
        <v>720</v>
      </c>
      <c r="V230">
        <f>2*(Scenario_Data!E230*1000)/Inputs!$C$21*1000000</f>
        <v>5435.4269312538872</v>
      </c>
      <c r="X230">
        <f>Scenario_Data!T230</f>
        <v>54</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2690.180103448934</v>
      </c>
      <c r="Z230">
        <f>Scenario_Data!U230</f>
        <v>360</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2205.507336392368</v>
      </c>
      <c r="AB230">
        <f>Scenario_Data!V230</f>
        <v>720</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5447.708509483361</v>
      </c>
      <c r="AD230">
        <f>Scenario_Data!W230</f>
        <v>720</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5435.0330738658304</v>
      </c>
      <c r="AG230">
        <f>Scenario_Data!T230</f>
        <v>54</v>
      </c>
      <c r="AH230">
        <f>2*(SQRT((Inputs!$C$52+(Scenario_Data!B230))^2+Inputs!$C$52^2-2*(Inputs!$C$52+(Scenario_Data!B230))*Inputs!$C$52*COS(SQRT((Scenario_Data!T230)^2+Inputs!$C$6^2)/Inputs!$C$52))*1000)/Inputs!$C$21*1000000</f>
        <v>2726.7332943721008</v>
      </c>
      <c r="AI230">
        <f>Scenario_Data!U230</f>
        <v>360</v>
      </c>
      <c r="AJ230">
        <f>2*(SQRT((Inputs!$C$52+(Scenario_Data!C230))^2+Inputs!$C$52^2-2*(Inputs!$C$52+(Scenario_Data!C230))*Inputs!$C$52*COS(SQRT((Scenario_Data!U230)^2+Inputs!$C$6^2)/Inputs!$C$52))*1000)/Inputs!$C$21*1000000</f>
        <v>3443.5731304663896</v>
      </c>
      <c r="AK230">
        <f>Scenario_Data!V230</f>
        <v>720</v>
      </c>
      <c r="AL230">
        <f>2*(SQRT((Inputs!$C$52+(Scenario_Data!D230))^2+Inputs!$C$52^2-2*(Inputs!$C$52+(Scenario_Data!D230))*Inputs!$C$52*COS(SQRT((Scenario_Data!V230)^2+Inputs!$C$6^2)/Inputs!$C$52))*1000)/Inputs!$C$21*1000000</f>
        <v>8015.4607514084237</v>
      </c>
      <c r="AM230">
        <f>Scenario_Data!W230</f>
        <v>720</v>
      </c>
      <c r="AN230">
        <f>2*(SQRT((Inputs!$C$52+(Scenario_Data!E230))^2+Inputs!$C$52^2-2*(Inputs!$C$52+(Scenario_Data!E230))*Inputs!$C$52*COS(SQRT((Scenario_Data!W230)^2+Inputs!$C$6^2)/Inputs!$C$52))*1000)/Inputs!$C$21*1000000</f>
        <v>8005.1254484618212</v>
      </c>
      <c r="AP230">
        <f>Scenario_Data!T230</f>
        <v>54</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2725.5426746113139</v>
      </c>
      <c r="AR230">
        <f>Scenario_Data!U230</f>
        <v>360</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3443.0391736592751</v>
      </c>
      <c r="AT230">
        <f>Scenario_Data!V230</f>
        <v>720</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8014.9694328813939</v>
      </c>
      <c r="AV230">
        <f>Scenario_Data!W230</f>
        <v>720</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8004.6349696018278</v>
      </c>
    </row>
    <row r="231" spans="1:49">
      <c r="A231">
        <f>Chart_Data!K231</f>
        <v>54.5</v>
      </c>
      <c r="B231">
        <f>Chart_Data!N231-Chart_Data!L231</f>
        <v>7.8515926394764506</v>
      </c>
      <c r="D231">
        <f>Chart_Data!G231</f>
        <v>54.5</v>
      </c>
      <c r="E231">
        <f>Chart_Data!H231</f>
        <v>176.67952286622949</v>
      </c>
      <c r="F231">
        <f>Chart_Data!I231</f>
        <v>176.67952286622949</v>
      </c>
      <c r="G231">
        <f>Chart_Data!J231</f>
        <v>-10.88592803052483</v>
      </c>
      <c r="I231">
        <f>Scenario_Data!A231</f>
        <v>0.90800000000000003</v>
      </c>
      <c r="J231">
        <f>Scenario_Data!H231-(((SQRT((Inputs!$C$52+(Inputs!$H$6))^2+Inputs!$C$52^2-2*(Inputs!$C$52+(Inputs!$H$6))*Inputs!$C$52*COS(SQRT((Scenario_Data!T231)^2+Inputs!$C$6^2)/Inputs!$C$52)))-(Inputs!$H$6))*1000/Inputs!$C$12)</f>
        <v>-20.170875551412792</v>
      </c>
      <c r="K231">
        <f>Scenario_Data!I231-(((SQRT((Inputs!$C$52+(Inputs!$H$7))^2+Inputs!$C$52^2-2*(Inputs!$C$52+(Inputs!$H$7))*Inputs!$C$52*COS(SQRT((Scenario_Data!U231)^2+Inputs!$C$6^2)/Inputs!$C$52)))-(Inputs!$H$7))*1000/Inputs!$C$12)</f>
        <v>-82700.459556477144</v>
      </c>
      <c r="L231">
        <f>Scenario_Data!J231-(((SQRT((Inputs!$C$52+(Inputs!$H$8))^2+Inputs!$C$52^2-2*(Inputs!$C$52+(Inputs!$H$8))*Inputs!$C$52*COS(SQRT((Scenario_Data!V231)^2+Inputs!$C$6^2)/Inputs!$C$52)))-(Inputs!$H$8))*1000/Inputs!$C$12)</f>
        <v>-172041.86803726552</v>
      </c>
      <c r="M231">
        <f>Scenario_Data!K231-(((SQRT((Inputs!$C$52+(Inputs!$H$9))^2+Inputs!$C$52^2-2*(Inputs!$C$52+(Inputs!$H$9))*Inputs!$C$52*COS(SQRT((Scenario_Data!W231)^2+Inputs!$C$6^2)/Inputs!$C$52)))-(Inputs!$H$9))*1000/Inputs!$C$12)</f>
        <v>-175965.70357183574</v>
      </c>
      <c r="O231">
        <f>Scenario_Data!T231</f>
        <v>54.47999999999999</v>
      </c>
      <c r="P231">
        <f>2*(Scenario_Data!B231*1000)/Inputs!$C$21*1000000</f>
        <v>2690.5136886398923</v>
      </c>
      <c r="Q231">
        <f>Scenario_Data!U231</f>
        <v>363.19999999999993</v>
      </c>
      <c r="R231">
        <f>2*(Scenario_Data!C231*1000)/Inputs!$C$21*1000000</f>
        <v>2241.079460377885</v>
      </c>
      <c r="S231">
        <f>Scenario_Data!V231</f>
        <v>726.39999999999986</v>
      </c>
      <c r="T231">
        <f>2*(Scenario_Data!D231*1000)/Inputs!$C$21*1000000</f>
        <v>5541.218518579275</v>
      </c>
      <c r="U231">
        <f>Scenario_Data!W231</f>
        <v>726.39999999999986</v>
      </c>
      <c r="V231">
        <f>2*(Scenario_Data!E231*1000)/Inputs!$C$21*1000000</f>
        <v>5529.5080171763339</v>
      </c>
      <c r="X231">
        <f>Scenario_Data!T231</f>
        <v>54.47999999999999</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2690.4336269311352</v>
      </c>
      <c r="Z231">
        <f>Scenario_Data!U231</f>
        <v>363.19999999999993</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2240.2514311454929</v>
      </c>
      <c r="AB231">
        <f>Scenario_Data!V231</f>
        <v>726.39999999999986</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5540.6835798491593</v>
      </c>
      <c r="AD231">
        <f>Scenario_Data!W231</f>
        <v>726.39999999999986</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5528.973078446219</v>
      </c>
      <c r="AG231">
        <f>Scenario_Data!T231</f>
        <v>54.47999999999999</v>
      </c>
      <c r="AH231">
        <f>2*(SQRT((Inputs!$C$52+(Scenario_Data!B231))^2+Inputs!$C$52^2-2*(Inputs!$C$52+(Scenario_Data!B231))*Inputs!$C$52*COS(SQRT((Scenario_Data!T231)^2+Inputs!$C$6^2)/Inputs!$C$52))*1000)/Inputs!$C$21*1000000</f>
        <v>2727.6496527585241</v>
      </c>
      <c r="AI231">
        <f>Scenario_Data!U231</f>
        <v>363.19999999999993</v>
      </c>
      <c r="AJ231">
        <f>2*(SQRT((Inputs!$C$52+(Scenario_Data!C231))^2+Inputs!$C$52^2-2*(Inputs!$C$52+(Scenario_Data!C231))*Inputs!$C$52*COS(SQRT((Scenario_Data!U231)^2+Inputs!$C$6^2)/Inputs!$C$52))*1000)/Inputs!$C$21*1000000</f>
        <v>3486.8865852502836</v>
      </c>
      <c r="AK231">
        <f>Scenario_Data!V231</f>
        <v>726.39999999999986</v>
      </c>
      <c r="AL231">
        <f>2*(SQRT((Inputs!$C$52+(Scenario_Data!D231))^2+Inputs!$C$52^2-2*(Inputs!$C$52+(Scenario_Data!D231))*Inputs!$C$52*COS(SQRT((Scenario_Data!V231)^2+Inputs!$C$6^2)/Inputs!$C$52))*1000)/Inputs!$C$21*1000000</f>
        <v>8129.1261442908699</v>
      </c>
      <c r="AM231">
        <f>Scenario_Data!W231</f>
        <v>726.39999999999986</v>
      </c>
      <c r="AN231">
        <f>2*(SQRT((Inputs!$C$52+(Scenario_Data!E231))^2+Inputs!$C$52^2-2*(Inputs!$C$52+(Scenario_Data!E231))*Inputs!$C$52*COS(SQRT((Scenario_Data!W231)^2+Inputs!$C$6^2)/Inputs!$C$52))*1000)/Inputs!$C$21*1000000</f>
        <v>8119.5492469653946</v>
      </c>
      <c r="AP231">
        <f>Scenario_Data!T231</f>
        <v>54.47999999999999</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2726.4905339389343</v>
      </c>
      <c r="AR231">
        <f>Scenario_Data!U231</f>
        <v>363.19999999999993</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3486.1231127043511</v>
      </c>
      <c r="AT231">
        <f>Scenario_Data!V231</f>
        <v>726.39999999999986</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8128.406130195016</v>
      </c>
      <c r="AV231">
        <f>Scenario_Data!W231</f>
        <v>726.39999999999986</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8118.8303470518795</v>
      </c>
    </row>
    <row r="232" spans="1:49">
      <c r="A232">
        <f>Chart_Data!K232</f>
        <v>55</v>
      </c>
      <c r="B232">
        <f>Chart_Data!N232-Chart_Data!L232</f>
        <v>-0.54596068686731769</v>
      </c>
      <c r="D232">
        <f>Chart_Data!G232</f>
        <v>55</v>
      </c>
      <c r="E232">
        <f>Chart_Data!H232</f>
        <v>188.50605986382979</v>
      </c>
      <c r="F232">
        <f>Chart_Data!I232</f>
        <v>188.50605986382979</v>
      </c>
      <c r="G232">
        <f>Chart_Data!J232</f>
        <v>-2.7391578251359494</v>
      </c>
      <c r="I232">
        <f>Scenario_Data!A232</f>
        <v>0.91700000000000004</v>
      </c>
      <c r="J232">
        <f>Scenario_Data!H232-(((SQRT((Inputs!$C$52+(Inputs!$H$6))^2+Inputs!$C$52^2-2*(Inputs!$C$52+(Inputs!$H$6))*Inputs!$C$52*COS(SQRT((Scenario_Data!T232)^2+Inputs!$C$6^2)/Inputs!$C$52)))-(Inputs!$H$6))*1000/Inputs!$C$12)</f>
        <v>-20.900242486699881</v>
      </c>
      <c r="K232">
        <f>Scenario_Data!I232-(((SQRT((Inputs!$C$52+(Inputs!$H$7))^2+Inputs!$C$52^2-2*(Inputs!$C$52+(Inputs!$H$7))*Inputs!$C$52*COS(SQRT((Scenario_Data!U232)^2+Inputs!$C$6^2)/Inputs!$C$52)))-(Inputs!$H$7))*1000/Inputs!$C$12)</f>
        <v>-83952.369247370851</v>
      </c>
      <c r="L232">
        <f>Scenario_Data!J232-(((SQRT((Inputs!$C$52+(Inputs!$H$8))^2+Inputs!$C$52^2-2*(Inputs!$C$52+(Inputs!$H$8))*Inputs!$C$52*COS(SQRT((Scenario_Data!V232)^2+Inputs!$C$6^2)/Inputs!$C$52)))-(Inputs!$H$8))*1000/Inputs!$C$12)</f>
        <v>-174059.52189979836</v>
      </c>
      <c r="M232">
        <f>Scenario_Data!K232-(((SQRT((Inputs!$C$52+(Inputs!$H$9))^2+Inputs!$C$52^2-2*(Inputs!$C$52+(Inputs!$H$9))*Inputs!$C$52*COS(SQRT((Scenario_Data!W232)^2+Inputs!$C$6^2)/Inputs!$C$52)))-(Inputs!$H$9))*1000/Inputs!$C$12)</f>
        <v>-177992.30309147591</v>
      </c>
      <c r="O232">
        <f>Scenario_Data!T232</f>
        <v>55.019999999999996</v>
      </c>
      <c r="P232">
        <f>2*(Scenario_Data!B232*1000)/Inputs!$C$21*1000000</f>
        <v>2690.9519918609831</v>
      </c>
      <c r="Q232">
        <f>Scenario_Data!U232</f>
        <v>366.80000000000007</v>
      </c>
      <c r="R232">
        <f>2*(Scenario_Data!C232*1000)/Inputs!$C$21*1000000</f>
        <v>2281.0746293023826</v>
      </c>
      <c r="S232">
        <f>Scenario_Data!V232</f>
        <v>733.60000000000014</v>
      </c>
      <c r="T232">
        <f>2*(Scenario_Data!D232*1000)/Inputs!$C$21*1000000</f>
        <v>5646.95917066733</v>
      </c>
      <c r="U232">
        <f>Scenario_Data!W232</f>
        <v>733.60000000000014</v>
      </c>
      <c r="V232">
        <f>2*(Scenario_Data!E232*1000)/Inputs!$C$21*1000000</f>
        <v>5636.3444273171153</v>
      </c>
      <c r="X232">
        <f>Scenario_Data!T232</f>
        <v>55.019999999999996</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2690.9276507302575</v>
      </c>
      <c r="Z232">
        <f>Scenario_Data!U232</f>
        <v>366.80000000000007</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2280.4144483255877</v>
      </c>
      <c r="AB232">
        <f>Scenario_Data!V232</f>
        <v>733.60000000000014</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5646.9615366363732</v>
      </c>
      <c r="AD232">
        <f>Scenario_Data!W232</f>
        <v>733.60000000000014</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5636.3467932861586</v>
      </c>
      <c r="AG232">
        <f>Scenario_Data!T232</f>
        <v>55.019999999999996</v>
      </c>
      <c r="AH232">
        <f>2*(SQRT((Inputs!$C$52+(Scenario_Data!B232))^2+Inputs!$C$52^2-2*(Inputs!$C$52+(Scenario_Data!B232))*Inputs!$C$52*COS(SQRT((Scenario_Data!T232)^2+Inputs!$C$6^2)/Inputs!$C$52))*1000)/Inputs!$C$21*1000000</f>
        <v>2728.6899780807412</v>
      </c>
      <c r="AI232">
        <f>Scenario_Data!U232</f>
        <v>366.80000000000007</v>
      </c>
      <c r="AJ232">
        <f>2*(SQRT((Inputs!$C$52+(Scenario_Data!C232))^2+Inputs!$C$52^2-2*(Inputs!$C$52+(Scenario_Data!C232))*Inputs!$C$52*COS(SQRT((Scenario_Data!U232)^2+Inputs!$C$6^2)/Inputs!$C$52))*1000)/Inputs!$C$21*1000000</f>
        <v>3535.9694398561164</v>
      </c>
      <c r="AK232">
        <f>Scenario_Data!V232</f>
        <v>733.60000000000014</v>
      </c>
      <c r="AL232">
        <f>2*(SQRT((Inputs!$C$52+(Scenario_Data!D232))^2+Inputs!$C$52^2-2*(Inputs!$C$52+(Scenario_Data!D232))*Inputs!$C$52*COS(SQRT((Scenario_Data!V232)^2+Inputs!$C$6^2)/Inputs!$C$52))*1000)/Inputs!$C$21*1000000</f>
        <v>8258.0710351577345</v>
      </c>
      <c r="AM232">
        <f>Scenario_Data!W232</f>
        <v>733.60000000000014</v>
      </c>
      <c r="AN232">
        <f>2*(SQRT((Inputs!$C$52+(Scenario_Data!E232))^2+Inputs!$C$52^2-2*(Inputs!$C$52+(Scenario_Data!E232))*Inputs!$C$52*COS(SQRT((Scenario_Data!W232)^2+Inputs!$C$6^2)/Inputs!$C$52))*1000)/Inputs!$C$21*1000000</f>
        <v>8249.3617845544723</v>
      </c>
      <c r="AP232">
        <f>Scenario_Data!T232</f>
        <v>55.019999999999996</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2727.3660689754033</v>
      </c>
      <c r="AR232">
        <f>Scenario_Data!U232</f>
        <v>366.80000000000007</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3535.2172163611772</v>
      </c>
      <c r="AT232">
        <f>Scenario_Data!V232</f>
        <v>733.60000000000014</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8257.7629002644753</v>
      </c>
      <c r="AV232">
        <f>Scenario_Data!W232</f>
        <v>733.60000000000014</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8249.0540721429843</v>
      </c>
    </row>
    <row r="233" spans="1:49">
      <c r="A233">
        <f>Chart_Data!K233</f>
        <v>55.5</v>
      </c>
      <c r="B233">
        <f>Chart_Data!N233-Chart_Data!L233</f>
        <v>3.3103320554038476</v>
      </c>
      <c r="D233">
        <f>Chart_Data!G233</f>
        <v>55.5</v>
      </c>
      <c r="E233">
        <f>Chart_Data!H233</f>
        <v>182.552269274569</v>
      </c>
      <c r="F233">
        <f>Chart_Data!I233</f>
        <v>182.552269274569</v>
      </c>
      <c r="G233">
        <f>Chart_Data!J233</f>
        <v>-6.5380942800848239</v>
      </c>
      <c r="I233">
        <f>Scenario_Data!A233</f>
        <v>0.92500000000000004</v>
      </c>
      <c r="J233">
        <f>Scenario_Data!H233-(((SQRT((Inputs!$C$52+(Inputs!$H$6))^2+Inputs!$C$52^2-2*(Inputs!$C$52+(Inputs!$H$6))*Inputs!$C$52*COS(SQRT((Scenario_Data!T233)^2+Inputs!$C$6^2)/Inputs!$C$52)))-(Inputs!$H$6))*1000/Inputs!$C$12)</f>
        <v>-21.565197447271657</v>
      </c>
      <c r="K233">
        <f>Scenario_Data!I233-(((SQRT((Inputs!$C$52+(Inputs!$H$7))^2+Inputs!$C$52^2-2*(Inputs!$C$52+(Inputs!$H$7))*Inputs!$C$52*COS(SQRT((Scenario_Data!U233)^2+Inputs!$C$6^2)/Inputs!$C$52)))-(Inputs!$H$7))*1000/Inputs!$C$12)</f>
        <v>-85066.383249791965</v>
      </c>
      <c r="L233">
        <f>Scenario_Data!J233-(((SQRT((Inputs!$C$52+(Inputs!$H$8))^2+Inputs!$C$52^2-2*(Inputs!$C$52+(Inputs!$H$8))*Inputs!$C$52*COS(SQRT((Scenario_Data!V233)^2+Inputs!$C$6^2)/Inputs!$C$52)))-(Inputs!$H$8))*1000/Inputs!$C$12)</f>
        <v>-175844.68076899392</v>
      </c>
      <c r="M233">
        <f>Scenario_Data!K233-(((SQRT((Inputs!$C$52+(Inputs!$H$9))^2+Inputs!$C$52^2-2*(Inputs!$C$52+(Inputs!$H$9))*Inputs!$C$52*COS(SQRT((Scenario_Data!W233)^2+Inputs!$C$6^2)/Inputs!$C$52)))-(Inputs!$H$9))*1000/Inputs!$C$12)</f>
        <v>-179785.07110087413</v>
      </c>
      <c r="O233">
        <f>Scenario_Data!T233</f>
        <v>55.5</v>
      </c>
      <c r="P233">
        <f>2*(Scenario_Data!B233*1000)/Inputs!$C$21*1000000</f>
        <v>2691.3452239015301</v>
      </c>
      <c r="Q233">
        <f>Scenario_Data!U233</f>
        <v>370</v>
      </c>
      <c r="R233">
        <f>2*(Scenario_Data!C233*1000)/Inputs!$C$21*1000000</f>
        <v>2316.9570530023138</v>
      </c>
      <c r="S233">
        <f>Scenario_Data!V233</f>
        <v>740</v>
      </c>
      <c r="T233">
        <f>2*(Scenario_Data!D233*1000)/Inputs!$C$21*1000000</f>
        <v>5741.8264004493403</v>
      </c>
      <c r="U233">
        <f>Scenario_Data!W233</f>
        <v>740</v>
      </c>
      <c r="V233">
        <f>2*(Scenario_Data!E233*1000)/Inputs!$C$21*1000000</f>
        <v>5732.1947372004943</v>
      </c>
      <c r="X233">
        <f>Scenario_Data!T233</f>
        <v>55.5</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2691.3888413715872</v>
      </c>
      <c r="Z233">
        <f>Scenario_Data!U233</f>
        <v>370</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2316.8487948622892</v>
      </c>
      <c r="AB233">
        <f>Scenario_Data!V233</f>
        <v>740</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5741.5267452040116</v>
      </c>
      <c r="AD233">
        <f>Scenario_Data!W233</f>
        <v>740</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5731.8950819551656</v>
      </c>
      <c r="AG233">
        <f>Scenario_Data!T233</f>
        <v>55.5</v>
      </c>
      <c r="AH233">
        <f>2*(SQRT((Inputs!$C$52+(Scenario_Data!B233))^2+Inputs!$C$52^2-2*(Inputs!$C$52+(Scenario_Data!B233))*Inputs!$C$52*COS(SQRT((Scenario_Data!T233)^2+Inputs!$C$6^2)/Inputs!$C$52))*1000)/Inputs!$C$21*1000000</f>
        <v>2729.6230805624396</v>
      </c>
      <c r="AI233">
        <f>Scenario_Data!U233</f>
        <v>370</v>
      </c>
      <c r="AJ233">
        <f>2*(SQRT((Inputs!$C$52+(Scenario_Data!C233))^2+Inputs!$C$52^2-2*(Inputs!$C$52+(Scenario_Data!C233))*Inputs!$C$52*COS(SQRT((Scenario_Data!U233)^2+Inputs!$C$6^2)/Inputs!$C$52))*1000)/Inputs!$C$21*1000000</f>
        <v>3579.915397473851</v>
      </c>
      <c r="AK233">
        <f>Scenario_Data!V233</f>
        <v>740</v>
      </c>
      <c r="AL233">
        <f>2*(SQRT((Inputs!$C$52+(Scenario_Data!D233))^2+Inputs!$C$52^2-2*(Inputs!$C$52+(Scenario_Data!D233))*Inputs!$C$52*COS(SQRT((Scenario_Data!V233)^2+Inputs!$C$6^2)/Inputs!$C$52))*1000)/Inputs!$C$21*1000000</f>
        <v>8373.6424099258602</v>
      </c>
      <c r="AM233">
        <f>Scenario_Data!W233</f>
        <v>740</v>
      </c>
      <c r="AN233">
        <f>2*(SQRT((Inputs!$C$52+(Scenario_Data!E233))^2+Inputs!$C$52^2-2*(Inputs!$C$52+(Scenario_Data!E233))*Inputs!$C$52*COS(SQRT((Scenario_Data!W233)^2+Inputs!$C$6^2)/Inputs!$C$52))*1000)/Inputs!$C$21*1000000</f>
        <v>8365.7171770078276</v>
      </c>
      <c r="AP233">
        <f>Scenario_Data!T233</f>
        <v>55.5</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2728.4267562236205</v>
      </c>
      <c r="AR233">
        <f>Scenario_Data!U233</f>
        <v>370</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3579.3846173845591</v>
      </c>
      <c r="AT233">
        <f>Scenario_Data!V233</f>
        <v>740</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8373.1377315914651</v>
      </c>
      <c r="AV233">
        <f>Scenario_Data!W233</f>
        <v>740</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8365.2131142691615</v>
      </c>
    </row>
    <row r="234" spans="1:49">
      <c r="A234">
        <f>Chart_Data!K234</f>
        <v>56</v>
      </c>
      <c r="B234">
        <f>Chart_Data!N234-Chart_Data!L234</f>
        <v>1.0046162126672868</v>
      </c>
      <c r="D234">
        <f>Chart_Data!G234</f>
        <v>56</v>
      </c>
      <c r="E234">
        <f>Chart_Data!H234</f>
        <v>186.90390563134164</v>
      </c>
      <c r="F234">
        <f>Chart_Data!I234</f>
        <v>186.90390563134164</v>
      </c>
      <c r="G234">
        <f>Chart_Data!J234</f>
        <v>-4.3572901776696842</v>
      </c>
      <c r="I234">
        <f>Scenario_Data!A234</f>
        <v>0.93300000000000005</v>
      </c>
      <c r="J234">
        <f>Scenario_Data!H234-(((SQRT((Inputs!$C$52+(Inputs!$H$6))^2+Inputs!$C$52^2-2*(Inputs!$C$52+(Inputs!$H$6))*Inputs!$C$52*COS(SQRT((Scenario_Data!T234)^2+Inputs!$C$6^2)/Inputs!$C$52)))-(Inputs!$H$6))*1000/Inputs!$C$12)</f>
        <v>-22.246059825895372</v>
      </c>
      <c r="K234">
        <f>Scenario_Data!I234-(((SQRT((Inputs!$C$52+(Inputs!$H$7))^2+Inputs!$C$52^2-2*(Inputs!$C$52+(Inputs!$H$7))*Inputs!$C$52*COS(SQRT((Scenario_Data!U234)^2+Inputs!$C$6^2)/Inputs!$C$52)))-(Inputs!$H$7))*1000/Inputs!$C$12)</f>
        <v>-86181.446082973955</v>
      </c>
      <c r="L234">
        <f>Scenario_Data!J234-(((SQRT((Inputs!$C$52+(Inputs!$H$8))^2+Inputs!$C$52^2-2*(Inputs!$C$52+(Inputs!$H$8))*Inputs!$C$52*COS(SQRT((Scenario_Data!V234)^2+Inputs!$C$6^2)/Inputs!$C$52)))-(Inputs!$H$8))*1000/Inputs!$C$12)</f>
        <v>-177621.89133436125</v>
      </c>
      <c r="M234">
        <f>Scenario_Data!K234-(((SQRT((Inputs!$C$52+(Inputs!$H$9))^2+Inputs!$C$52^2-2*(Inputs!$C$52+(Inputs!$H$9))*Inputs!$C$52*COS(SQRT((Scenario_Data!W234)^2+Inputs!$C$6^2)/Inputs!$C$52)))-(Inputs!$H$9))*1000/Inputs!$C$12)</f>
        <v>-181569.57405040326</v>
      </c>
      <c r="O234">
        <f>Scenario_Data!T234</f>
        <v>55.980000000000004</v>
      </c>
      <c r="P234">
        <f>2*(Scenario_Data!B234*1000)/Inputs!$C$21*1000000</f>
        <v>2691.7418716384122</v>
      </c>
      <c r="Q234">
        <f>Scenario_Data!U234</f>
        <v>373.20000000000005</v>
      </c>
      <c r="R234">
        <f>2*(Scenario_Data!C234*1000)/Inputs!$C$21*1000000</f>
        <v>2353.1511589928</v>
      </c>
      <c r="S234">
        <f>Scenario_Data!V234</f>
        <v>746.40000000000009</v>
      </c>
      <c r="T234">
        <f>2*(Scenario_Data!D234*1000)/Inputs!$C$21*1000000</f>
        <v>5837.5176669721304</v>
      </c>
      <c r="U234">
        <f>Scenario_Data!W234</f>
        <v>746.40000000000009</v>
      </c>
      <c r="V234">
        <f>2*(Scenario_Data!E234*1000)/Inputs!$C$21*1000000</f>
        <v>5828.8776230654903</v>
      </c>
      <c r="X234">
        <f>Scenario_Data!T234</f>
        <v>55.980000000000004</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2691.6986261121306</v>
      </c>
      <c r="Z234">
        <f>Scenario_Data!U234</f>
        <v>373.20000000000005</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2352.98151407561</v>
      </c>
      <c r="AB234">
        <f>Scenario_Data!V234</f>
        <v>746.40000000000009</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5837.5354061440466</v>
      </c>
      <c r="AD234">
        <f>Scenario_Data!W234</f>
        <v>746.40000000000009</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5828.8953622374065</v>
      </c>
      <c r="AG234">
        <f>Scenario_Data!T234</f>
        <v>55.980000000000004</v>
      </c>
      <c r="AH234">
        <f>2*(SQRT((Inputs!$C$52+(Scenario_Data!B234))^2+Inputs!$C$52^2-2*(Inputs!$C$52+(Scenario_Data!B234))*Inputs!$C$52*COS(SQRT((Scenario_Data!T234)^2+Inputs!$C$6^2)/Inputs!$C$52))*1000)/Inputs!$C$21*1000000</f>
        <v>2730.5640535799016</v>
      </c>
      <c r="AI234">
        <f>Scenario_Data!U234</f>
        <v>373.20000000000005</v>
      </c>
      <c r="AJ234">
        <f>2*(SQRT((Inputs!$C$52+(Scenario_Data!C234))^2+Inputs!$C$52^2-2*(Inputs!$C$52+(Scenario_Data!C234))*Inputs!$C$52*COS(SQRT((Scenario_Data!U234)^2+Inputs!$C$6^2)/Inputs!$C$52))*1000)/Inputs!$C$21*1000000</f>
        <v>3624.1604034921179</v>
      </c>
      <c r="AK234">
        <f>Scenario_Data!V234</f>
        <v>746.40000000000009</v>
      </c>
      <c r="AL234">
        <f>2*(SQRT((Inputs!$C$52+(Scenario_Data!D234))^2+Inputs!$C$52^2-2*(Inputs!$C$52+(Scenario_Data!D234))*Inputs!$C$52*COS(SQRT((Scenario_Data!V234)^2+Inputs!$C$6^2)/Inputs!$C$52))*1000)/Inputs!$C$21*1000000</f>
        <v>8490.1126571758014</v>
      </c>
      <c r="AM234">
        <f>Scenario_Data!W234</f>
        <v>746.40000000000009</v>
      </c>
      <c r="AN234">
        <f>2*(SQRT((Inputs!$C$52+(Scenario_Data!E234))^2+Inputs!$C$52^2-2*(Inputs!$C$52+(Scenario_Data!E234))*Inputs!$C$52*COS(SQRT((Scenario_Data!W234)^2+Inputs!$C$6^2)/Inputs!$C$52))*1000)/Inputs!$C$21*1000000</f>
        <v>8482.9834109222265</v>
      </c>
      <c r="AP234">
        <f>Scenario_Data!T234</f>
        <v>55.980000000000004</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2729.3458026865251</v>
      </c>
      <c r="AR234">
        <f>Scenario_Data!U234</f>
        <v>373.20000000000005</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3623.8013398415765</v>
      </c>
      <c r="AT234">
        <f>Scenario_Data!V234</f>
        <v>746.40000000000009</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8489.6063171329315</v>
      </c>
      <c r="AV234">
        <f>Scenario_Data!W234</f>
        <v>746.40000000000009</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8482.4776141264228</v>
      </c>
    </row>
    <row r="235" spans="1:49">
      <c r="A235">
        <f>Chart_Data!K235</f>
        <v>56.5</v>
      </c>
      <c r="B235">
        <f>Chart_Data!N235-Chart_Data!L235</f>
        <v>-25.174071050032467</v>
      </c>
      <c r="D235">
        <f>Chart_Data!G235</f>
        <v>56.5</v>
      </c>
      <c r="E235">
        <f>Chart_Data!H235</f>
        <v>190.07062484954076</v>
      </c>
      <c r="F235">
        <f>Chart_Data!I235</f>
        <v>190.07062484954076</v>
      </c>
      <c r="G235">
        <f>Chart_Data!J235</f>
        <v>21.715435034758002</v>
      </c>
      <c r="I235">
        <f>Scenario_Data!A235</f>
        <v>0.94199999999999995</v>
      </c>
      <c r="J235">
        <f>Scenario_Data!H235-(((SQRT((Inputs!$C$52+(Inputs!$H$6))^2+Inputs!$C$52^2-2*(Inputs!$C$52+(Inputs!$H$6))*Inputs!$C$52*COS(SQRT((Scenario_Data!T235)^2+Inputs!$C$6^2)/Inputs!$C$52)))-(Inputs!$H$6))*1000/Inputs!$C$12)</f>
        <v>-23.031353320222479</v>
      </c>
      <c r="K235">
        <f>Scenario_Data!I235-(((SQRT((Inputs!$C$52+(Inputs!$H$7))^2+Inputs!$C$52^2-2*(Inputs!$C$52+(Inputs!$H$7))*Inputs!$C$52*COS(SQRT((Scenario_Data!U235)^2+Inputs!$C$6^2)/Inputs!$C$52)))-(Inputs!$H$7))*1000/Inputs!$C$12)</f>
        <v>-87437.045115058572</v>
      </c>
      <c r="L235">
        <f>Scenario_Data!J235-(((SQRT((Inputs!$C$52+(Inputs!$H$8))^2+Inputs!$C$52^2-2*(Inputs!$C$52+(Inputs!$H$8))*Inputs!$C$52*COS(SQRT((Scenario_Data!V235)^2+Inputs!$C$6^2)/Inputs!$C$52)))-(Inputs!$H$8))*1000/Inputs!$C$12)</f>
        <v>-179611.60663962277</v>
      </c>
      <c r="M235">
        <f>Scenario_Data!K235-(((SQRT((Inputs!$C$52+(Inputs!$H$9))^2+Inputs!$C$52^2-2*(Inputs!$C$52+(Inputs!$H$9))*Inputs!$C$52*COS(SQRT((Scenario_Data!W235)^2+Inputs!$C$6^2)/Inputs!$C$52)))-(Inputs!$H$9))*1000/Inputs!$C$12)</f>
        <v>-183567.12131353328</v>
      </c>
      <c r="O235">
        <f>Scenario_Data!T235</f>
        <v>56.519999999999996</v>
      </c>
      <c r="P235">
        <f>2*(Scenario_Data!B235*1000)/Inputs!$C$21*1000000</f>
        <v>2692.1921831669297</v>
      </c>
      <c r="Q235">
        <f>Scenario_Data!U235</f>
        <v>376.79999999999995</v>
      </c>
      <c r="R235">
        <f>2*(Scenario_Data!C235*1000)/Inputs!$C$21*1000000</f>
        <v>2394.2420859700205</v>
      </c>
      <c r="S235">
        <f>Scenario_Data!V235</f>
        <v>753.59999999999991</v>
      </c>
      <c r="T235">
        <f>2*(Scenario_Data!D235*1000)/Inputs!$C$21*1000000</f>
        <v>5946.1553232269753</v>
      </c>
      <c r="U235">
        <f>Scenario_Data!W235</f>
        <v>753.59999999999991</v>
      </c>
      <c r="V235">
        <f>2*(Scenario_Data!E235*1000)/Inputs!$C$21*1000000</f>
        <v>5938.6410581416285</v>
      </c>
      <c r="X235">
        <f>Scenario_Data!T235</f>
        <v>56.519999999999996</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2692.1773075299916</v>
      </c>
      <c r="Z235">
        <f>Scenario_Data!U235</f>
        <v>376.79999999999995</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2393.9029324782355</v>
      </c>
      <c r="AB235">
        <f>Scenario_Data!V235</f>
        <v>753.59999999999991</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5946.3583069671922</v>
      </c>
      <c r="AD235">
        <f>Scenario_Data!W235</f>
        <v>753.59999999999991</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5938.8440418818445</v>
      </c>
      <c r="AG235">
        <f>Scenario_Data!T235</f>
        <v>56.519999999999996</v>
      </c>
      <c r="AH235">
        <f>2*(SQRT((Inputs!$C$52+(Scenario_Data!B235))^2+Inputs!$C$52^2-2*(Inputs!$C$52+(Scenario_Data!B235))*Inputs!$C$52*COS(SQRT((Scenario_Data!T235)^2+Inputs!$C$6^2)/Inputs!$C$52))*1000)/Inputs!$C$21*1000000</f>
        <v>2731.6320487010912</v>
      </c>
      <c r="AI235">
        <f>Scenario_Data!U235</f>
        <v>376.79999999999995</v>
      </c>
      <c r="AJ235">
        <f>2*(SQRT((Inputs!$C$52+(Scenario_Data!C235))^2+Inputs!$C$52^2-2*(Inputs!$C$52+(Scenario_Data!C235))*Inputs!$C$52*COS(SQRT((Scenario_Data!U235)^2+Inputs!$C$6^2)/Inputs!$C$52))*1000)/Inputs!$C$21*1000000</f>
        <v>3674.2945786544519</v>
      </c>
      <c r="AK235">
        <f>Scenario_Data!V235</f>
        <v>753.59999999999991</v>
      </c>
      <c r="AL235">
        <f>2*(SQRT((Inputs!$C$52+(Scenario_Data!D235))^2+Inputs!$C$52^2-2*(Inputs!$C$52+(Scenario_Data!D235))*Inputs!$C$52*COS(SQRT((Scenario_Data!V235)^2+Inputs!$C$6^2)/Inputs!$C$52))*1000)/Inputs!$C$21*1000000</f>
        <v>8622.2175923928862</v>
      </c>
      <c r="AM235">
        <f>Scenario_Data!W235</f>
        <v>753.59999999999991</v>
      </c>
      <c r="AN235">
        <f>2*(SQRT((Inputs!$C$52+(Scenario_Data!E235))^2+Inputs!$C$52^2-2*(Inputs!$C$52+(Scenario_Data!E235))*Inputs!$C$52*COS(SQRT((Scenario_Data!W235)^2+Inputs!$C$6^2)/Inputs!$C$52))*1000)/Inputs!$C$21*1000000</f>
        <v>8615.9980720706571</v>
      </c>
      <c r="AP235">
        <f>Scenario_Data!T235</f>
        <v>56.519999999999996</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2730.3273772876369</v>
      </c>
      <c r="AR235">
        <f>Scenario_Data!U235</f>
        <v>376.79999999999995</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3673.7926080967623</v>
      </c>
      <c r="AT235">
        <f>Scenario_Data!V235</f>
        <v>753.59999999999991</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8622.0242394248799</v>
      </c>
      <c r="AV235">
        <f>Scenario_Data!W235</f>
        <v>753.59999999999991</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8615.8048955832892</v>
      </c>
    </row>
    <row r="236" spans="1:49">
      <c r="A236">
        <f>Chart_Data!K236</f>
        <v>57</v>
      </c>
      <c r="B236">
        <f>Chart_Data!N236-Chart_Data!L236</f>
        <v>-22.117718757033032</v>
      </c>
      <c r="D236">
        <f>Chart_Data!G236</f>
        <v>57</v>
      </c>
      <c r="E236">
        <f>Chart_Data!H236</f>
        <v>200.68454527158707</v>
      </c>
      <c r="F236">
        <f>Chart_Data!I236</f>
        <v>200.68454527158707</v>
      </c>
      <c r="G236">
        <f>Chart_Data!J236</f>
        <v>18.4135707545088</v>
      </c>
      <c r="I236">
        <f>Scenario_Data!A236</f>
        <v>0.95</v>
      </c>
      <c r="J236">
        <f>Scenario_Data!H236-(((SQRT((Inputs!$C$52+(Inputs!$H$6))^2+Inputs!$C$52^2-2*(Inputs!$C$52+(Inputs!$H$6))*Inputs!$C$52*COS(SQRT((Scenario_Data!T236)^2+Inputs!$C$6^2)/Inputs!$C$52)))-(Inputs!$H$6))*1000/Inputs!$C$12)</f>
        <v>-23.746844660086936</v>
      </c>
      <c r="K236">
        <f>Scenario_Data!I236-(((SQRT((Inputs!$C$52+(Inputs!$H$7))^2+Inputs!$C$52^2-2*(Inputs!$C$52+(Inputs!$H$7))*Inputs!$C$52*COS(SQRT((Scenario_Data!U236)^2+Inputs!$C$6^2)/Inputs!$C$52)))-(Inputs!$H$7))*1000/Inputs!$C$12)</f>
        <v>-88554.070883643246</v>
      </c>
      <c r="L236">
        <f>Scenario_Data!J236-(((SQRT((Inputs!$C$52+(Inputs!$H$8))^2+Inputs!$C$52^2-2*(Inputs!$C$52+(Inputs!$H$8))*Inputs!$C$52*COS(SQRT((Scenario_Data!V236)^2+Inputs!$C$6^2)/Inputs!$C$52)))-(Inputs!$H$8))*1000/Inputs!$C$12)</f>
        <v>-181371.54200338566</v>
      </c>
      <c r="M236">
        <f>Scenario_Data!K236-(((SQRT((Inputs!$C$52+(Inputs!$H$9))^2+Inputs!$C$52^2-2*(Inputs!$C$52+(Inputs!$H$9))*Inputs!$C$52*COS(SQRT((Scenario_Data!W236)^2+Inputs!$C$6^2)/Inputs!$C$52)))-(Inputs!$H$9))*1000/Inputs!$C$12)</f>
        <v>-185333.69359371395</v>
      </c>
      <c r="O236">
        <f>Scenario_Data!T236</f>
        <v>57</v>
      </c>
      <c r="P236">
        <f>2*(Scenario_Data!B236*1000)/Inputs!$C$21*1000000</f>
        <v>2692.5960892585231</v>
      </c>
      <c r="Q236">
        <f>Scenario_Data!U236</f>
        <v>380</v>
      </c>
      <c r="R236">
        <f>2*(Scenario_Data!C236*1000)/Inputs!$C$21*1000000</f>
        <v>2431.0985168279312</v>
      </c>
      <c r="S236">
        <f>Scenario_Data!V236</f>
        <v>760</v>
      </c>
      <c r="T236">
        <f>2*(Scenario_Data!D236*1000)/Inputs!$C$21*1000000</f>
        <v>6043.5976678239176</v>
      </c>
      <c r="U236">
        <f>Scenario_Data!W236</f>
        <v>760</v>
      </c>
      <c r="V236">
        <f>2*(Scenario_Data!E236*1000)/Inputs!$C$21*1000000</f>
        <v>6037.0931679675541</v>
      </c>
      <c r="X236">
        <f>Scenario_Data!T236</f>
        <v>57</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2692.4732471371608</v>
      </c>
      <c r="Z236">
        <f>Scenario_Data!U236</f>
        <v>380</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2430.6174452908381</v>
      </c>
      <c r="AB236">
        <f>Scenario_Data!V236</f>
        <v>760</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6043.4383091821073</v>
      </c>
      <c r="AD236">
        <f>Scenario_Data!W236</f>
        <v>760</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6036.9338093257429</v>
      </c>
      <c r="AG236">
        <f>Scenario_Data!T236</f>
        <v>57</v>
      </c>
      <c r="AH236">
        <f>2*(SQRT((Inputs!$C$52+(Scenario_Data!B236))^2+Inputs!$C$52^2-2*(Inputs!$C$52+(Scenario_Data!B236))*Inputs!$C$52*COS(SQRT((Scenario_Data!T236)^2+Inputs!$C$6^2)/Inputs!$C$52))*1000)/Inputs!$C$21*1000000</f>
        <v>2732.5897271659751</v>
      </c>
      <c r="AI236">
        <f>Scenario_Data!U236</f>
        <v>380</v>
      </c>
      <c r="AJ236">
        <f>2*(SQRT((Inputs!$C$52+(Scenario_Data!C236))^2+Inputs!$C$52^2-2*(Inputs!$C$52+(Scenario_Data!C236))*Inputs!$C$52*COS(SQRT((Scenario_Data!U236)^2+Inputs!$C$6^2)/Inputs!$C$52))*1000)/Inputs!$C$21*1000000</f>
        <v>3719.1779432130656</v>
      </c>
      <c r="AK236">
        <f>Scenario_Data!V236</f>
        <v>760</v>
      </c>
      <c r="AL236">
        <f>2*(SQRT((Inputs!$C$52+(Scenario_Data!D236))^2+Inputs!$C$52^2-2*(Inputs!$C$52+(Scenario_Data!D236))*Inputs!$C$52*COS(SQRT((Scenario_Data!V236)^2+Inputs!$C$6^2)/Inputs!$C$52))*1000)/Inputs!$C$21*1000000</f>
        <v>8740.6018276314735</v>
      </c>
      <c r="AM236">
        <f>Scenario_Data!W236</f>
        <v>760</v>
      </c>
      <c r="AN236">
        <f>2*(SQRT((Inputs!$C$52+(Scenario_Data!E236))^2+Inputs!$C$52^2-2*(Inputs!$C$52+(Scenario_Data!E236))*Inputs!$C$52*COS(SQRT((Scenario_Data!W236)^2+Inputs!$C$6^2)/Inputs!$C$52))*1000)/Inputs!$C$21*1000000</f>
        <v>8735.2035534356819</v>
      </c>
      <c r="AP236">
        <f>Scenario_Data!T236</f>
        <v>57</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2731.2756154062386</v>
      </c>
      <c r="AR236">
        <f>Scenario_Data!U236</f>
        <v>380</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3718.4769576241201</v>
      </c>
      <c r="AT236">
        <f>Scenario_Data!V236</f>
        <v>760</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8739.9137668744534</v>
      </c>
      <c r="AV236">
        <f>Scenario_Data!W236</f>
        <v>760</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8734.5160260477151</v>
      </c>
    </row>
    <row r="237" spans="1:49">
      <c r="A237">
        <f>Chart_Data!K237</f>
        <v>57.5</v>
      </c>
      <c r="B237">
        <f>Chart_Data!N237-Chart_Data!L237</f>
        <v>-29.305969865231276</v>
      </c>
      <c r="D237">
        <f>Chart_Data!G237</f>
        <v>57.5</v>
      </c>
      <c r="E237">
        <f>Chart_Data!H237</f>
        <v>178.27771269066969</v>
      </c>
      <c r="F237">
        <f>Chart_Data!I237</f>
        <v>178.27771269066969</v>
      </c>
      <c r="G237">
        <f>Chart_Data!J237</f>
        <v>25.968776223167485</v>
      </c>
      <c r="I237">
        <f>Scenario_Data!A237</f>
        <v>0.95799999999999996</v>
      </c>
      <c r="J237">
        <f>Scenario_Data!H237-(((SQRT((Inputs!$C$52+(Inputs!$H$6))^2+Inputs!$C$52^2-2*(Inputs!$C$52+(Inputs!$H$6))*Inputs!$C$52*COS(SQRT((Scenario_Data!T237)^2+Inputs!$C$6^2)/Inputs!$C$52)))-(Inputs!$H$6))*1000/Inputs!$C$12)</f>
        <v>-24.47902381513677</v>
      </c>
      <c r="K237">
        <f>Scenario_Data!I237-(((SQRT((Inputs!$C$52+(Inputs!$H$7))^2+Inputs!$C$52^2-2*(Inputs!$C$52+(Inputs!$H$7))*Inputs!$C$52*COS(SQRT((Scenario_Data!U237)^2+Inputs!$C$6^2)/Inputs!$C$52)))-(Inputs!$H$7))*1000/Inputs!$C$12)</f>
        <v>-89671.898520796967</v>
      </c>
      <c r="L237">
        <f>Scenario_Data!J237-(((SQRT((Inputs!$C$52+(Inputs!$H$8))^2+Inputs!$C$52^2-2*(Inputs!$C$52+(Inputs!$H$8))*Inputs!$C$52*COS(SQRT((Scenario_Data!V237)^2+Inputs!$C$6^2)/Inputs!$C$52)))-(Inputs!$H$8))*1000/Inputs!$C$12)</f>
        <v>-183123.17397563395</v>
      </c>
      <c r="M237">
        <f>Scenario_Data!K237-(((SQRT((Inputs!$C$52+(Inputs!$H$9))^2+Inputs!$C$52^2-2*(Inputs!$C$52+(Inputs!$H$9))*Inputs!$C$52*COS(SQRT((Scenario_Data!W237)^2+Inputs!$C$6^2)/Inputs!$C$52)))-(Inputs!$H$9))*1000/Inputs!$C$12)</f>
        <v>-187091.66215917439</v>
      </c>
      <c r="O237">
        <f>Scenario_Data!T237</f>
        <v>57.480000000000004</v>
      </c>
      <c r="P237">
        <f>2*(Scenario_Data!B237*1000)/Inputs!$C$21*1000000</f>
        <v>2693.0034110464517</v>
      </c>
      <c r="Q237">
        <f>Scenario_Data!U237</f>
        <v>383.19999999999993</v>
      </c>
      <c r="R237">
        <f>2*(Scenario_Data!C237*1000)/Inputs!$C$21*1000000</f>
        <v>2468.2666299763941</v>
      </c>
      <c r="S237">
        <f>Scenario_Data!V237</f>
        <v>766.39999999999986</v>
      </c>
      <c r="T237">
        <f>2*(Scenario_Data!D237*1000)/Inputs!$C$21*1000000</f>
        <v>6141.8640491616352</v>
      </c>
      <c r="U237">
        <f>Scenario_Data!W237</f>
        <v>766.39999999999986</v>
      </c>
      <c r="V237">
        <f>2*(Scenario_Data!E237*1000)/Inputs!$C$21*1000000</f>
        <v>6136.3778537750923</v>
      </c>
      <c r="X237">
        <f>Scenario_Data!T237</f>
        <v>57.480000000000004</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2692.8575699494995</v>
      </c>
      <c r="Z237">
        <f>Scenario_Data!U237</f>
        <v>383.19999999999993</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2467.7068528864479</v>
      </c>
      <c r="AB237">
        <f>Scenario_Data!V237</f>
        <v>766.39999999999986</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6142.1454666172249</v>
      </c>
      <c r="AD237">
        <f>Scenario_Data!W237</f>
        <v>766.39999999999986</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6136.659271230682</v>
      </c>
      <c r="AG237">
        <f>Scenario_Data!T237</f>
        <v>57.480000000000004</v>
      </c>
      <c r="AH237">
        <f>2*(SQRT((Inputs!$C$52+(Scenario_Data!B237))^2+Inputs!$C$52^2-2*(Inputs!$C$52+(Scenario_Data!B237))*Inputs!$C$52*COS(SQRT((Scenario_Data!T237)^2+Inputs!$C$6^2)/Inputs!$C$52))*1000)/Inputs!$C$21*1000000</f>
        <v>2733.5552577832691</v>
      </c>
      <c r="AI237">
        <f>Scenario_Data!U237</f>
        <v>383.19999999999993</v>
      </c>
      <c r="AJ237">
        <f>2*(SQRT((Inputs!$C$52+(Scenario_Data!C237))^2+Inputs!$C$52^2-2*(Inputs!$C$52+(Scenario_Data!C237))*Inputs!$C$52*COS(SQRT((Scenario_Data!U237)^2+Inputs!$C$6^2)/Inputs!$C$52))*1000)/Inputs!$C$21*1000000</f>
        <v>3764.3630333251954</v>
      </c>
      <c r="AK237">
        <f>Scenario_Data!V237</f>
        <v>766.39999999999986</v>
      </c>
      <c r="AL237">
        <f>2*(SQRT((Inputs!$C$52+(Scenario_Data!D237))^2+Inputs!$C$52^2-2*(Inputs!$C$52+(Scenario_Data!D237))*Inputs!$C$52*COS(SQRT((Scenario_Data!V237)^2+Inputs!$C$6^2)/Inputs!$C$52))*1000)/Inputs!$C$21*1000000</f>
        <v>8859.8885063548314</v>
      </c>
      <c r="AM237">
        <f>Scenario_Data!W237</f>
        <v>766.39999999999986</v>
      </c>
      <c r="AN237">
        <f>2*(SQRT((Inputs!$C$52+(Scenario_Data!E237))^2+Inputs!$C$52^2-2*(Inputs!$C$52+(Scenario_Data!E237))*Inputs!$C$52*COS(SQRT((Scenario_Data!W237)^2+Inputs!$C$6^2)/Inputs!$C$52))*1000)/Inputs!$C$21*1000000</f>
        <v>8855.3232842094876</v>
      </c>
      <c r="AP237">
        <f>Scenario_Data!T237</f>
        <v>57.480000000000004</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2732.4109903611452</v>
      </c>
      <c r="AR237">
        <f>Scenario_Data!U237</f>
        <v>383.19999999999993</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3763.5617882218221</v>
      </c>
      <c r="AT237">
        <f>Scenario_Data!V237</f>
        <v>766.39999999999986</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8859.6036444884012</v>
      </c>
      <c r="AV237">
        <f>Scenario_Data!W237</f>
        <v>766.39999999999986</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8855.0386050321868</v>
      </c>
    </row>
    <row r="238" spans="1:49">
      <c r="A238">
        <f>Chart_Data!K238</f>
        <v>58</v>
      </c>
      <c r="B238">
        <f>Chart_Data!N238-Chart_Data!L238</f>
        <v>-33.763162078350604</v>
      </c>
      <c r="D238">
        <f>Chart_Data!G238</f>
        <v>58</v>
      </c>
      <c r="E238">
        <f>Chart_Data!H238</f>
        <v>194.52778179385766</v>
      </c>
      <c r="F238">
        <f>Chart_Data!I238</f>
        <v>194.52778179385766</v>
      </c>
      <c r="G238">
        <f>Chart_Data!J238</f>
        <v>30.070182113253747</v>
      </c>
      <c r="I238">
        <f>Scenario_Data!A238</f>
        <v>0.96699999999999997</v>
      </c>
      <c r="J238">
        <f>Scenario_Data!H238-(((SQRT((Inputs!$C$52+(Inputs!$H$6))^2+Inputs!$C$52^2-2*(Inputs!$C$52+(Inputs!$H$6))*Inputs!$C$52*COS(SQRT((Scenario_Data!T238)^2+Inputs!$C$6^2)/Inputs!$C$52)))-(Inputs!$H$6))*1000/Inputs!$C$12)</f>
        <v>-25.322987391846254</v>
      </c>
      <c r="K238">
        <f>Scenario_Data!I238-(((SQRT((Inputs!$C$52+(Inputs!$H$7))^2+Inputs!$C$52^2-2*(Inputs!$C$52+(Inputs!$H$7))*Inputs!$C$52*COS(SQRT((Scenario_Data!U238)^2+Inputs!$C$6^2)/Inputs!$C$52)))-(Inputs!$H$7))*1000/Inputs!$C$12)</f>
        <v>-90930.318556275321</v>
      </c>
      <c r="L238">
        <f>Scenario_Data!J238-(((SQRT((Inputs!$C$52+(Inputs!$H$8))^2+Inputs!$C$52^2-2*(Inputs!$C$52+(Inputs!$H$8))*Inputs!$C$52*COS(SQRT((Scenario_Data!V238)^2+Inputs!$C$6^2)/Inputs!$C$52)))-(Inputs!$H$8))*1000/Inputs!$C$12)</f>
        <v>-185083.70199145714</v>
      </c>
      <c r="M238">
        <f>Scenario_Data!K238-(((SQRT((Inputs!$C$52+(Inputs!$H$9))^2+Inputs!$C$52^2-2*(Inputs!$C$52+(Inputs!$H$9))*Inputs!$C$52*COS(SQRT((Scenario_Data!W238)^2+Inputs!$C$6^2)/Inputs!$C$52)))-(Inputs!$H$9))*1000/Inputs!$C$12)</f>
        <v>-189058.96620570039</v>
      </c>
      <c r="O238">
        <f>Scenario_Data!T238</f>
        <v>58.02000000000001</v>
      </c>
      <c r="P238">
        <f>2*(Scenario_Data!B238*1000)/Inputs!$C$21*1000000</f>
        <v>2693.4657308823962</v>
      </c>
      <c r="Q238">
        <f>Scenario_Data!U238</f>
        <v>386.80000000000007</v>
      </c>
      <c r="R238">
        <f>2*(Scenario_Data!C238*1000)/Inputs!$C$21*1000000</f>
        <v>2510.4533150063444</v>
      </c>
      <c r="S238">
        <f>Scenario_Data!V238</f>
        <v>773.60000000000014</v>
      </c>
      <c r="T238">
        <f>2*(Scenario_Data!D238*1000)/Inputs!$C$21*1000000</f>
        <v>6253.3987095832836</v>
      </c>
      <c r="U238">
        <f>Scenario_Data!W238</f>
        <v>773.60000000000014</v>
      </c>
      <c r="V238">
        <f>2*(Scenario_Data!E238*1000)/Inputs!$C$21*1000000</f>
        <v>6249.0683137866017</v>
      </c>
      <c r="X238">
        <f>Scenario_Data!T238</f>
        <v>58.02000000000001</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2693.24758219057</v>
      </c>
      <c r="Z238">
        <f>Scenario_Data!U238</f>
        <v>386.80000000000007</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2510.2037437880058</v>
      </c>
      <c r="AB238">
        <f>Scenario_Data!V238</f>
        <v>773.60000000000014</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6253.2838479641896</v>
      </c>
      <c r="AD238">
        <f>Scenario_Data!W238</f>
        <v>773.60000000000014</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6248.9534521675077</v>
      </c>
      <c r="AG238">
        <f>Scenario_Data!T238</f>
        <v>58.02000000000001</v>
      </c>
      <c r="AH238">
        <f>2*(SQRT((Inputs!$C$52+(Scenario_Data!B238))^2+Inputs!$C$52^2-2*(Inputs!$C$52+(Scenario_Data!B238))*Inputs!$C$52*COS(SQRT((Scenario_Data!T238)^2+Inputs!$C$6^2)/Inputs!$C$52))*1000)/Inputs!$C$21*1000000</f>
        <v>2734.6508580754062</v>
      </c>
      <c r="AI238">
        <f>Scenario_Data!U238</f>
        <v>386.80000000000007</v>
      </c>
      <c r="AJ238">
        <f>2*(SQRT((Inputs!$C$52+(Scenario_Data!C238))^2+Inputs!$C$52^2-2*(Inputs!$C$52+(Scenario_Data!C238))*Inputs!$C$52*COS(SQRT((Scenario_Data!U238)^2+Inputs!$C$6^2)/Inputs!$C$52))*1000)/Inputs!$C$21*1000000</f>
        <v>3815.5579418876782</v>
      </c>
      <c r="AK238">
        <f>Scenario_Data!V238</f>
        <v>773.60000000000014</v>
      </c>
      <c r="AL238">
        <f>2*(SQRT((Inputs!$C$52+(Scenario_Data!D238))^2+Inputs!$C$52^2-2*(Inputs!$C$52+(Scenario_Data!D238))*Inputs!$C$52*COS(SQRT((Scenario_Data!V238)^2+Inputs!$C$6^2)/Inputs!$C$52))*1000)/Inputs!$C$21*1000000</f>
        <v>8995.1660445283196</v>
      </c>
      <c r="AM238">
        <f>Scenario_Data!W238</f>
        <v>773.60000000000014</v>
      </c>
      <c r="AN238">
        <f>2*(SQRT((Inputs!$C$52+(Scenario_Data!E238))^2+Inputs!$C$52^2-2*(Inputs!$C$52+(Scenario_Data!E238))*Inputs!$C$52*COS(SQRT((Scenario_Data!W238)^2+Inputs!$C$6^2)/Inputs!$C$52))*1000)/Inputs!$C$21*1000000</f>
        <v>8991.5520543354942</v>
      </c>
      <c r="AP238">
        <f>Scenario_Data!T238</f>
        <v>58.02000000000001</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2733.3737112683802</v>
      </c>
      <c r="AR238">
        <f>Scenario_Data!U238</f>
        <v>386.80000000000007</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3814.9348272569846</v>
      </c>
      <c r="AT238">
        <f>Scenario_Data!V238</f>
        <v>773.60000000000014</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8994.6520223731113</v>
      </c>
      <c r="AV238">
        <f>Scenario_Data!W238</f>
        <v>773.60000000000014</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8991.0382869333407</v>
      </c>
    </row>
    <row r="239" spans="1:49">
      <c r="A239">
        <f>Chart_Data!K239</f>
        <v>58.5</v>
      </c>
      <c r="B239">
        <f>Chart_Data!N239-Chart_Data!L239</f>
        <v>-32.050798541495539</v>
      </c>
      <c r="D239">
        <f>Chart_Data!G239</f>
        <v>58.5</v>
      </c>
      <c r="E239">
        <f>Chart_Data!H239</f>
        <v>188.33221875951745</v>
      </c>
      <c r="F239">
        <f>Chart_Data!I239</f>
        <v>188.33221875951745</v>
      </c>
      <c r="G239">
        <f>Chart_Data!J239</f>
        <v>28.425297518081656</v>
      </c>
      <c r="I239">
        <f>Scenario_Data!A239</f>
        <v>0.97499999999999998</v>
      </c>
      <c r="J239">
        <f>Scenario_Data!H239-(((SQRT((Inputs!$C$52+(Inputs!$H$6))^2+Inputs!$C$52^2-2*(Inputs!$C$52+(Inputs!$H$6))*Inputs!$C$52*COS(SQRT((Scenario_Data!T239)^2+Inputs!$C$6^2)/Inputs!$C$52)))-(Inputs!$H$6))*1000/Inputs!$C$12)</f>
        <v>-26.091469511469313</v>
      </c>
      <c r="K239">
        <f>Scenario_Data!I239-(((SQRT((Inputs!$C$52+(Inputs!$H$7))^2+Inputs!$C$52^2-2*(Inputs!$C$52+(Inputs!$H$7))*Inputs!$C$52*COS(SQRT((Scenario_Data!U239)^2+Inputs!$C$6^2)/Inputs!$C$52)))-(Inputs!$H$7))*1000/Inputs!$C$12)</f>
        <v>-92049.599695208031</v>
      </c>
      <c r="L239">
        <f>Scenario_Data!J239-(((SQRT((Inputs!$C$52+(Inputs!$H$8))^2+Inputs!$C$52^2-2*(Inputs!$C$52+(Inputs!$H$8))*Inputs!$C$52*COS(SQRT((Scenario_Data!V239)^2+Inputs!$C$6^2)/Inputs!$C$52)))-(Inputs!$H$8))*1000/Inputs!$C$12)</f>
        <v>-186817.33873453335</v>
      </c>
      <c r="M239">
        <f>Scenario_Data!K239-(((SQRT((Inputs!$C$52+(Inputs!$H$9))^2+Inputs!$C$52^2-2*(Inputs!$C$52+(Inputs!$H$9))*Inputs!$C$52*COS(SQRT((Scenario_Data!W239)^2+Inputs!$C$6^2)/Inputs!$C$52)))-(Inputs!$H$9))*1000/Inputs!$C$12)</f>
        <v>-190798.31818207764</v>
      </c>
      <c r="O239">
        <f>Scenario_Data!T239</f>
        <v>58.5</v>
      </c>
      <c r="P239">
        <f>2*(Scenario_Data!B239*1000)/Inputs!$C$21*1000000</f>
        <v>2693.8803110250356</v>
      </c>
      <c r="Q239">
        <f>Scenario_Data!U239</f>
        <v>390</v>
      </c>
      <c r="R239">
        <f>2*(Scenario_Data!C239*1000)/Inputs!$C$21*1000000</f>
        <v>2548.2837530222323</v>
      </c>
      <c r="S239">
        <f>Scenario_Data!V239</f>
        <v>780</v>
      </c>
      <c r="T239">
        <f>2*(Scenario_Data!D239*1000)/Inputs!$C$21*1000000</f>
        <v>6353.4161689951516</v>
      </c>
      <c r="U239">
        <f>Scenario_Data!W239</f>
        <v>780</v>
      </c>
      <c r="V239">
        <f>2*(Scenario_Data!E239*1000)/Inputs!$C$21*1000000</f>
        <v>6350.1222235550704</v>
      </c>
      <c r="X239">
        <f>Scenario_Data!T239</f>
        <v>58.5</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2693.6906778520884</v>
      </c>
      <c r="Z239">
        <f>Scenario_Data!U239</f>
        <v>390</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2548.3058851808387</v>
      </c>
      <c r="AB239">
        <f>Scenario_Data!V239</f>
        <v>780</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6353.0935741374824</v>
      </c>
      <c r="AD239">
        <f>Scenario_Data!W239</f>
        <v>780</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6349.7996286974003</v>
      </c>
      <c r="AG239">
        <f>Scenario_Data!T239</f>
        <v>58.5</v>
      </c>
      <c r="AH239">
        <f>2*(SQRT((Inputs!$C$52+(Scenario_Data!B239))^2+Inputs!$C$52^2-2*(Inputs!$C$52+(Scenario_Data!B239))*Inputs!$C$52*COS(SQRT((Scenario_Data!T239)^2+Inputs!$C$6^2)/Inputs!$C$52))*1000)/Inputs!$C$21*1000000</f>
        <v>2735.6330546630293</v>
      </c>
      <c r="AI239">
        <f>Scenario_Data!U239</f>
        <v>390</v>
      </c>
      <c r="AJ239">
        <f>2*(SQRT((Inputs!$C$52+(Scenario_Data!C239))^2+Inputs!$C$52^2-2*(Inputs!$C$52+(Scenario_Data!C239))*Inputs!$C$52*COS(SQRT((Scenario_Data!U239)^2+Inputs!$C$6^2)/Inputs!$C$52))*1000)/Inputs!$C$21*1000000</f>
        <v>3861.3869170271155</v>
      </c>
      <c r="AK239">
        <f>Scenario_Data!V239</f>
        <v>780</v>
      </c>
      <c r="AL239">
        <f>2*(SQRT((Inputs!$C$52+(Scenario_Data!D239))^2+Inputs!$C$52^2-2*(Inputs!$C$52+(Scenario_Data!D239))*Inputs!$C$52*COS(SQRT((Scenario_Data!V239)^2+Inputs!$C$6^2)/Inputs!$C$52))*1000)/Inputs!$C$21*1000000</f>
        <v>9116.3739007837139</v>
      </c>
      <c r="AM239">
        <f>Scenario_Data!W239</f>
        <v>780</v>
      </c>
      <c r="AN239">
        <f>2*(SQRT((Inputs!$C$52+(Scenario_Data!E239))^2+Inputs!$C$52^2-2*(Inputs!$C$52+(Scenario_Data!E239))*Inputs!$C$52*COS(SQRT((Scenario_Data!W239)^2+Inputs!$C$6^2)/Inputs!$C$52))*1000)/Inputs!$C$21*1000000</f>
        <v>9113.617881954191</v>
      </c>
      <c r="AP239">
        <f>Scenario_Data!T239</f>
        <v>58.5</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2734.400824079456</v>
      </c>
      <c r="AR239">
        <f>Scenario_Data!U239</f>
        <v>390</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3861.0175580175628</v>
      </c>
      <c r="AT239">
        <f>Scenario_Data!V239</f>
        <v>780</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9115.7810299135654</v>
      </c>
      <c r="AV239">
        <f>Scenario_Data!W239</f>
        <v>780</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9113.0252304483129</v>
      </c>
    </row>
    <row r="240" spans="1:49">
      <c r="A240">
        <f>Chart_Data!K240</f>
        <v>59</v>
      </c>
      <c r="B240">
        <f>Chart_Data!N240-Chart_Data!L240</f>
        <v>-29.468701438210815</v>
      </c>
      <c r="D240">
        <f>Chart_Data!G240</f>
        <v>59</v>
      </c>
      <c r="E240">
        <f>Chart_Data!H240</f>
        <v>193.74067782731254</v>
      </c>
      <c r="F240">
        <f>Chart_Data!I240</f>
        <v>193.74067782731254</v>
      </c>
      <c r="G240">
        <f>Chart_Data!J240</f>
        <v>25.687015204981627</v>
      </c>
      <c r="I240">
        <f>Scenario_Data!A240</f>
        <v>0.98299999999999998</v>
      </c>
      <c r="J240">
        <f>Scenario_Data!H240-(((SQRT((Inputs!$C$52+(Inputs!$H$6))^2+Inputs!$C$52^2-2*(Inputs!$C$52+(Inputs!$H$6))*Inputs!$C$52*COS(SQRT((Scenario_Data!T240)^2+Inputs!$C$6^2)/Inputs!$C$52)))-(Inputs!$H$6))*1000/Inputs!$C$12)</f>
        <v>-26.877434485224512</v>
      </c>
      <c r="K240">
        <f>Scenario_Data!I240-(((SQRT((Inputs!$C$52+(Inputs!$H$7))^2+Inputs!$C$52^2-2*(Inputs!$C$52+(Inputs!$H$7))*Inputs!$C$52*COS(SQRT((Scenario_Data!U240)^2+Inputs!$C$6^2)/Inputs!$C$52)))-(Inputs!$H$7))*1000/Inputs!$C$12)</f>
        <v>-93169.450020823526</v>
      </c>
      <c r="L240">
        <f>Scenario_Data!J240-(((SQRT((Inputs!$C$52+(Inputs!$H$8))^2+Inputs!$C$52^2-2*(Inputs!$C$52+(Inputs!$H$8))*Inputs!$C$52*COS(SQRT((Scenario_Data!V240)^2+Inputs!$C$6^2)/Inputs!$C$52)))-(Inputs!$H$8))*1000/Inputs!$C$12)</f>
        <v>-188542.34891493848</v>
      </c>
      <c r="M240">
        <f>Scenario_Data!K240-(((SQRT((Inputs!$C$52+(Inputs!$H$9))^2+Inputs!$C$52^2-2*(Inputs!$C$52+(Inputs!$H$9))*Inputs!$C$52*COS(SQRT((Scenario_Data!W240)^2+Inputs!$C$6^2)/Inputs!$C$52)))-(Inputs!$H$9))*1000/Inputs!$C$12)</f>
        <v>-192528.7589427018</v>
      </c>
      <c r="O240">
        <f>Scenario_Data!T240</f>
        <v>58.980000000000004</v>
      </c>
      <c r="P240">
        <f>2*(Scenario_Data!B240*1000)/Inputs!$C$21*1000000</f>
        <v>2694.2983068640106</v>
      </c>
      <c r="Q240">
        <f>Scenario_Data!U240</f>
        <v>393.20000000000005</v>
      </c>
      <c r="R240">
        <f>2*(Scenario_Data!C240*1000)/Inputs!$C$21*1000000</f>
        <v>2586.4258733286752</v>
      </c>
      <c r="S240">
        <f>Scenario_Data!V240</f>
        <v>786.40000000000009</v>
      </c>
      <c r="T240">
        <f>2*(Scenario_Data!D240*1000)/Inputs!$C$21*1000000</f>
        <v>6454.2576651478012</v>
      </c>
      <c r="U240">
        <f>Scenario_Data!W240</f>
        <v>786.40000000000009</v>
      </c>
      <c r="V240">
        <f>2*(Scenario_Data!E240*1000)/Inputs!$C$21*1000000</f>
        <v>6452.008709305157</v>
      </c>
      <c r="X240">
        <f>Scenario_Data!T240</f>
        <v>58.980000000000004</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2694.0752882831848</v>
      </c>
      <c r="Z240">
        <f>Scenario_Data!U240</f>
        <v>393.20000000000005</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2586.4616875610482</v>
      </c>
      <c r="AB240">
        <f>Scenario_Data!V240</f>
        <v>786.40000000000009</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6454.2131231685853</v>
      </c>
      <c r="AD240">
        <f>Scenario_Data!W240</f>
        <v>786.40000000000009</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6451.9641673259403</v>
      </c>
      <c r="AG240">
        <f>Scenario_Data!T240</f>
        <v>58.980000000000004</v>
      </c>
      <c r="AH240">
        <f>2*(SQRT((Inputs!$C$52+(Scenario_Data!B240))^2+Inputs!$C$52^2-2*(Inputs!$C$52+(Scenario_Data!B240))*Inputs!$C$52*COS(SQRT((Scenario_Data!T240)^2+Inputs!$C$6^2)/Inputs!$C$52))*1000)/Inputs!$C$21*1000000</f>
        <v>2736.6230846331491</v>
      </c>
      <c r="AI240">
        <f>Scenario_Data!U240</f>
        <v>393.20000000000005</v>
      </c>
      <c r="AJ240">
        <f>2*(SQRT((Inputs!$C$52+(Scenario_Data!C240))^2+Inputs!$C$52^2-2*(Inputs!$C$52+(Scenario_Data!C240))*Inputs!$C$52*COS(SQRT((Scenario_Data!U240)^2+Inputs!$C$6^2)/Inputs!$C$52))*1000)/Inputs!$C$21*1000000</f>
        <v>3907.5201435523309</v>
      </c>
      <c r="AK240">
        <f>Scenario_Data!V240</f>
        <v>786.40000000000009</v>
      </c>
      <c r="AL240">
        <f>2*(SQRT((Inputs!$C$52+(Scenario_Data!D240))^2+Inputs!$C$52^2-2*(Inputs!$C$52+(Scenario_Data!D240))*Inputs!$C$52*COS(SQRT((Scenario_Data!V240)^2+Inputs!$C$6^2)/Inputs!$C$52))*1000)/Inputs!$C$21*1000000</f>
        <v>9238.487402839648</v>
      </c>
      <c r="AM240">
        <f>Scenario_Data!W240</f>
        <v>786.40000000000009</v>
      </c>
      <c r="AN240">
        <f>2*(SQRT((Inputs!$C$52+(Scenario_Data!E240))^2+Inputs!$C$52^2-2*(Inputs!$C$52+(Scenario_Data!E240))*Inputs!$C$52*COS(SQRT((Scenario_Data!W240)^2+Inputs!$C$6^2)/Inputs!$C$52))*1000)/Inputs!$C$21*1000000</f>
        <v>9236.6010042814341</v>
      </c>
      <c r="AP240">
        <f>Scenario_Data!T240</f>
        <v>58.980000000000004</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2735.4474657815513</v>
      </c>
      <c r="AR240">
        <f>Scenario_Data!U240</f>
        <v>393.20000000000005</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3907.2721084737309</v>
      </c>
      <c r="AT240">
        <f>Scenario_Data!V240</f>
        <v>786.40000000000009</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9238.143445583908</v>
      </c>
      <c r="AV240">
        <f>Scenario_Data!W240</f>
        <v>786.40000000000009</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9236.2571323090415</v>
      </c>
    </row>
    <row r="241" spans="1:49">
      <c r="A241">
        <f>Chart_Data!K241</f>
        <v>59.5</v>
      </c>
      <c r="B241">
        <f>Chart_Data!N241-Chart_Data!L241</f>
        <v>-49.025439433633863</v>
      </c>
      <c r="D241">
        <f>Chart_Data!G241</f>
        <v>59.5</v>
      </c>
      <c r="E241">
        <f>Chart_Data!H241</f>
        <v>168.97901642333537</v>
      </c>
      <c r="F241">
        <f>Chart_Data!I241</f>
        <v>168.97901642333537</v>
      </c>
      <c r="G241">
        <f>Chart_Data!J241</f>
        <v>45.681577079315673</v>
      </c>
      <c r="I241">
        <f>Scenario_Data!A241</f>
        <v>0.99199999999999999</v>
      </c>
      <c r="J241">
        <f>Scenario_Data!H241-(((SQRT((Inputs!$C$52+(Inputs!$H$6))^2+Inputs!$C$52^2-2*(Inputs!$C$52+(Inputs!$H$6))*Inputs!$C$52*COS(SQRT((Scenario_Data!T241)^2+Inputs!$C$6^2)/Inputs!$C$52)))-(Inputs!$H$6))*1000/Inputs!$C$12)</f>
        <v>-27.782863149590867</v>
      </c>
      <c r="K241">
        <f>Scenario_Data!I241-(((SQRT((Inputs!$C$52+(Inputs!$H$7))^2+Inputs!$C$52^2-2*(Inputs!$C$52+(Inputs!$H$7))*Inputs!$C$52*COS(SQRT((Scenario_Data!U241)^2+Inputs!$C$6^2)/Inputs!$C$52)))-(Inputs!$H$7))*1000/Inputs!$C$12)</f>
        <v>-94429.872930648256</v>
      </c>
      <c r="L241">
        <f>Scenario_Data!J241-(((SQRT((Inputs!$C$52+(Inputs!$H$8))^2+Inputs!$C$52^2-2*(Inputs!$C$52+(Inputs!$H$8))*Inputs!$C$52*COS(SQRT((Scenario_Data!V241)^2+Inputs!$C$6^2)/Inputs!$C$52)))-(Inputs!$H$8))*1000/Inputs!$C$12)</f>
        <v>-190472.55314770059</v>
      </c>
      <c r="M241">
        <f>Scenario_Data!K241-(((SQRT((Inputs!$C$52+(Inputs!$H$9))^2+Inputs!$C$52^2-2*(Inputs!$C$52+(Inputs!$H$9))*Inputs!$C$52*COS(SQRT((Scenario_Data!W241)^2+Inputs!$C$6^2)/Inputs!$C$52)))-(Inputs!$H$9))*1000/Inputs!$C$12)</f>
        <v>-194464.73837065237</v>
      </c>
      <c r="O241">
        <f>Scenario_Data!T241</f>
        <v>59.519999999999996</v>
      </c>
      <c r="P241">
        <f>2*(Scenario_Data!B241*1000)/Inputs!$C$21*1000000</f>
        <v>2694.7726350073826</v>
      </c>
      <c r="Q241">
        <f>Scenario_Data!U241</f>
        <v>396.79999999999995</v>
      </c>
      <c r="R241">
        <f>2*(Scenario_Data!C241*1000)/Inputs!$C$21*1000000</f>
        <v>2629.7083164113478</v>
      </c>
      <c r="S241">
        <f>Scenario_Data!V241</f>
        <v>793.59999999999991</v>
      </c>
      <c r="T241">
        <f>2*(Scenario_Data!D241*1000)/Inputs!$C$21*1000000</f>
        <v>6568.6893297362394</v>
      </c>
      <c r="U241">
        <f>Scenario_Data!W241</f>
        <v>793.59999999999991</v>
      </c>
      <c r="V241">
        <f>2*(Scenario_Data!E241*1000)/Inputs!$C$21*1000000</f>
        <v>6567.6261942520232</v>
      </c>
      <c r="X241">
        <f>Scenario_Data!T241</f>
        <v>59.519999999999996</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2694.6263803403031</v>
      </c>
      <c r="Z241">
        <f>Scenario_Data!U241</f>
        <v>396.79999999999995</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2629.5885025696607</v>
      </c>
      <c r="AB241">
        <f>Scenario_Data!V241</f>
        <v>793.59999999999991</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6568.2867749412108</v>
      </c>
      <c r="AD241">
        <f>Scenario_Data!W241</f>
        <v>793.59999999999991</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6567.2236394569945</v>
      </c>
      <c r="AG241">
        <f>Scenario_Data!T241</f>
        <v>59.519999999999996</v>
      </c>
      <c r="AH241">
        <f>2*(SQRT((Inputs!$C$52+(Scenario_Data!B241))^2+Inputs!$C$52^2-2*(Inputs!$C$52+(Scenario_Data!B241))*Inputs!$C$52*COS(SQRT((Scenario_Data!T241)^2+Inputs!$C$6^2)/Inputs!$C$52))*1000)/Inputs!$C$21*1000000</f>
        <v>2737.7462241092339</v>
      </c>
      <c r="AI241">
        <f>Scenario_Data!U241</f>
        <v>396.79999999999995</v>
      </c>
      <c r="AJ241">
        <f>2*(SQRT((Inputs!$C$52+(Scenario_Data!C241))^2+Inputs!$C$52^2-2*(Inputs!$C$52+(Scenario_Data!C241))*Inputs!$C$52*COS(SQRT((Scenario_Data!U241)^2+Inputs!$C$6^2)/Inputs!$C$52))*1000)/Inputs!$C$21*1000000</f>
        <v>3959.7846663670321</v>
      </c>
      <c r="AK241">
        <f>Scenario_Data!V241</f>
        <v>793.59999999999991</v>
      </c>
      <c r="AL241">
        <f>2*(SQRT((Inputs!$C$52+(Scenario_Data!D241))^2+Inputs!$C$52^2-2*(Inputs!$C$52+(Scenario_Data!D241))*Inputs!$C$52*COS(SQRT((Scenario_Data!V241)^2+Inputs!$C$6^2)/Inputs!$C$52))*1000)/Inputs!$C$21*1000000</f>
        <v>9376.948806056138</v>
      </c>
      <c r="AM241">
        <f>Scenario_Data!W241</f>
        <v>793.59999999999991</v>
      </c>
      <c r="AN241">
        <f>2*(SQRT((Inputs!$C$52+(Scenario_Data!E241))^2+Inputs!$C$52^2-2*(Inputs!$C$52+(Scenario_Data!E241))*Inputs!$C$52*COS(SQRT((Scenario_Data!W241)^2+Inputs!$C$6^2)/Inputs!$C$52))*1000)/Inputs!$C$21*1000000</f>
        <v>9376.0545934952825</v>
      </c>
      <c r="AP241">
        <f>Scenario_Data!T241</f>
        <v>59.519999999999996</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2736.577363887402</v>
      </c>
      <c r="AR241">
        <f>Scenario_Data!U241</f>
        <v>396.79999999999995</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3959.1875965265444</v>
      </c>
      <c r="AT241">
        <f>Scenario_Data!V241</f>
        <v>793.59999999999991</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9376.3675213349452</v>
      </c>
      <c r="AV241">
        <f>Scenario_Data!W241</f>
        <v>793.59999999999991</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9375.4733755196976</v>
      </c>
    </row>
    <row r="242" spans="1:49">
      <c r="A242">
        <f>Chart_Data!K242</f>
        <v>60</v>
      </c>
      <c r="B242">
        <f>Chart_Data!N242-Chart_Data!L242</f>
        <v>-35.492154229102937</v>
      </c>
      <c r="D242">
        <f>Chart_Data!G242</f>
        <v>60</v>
      </c>
      <c r="E242">
        <f>Chart_Data!H242</f>
        <v>179.34901119414707</v>
      </c>
      <c r="F242">
        <f>Chart_Data!I242</f>
        <v>179.34901119414707</v>
      </c>
      <c r="G242">
        <f>Chart_Data!J242</f>
        <v>31.89413090916895</v>
      </c>
      <c r="I242">
        <f>Scenario_Data!A242</f>
        <v>1</v>
      </c>
      <c r="J242">
        <f>Scenario_Data!H242-(((SQRT((Inputs!$C$52+(Inputs!$H$6))^2+Inputs!$C$52^2-2*(Inputs!$C$52+(Inputs!$H$6))*Inputs!$C$52*COS(SQRT((Scenario_Data!T242)^2+Inputs!$C$6^2)/Inputs!$C$52)))-(Inputs!$H$6))*1000/Inputs!$C$12)</f>
        <v>-28.606835752051211</v>
      </c>
      <c r="K242">
        <f>Scenario_Data!I242-(((SQRT((Inputs!$C$52+(Inputs!$H$7))^2+Inputs!$C$52^2-2*(Inputs!$C$52+(Inputs!$H$7))*Inputs!$C$52*COS(SQRT((Scenario_Data!U242)^2+Inputs!$C$6^2)/Inputs!$C$52)))-(Inputs!$H$7))*1000/Inputs!$C$12)</f>
        <v>-95550.696824635204</v>
      </c>
      <c r="L242">
        <f>Scenario_Data!J242-(((SQRT((Inputs!$C$52+(Inputs!$H$8))^2+Inputs!$C$52^2-2*(Inputs!$C$52+(Inputs!$H$8))*Inputs!$C$52*COS(SQRT((Scenario_Data!V242)^2+Inputs!$C$6^2)/Inputs!$C$52)))-(Inputs!$H$8))*1000/Inputs!$C$12)</f>
        <v>-192178.91313344726</v>
      </c>
      <c r="M242">
        <f>Scenario_Data!K242-(((SQRT((Inputs!$C$52+(Inputs!$H$9))^2+Inputs!$C$52^2-2*(Inputs!$C$52+(Inputs!$H$9))*Inputs!$C$52*COS(SQRT((Scenario_Data!W242)^2+Inputs!$C$6^2)/Inputs!$C$52)))-(Inputs!$H$9))*1000/Inputs!$C$12)</f>
        <v>-196175.94007289349</v>
      </c>
      <c r="O242">
        <f>Scenario_Data!T242</f>
        <v>60</v>
      </c>
      <c r="P242">
        <f>2*(Scenario_Data!B242*1000)/Inputs!$C$21*1000000</f>
        <v>2695.1978892010684</v>
      </c>
      <c r="Q242">
        <f>Scenario_Data!U242</f>
        <v>400</v>
      </c>
      <c r="R242">
        <f>2*(Scenario_Data!C242*1000)/Inputs!$C$21*1000000</f>
        <v>2668.5127615852166</v>
      </c>
      <c r="S242">
        <f>Scenario_Data!V242</f>
        <v>800</v>
      </c>
      <c r="T242">
        <f>2*(Scenario_Data!D242*1000)/Inputs!$C$21*1000000</f>
        <v>6671.2819039630413</v>
      </c>
      <c r="U242">
        <f>Scenario_Data!W242</f>
        <v>800</v>
      </c>
      <c r="V242">
        <f>2*(Scenario_Data!E242*1000)/Inputs!$C$21*1000000</f>
        <v>6671.2819039630413</v>
      </c>
      <c r="X242">
        <f>Scenario_Data!T242</f>
        <v>60</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2694.9851144626914</v>
      </c>
      <c r="Z242">
        <f>Scenario_Data!U242</f>
        <v>400</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2668.3506217177705</v>
      </c>
      <c r="AB242">
        <f>Scenario_Data!V242</f>
        <v>800</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6670.9703513931627</v>
      </c>
      <c r="AD242">
        <f>Scenario_Data!W242</f>
        <v>800</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6670.9703513931627</v>
      </c>
      <c r="AG242">
        <f>Scenario_Data!T242</f>
        <v>60</v>
      </c>
      <c r="AH242">
        <f>2*(SQRT((Inputs!$C$52+(Scenario_Data!B242))^2+Inputs!$C$52^2-2*(Inputs!$C$52+(Scenario_Data!B242))*Inputs!$C$52*COS(SQRT((Scenario_Data!T242)^2+Inputs!$C$6^2)/Inputs!$C$52))*1000)/Inputs!$C$21*1000000</f>
        <v>2738.7528797589603</v>
      </c>
      <c r="AI242">
        <f>Scenario_Data!U242</f>
        <v>400</v>
      </c>
      <c r="AJ242">
        <f>2*(SQRT((Inputs!$C$52+(Scenario_Data!C242))^2+Inputs!$C$52^2-2*(Inputs!$C$52+(Scenario_Data!C242))*Inputs!$C$52*COS(SQRT((Scenario_Data!U242)^2+Inputs!$C$6^2)/Inputs!$C$52))*1000)/Inputs!$C$21*1000000</f>
        <v>4006.5669904921833</v>
      </c>
      <c r="AK242">
        <f>Scenario_Data!V242</f>
        <v>800</v>
      </c>
      <c r="AL242">
        <f>2*(SQRT((Inputs!$C$52+(Scenario_Data!D242))^2+Inputs!$C$52^2-2*(Inputs!$C$52+(Scenario_Data!D242))*Inputs!$C$52*COS(SQRT((Scenario_Data!V242)^2+Inputs!$C$6^2)/Inputs!$C$52))*1000)/Inputs!$C$21*1000000</f>
        <v>9500.9899232733605</v>
      </c>
      <c r="AM242">
        <f>Scenario_Data!W242</f>
        <v>800</v>
      </c>
      <c r="AN242">
        <f>2*(SQRT((Inputs!$C$52+(Scenario_Data!E242))^2+Inputs!$C$52^2-2*(Inputs!$C$52+(Scenario_Data!E242))*Inputs!$C$52*COS(SQRT((Scenario_Data!W242)^2+Inputs!$C$6^2)/Inputs!$C$52))*1000)/Inputs!$C$21*1000000</f>
        <v>9500.9899232733605</v>
      </c>
      <c r="AP242">
        <f>Scenario_Data!T242</f>
        <v>60</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2737.580395373951</v>
      </c>
      <c r="AR242">
        <f>Scenario_Data!U242</f>
        <v>400</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4005.8185439109393</v>
      </c>
      <c r="AT242">
        <f>Scenario_Data!V242</f>
        <v>800</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9500.4590031016614</v>
      </c>
      <c r="AV242">
        <f>Scenario_Data!W242</f>
        <v>800</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9500.4590031016614</v>
      </c>
    </row>
    <row r="245" spans="1:49">
      <c r="A245">
        <f t="shared" ref="A245:A308" si="0">I2</f>
        <v>-1</v>
      </c>
      <c r="B245">
        <f t="shared" ref="B245:B308" si="1">J2</f>
        <v>-28.606835752051211</v>
      </c>
      <c r="C245">
        <f t="shared" ref="C245:C308" si="2">K2</f>
        <v>-95550.696824635204</v>
      </c>
      <c r="D245">
        <f t="shared" ref="D245:D308" si="3">L2</f>
        <v>-192178.91313344726</v>
      </c>
      <c r="E245">
        <f t="shared" ref="E245:E308" si="4">M2</f>
        <v>-196175.94007289349</v>
      </c>
    </row>
    <row r="246" spans="1:49">
      <c r="A246">
        <f t="shared" si="0"/>
        <v>-0.99199999999999999</v>
      </c>
      <c r="B246">
        <f t="shared" si="1"/>
        <v>-27.782863149590867</v>
      </c>
      <c r="C246">
        <f t="shared" si="2"/>
        <v>-94429.872930648315</v>
      </c>
      <c r="D246">
        <f t="shared" si="3"/>
        <v>-190472.55314770035</v>
      </c>
      <c r="E246">
        <f t="shared" si="4"/>
        <v>-194464.73837065243</v>
      </c>
    </row>
    <row r="247" spans="1:49">
      <c r="A247">
        <f t="shared" si="0"/>
        <v>-0.98299999999999998</v>
      </c>
      <c r="B247">
        <f t="shared" si="1"/>
        <v>-26.877434485224512</v>
      </c>
      <c r="C247">
        <f t="shared" si="2"/>
        <v>-93169.450020823468</v>
      </c>
      <c r="D247">
        <f t="shared" si="3"/>
        <v>-188542.34891493866</v>
      </c>
      <c r="E247">
        <f t="shared" si="4"/>
        <v>-192528.7589427015</v>
      </c>
    </row>
    <row r="248" spans="1:49">
      <c r="A248">
        <f t="shared" si="0"/>
        <v>-0.97499999999999998</v>
      </c>
      <c r="B248">
        <f t="shared" si="1"/>
        <v>-26.091469511469313</v>
      </c>
      <c r="C248">
        <f t="shared" si="2"/>
        <v>-92049.599695208031</v>
      </c>
      <c r="D248">
        <f t="shared" si="3"/>
        <v>-186817.33873453335</v>
      </c>
      <c r="E248">
        <f t="shared" si="4"/>
        <v>-190798.31818207764</v>
      </c>
    </row>
    <row r="249" spans="1:49">
      <c r="A249">
        <f t="shared" si="0"/>
        <v>-0.96699999999999997</v>
      </c>
      <c r="B249">
        <f t="shared" si="1"/>
        <v>-25.322987391846254</v>
      </c>
      <c r="C249">
        <f t="shared" si="2"/>
        <v>-90930.318556275248</v>
      </c>
      <c r="D249">
        <f t="shared" si="3"/>
        <v>-185083.70199145679</v>
      </c>
      <c r="E249">
        <f t="shared" si="4"/>
        <v>-189058.96620570074</v>
      </c>
    </row>
    <row r="250" spans="1:49">
      <c r="A250">
        <f t="shared" si="0"/>
        <v>-0.95799999999999996</v>
      </c>
      <c r="B250">
        <f t="shared" si="1"/>
        <v>-24.47902381513677</v>
      </c>
      <c r="C250">
        <f t="shared" si="2"/>
        <v>-89671.898520797025</v>
      </c>
      <c r="D250">
        <f t="shared" si="3"/>
        <v>-183123.17397563407</v>
      </c>
      <c r="E250">
        <f t="shared" si="4"/>
        <v>-187091.66215917454</v>
      </c>
    </row>
    <row r="251" spans="1:49">
      <c r="A251">
        <f t="shared" si="0"/>
        <v>-0.95</v>
      </c>
      <c r="B251">
        <f t="shared" si="1"/>
        <v>-23.746844660086936</v>
      </c>
      <c r="C251">
        <f t="shared" si="2"/>
        <v>-88554.070883643246</v>
      </c>
      <c r="D251">
        <f t="shared" si="3"/>
        <v>-181371.54200338566</v>
      </c>
      <c r="E251">
        <f t="shared" si="4"/>
        <v>-185333.69359371395</v>
      </c>
    </row>
    <row r="252" spans="1:49">
      <c r="A252">
        <f t="shared" si="0"/>
        <v>-0.94199999999999995</v>
      </c>
      <c r="B252">
        <f t="shared" si="1"/>
        <v>-23.031353320222479</v>
      </c>
      <c r="C252">
        <f t="shared" si="2"/>
        <v>-87437.045115058572</v>
      </c>
      <c r="D252">
        <f t="shared" si="3"/>
        <v>-179611.60663962277</v>
      </c>
      <c r="E252">
        <f t="shared" si="4"/>
        <v>-183567.12131353328</v>
      </c>
    </row>
    <row r="253" spans="1:49">
      <c r="A253">
        <f t="shared" si="0"/>
        <v>-0.93300000000000005</v>
      </c>
      <c r="B253">
        <f t="shared" si="1"/>
        <v>-22.246059825895372</v>
      </c>
      <c r="C253">
        <f t="shared" si="2"/>
        <v>-86181.446082973955</v>
      </c>
      <c r="D253">
        <f t="shared" si="3"/>
        <v>-177621.89133436125</v>
      </c>
      <c r="E253">
        <f t="shared" si="4"/>
        <v>-181569.57405040326</v>
      </c>
    </row>
    <row r="254" spans="1:49">
      <c r="A254">
        <f t="shared" si="0"/>
        <v>-0.92500000000000004</v>
      </c>
      <c r="B254">
        <f t="shared" si="1"/>
        <v>-21.565197447271657</v>
      </c>
      <c r="C254">
        <f t="shared" si="2"/>
        <v>-85066.383249791965</v>
      </c>
      <c r="D254">
        <f t="shared" si="3"/>
        <v>-175844.68076899392</v>
      </c>
      <c r="E254">
        <f t="shared" si="4"/>
        <v>-179785.07110087413</v>
      </c>
    </row>
    <row r="255" spans="1:49">
      <c r="A255">
        <f t="shared" si="0"/>
        <v>-0.91700000000000004</v>
      </c>
      <c r="B255">
        <f t="shared" si="1"/>
        <v>-20.900242486699881</v>
      </c>
      <c r="C255">
        <f t="shared" si="2"/>
        <v>-83952.369247370851</v>
      </c>
      <c r="D255">
        <f t="shared" si="3"/>
        <v>-174059.5218997983</v>
      </c>
      <c r="E255">
        <f t="shared" si="4"/>
        <v>-177992.30309147586</v>
      </c>
    </row>
    <row r="256" spans="1:49">
      <c r="A256">
        <f t="shared" si="0"/>
        <v>-0.90800000000000003</v>
      </c>
      <c r="B256">
        <f t="shared" si="1"/>
        <v>-20.170875551412792</v>
      </c>
      <c r="C256">
        <f t="shared" si="2"/>
        <v>-82700.459556477203</v>
      </c>
      <c r="D256">
        <f t="shared" si="3"/>
        <v>-172041.86803726538</v>
      </c>
      <c r="E256">
        <f t="shared" si="4"/>
        <v>-175965.70357183547</v>
      </c>
    </row>
    <row r="257" spans="1:5">
      <c r="A257">
        <f t="shared" si="0"/>
        <v>-0.9</v>
      </c>
      <c r="B257">
        <f t="shared" si="1"/>
        <v>-19.538907124212074</v>
      </c>
      <c r="C257">
        <f t="shared" si="2"/>
        <v>-81588.949134183073</v>
      </c>
      <c r="D257">
        <f t="shared" si="3"/>
        <v>-170240.22471774745</v>
      </c>
      <c r="E257">
        <f t="shared" si="4"/>
        <v>-174155.75991096892</v>
      </c>
    </row>
    <row r="258" spans="1:5">
      <c r="A258">
        <f t="shared" si="0"/>
        <v>-0.89200000000000002</v>
      </c>
      <c r="B258">
        <f t="shared" si="1"/>
        <v>-18.922080788589938</v>
      </c>
      <c r="C258">
        <f t="shared" si="2"/>
        <v>-80478.749607010104</v>
      </c>
      <c r="D258">
        <f t="shared" si="3"/>
        <v>-168431.02288308332</v>
      </c>
      <c r="E258">
        <f t="shared" si="4"/>
        <v>-172337.9237806311</v>
      </c>
    </row>
    <row r="259" spans="1:5">
      <c r="A259">
        <f t="shared" si="0"/>
        <v>-0.88300000000000001</v>
      </c>
      <c r="B259">
        <f t="shared" si="1"/>
        <v>-18.245949870930872</v>
      </c>
      <c r="C259">
        <f t="shared" si="2"/>
        <v>-79231.450693104227</v>
      </c>
      <c r="D259">
        <f t="shared" si="3"/>
        <v>-166386.80122569614</v>
      </c>
      <c r="E259">
        <f t="shared" si="4"/>
        <v>-170283.58230501943</v>
      </c>
    </row>
    <row r="260" spans="1:5">
      <c r="A260">
        <f t="shared" si="0"/>
        <v>-0.875</v>
      </c>
      <c r="B260">
        <f t="shared" si="1"/>
        <v>-17.660500113955095</v>
      </c>
      <c r="C260">
        <f t="shared" si="2"/>
        <v>-78124.328383369575</v>
      </c>
      <c r="D260">
        <f t="shared" si="3"/>
        <v>-164561.98259931064</v>
      </c>
      <c r="E260">
        <f t="shared" si="4"/>
        <v>-168449.40082622971</v>
      </c>
    </row>
    <row r="261" spans="1:5">
      <c r="A261">
        <f t="shared" si="0"/>
        <v>-0.86699999999999999</v>
      </c>
      <c r="B261">
        <f t="shared" si="1"/>
        <v>-17.089442616799715</v>
      </c>
      <c r="C261">
        <f t="shared" si="2"/>
        <v>-77018.794989844479</v>
      </c>
      <c r="D261">
        <f t="shared" si="3"/>
        <v>-162730.03298707734</v>
      </c>
      <c r="E261">
        <f t="shared" si="4"/>
        <v>-166607.7364499004</v>
      </c>
    </row>
    <row r="262" spans="1:5">
      <c r="A262">
        <f t="shared" si="0"/>
        <v>-0.85799999999999998</v>
      </c>
      <c r="B262">
        <f t="shared" si="1"/>
        <v>-16.463911639531943</v>
      </c>
      <c r="C262">
        <f t="shared" si="2"/>
        <v>-75777.084390837015</v>
      </c>
      <c r="D262">
        <f t="shared" si="3"/>
        <v>-160660.74701629789</v>
      </c>
      <c r="E262">
        <f t="shared" si="4"/>
        <v>-164527.09337077424</v>
      </c>
    </row>
    <row r="263" spans="1:5">
      <c r="A263">
        <f t="shared" si="0"/>
        <v>-0.85</v>
      </c>
      <c r="B263">
        <f t="shared" si="1"/>
        <v>-15.922654129073635</v>
      </c>
      <c r="C263">
        <f t="shared" si="2"/>
        <v>-74675.236694186082</v>
      </c>
      <c r="D263">
        <f t="shared" si="3"/>
        <v>-158814.13192459266</v>
      </c>
      <c r="E263">
        <f t="shared" si="4"/>
        <v>-162669.99600543149</v>
      </c>
    </row>
    <row r="264" spans="1:5">
      <c r="A264">
        <f t="shared" si="0"/>
        <v>-0.84199999999999997</v>
      </c>
      <c r="B264">
        <f t="shared" si="1"/>
        <v>-15.39505495210642</v>
      </c>
      <c r="C264">
        <f t="shared" si="2"/>
        <v>-73575.272777374339</v>
      </c>
      <c r="D264">
        <f t="shared" si="3"/>
        <v>-156960.85443111646</v>
      </c>
      <c r="E264">
        <f t="shared" si="4"/>
        <v>-160805.86562780707</v>
      </c>
    </row>
    <row r="265" spans="1:5">
      <c r="A265">
        <f t="shared" si="0"/>
        <v>-0.83299999999999996</v>
      </c>
      <c r="B265">
        <f t="shared" si="1"/>
        <v>-14.817543761564139</v>
      </c>
      <c r="C265">
        <f t="shared" si="2"/>
        <v>-72340.187247200418</v>
      </c>
      <c r="D265">
        <f t="shared" si="3"/>
        <v>-154868.15200145353</v>
      </c>
      <c r="E265">
        <f t="shared" si="4"/>
        <v>-158700.50306586787</v>
      </c>
    </row>
    <row r="266" spans="1:5">
      <c r="A266">
        <f t="shared" si="0"/>
        <v>-0.82499999999999996</v>
      </c>
      <c r="B266">
        <f t="shared" si="1"/>
        <v>-14.318202220481453</v>
      </c>
      <c r="C266">
        <f t="shared" si="2"/>
        <v>-71244.554262802048</v>
      </c>
      <c r="D266">
        <f t="shared" si="3"/>
        <v>-153001.25134490427</v>
      </c>
      <c r="E266">
        <f t="shared" si="4"/>
        <v>-156821.9415170548</v>
      </c>
    </row>
    <row r="267" spans="1:5">
      <c r="A267">
        <f t="shared" si="0"/>
        <v>-0.81699999999999995</v>
      </c>
      <c r="B267">
        <f t="shared" si="1"/>
        <v>-13.831801402375277</v>
      </c>
      <c r="C267">
        <f t="shared" si="2"/>
        <v>-70151.117679492658</v>
      </c>
      <c r="D267">
        <f t="shared" si="3"/>
        <v>-151128.20153368788</v>
      </c>
      <c r="E267">
        <f t="shared" si="4"/>
        <v>-154936.84079418762</v>
      </c>
    </row>
    <row r="268" spans="1:5">
      <c r="A268">
        <f t="shared" si="0"/>
        <v>-0.80800000000000005</v>
      </c>
      <c r="B268">
        <f t="shared" si="1"/>
        <v>-13.299787208880844</v>
      </c>
      <c r="C268">
        <f t="shared" si="2"/>
        <v>-68923.75640485117</v>
      </c>
      <c r="D268">
        <f t="shared" si="3"/>
        <v>-149013.88756056636</v>
      </c>
      <c r="E268">
        <f t="shared" si="4"/>
        <v>-152808.49543699686</v>
      </c>
    </row>
    <row r="269" spans="1:5">
      <c r="A269">
        <f t="shared" si="0"/>
        <v>-0.8</v>
      </c>
      <c r="B269">
        <f t="shared" si="1"/>
        <v>-12.840136776974759</v>
      </c>
      <c r="C269">
        <f t="shared" si="2"/>
        <v>-67835.334719187129</v>
      </c>
      <c r="D269">
        <f t="shared" si="3"/>
        <v>-147128.35590287362</v>
      </c>
      <c r="E269">
        <f t="shared" si="4"/>
        <v>-150910.062898851</v>
      </c>
    </row>
    <row r="270" spans="1:5">
      <c r="A270">
        <f t="shared" si="0"/>
        <v>-0.79200000000000004</v>
      </c>
      <c r="B270">
        <f t="shared" si="1"/>
        <v>-12.392726180069985</v>
      </c>
      <c r="C270">
        <f t="shared" si="2"/>
        <v>-66749.440755261443</v>
      </c>
      <c r="D270">
        <f t="shared" si="3"/>
        <v>-145237.23692226937</v>
      </c>
      <c r="E270">
        <f t="shared" si="4"/>
        <v>-149005.63294747777</v>
      </c>
    </row>
    <row r="271" spans="1:5">
      <c r="A271">
        <f t="shared" si="0"/>
        <v>-0.78300000000000003</v>
      </c>
      <c r="B271">
        <f t="shared" si="1"/>
        <v>-11.903744966717568</v>
      </c>
      <c r="C271">
        <f t="shared" si="2"/>
        <v>-65530.968666103829</v>
      </c>
      <c r="D271">
        <f t="shared" si="3"/>
        <v>-143103.2871715021</v>
      </c>
      <c r="E271">
        <f t="shared" si="4"/>
        <v>-146856.21000814714</v>
      </c>
    </row>
    <row r="272" spans="1:5">
      <c r="A272">
        <f t="shared" si="0"/>
        <v>-0.77500000000000002</v>
      </c>
      <c r="B272">
        <f t="shared" si="1"/>
        <v>-11.481613456182458</v>
      </c>
      <c r="C272">
        <f t="shared" si="2"/>
        <v>-64450.814321778293</v>
      </c>
      <c r="D272">
        <f t="shared" si="3"/>
        <v>-141200.93534309621</v>
      </c>
      <c r="E272">
        <f t="shared" si="4"/>
        <v>-144939.65393967155</v>
      </c>
    </row>
    <row r="273" spans="1:5">
      <c r="A273">
        <f t="shared" si="0"/>
        <v>-0.76700000000000002</v>
      </c>
      <c r="B273">
        <f t="shared" si="1"/>
        <v>-11.071038001998204</v>
      </c>
      <c r="C273">
        <f t="shared" si="2"/>
        <v>-63373.538684469939</v>
      </c>
      <c r="D273">
        <f t="shared" si="3"/>
        <v>-139293.61086167698</v>
      </c>
      <c r="E273">
        <f t="shared" si="4"/>
        <v>-143017.69446274094</v>
      </c>
    </row>
    <row r="274" spans="1:5">
      <c r="A274">
        <f t="shared" si="0"/>
        <v>-0.75800000000000001</v>
      </c>
      <c r="B274">
        <f t="shared" si="1"/>
        <v>-10.622685923482095</v>
      </c>
      <c r="C274">
        <f t="shared" si="2"/>
        <v>-62165.189846866764</v>
      </c>
      <c r="D274">
        <f t="shared" si="3"/>
        <v>-137142.18690545231</v>
      </c>
      <c r="E274">
        <f t="shared" si="4"/>
        <v>-140849.28287495419</v>
      </c>
    </row>
    <row r="275" spans="1:5">
      <c r="A275">
        <f t="shared" si="0"/>
        <v>-0.75</v>
      </c>
      <c r="B275">
        <f t="shared" si="1"/>
        <v>-10.235955038383963</v>
      </c>
      <c r="C275">
        <f t="shared" si="2"/>
        <v>-61094.421380709784</v>
      </c>
      <c r="D275">
        <f t="shared" si="3"/>
        <v>-135224.99566257387</v>
      </c>
      <c r="E275">
        <f t="shared" si="4"/>
        <v>-138916.51889518261</v>
      </c>
    </row>
    <row r="276" spans="1:5">
      <c r="A276">
        <f t="shared" si="0"/>
        <v>-0.74199999999999999</v>
      </c>
      <c r="B276">
        <f t="shared" si="1"/>
        <v>-9.8601139367465294</v>
      </c>
      <c r="C276">
        <f t="shared" si="2"/>
        <v>-60026.903256236488</v>
      </c>
      <c r="D276">
        <f t="shared" si="3"/>
        <v>-133303.50387707393</v>
      </c>
      <c r="E276">
        <f t="shared" si="4"/>
        <v>-136979.00244933416</v>
      </c>
    </row>
    <row r="277" spans="1:5">
      <c r="A277">
        <f t="shared" si="0"/>
        <v>-0.73299999999999998</v>
      </c>
      <c r="B277">
        <f t="shared" si="1"/>
        <v>-9.4500486732272293</v>
      </c>
      <c r="C277">
        <f t="shared" si="2"/>
        <v>-58829.984333780361</v>
      </c>
      <c r="D277">
        <f t="shared" si="3"/>
        <v>-131136.96927609117</v>
      </c>
      <c r="E277">
        <f t="shared" si="4"/>
        <v>-134793.89137103801</v>
      </c>
    </row>
    <row r="278" spans="1:5">
      <c r="A278">
        <f t="shared" si="0"/>
        <v>-0.72499999999999998</v>
      </c>
      <c r="B278">
        <f t="shared" si="1"/>
        <v>-9.0966552194690848</v>
      </c>
      <c r="C278">
        <f t="shared" si="2"/>
        <v>-57769.785871170316</v>
      </c>
      <c r="D278">
        <f t="shared" si="3"/>
        <v>-129207.10406628711</v>
      </c>
      <c r="E278">
        <f t="shared" si="4"/>
        <v>-132847.0183380536</v>
      </c>
    </row>
    <row r="279" spans="1:5">
      <c r="A279">
        <f t="shared" si="0"/>
        <v>-0.71699999999999997</v>
      </c>
      <c r="B279">
        <f t="shared" si="1"/>
        <v>-8.7535031569864259</v>
      </c>
      <c r="C279">
        <f t="shared" si="2"/>
        <v>-56713.231033901451</v>
      </c>
      <c r="D279">
        <f t="shared" si="3"/>
        <v>-127273.6728305979</v>
      </c>
      <c r="E279">
        <f t="shared" si="4"/>
        <v>-130896.10580357295</v>
      </c>
    </row>
    <row r="280" spans="1:5">
      <c r="A280">
        <f t="shared" si="0"/>
        <v>-0.70799999999999996</v>
      </c>
      <c r="B280">
        <f t="shared" si="1"/>
        <v>-8.379445258978194</v>
      </c>
      <c r="C280">
        <f t="shared" si="2"/>
        <v>-55529.124801208105</v>
      </c>
      <c r="D280">
        <f t="shared" si="3"/>
        <v>-125094.61059367191</v>
      </c>
      <c r="E280">
        <f t="shared" si="4"/>
        <v>-128696.80249462565</v>
      </c>
    </row>
    <row r="281" spans="1:5">
      <c r="A281">
        <f t="shared" si="0"/>
        <v>-0.7</v>
      </c>
      <c r="B281">
        <f t="shared" si="1"/>
        <v>-8.0573823215368066</v>
      </c>
      <c r="C281">
        <f t="shared" si="2"/>
        <v>-54480.749191198192</v>
      </c>
      <c r="D281">
        <f t="shared" si="3"/>
        <v>-123154.43747008915</v>
      </c>
      <c r="E281">
        <f t="shared" si="4"/>
        <v>-126738.11882360443</v>
      </c>
    </row>
    <row r="282" spans="1:5">
      <c r="A282">
        <f t="shared" si="0"/>
        <v>-0.69199999999999995</v>
      </c>
      <c r="B282">
        <f t="shared" si="1"/>
        <v>-7.7449306373637228</v>
      </c>
      <c r="C282">
        <f t="shared" si="2"/>
        <v>-53436.433148204567</v>
      </c>
      <c r="D282">
        <f t="shared" si="3"/>
        <v>-121211.50058427514</v>
      </c>
      <c r="E282">
        <f t="shared" si="4"/>
        <v>-124776.17612891932</v>
      </c>
    </row>
    <row r="283" spans="1:5">
      <c r="A283">
        <f t="shared" si="0"/>
        <v>-0.68300000000000005</v>
      </c>
      <c r="B283">
        <f t="shared" si="1"/>
        <v>-7.4046648244461721</v>
      </c>
      <c r="C283">
        <f t="shared" si="2"/>
        <v>-52266.602037422461</v>
      </c>
      <c r="D283">
        <f t="shared" si="3"/>
        <v>-119022.73194468833</v>
      </c>
      <c r="E283">
        <f t="shared" si="4"/>
        <v>-122565.42525707473</v>
      </c>
    </row>
    <row r="284" spans="1:5">
      <c r="A284">
        <f t="shared" si="0"/>
        <v>-0.67500000000000004</v>
      </c>
      <c r="B284">
        <f t="shared" si="1"/>
        <v>-7.1119829201097673</v>
      </c>
      <c r="C284">
        <f t="shared" si="2"/>
        <v>-51231.374010913656</v>
      </c>
      <c r="D284">
        <f t="shared" si="3"/>
        <v>-117074.83465957025</v>
      </c>
      <c r="E284">
        <f t="shared" si="4"/>
        <v>-120597.44652148281</v>
      </c>
    </row>
    <row r="285" spans="1:5">
      <c r="A285">
        <f t="shared" si="0"/>
        <v>-0.66700000000000004</v>
      </c>
      <c r="B285">
        <f t="shared" si="1"/>
        <v>-6.8283007484997142</v>
      </c>
      <c r="C285">
        <f t="shared" si="2"/>
        <v>-50200.645163369758</v>
      </c>
      <c r="D285">
        <f t="shared" si="3"/>
        <v>-115125.04934461683</v>
      </c>
      <c r="E285">
        <f t="shared" si="4"/>
        <v>-118627.06266188383</v>
      </c>
    </row>
    <row r="286" spans="1:5">
      <c r="A286">
        <f t="shared" si="0"/>
        <v>-0.65800000000000003</v>
      </c>
      <c r="B286">
        <f t="shared" si="1"/>
        <v>-6.5196771902137698</v>
      </c>
      <c r="C286">
        <f t="shared" si="2"/>
        <v>-49046.634821965388</v>
      </c>
      <c r="D286">
        <f t="shared" si="3"/>
        <v>-112929.65387596696</v>
      </c>
      <c r="E286">
        <f t="shared" si="4"/>
        <v>-116407.86707581821</v>
      </c>
    </row>
    <row r="287" spans="1:5">
      <c r="A287">
        <f t="shared" si="0"/>
        <v>-0.65</v>
      </c>
      <c r="B287">
        <f t="shared" si="1"/>
        <v>-6.2544853914218947</v>
      </c>
      <c r="C287">
        <f t="shared" si="2"/>
        <v>-48025.954152811115</v>
      </c>
      <c r="D287">
        <f t="shared" si="3"/>
        <v>-110976.85216755129</v>
      </c>
      <c r="E287">
        <f t="shared" si="4"/>
        <v>-114433.34492030981</v>
      </c>
    </row>
    <row r="288" spans="1:5">
      <c r="A288">
        <f t="shared" si="0"/>
        <v>-0.64200000000000002</v>
      </c>
      <c r="B288">
        <f t="shared" si="1"/>
        <v>-5.9977007769762167</v>
      </c>
      <c r="C288">
        <f t="shared" si="2"/>
        <v>-47010.236953450076</v>
      </c>
      <c r="D288">
        <f t="shared" si="3"/>
        <v>-109023.11773384287</v>
      </c>
      <c r="E288">
        <f t="shared" si="4"/>
        <v>-112457.35129337231</v>
      </c>
    </row>
    <row r="289" spans="1:5">
      <c r="A289">
        <f t="shared" si="0"/>
        <v>-0.63300000000000001</v>
      </c>
      <c r="B289">
        <f t="shared" si="1"/>
        <v>-5.7186363390651422</v>
      </c>
      <c r="C289">
        <f t="shared" si="2"/>
        <v>-45873.679789055153</v>
      </c>
      <c r="D289">
        <f t="shared" si="3"/>
        <v>-106824.4548063117</v>
      </c>
      <c r="E289">
        <f t="shared" si="4"/>
        <v>-110232.99428005796</v>
      </c>
    </row>
    <row r="290" spans="1:5">
      <c r="A290">
        <f t="shared" si="0"/>
        <v>-0.625</v>
      </c>
      <c r="B290">
        <f t="shared" si="1"/>
        <v>-5.479103372775171</v>
      </c>
      <c r="C290">
        <f t="shared" si="2"/>
        <v>-44869.024435891464</v>
      </c>
      <c r="D290">
        <f t="shared" si="3"/>
        <v>-104869.82387216578</v>
      </c>
      <c r="E290">
        <f t="shared" si="4"/>
        <v>-108254.93665267841</v>
      </c>
    </row>
    <row r="291" spans="1:5">
      <c r="A291">
        <f t="shared" si="0"/>
        <v>-0.61699999999999999</v>
      </c>
      <c r="B291">
        <f t="shared" si="1"/>
        <v>-5.2474043572378832</v>
      </c>
      <c r="C291">
        <f t="shared" si="2"/>
        <v>-43869.822519638255</v>
      </c>
      <c r="D291">
        <f t="shared" si="3"/>
        <v>-102915.30156679498</v>
      </c>
      <c r="E291">
        <f t="shared" si="4"/>
        <v>-106276.42770998055</v>
      </c>
    </row>
    <row r="292" spans="1:5">
      <c r="A292">
        <f t="shared" si="0"/>
        <v>-0.60799999999999998</v>
      </c>
      <c r="B292">
        <f t="shared" si="1"/>
        <v>-4.995883813084447</v>
      </c>
      <c r="C292">
        <f t="shared" si="2"/>
        <v>-42752.441205504758</v>
      </c>
      <c r="D292">
        <f t="shared" si="3"/>
        <v>-100717.03311684405</v>
      </c>
      <c r="E292">
        <f t="shared" si="4"/>
        <v>-104050.49672552577</v>
      </c>
    </row>
    <row r="293" spans="1:5">
      <c r="A293">
        <f t="shared" si="0"/>
        <v>-0.6</v>
      </c>
      <c r="B293">
        <f t="shared" si="1"/>
        <v>-4.780239127223922</v>
      </c>
      <c r="C293">
        <f t="shared" si="2"/>
        <v>-41765.370410184376</v>
      </c>
      <c r="D293">
        <f t="shared" si="3"/>
        <v>-98763.924239837128</v>
      </c>
      <c r="E293">
        <f t="shared" si="4"/>
        <v>-102072.18940950758</v>
      </c>
    </row>
    <row r="294" spans="1:5">
      <c r="A294">
        <f t="shared" si="0"/>
        <v>-0.59199999999999997</v>
      </c>
      <c r="B294">
        <f t="shared" si="1"/>
        <v>-4.5718748099950517</v>
      </c>
      <c r="C294">
        <f t="shared" si="2"/>
        <v>-40784.26967339727</v>
      </c>
      <c r="D294">
        <f t="shared" si="3"/>
        <v>-96812.058229060029</v>
      </c>
      <c r="E294">
        <f t="shared" si="4"/>
        <v>-100094.54459469678</v>
      </c>
    </row>
    <row r="295" spans="1:5">
      <c r="A295">
        <f t="shared" si="0"/>
        <v>-0.58299999999999996</v>
      </c>
      <c r="B295">
        <f t="shared" si="1"/>
        <v>-4.3459520128728855</v>
      </c>
      <c r="C295">
        <f t="shared" si="2"/>
        <v>-39687.880586280648</v>
      </c>
      <c r="D295">
        <f t="shared" si="3"/>
        <v>-94618.172780739202</v>
      </c>
      <c r="E295">
        <f t="shared" si="4"/>
        <v>-97870.956421788083</v>
      </c>
    </row>
    <row r="296" spans="1:5">
      <c r="A296">
        <f t="shared" si="0"/>
        <v>-0.57499999999999996</v>
      </c>
      <c r="B296">
        <f t="shared" si="1"/>
        <v>-4.1524868146580047</v>
      </c>
      <c r="C296">
        <f t="shared" si="2"/>
        <v>-38720.0379034832</v>
      </c>
      <c r="D296">
        <f t="shared" si="3"/>
        <v>-92670.235040711414</v>
      </c>
      <c r="E296">
        <f t="shared" si="4"/>
        <v>-95895.985812650615</v>
      </c>
    </row>
    <row r="297" spans="1:5">
      <c r="A297">
        <f t="shared" si="0"/>
        <v>-0.56699999999999995</v>
      </c>
      <c r="B297">
        <f t="shared" si="1"/>
        <v>-3.965768378529674</v>
      </c>
      <c r="C297">
        <f t="shared" si="2"/>
        <v>-37758.709506009036</v>
      </c>
      <c r="D297">
        <f t="shared" si="3"/>
        <v>-90724.774448562239</v>
      </c>
      <c r="E297">
        <f t="shared" si="4"/>
        <v>-93922.892718858086</v>
      </c>
    </row>
    <row r="298" spans="1:5">
      <c r="A298">
        <f t="shared" si="0"/>
        <v>-0.55800000000000005</v>
      </c>
      <c r="B298">
        <f t="shared" si="1"/>
        <v>-3.7635674146301881</v>
      </c>
      <c r="C298">
        <f t="shared" si="2"/>
        <v>-36685.226067220006</v>
      </c>
      <c r="D298">
        <f t="shared" si="3"/>
        <v>-88539.612282307091</v>
      </c>
      <c r="E298">
        <f t="shared" si="4"/>
        <v>-91705.919959116989</v>
      </c>
    </row>
    <row r="299" spans="1:5">
      <c r="A299">
        <f t="shared" si="0"/>
        <v>-0.55000000000000004</v>
      </c>
      <c r="B299">
        <f t="shared" si="1"/>
        <v>-3.5906356710743239</v>
      </c>
      <c r="C299">
        <f t="shared" si="2"/>
        <v>-35738.342299056225</v>
      </c>
      <c r="D299">
        <f t="shared" si="3"/>
        <v>-86600.815246497659</v>
      </c>
      <c r="E299">
        <f t="shared" si="4"/>
        <v>-89738.19699014083</v>
      </c>
    </row>
    <row r="300" spans="1:5">
      <c r="A300">
        <f t="shared" si="0"/>
        <v>-0.54200000000000004</v>
      </c>
      <c r="B300">
        <f t="shared" si="1"/>
        <v>-3.4239373717214221</v>
      </c>
      <c r="C300">
        <f t="shared" si="2"/>
        <v>-34798.545562910222</v>
      </c>
      <c r="D300">
        <f t="shared" si="3"/>
        <v>-84665.837128348445</v>
      </c>
      <c r="E300">
        <f t="shared" si="4"/>
        <v>-87773.675624308846</v>
      </c>
    </row>
    <row r="301" spans="1:5">
      <c r="A301">
        <f t="shared" si="0"/>
        <v>-0.53300000000000003</v>
      </c>
      <c r="B301">
        <f t="shared" si="1"/>
        <v>-3.2436536593402252</v>
      </c>
      <c r="C301">
        <f t="shared" si="2"/>
        <v>-33749.98145308542</v>
      </c>
      <c r="D301">
        <f t="shared" si="3"/>
        <v>-82494.116442924889</v>
      </c>
      <c r="E301">
        <f t="shared" si="4"/>
        <v>-85567.974379462714</v>
      </c>
    </row>
    <row r="302" spans="1:5">
      <c r="A302">
        <f t="shared" si="0"/>
        <v>-0.52500000000000002</v>
      </c>
      <c r="B302">
        <f t="shared" si="1"/>
        <v>-3.0896730716708589</v>
      </c>
      <c r="C302">
        <f t="shared" si="2"/>
        <v>-32825.877462688077</v>
      </c>
      <c r="D302">
        <f t="shared" si="3"/>
        <v>-80568.773681183695</v>
      </c>
      <c r="E302">
        <f t="shared" si="4"/>
        <v>-83611.759447186691</v>
      </c>
    </row>
    <row r="303" spans="1:5">
      <c r="A303">
        <f t="shared" si="0"/>
        <v>-0.51700000000000002</v>
      </c>
      <c r="B303">
        <f t="shared" si="1"/>
        <v>-2.9414332074700269</v>
      </c>
      <c r="C303">
        <f t="shared" si="2"/>
        <v>-31909.462641600709</v>
      </c>
      <c r="D303">
        <f t="shared" si="3"/>
        <v>-78648.70676173814</v>
      </c>
      <c r="E303">
        <f t="shared" si="4"/>
        <v>-81660.187434621155</v>
      </c>
    </row>
    <row r="304" spans="1:5">
      <c r="A304">
        <f t="shared" si="0"/>
        <v>-0.50800000000000001</v>
      </c>
      <c r="B304">
        <f t="shared" si="1"/>
        <v>-2.7813345652473345</v>
      </c>
      <c r="C304">
        <f t="shared" si="2"/>
        <v>-30887.934860679568</v>
      </c>
      <c r="D304">
        <f t="shared" si="3"/>
        <v>-76495.550616892549</v>
      </c>
      <c r="E304">
        <f t="shared" si="4"/>
        <v>-79470.825965850527</v>
      </c>
    </row>
    <row r="305" spans="1:5">
      <c r="A305">
        <f t="shared" si="0"/>
        <v>-0.5</v>
      </c>
      <c r="B305">
        <f t="shared" si="1"/>
        <v>-2.6447875068229223</v>
      </c>
      <c r="C305">
        <f t="shared" si="2"/>
        <v>-29988.524239953986</v>
      </c>
      <c r="D305">
        <f t="shared" si="3"/>
        <v>-74588.343833805033</v>
      </c>
      <c r="E305">
        <f t="shared" si="4"/>
        <v>-77530.754646811518</v>
      </c>
    </row>
    <row r="306" spans="1:5">
      <c r="A306">
        <f t="shared" si="0"/>
        <v>-0.49199999999999999</v>
      </c>
      <c r="B306">
        <f t="shared" si="1"/>
        <v>-2.5135093403541759</v>
      </c>
      <c r="C306">
        <f t="shared" si="2"/>
        <v>-29097.435135520733</v>
      </c>
      <c r="D306">
        <f t="shared" si="3"/>
        <v>-72687.992783106281</v>
      </c>
      <c r="E306">
        <f t="shared" si="4"/>
        <v>-75596.893145964568</v>
      </c>
    </row>
    <row r="307" spans="1:5">
      <c r="A307">
        <f t="shared" si="0"/>
        <v>-0.48299999999999998</v>
      </c>
      <c r="B307">
        <f t="shared" si="1"/>
        <v>-2.3719370163648819</v>
      </c>
      <c r="C307">
        <f t="shared" si="2"/>
        <v>-28105.166881478122</v>
      </c>
      <c r="D307">
        <f t="shared" si="3"/>
        <v>-70558.956545294801</v>
      </c>
      <c r="E307">
        <f t="shared" si="4"/>
        <v>-73429.381226252764</v>
      </c>
    </row>
    <row r="308" spans="1:5">
      <c r="A308">
        <f t="shared" si="0"/>
        <v>-0.47499999999999998</v>
      </c>
      <c r="B308">
        <f t="shared" si="1"/>
        <v>-2.2513714361657549</v>
      </c>
      <c r="C308">
        <f t="shared" si="2"/>
        <v>-27232.458450313294</v>
      </c>
      <c r="D308">
        <f t="shared" si="3"/>
        <v>-68674.960061513659</v>
      </c>
      <c r="E308">
        <f t="shared" si="4"/>
        <v>-71510.490507051625</v>
      </c>
    </row>
    <row r="309" spans="1:5">
      <c r="A309">
        <f t="shared" ref="A309:A372" si="5">I66</f>
        <v>-0.46700000000000003</v>
      </c>
      <c r="B309">
        <f t="shared" ref="B309:B372" si="6">J66</f>
        <v>-2.13562408544135</v>
      </c>
      <c r="C309">
        <f t="shared" ref="C309:C372" si="7">K66</f>
        <v>-26368.734852925321</v>
      </c>
      <c r="D309">
        <f t="shared" ref="D309:D372" si="8">L66</f>
        <v>-66799.530021092054</v>
      </c>
      <c r="E309">
        <f t="shared" ref="E309:E372" si="9">M66</f>
        <v>-69599.510532789369</v>
      </c>
    </row>
    <row r="310" spans="1:5">
      <c r="A310">
        <f t="shared" si="5"/>
        <v>-0.45800000000000002</v>
      </c>
      <c r="B310">
        <f t="shared" si="6"/>
        <v>-2.0109937508048006</v>
      </c>
      <c r="C310">
        <f t="shared" si="7"/>
        <v>-25408.058195726291</v>
      </c>
      <c r="D310">
        <f t="shared" si="8"/>
        <v>-64700.628963953612</v>
      </c>
      <c r="E310">
        <f t="shared" si="9"/>
        <v>-67459.829123438874</v>
      </c>
    </row>
    <row r="311" spans="1:5">
      <c r="A311">
        <f t="shared" si="5"/>
        <v>-0.45</v>
      </c>
      <c r="B311">
        <f t="shared" si="6"/>
        <v>-1.9050240415085682</v>
      </c>
      <c r="C311">
        <f t="shared" si="7"/>
        <v>-24564.158312691114</v>
      </c>
      <c r="D311">
        <f t="shared" si="8"/>
        <v>-62845.334215087423</v>
      </c>
      <c r="E311">
        <f t="shared" si="9"/>
        <v>-65567.583789466706</v>
      </c>
    </row>
    <row r="312" spans="1:5">
      <c r="A312">
        <f t="shared" si="5"/>
        <v>-0.442</v>
      </c>
      <c r="B312">
        <f t="shared" si="6"/>
        <v>-1.8034433360094226</v>
      </c>
      <c r="C312">
        <f t="shared" si="7"/>
        <v>-23729.938248077422</v>
      </c>
      <c r="D312">
        <f t="shared" si="8"/>
        <v>-61000.45522179082</v>
      </c>
      <c r="E312">
        <f t="shared" si="9"/>
        <v>-63685.092564364764</v>
      </c>
    </row>
    <row r="313" spans="1:5">
      <c r="A313">
        <f t="shared" si="5"/>
        <v>-0.433</v>
      </c>
      <c r="B313">
        <f t="shared" si="6"/>
        <v>-1.6942460296072568</v>
      </c>
      <c r="C313">
        <f t="shared" si="7"/>
        <v>-22803.296578072208</v>
      </c>
      <c r="D313">
        <f t="shared" si="8"/>
        <v>-58938.191859995888</v>
      </c>
      <c r="E313">
        <f t="shared" si="9"/>
        <v>-61579.723356260394</v>
      </c>
    </row>
    <row r="314" spans="1:5">
      <c r="A314">
        <f t="shared" si="5"/>
        <v>-0.42499999999999999</v>
      </c>
      <c r="B314">
        <f t="shared" si="6"/>
        <v>-1.601553853415453</v>
      </c>
      <c r="C314">
        <f t="shared" si="7"/>
        <v>-21990.411244520408</v>
      </c>
      <c r="D314">
        <f t="shared" si="8"/>
        <v>-57117.53151668291</v>
      </c>
      <c r="E314">
        <f t="shared" si="9"/>
        <v>-59720.042102486768</v>
      </c>
    </row>
    <row r="315" spans="1:5">
      <c r="A315">
        <f t="shared" si="5"/>
        <v>-0.41699999999999998</v>
      </c>
      <c r="B315">
        <f t="shared" si="6"/>
        <v>-1.512843152252799</v>
      </c>
      <c r="C315">
        <f t="shared" si="7"/>
        <v>-21187.933007764404</v>
      </c>
      <c r="D315">
        <f t="shared" si="8"/>
        <v>-55309.28240772686</v>
      </c>
      <c r="E315">
        <f t="shared" si="9"/>
        <v>-57872.108972824644</v>
      </c>
    </row>
    <row r="316" spans="1:5">
      <c r="A316">
        <f t="shared" si="5"/>
        <v>-0.40799999999999997</v>
      </c>
      <c r="B316">
        <f t="shared" si="6"/>
        <v>-1.4176461878619193</v>
      </c>
      <c r="C316">
        <f t="shared" si="7"/>
        <v>-20297.883237372946</v>
      </c>
      <c r="D316">
        <f t="shared" si="8"/>
        <v>-53290.673072524471</v>
      </c>
      <c r="E316">
        <f t="shared" si="9"/>
        <v>-55808.06323941442</v>
      </c>
    </row>
    <row r="317" spans="1:5">
      <c r="A317">
        <f t="shared" si="5"/>
        <v>-0.4</v>
      </c>
      <c r="B317">
        <f t="shared" si="6"/>
        <v>-1.3369812749583616</v>
      </c>
      <c r="C317">
        <f t="shared" si="7"/>
        <v>-19518.319974547761</v>
      </c>
      <c r="D317">
        <f t="shared" si="8"/>
        <v>-51511.044325088587</v>
      </c>
      <c r="E317">
        <f t="shared" si="9"/>
        <v>-53987.343983635947</v>
      </c>
    </row>
    <row r="318" spans="1:5">
      <c r="A318">
        <f t="shared" si="5"/>
        <v>-0.39200000000000002</v>
      </c>
      <c r="B318">
        <f t="shared" si="6"/>
        <v>-1.2599122492363222</v>
      </c>
      <c r="C318">
        <f t="shared" si="7"/>
        <v>-18749.923928481905</v>
      </c>
      <c r="D318">
        <f t="shared" si="8"/>
        <v>-49745.975650615117</v>
      </c>
      <c r="E318">
        <f t="shared" si="9"/>
        <v>-52180.525354744386</v>
      </c>
    </row>
    <row r="319" spans="1:5">
      <c r="A319">
        <f t="shared" si="5"/>
        <v>-0.38300000000000001</v>
      </c>
      <c r="B319">
        <f t="shared" si="6"/>
        <v>-1.1773600760669751</v>
      </c>
      <c r="C319">
        <f t="shared" si="7"/>
        <v>-17899.13841594477</v>
      </c>
      <c r="D319">
        <f t="shared" si="8"/>
        <v>-47778.57575572333</v>
      </c>
      <c r="E319">
        <f t="shared" si="9"/>
        <v>-50165.371473339706</v>
      </c>
    </row>
    <row r="320" spans="1:5">
      <c r="A320">
        <f t="shared" si="5"/>
        <v>-0.375</v>
      </c>
      <c r="B320">
        <f t="shared" si="6"/>
        <v>-1.1075409744717035</v>
      </c>
      <c r="C320">
        <f t="shared" si="7"/>
        <v>-17155.307880334622</v>
      </c>
      <c r="D320">
        <f t="shared" si="8"/>
        <v>-46046.862259196627</v>
      </c>
      <c r="E320">
        <f t="shared" si="9"/>
        <v>-48390.515274855643</v>
      </c>
    </row>
    <row r="321" spans="1:5">
      <c r="A321">
        <f t="shared" si="5"/>
        <v>-0.36699999999999999</v>
      </c>
      <c r="B321">
        <f t="shared" si="6"/>
        <v>-1.0409543459660426</v>
      </c>
      <c r="C321">
        <f t="shared" si="7"/>
        <v>-16423.437974026107</v>
      </c>
      <c r="D321">
        <f t="shared" si="8"/>
        <v>-44332.017687418411</v>
      </c>
      <c r="E321">
        <f t="shared" si="9"/>
        <v>-46631.877946633278</v>
      </c>
    </row>
    <row r="322" spans="1:5">
      <c r="A322">
        <f t="shared" si="5"/>
        <v>-0.35799999999999998</v>
      </c>
      <c r="B322">
        <f t="shared" si="6"/>
        <v>-0.96976937592569357</v>
      </c>
      <c r="C322">
        <f t="shared" si="7"/>
        <v>-15614.70610330964</v>
      </c>
      <c r="D322">
        <f t="shared" si="8"/>
        <v>-42423.945096951415</v>
      </c>
      <c r="E322">
        <f t="shared" si="9"/>
        <v>-44673.766867657614</v>
      </c>
    </row>
    <row r="323" spans="1:5">
      <c r="A323">
        <f t="shared" si="5"/>
        <v>-0.35</v>
      </c>
      <c r="B323">
        <f t="shared" si="6"/>
        <v>-0.90968416440080091</v>
      </c>
      <c r="C323">
        <f t="shared" si="7"/>
        <v>-14909.123361914171</v>
      </c>
      <c r="D323">
        <f t="shared" si="8"/>
        <v>-40747.537049505336</v>
      </c>
      <c r="E323">
        <f t="shared" si="9"/>
        <v>-42952.199792501269</v>
      </c>
    </row>
    <row r="324" spans="1:5">
      <c r="A324">
        <f t="shared" si="5"/>
        <v>-0.34200000000000003</v>
      </c>
      <c r="B324">
        <f t="shared" si="6"/>
        <v>-0.8524904108952569</v>
      </c>
      <c r="C324">
        <f t="shared" si="7"/>
        <v>-14216.32826550211</v>
      </c>
      <c r="D324">
        <f t="shared" si="8"/>
        <v>-39090.472738230674</v>
      </c>
      <c r="E324">
        <f t="shared" si="9"/>
        <v>-41249.342022155164</v>
      </c>
    </row>
    <row r="325" spans="1:5">
      <c r="A325">
        <f t="shared" si="5"/>
        <v>-0.33300000000000002</v>
      </c>
      <c r="B325">
        <f t="shared" si="6"/>
        <v>-0.79147378083268904</v>
      </c>
      <c r="C325">
        <f t="shared" si="7"/>
        <v>-13452.557524737211</v>
      </c>
      <c r="D325">
        <f t="shared" si="8"/>
        <v>-37250.428651962691</v>
      </c>
      <c r="E325">
        <f t="shared" si="9"/>
        <v>-39357.029917001288</v>
      </c>
    </row>
    <row r="326" spans="1:5">
      <c r="A326">
        <f t="shared" si="5"/>
        <v>-0.32500000000000001</v>
      </c>
      <c r="B326">
        <f t="shared" si="6"/>
        <v>-0.74008074998198481</v>
      </c>
      <c r="C326">
        <f t="shared" si="7"/>
        <v>-12787.842801368242</v>
      </c>
      <c r="D326">
        <f t="shared" si="8"/>
        <v>-35637.240500205327</v>
      </c>
      <c r="E326">
        <f t="shared" si="9"/>
        <v>-37696.722160192003</v>
      </c>
    </row>
    <row r="327" spans="1:5">
      <c r="A327">
        <f t="shared" si="5"/>
        <v>-0.317</v>
      </c>
      <c r="B327">
        <f t="shared" si="6"/>
        <v>-0.69126076184193153</v>
      </c>
      <c r="C327">
        <f t="shared" si="7"/>
        <v>-12136.776407525518</v>
      </c>
      <c r="D327">
        <f t="shared" si="8"/>
        <v>-34046.041947946462</v>
      </c>
      <c r="E327">
        <f t="shared" si="9"/>
        <v>-36057.791762901921</v>
      </c>
    </row>
    <row r="328" spans="1:5">
      <c r="A328">
        <f t="shared" si="5"/>
        <v>-0.308</v>
      </c>
      <c r="B328">
        <f t="shared" si="6"/>
        <v>-0.63929306925479068</v>
      </c>
      <c r="C328">
        <f t="shared" si="7"/>
        <v>-11420.992588521869</v>
      </c>
      <c r="D328">
        <f t="shared" si="8"/>
        <v>-32283.3287901734</v>
      </c>
      <c r="E328">
        <f t="shared" si="9"/>
        <v>-34240.659083493854</v>
      </c>
    </row>
    <row r="329" spans="1:5">
      <c r="A329">
        <f t="shared" si="5"/>
        <v>-0.3</v>
      </c>
      <c r="B329">
        <f t="shared" si="6"/>
        <v>-0.59562134887653428</v>
      </c>
      <c r="C329">
        <f t="shared" si="7"/>
        <v>-10799.871032643307</v>
      </c>
      <c r="D329">
        <f t="shared" si="8"/>
        <v>-30741.814145394601</v>
      </c>
      <c r="E329">
        <f t="shared" si="9"/>
        <v>-32650.140682705838</v>
      </c>
    </row>
    <row r="330" spans="1:5">
      <c r="A330">
        <f t="shared" si="5"/>
        <v>-0.29199999999999998</v>
      </c>
      <c r="B330">
        <f t="shared" si="6"/>
        <v>-0.55422705180376397</v>
      </c>
      <c r="C330">
        <f t="shared" si="7"/>
        <v>-10193.291736298073</v>
      </c>
      <c r="D330">
        <f t="shared" si="8"/>
        <v>-29225.110156037001</v>
      </c>
      <c r="E330">
        <f t="shared" si="9"/>
        <v>-31083.849529375264</v>
      </c>
    </row>
    <row r="331" spans="1:5">
      <c r="A331">
        <f t="shared" si="5"/>
        <v>-0.28299999999999997</v>
      </c>
      <c r="B331">
        <f t="shared" si="6"/>
        <v>-0.51026903842853244</v>
      </c>
      <c r="C331">
        <f t="shared" si="7"/>
        <v>-9528.6373739095652</v>
      </c>
      <c r="D331">
        <f t="shared" si="8"/>
        <v>-27549.64613181504</v>
      </c>
      <c r="E331">
        <f t="shared" si="9"/>
        <v>-29351.91580166448</v>
      </c>
    </row>
    <row r="332" spans="1:5">
      <c r="A332">
        <f t="shared" si="5"/>
        <v>-0.27500000000000002</v>
      </c>
      <c r="B332">
        <f t="shared" si="6"/>
        <v>-0.47341919121004139</v>
      </c>
      <c r="C332">
        <f t="shared" si="7"/>
        <v>-8953.9368130908624</v>
      </c>
      <c r="D332">
        <f t="shared" si="8"/>
        <v>-26088.809681649203</v>
      </c>
      <c r="E332">
        <f t="shared" si="9"/>
        <v>-27840.288392506118</v>
      </c>
    </row>
    <row r="333" spans="1:5">
      <c r="A333">
        <f t="shared" si="5"/>
        <v>-0.26700000000000002</v>
      </c>
      <c r="B333">
        <f t="shared" si="6"/>
        <v>-0.43857412502381976</v>
      </c>
      <c r="C333">
        <f t="shared" si="7"/>
        <v>-8394.7042158108161</v>
      </c>
      <c r="D333">
        <f t="shared" si="8"/>
        <v>-24655.783322873118</v>
      </c>
      <c r="E333">
        <f t="shared" si="9"/>
        <v>-26355.92282022885</v>
      </c>
    </row>
    <row r="334" spans="1:5">
      <c r="A334">
        <f t="shared" si="5"/>
        <v>-0.25800000000000001</v>
      </c>
      <c r="B334">
        <f t="shared" si="6"/>
        <v>-0.4016673031354685</v>
      </c>
      <c r="C334">
        <f t="shared" si="7"/>
        <v>-7784.4332514201305</v>
      </c>
      <c r="D334">
        <f t="shared" si="8"/>
        <v>-23078.113644632846</v>
      </c>
      <c r="E334">
        <f t="shared" si="9"/>
        <v>-24719.85672730935</v>
      </c>
    </row>
    <row r="335" spans="1:5">
      <c r="A335">
        <f t="shared" si="5"/>
        <v>-0.25</v>
      </c>
      <c r="B335">
        <f t="shared" si="6"/>
        <v>-0.37081187517208036</v>
      </c>
      <c r="C335">
        <f t="shared" si="7"/>
        <v>-7259.0775623812369</v>
      </c>
      <c r="D335">
        <f t="shared" si="8"/>
        <v>-21707.520208299306</v>
      </c>
      <c r="E335">
        <f t="shared" si="9"/>
        <v>-23296.801058357276</v>
      </c>
    </row>
    <row r="336" spans="1:5">
      <c r="A336">
        <f t="shared" si="5"/>
        <v>-0.24199999999999999</v>
      </c>
      <c r="B336">
        <f t="shared" si="6"/>
        <v>-0.34171172867979749</v>
      </c>
      <c r="C336">
        <f t="shared" si="7"/>
        <v>-6750.1435304916085</v>
      </c>
      <c r="D336">
        <f t="shared" si="8"/>
        <v>-20367.917072372351</v>
      </c>
      <c r="E336">
        <f t="shared" si="9"/>
        <v>-21904.22804430117</v>
      </c>
    </row>
    <row r="337" spans="1:5">
      <c r="A337">
        <f t="shared" si="5"/>
        <v>-0.23300000000000001</v>
      </c>
      <c r="B337">
        <f t="shared" si="6"/>
        <v>-0.31097897475410718</v>
      </c>
      <c r="C337">
        <f t="shared" si="7"/>
        <v>-6197.6076393513285</v>
      </c>
      <c r="D337">
        <f t="shared" si="8"/>
        <v>-18899.222425472472</v>
      </c>
      <c r="E337">
        <f t="shared" si="9"/>
        <v>-20375.352826851115</v>
      </c>
    </row>
    <row r="338" spans="1:5">
      <c r="A338">
        <f t="shared" si="5"/>
        <v>-0.22500000000000001</v>
      </c>
      <c r="B338">
        <f t="shared" si="6"/>
        <v>-0.28536299915617747</v>
      </c>
      <c r="C338">
        <f t="shared" si="7"/>
        <v>-5724.6003963935982</v>
      </c>
      <c r="D338">
        <f t="shared" si="8"/>
        <v>-17629.003880901917</v>
      </c>
      <c r="E338">
        <f t="shared" si="9"/>
        <v>-19051.132271648297</v>
      </c>
    </row>
    <row r="339" spans="1:5">
      <c r="A339">
        <f t="shared" si="5"/>
        <v>-0.217</v>
      </c>
      <c r="B339">
        <f t="shared" si="6"/>
        <v>-0.26127610188143535</v>
      </c>
      <c r="C339">
        <f t="shared" si="7"/>
        <v>-5268.9875445368234</v>
      </c>
      <c r="D339">
        <f t="shared" si="8"/>
        <v>-16393.138607990768</v>
      </c>
      <c r="E339">
        <f t="shared" si="9"/>
        <v>-17760.80185039583</v>
      </c>
    </row>
    <row r="340" spans="1:5">
      <c r="A340">
        <f t="shared" si="5"/>
        <v>-0.20799999999999999</v>
      </c>
      <c r="B340">
        <f t="shared" si="6"/>
        <v>-0.23592219111435497</v>
      </c>
      <c r="C340">
        <f t="shared" si="7"/>
        <v>-4777.603842826582</v>
      </c>
      <c r="D340">
        <f t="shared" si="8"/>
        <v>-15045.242230124342</v>
      </c>
      <c r="E340">
        <f t="shared" si="9"/>
        <v>-16351.096914099966</v>
      </c>
    </row>
    <row r="341" spans="1:5">
      <c r="A341">
        <f t="shared" si="5"/>
        <v>-0.2</v>
      </c>
      <c r="B341">
        <f t="shared" si="6"/>
        <v>-0.21486365220766857</v>
      </c>
      <c r="C341">
        <f t="shared" si="7"/>
        <v>-4359.9901999884787</v>
      </c>
      <c r="D341">
        <f t="shared" si="8"/>
        <v>-13886.103797269352</v>
      </c>
      <c r="E341">
        <f t="shared" si="9"/>
        <v>-15136.55814203358</v>
      </c>
    </row>
    <row r="342" spans="1:5">
      <c r="A342">
        <f t="shared" si="5"/>
        <v>-0.192</v>
      </c>
      <c r="B342">
        <f t="shared" si="6"/>
        <v>-0.1951314257202057</v>
      </c>
      <c r="C342">
        <f t="shared" si="7"/>
        <v>-3960.7421763302191</v>
      </c>
      <c r="D342">
        <f t="shared" si="8"/>
        <v>-12764.866565310112</v>
      </c>
      <c r="E342">
        <f t="shared" si="9"/>
        <v>-13959.503640642601</v>
      </c>
    </row>
    <row r="343" spans="1:5">
      <c r="A343">
        <f t="shared" si="5"/>
        <v>-0.183</v>
      </c>
      <c r="B343">
        <f t="shared" si="6"/>
        <v>-0.17444351947665382</v>
      </c>
      <c r="C343">
        <f t="shared" si="7"/>
        <v>-3533.9191182778195</v>
      </c>
      <c r="D343">
        <f t="shared" si="8"/>
        <v>-11550.242027722496</v>
      </c>
      <c r="E343">
        <f t="shared" si="9"/>
        <v>-12681.604714695779</v>
      </c>
    </row>
    <row r="344" spans="1:5">
      <c r="A344">
        <f t="shared" si="5"/>
        <v>-0.17499999999999999</v>
      </c>
      <c r="B344">
        <f t="shared" si="6"/>
        <v>-0.15733377440119511</v>
      </c>
      <c r="C344">
        <f t="shared" si="7"/>
        <v>-3174.6987799832932</v>
      </c>
      <c r="D344">
        <f t="shared" si="8"/>
        <v>-10513.469745248251</v>
      </c>
      <c r="E344">
        <f t="shared" si="9"/>
        <v>-11588.17818289464</v>
      </c>
    </row>
    <row r="345" spans="1:5">
      <c r="A345">
        <f t="shared" si="5"/>
        <v>-0.16700000000000001</v>
      </c>
      <c r="B345">
        <f t="shared" si="6"/>
        <v>-0.14137113236063215</v>
      </c>
      <c r="C345">
        <f t="shared" si="7"/>
        <v>-2834.7671819467178</v>
      </c>
      <c r="D345">
        <f t="shared" si="8"/>
        <v>-9518.3342443124784</v>
      </c>
      <c r="E345">
        <f t="shared" si="9"/>
        <v>-10536.017531248719</v>
      </c>
    </row>
    <row r="346" spans="1:5">
      <c r="A346">
        <f t="shared" si="5"/>
        <v>-0.158</v>
      </c>
      <c r="B346">
        <f t="shared" si="6"/>
        <v>-0.12471921807230046</v>
      </c>
      <c r="C346">
        <f t="shared" si="7"/>
        <v>-2475.736579407454</v>
      </c>
      <c r="D346">
        <f t="shared" si="8"/>
        <v>-8450.1146067239897</v>
      </c>
      <c r="E346">
        <f t="shared" si="9"/>
        <v>-9403.2197680937752</v>
      </c>
    </row>
    <row r="347" spans="1:5">
      <c r="A347">
        <f t="shared" si="5"/>
        <v>-0.15</v>
      </c>
      <c r="B347">
        <f t="shared" si="6"/>
        <v>-0.11102336728663431</v>
      </c>
      <c r="C347">
        <f t="shared" si="7"/>
        <v>-2177.6671843117474</v>
      </c>
      <c r="D347">
        <f t="shared" si="8"/>
        <v>-7547.5826717634845</v>
      </c>
      <c r="E347">
        <f t="shared" si="9"/>
        <v>-8442.9245038226654</v>
      </c>
    </row>
    <row r="348" spans="1:5">
      <c r="A348">
        <f t="shared" si="5"/>
        <v>-0.14199999999999999</v>
      </c>
      <c r="B348">
        <f t="shared" si="6"/>
        <v>-9.8319082050352336E-2</v>
      </c>
      <c r="C348">
        <f t="shared" si="7"/>
        <v>-1899.6570192596373</v>
      </c>
      <c r="D348">
        <f t="shared" si="8"/>
        <v>-6690.6108063324282</v>
      </c>
      <c r="E348">
        <f t="shared" si="9"/>
        <v>-7527.8673822461351</v>
      </c>
    </row>
    <row r="349" spans="1:5">
      <c r="A349">
        <f t="shared" si="5"/>
        <v>-0.13300000000000001</v>
      </c>
      <c r="B349">
        <f t="shared" si="6"/>
        <v>-8.5156359718553176E-2</v>
      </c>
      <c r="C349">
        <f t="shared" si="7"/>
        <v>-1611.0978519744349</v>
      </c>
      <c r="D349">
        <f t="shared" si="8"/>
        <v>-5782.5863929769912</v>
      </c>
      <c r="E349">
        <f t="shared" si="9"/>
        <v>-6554.1364146582637</v>
      </c>
    </row>
    <row r="350" spans="1:5">
      <c r="A350">
        <f t="shared" si="5"/>
        <v>-0.125</v>
      </c>
      <c r="B350">
        <f t="shared" si="6"/>
        <v>-7.4413578671737923E-2</v>
      </c>
      <c r="C350">
        <f t="shared" si="7"/>
        <v>-1376.2576530040769</v>
      </c>
      <c r="D350">
        <f t="shared" si="8"/>
        <v>-5026.7415034051373</v>
      </c>
      <c r="E350">
        <f t="shared" si="9"/>
        <v>-5739.5919717311044</v>
      </c>
    </row>
    <row r="351" spans="1:5">
      <c r="A351">
        <f t="shared" si="5"/>
        <v>-0.11700000000000001</v>
      </c>
      <c r="B351">
        <f t="shared" si="6"/>
        <v>-6.4530590996128012E-2</v>
      </c>
      <c r="C351">
        <f t="shared" si="7"/>
        <v>-1161.8662425758666</v>
      </c>
      <c r="D351">
        <f t="shared" si="8"/>
        <v>-4320.5432959684549</v>
      </c>
      <c r="E351">
        <f t="shared" si="9"/>
        <v>-4974.4518534386225</v>
      </c>
    </row>
    <row r="352" spans="1:5">
      <c r="A352">
        <f t="shared" si="5"/>
        <v>-0.108</v>
      </c>
      <c r="B352">
        <f t="shared" si="6"/>
        <v>-5.4393810229043993E-2</v>
      </c>
      <c r="C352">
        <f t="shared" si="7"/>
        <v>-945.08643135841521</v>
      </c>
      <c r="D352">
        <f t="shared" si="8"/>
        <v>-3587.0630675248431</v>
      </c>
      <c r="E352">
        <f t="shared" si="9"/>
        <v>-4174.4317239557349</v>
      </c>
    </row>
    <row r="353" spans="1:5">
      <c r="A353">
        <f t="shared" si="5"/>
        <v>-0.1</v>
      </c>
      <c r="B353">
        <f t="shared" si="6"/>
        <v>-4.6217631182344121E-2</v>
      </c>
      <c r="C353">
        <f t="shared" si="7"/>
        <v>-773.9404461593731</v>
      </c>
      <c r="D353">
        <f t="shared" si="8"/>
        <v>-2990.7521080161314</v>
      </c>
      <c r="E353">
        <f t="shared" si="9"/>
        <v>-3518.8494159470647</v>
      </c>
    </row>
    <row r="354" spans="1:5">
      <c r="A354">
        <f t="shared" si="5"/>
        <v>-9.1999999999999998E-2</v>
      </c>
      <c r="B354">
        <f t="shared" si="6"/>
        <v>-3.8793322623632776E-2</v>
      </c>
      <c r="C354">
        <f t="shared" si="7"/>
        <v>-622.7876519774909</v>
      </c>
      <c r="D354">
        <f t="shared" si="8"/>
        <v>-2448.1742219196822</v>
      </c>
      <c r="E354">
        <f t="shared" si="9"/>
        <v>-2916.9995331569153</v>
      </c>
    </row>
    <row r="355" spans="1:5">
      <c r="A355">
        <f t="shared" si="5"/>
        <v>-8.3000000000000004E-2</v>
      </c>
      <c r="B355">
        <f t="shared" si="6"/>
        <v>-3.1303072409855304E-2</v>
      </c>
      <c r="C355">
        <f t="shared" si="7"/>
        <v>-476.07728499047153</v>
      </c>
      <c r="D355">
        <f t="shared" si="8"/>
        <v>-1903.505948859045</v>
      </c>
      <c r="E355">
        <f t="shared" si="9"/>
        <v>-2305.8725854526674</v>
      </c>
    </row>
    <row r="356" spans="1:5">
      <c r="A356">
        <f t="shared" si="5"/>
        <v>-7.4999999999999997E-2</v>
      </c>
      <c r="B356">
        <f t="shared" si="6"/>
        <v>-2.5381627713954913E-2</v>
      </c>
      <c r="C356">
        <f t="shared" si="7"/>
        <v>-365.6858715468552</v>
      </c>
      <c r="D356">
        <f t="shared" si="8"/>
        <v>-1478.9642244424758</v>
      </c>
      <c r="E356">
        <f t="shared" si="9"/>
        <v>-1822.7678078152858</v>
      </c>
    </row>
    <row r="357" spans="1:5">
      <c r="A357">
        <f t="shared" si="5"/>
        <v>-6.7000000000000004E-2</v>
      </c>
      <c r="B357">
        <f t="shared" si="6"/>
        <v>-2.0128040178406081E-2</v>
      </c>
      <c r="C357">
        <f t="shared" si="7"/>
        <v>-273.20619150514904</v>
      </c>
      <c r="D357">
        <f t="shared" si="8"/>
        <v>-1111.3665792034881</v>
      </c>
      <c r="E357">
        <f t="shared" si="9"/>
        <v>-1397.5520721561479</v>
      </c>
    </row>
    <row r="358" spans="1:5">
      <c r="A358">
        <f t="shared" si="5"/>
        <v>-5.8000000000000003E-2</v>
      </c>
      <c r="B358">
        <f t="shared" si="6"/>
        <v>-1.4988976835297763E-2</v>
      </c>
      <c r="C358">
        <f t="shared" si="7"/>
        <v>-189.13531467878693</v>
      </c>
      <c r="D358">
        <f t="shared" si="8"/>
        <v>-766.31188824812671</v>
      </c>
      <c r="E358">
        <f t="shared" si="9"/>
        <v>-989.67471788156035</v>
      </c>
    </row>
    <row r="359" spans="1:5">
      <c r="A359">
        <f t="shared" si="5"/>
        <v>-0.05</v>
      </c>
      <c r="B359">
        <f t="shared" si="6"/>
        <v>-1.1085185236197503E-2</v>
      </c>
      <c r="C359">
        <f t="shared" si="7"/>
        <v>-130.58382574901771</v>
      </c>
      <c r="D359">
        <f t="shared" si="8"/>
        <v>-520.01022342426404</v>
      </c>
      <c r="E359">
        <f t="shared" si="9"/>
        <v>-690.46185643132958</v>
      </c>
    </row>
    <row r="360" spans="1:5">
      <c r="A360">
        <f t="shared" si="5"/>
        <v>-4.2000000000000003E-2</v>
      </c>
      <c r="B360">
        <f t="shared" si="6"/>
        <v>-7.7892075411227779E-3</v>
      </c>
      <c r="C360">
        <f t="shared" si="7"/>
        <v>-85.532537980298912</v>
      </c>
      <c r="D360">
        <f t="shared" si="8"/>
        <v>-328.85027552274187</v>
      </c>
      <c r="E360">
        <f t="shared" si="9"/>
        <v>-450.68761011315837</v>
      </c>
    </row>
    <row r="361" spans="1:5">
      <c r="A361">
        <f t="shared" si="5"/>
        <v>-3.3000000000000002E-2</v>
      </c>
      <c r="B361">
        <f t="shared" si="6"/>
        <v>-4.7902418510830103E-3</v>
      </c>
      <c r="C361">
        <f t="shared" si="7"/>
        <v>-48.707150080789688</v>
      </c>
      <c r="D361">
        <f t="shared" si="8"/>
        <v>-175.28477054044197</v>
      </c>
      <c r="E361">
        <f t="shared" si="9"/>
        <v>-249.93122636938642</v>
      </c>
    </row>
    <row r="362" spans="1:5">
      <c r="A362">
        <f t="shared" si="5"/>
        <v>-2.5000000000000001E-2</v>
      </c>
      <c r="B362">
        <f t="shared" si="6"/>
        <v>-2.7419606900593863E-3</v>
      </c>
      <c r="C362">
        <f t="shared" si="7"/>
        <v>-26.20922916708696</v>
      </c>
      <c r="D362">
        <f t="shared" si="8"/>
        <v>-86.794732464311892</v>
      </c>
      <c r="E362">
        <f t="shared" si="9"/>
        <v>-128.37390922902341</v>
      </c>
    </row>
    <row r="363" spans="1:5">
      <c r="A363">
        <f t="shared" si="5"/>
        <v>-1.7000000000000001E-2</v>
      </c>
      <c r="B363">
        <f t="shared" si="6"/>
        <v>-1.2654526615278883E-3</v>
      </c>
      <c r="C363">
        <f t="shared" si="7"/>
        <v>-11.501173772391667</v>
      </c>
      <c r="D363">
        <f t="shared" si="8"/>
        <v>-34.567441559190229</v>
      </c>
      <c r="E363">
        <f t="shared" si="9"/>
        <v>-52.890554438504296</v>
      </c>
    </row>
    <row r="364" spans="1:5">
      <c r="A364">
        <f t="shared" si="5"/>
        <v>-8.0000000000000002E-3</v>
      </c>
      <c r="B364">
        <f t="shared" si="6"/>
        <v>-2.7987863211365038E-4</v>
      </c>
      <c r="C364">
        <f t="shared" si="7"/>
        <v>-2.4515400940208565</v>
      </c>
      <c r="D364">
        <f t="shared" si="8"/>
        <v>-6.7016754171791035</v>
      </c>
      <c r="E364">
        <f t="shared" si="9"/>
        <v>-10.54136055730396</v>
      </c>
    </row>
    <row r="365" spans="1:5">
      <c r="A365">
        <f t="shared" si="5"/>
        <v>0</v>
      </c>
      <c r="B365">
        <f t="shared" si="6"/>
        <v>0</v>
      </c>
      <c r="C365">
        <f t="shared" si="7"/>
        <v>0</v>
      </c>
      <c r="D365">
        <f t="shared" si="8"/>
        <v>0</v>
      </c>
      <c r="E365">
        <f t="shared" si="9"/>
        <v>0</v>
      </c>
    </row>
    <row r="366" spans="1:5">
      <c r="A366">
        <f t="shared" si="5"/>
        <v>8.0000000000000002E-3</v>
      </c>
      <c r="B366">
        <f t="shared" si="6"/>
        <v>-2.7987863211365038E-4</v>
      </c>
      <c r="C366">
        <f t="shared" si="7"/>
        <v>-2.4515400940208565</v>
      </c>
      <c r="D366">
        <f t="shared" si="8"/>
        <v>-6.7016754171791035</v>
      </c>
      <c r="E366">
        <f t="shared" si="9"/>
        <v>-10.54136055730396</v>
      </c>
    </row>
    <row r="367" spans="1:5">
      <c r="A367">
        <f t="shared" si="5"/>
        <v>1.7000000000000001E-2</v>
      </c>
      <c r="B367">
        <f t="shared" si="6"/>
        <v>-1.2654526615278883E-3</v>
      </c>
      <c r="C367">
        <f t="shared" si="7"/>
        <v>-11.501173772391667</v>
      </c>
      <c r="D367">
        <f t="shared" si="8"/>
        <v>-34.567441559186591</v>
      </c>
      <c r="E367">
        <f t="shared" si="9"/>
        <v>-52.890554438502477</v>
      </c>
    </row>
    <row r="368" spans="1:5">
      <c r="A368">
        <f t="shared" si="5"/>
        <v>2.5000000000000001E-2</v>
      </c>
      <c r="B368">
        <f t="shared" si="6"/>
        <v>-2.7419606900593863E-3</v>
      </c>
      <c r="C368">
        <f t="shared" si="7"/>
        <v>-26.20922916708696</v>
      </c>
      <c r="D368">
        <f t="shared" si="8"/>
        <v>-86.794732464307344</v>
      </c>
      <c r="E368">
        <f t="shared" si="9"/>
        <v>-128.37390922901977</v>
      </c>
    </row>
    <row r="369" spans="1:5">
      <c r="A369">
        <f t="shared" si="5"/>
        <v>3.3000000000000002E-2</v>
      </c>
      <c r="B369">
        <f t="shared" si="6"/>
        <v>-4.7902418510830103E-3</v>
      </c>
      <c r="C369">
        <f t="shared" si="7"/>
        <v>-48.707150080789688</v>
      </c>
      <c r="D369">
        <f t="shared" si="8"/>
        <v>-175.28477054044197</v>
      </c>
      <c r="E369">
        <f t="shared" si="9"/>
        <v>-249.93122636938642</v>
      </c>
    </row>
    <row r="370" spans="1:5">
      <c r="A370">
        <f t="shared" si="5"/>
        <v>4.2000000000000003E-2</v>
      </c>
      <c r="B370">
        <f t="shared" si="6"/>
        <v>-7.7892075411227779E-3</v>
      </c>
      <c r="C370">
        <f t="shared" si="7"/>
        <v>-85.532537980298912</v>
      </c>
      <c r="D370">
        <f t="shared" si="8"/>
        <v>-328.85027552274187</v>
      </c>
      <c r="E370">
        <f t="shared" si="9"/>
        <v>-450.68761011315837</v>
      </c>
    </row>
    <row r="371" spans="1:5">
      <c r="A371">
        <f t="shared" si="5"/>
        <v>0.05</v>
      </c>
      <c r="B371">
        <f t="shared" si="6"/>
        <v>-1.1085185236197503E-2</v>
      </c>
      <c r="C371">
        <f t="shared" si="7"/>
        <v>-130.58382574901771</v>
      </c>
      <c r="D371">
        <f t="shared" si="8"/>
        <v>-520.01022342426404</v>
      </c>
      <c r="E371">
        <f t="shared" si="9"/>
        <v>-690.46185643132958</v>
      </c>
    </row>
    <row r="372" spans="1:5">
      <c r="A372">
        <f t="shared" si="5"/>
        <v>5.8000000000000003E-2</v>
      </c>
      <c r="B372">
        <f t="shared" si="6"/>
        <v>-1.4988976835297763E-2</v>
      </c>
      <c r="C372">
        <f t="shared" si="7"/>
        <v>-189.13531467878693</v>
      </c>
      <c r="D372">
        <f t="shared" si="8"/>
        <v>-766.31188824812671</v>
      </c>
      <c r="E372">
        <f t="shared" si="9"/>
        <v>-989.67471788156035</v>
      </c>
    </row>
    <row r="373" spans="1:5">
      <c r="A373">
        <f t="shared" ref="A373:A436" si="10">I130</f>
        <v>6.7000000000000004E-2</v>
      </c>
      <c r="B373">
        <f t="shared" ref="B373:B436" si="11">J130</f>
        <v>-2.0128040178406081E-2</v>
      </c>
      <c r="C373">
        <f t="shared" ref="C373:C436" si="12">K130</f>
        <v>-273.20619150514904</v>
      </c>
      <c r="D373">
        <f t="shared" ref="D373:D436" si="13">L130</f>
        <v>-1111.3665792034881</v>
      </c>
      <c r="E373">
        <f t="shared" ref="E373:E436" si="14">M130</f>
        <v>-1397.5520721561479</v>
      </c>
    </row>
    <row r="374" spans="1:5">
      <c r="A374">
        <f t="shared" si="10"/>
        <v>7.4999999999999997E-2</v>
      </c>
      <c r="B374">
        <f t="shared" si="11"/>
        <v>-2.5381627713954913E-2</v>
      </c>
      <c r="C374">
        <f t="shared" si="12"/>
        <v>-365.6858715468552</v>
      </c>
      <c r="D374">
        <f t="shared" si="13"/>
        <v>-1478.9642244424758</v>
      </c>
      <c r="E374">
        <f t="shared" si="14"/>
        <v>-1822.7678078152858</v>
      </c>
    </row>
    <row r="375" spans="1:5">
      <c r="A375">
        <f t="shared" si="10"/>
        <v>8.3000000000000004E-2</v>
      </c>
      <c r="B375">
        <f t="shared" si="11"/>
        <v>-3.1303072409855304E-2</v>
      </c>
      <c r="C375">
        <f t="shared" si="12"/>
        <v>-476.07728499047153</v>
      </c>
      <c r="D375">
        <f t="shared" si="13"/>
        <v>-1903.505948859045</v>
      </c>
      <c r="E375">
        <f t="shared" si="14"/>
        <v>-2305.8725854526674</v>
      </c>
    </row>
    <row r="376" spans="1:5">
      <c r="A376">
        <f t="shared" si="10"/>
        <v>9.1999999999999998E-2</v>
      </c>
      <c r="B376">
        <f t="shared" si="11"/>
        <v>-3.8793322623632776E-2</v>
      </c>
      <c r="C376">
        <f t="shared" si="12"/>
        <v>-622.7876519774909</v>
      </c>
      <c r="D376">
        <f t="shared" si="13"/>
        <v>-2448.1742219196822</v>
      </c>
      <c r="E376">
        <f t="shared" si="14"/>
        <v>-2916.9995331569153</v>
      </c>
    </row>
    <row r="377" spans="1:5">
      <c r="A377">
        <f t="shared" si="10"/>
        <v>0.1</v>
      </c>
      <c r="B377">
        <f t="shared" si="11"/>
        <v>-4.6217631182344121E-2</v>
      </c>
      <c r="C377">
        <f t="shared" si="12"/>
        <v>-773.94044615938219</v>
      </c>
      <c r="D377">
        <f t="shared" si="13"/>
        <v>-2990.7521080161423</v>
      </c>
      <c r="E377">
        <f t="shared" si="14"/>
        <v>-3518.8494159470793</v>
      </c>
    </row>
    <row r="378" spans="1:5">
      <c r="A378">
        <f t="shared" si="10"/>
        <v>0.108</v>
      </c>
      <c r="B378">
        <f t="shared" si="11"/>
        <v>-5.4393810229043993E-2</v>
      </c>
      <c r="C378">
        <f t="shared" si="12"/>
        <v>-945.08643135841885</v>
      </c>
      <c r="D378">
        <f t="shared" si="13"/>
        <v>-3587.0630675248613</v>
      </c>
      <c r="E378">
        <f t="shared" si="14"/>
        <v>-4174.4317239557495</v>
      </c>
    </row>
    <row r="379" spans="1:5">
      <c r="A379">
        <f t="shared" si="10"/>
        <v>0.11700000000000001</v>
      </c>
      <c r="B379">
        <f t="shared" si="11"/>
        <v>-6.4530590996128012E-2</v>
      </c>
      <c r="C379">
        <f t="shared" si="12"/>
        <v>-1161.8662425758666</v>
      </c>
      <c r="D379">
        <f t="shared" si="13"/>
        <v>-4320.5432959684549</v>
      </c>
      <c r="E379">
        <f t="shared" si="14"/>
        <v>-4974.4518534386225</v>
      </c>
    </row>
    <row r="380" spans="1:5">
      <c r="A380">
        <f t="shared" si="10"/>
        <v>0.125</v>
      </c>
      <c r="B380">
        <f t="shared" si="11"/>
        <v>-7.4413578671737923E-2</v>
      </c>
      <c r="C380">
        <f t="shared" si="12"/>
        <v>-1376.2576530040769</v>
      </c>
      <c r="D380">
        <f t="shared" si="13"/>
        <v>-5026.7415034051373</v>
      </c>
      <c r="E380">
        <f t="shared" si="14"/>
        <v>-5739.5919717311044</v>
      </c>
    </row>
    <row r="381" spans="1:5">
      <c r="A381">
        <f t="shared" si="10"/>
        <v>0.13300000000000001</v>
      </c>
      <c r="B381">
        <f t="shared" si="11"/>
        <v>-8.5156359718553176E-2</v>
      </c>
      <c r="C381">
        <f t="shared" si="12"/>
        <v>-1611.0978519744349</v>
      </c>
      <c r="D381">
        <f t="shared" si="13"/>
        <v>-5782.5863929769912</v>
      </c>
      <c r="E381">
        <f t="shared" si="14"/>
        <v>-6554.1364146582637</v>
      </c>
    </row>
    <row r="382" spans="1:5">
      <c r="A382">
        <f t="shared" si="10"/>
        <v>0.14199999999999999</v>
      </c>
      <c r="B382">
        <f t="shared" si="11"/>
        <v>-9.8319082050352336E-2</v>
      </c>
      <c r="C382">
        <f t="shared" si="12"/>
        <v>-1899.6570192596264</v>
      </c>
      <c r="D382">
        <f t="shared" si="13"/>
        <v>-6690.6108063344145</v>
      </c>
      <c r="E382">
        <f t="shared" si="14"/>
        <v>-7527.8673822440323</v>
      </c>
    </row>
    <row r="383" spans="1:5">
      <c r="A383">
        <f t="shared" si="10"/>
        <v>0.15</v>
      </c>
      <c r="B383">
        <f t="shared" si="11"/>
        <v>-0.11102336728663431</v>
      </c>
      <c r="C383">
        <f t="shared" si="12"/>
        <v>-2177.6671843117401</v>
      </c>
      <c r="D383">
        <f t="shared" si="13"/>
        <v>-7547.5826717672899</v>
      </c>
      <c r="E383">
        <f t="shared" si="14"/>
        <v>-8442.9245038226436</v>
      </c>
    </row>
    <row r="384" spans="1:5">
      <c r="A384">
        <f t="shared" si="10"/>
        <v>0.158</v>
      </c>
      <c r="B384">
        <f t="shared" si="11"/>
        <v>-0.12471921807230046</v>
      </c>
      <c r="C384">
        <f t="shared" si="12"/>
        <v>-2475.736579407454</v>
      </c>
      <c r="D384">
        <f t="shared" si="13"/>
        <v>-8450.1146067239897</v>
      </c>
      <c r="E384">
        <f t="shared" si="14"/>
        <v>-9403.2197680937752</v>
      </c>
    </row>
    <row r="385" spans="1:5">
      <c r="A385">
        <f t="shared" si="10"/>
        <v>0.16700000000000001</v>
      </c>
      <c r="B385">
        <f t="shared" si="11"/>
        <v>-0.14137113236063215</v>
      </c>
      <c r="C385">
        <f t="shared" si="12"/>
        <v>-2834.7671819467178</v>
      </c>
      <c r="D385">
        <f t="shared" si="13"/>
        <v>-9518.3342443124784</v>
      </c>
      <c r="E385">
        <f t="shared" si="14"/>
        <v>-10536.017531248719</v>
      </c>
    </row>
    <row r="386" spans="1:5">
      <c r="A386">
        <f t="shared" si="10"/>
        <v>0.17499999999999999</v>
      </c>
      <c r="B386">
        <f t="shared" si="11"/>
        <v>-0.15733377440119511</v>
      </c>
      <c r="C386">
        <f t="shared" si="12"/>
        <v>-3174.6987799832932</v>
      </c>
      <c r="D386">
        <f t="shared" si="13"/>
        <v>-10513.469745248251</v>
      </c>
      <c r="E386">
        <f t="shared" si="14"/>
        <v>-11588.17818289464</v>
      </c>
    </row>
    <row r="387" spans="1:5">
      <c r="A387">
        <f t="shared" si="10"/>
        <v>0.183</v>
      </c>
      <c r="B387">
        <f t="shared" si="11"/>
        <v>-0.17444351947665382</v>
      </c>
      <c r="C387">
        <f t="shared" si="12"/>
        <v>-3533.9191182778195</v>
      </c>
      <c r="D387">
        <f t="shared" si="13"/>
        <v>-11550.242027722496</v>
      </c>
      <c r="E387">
        <f t="shared" si="14"/>
        <v>-12681.604714695779</v>
      </c>
    </row>
    <row r="388" spans="1:5">
      <c r="A388">
        <f t="shared" si="10"/>
        <v>0.192</v>
      </c>
      <c r="B388">
        <f t="shared" si="11"/>
        <v>-0.1951314257202057</v>
      </c>
      <c r="C388">
        <f t="shared" si="12"/>
        <v>-3960.7421763302191</v>
      </c>
      <c r="D388">
        <f t="shared" si="13"/>
        <v>-12764.866565310112</v>
      </c>
      <c r="E388">
        <f t="shared" si="14"/>
        <v>-13959.503640642601</v>
      </c>
    </row>
    <row r="389" spans="1:5">
      <c r="A389">
        <f t="shared" si="10"/>
        <v>0.2</v>
      </c>
      <c r="B389">
        <f t="shared" si="11"/>
        <v>-0.21486365220766857</v>
      </c>
      <c r="C389">
        <f t="shared" si="12"/>
        <v>-4359.9901999884787</v>
      </c>
      <c r="D389">
        <f t="shared" si="13"/>
        <v>-13886.103797269352</v>
      </c>
      <c r="E389">
        <f t="shared" si="14"/>
        <v>-15136.55814203358</v>
      </c>
    </row>
    <row r="390" spans="1:5">
      <c r="A390">
        <f t="shared" si="10"/>
        <v>0.20799999999999999</v>
      </c>
      <c r="B390">
        <f t="shared" si="11"/>
        <v>-0.23592219111435497</v>
      </c>
      <c r="C390">
        <f t="shared" si="12"/>
        <v>-4777.603842826582</v>
      </c>
      <c r="D390">
        <f t="shared" si="13"/>
        <v>-15045.242230124342</v>
      </c>
      <c r="E390">
        <f t="shared" si="14"/>
        <v>-16351.096914099966</v>
      </c>
    </row>
    <row r="391" spans="1:5">
      <c r="A391">
        <f t="shared" si="10"/>
        <v>0.217</v>
      </c>
      <c r="B391">
        <f t="shared" si="11"/>
        <v>-0.26127610188143535</v>
      </c>
      <c r="C391">
        <f t="shared" si="12"/>
        <v>-5268.9875445368234</v>
      </c>
      <c r="D391">
        <f t="shared" si="13"/>
        <v>-16393.138607990768</v>
      </c>
      <c r="E391">
        <f t="shared" si="14"/>
        <v>-17760.80185039583</v>
      </c>
    </row>
    <row r="392" spans="1:5">
      <c r="A392">
        <f t="shared" si="10"/>
        <v>0.22500000000000001</v>
      </c>
      <c r="B392">
        <f t="shared" si="11"/>
        <v>-0.28536299915617747</v>
      </c>
      <c r="C392">
        <f t="shared" si="12"/>
        <v>-5724.6003963936055</v>
      </c>
      <c r="D392">
        <f t="shared" si="13"/>
        <v>-17629.003880901961</v>
      </c>
      <c r="E392">
        <f t="shared" si="14"/>
        <v>-19051.132271648341</v>
      </c>
    </row>
    <row r="393" spans="1:5">
      <c r="A393">
        <f t="shared" si="10"/>
        <v>0.23300000000000001</v>
      </c>
      <c r="B393">
        <f t="shared" si="11"/>
        <v>-0.31097897475410718</v>
      </c>
      <c r="C393">
        <f t="shared" si="12"/>
        <v>-6197.6076393513431</v>
      </c>
      <c r="D393">
        <f t="shared" si="13"/>
        <v>-18899.222425472501</v>
      </c>
      <c r="E393">
        <f t="shared" si="14"/>
        <v>-20375.352826851158</v>
      </c>
    </row>
    <row r="394" spans="1:5">
      <c r="A394">
        <f t="shared" si="10"/>
        <v>0.24199999999999999</v>
      </c>
      <c r="B394">
        <f t="shared" si="11"/>
        <v>-0.34171172867979749</v>
      </c>
      <c r="C394">
        <f t="shared" si="12"/>
        <v>-6750.1435304916085</v>
      </c>
      <c r="D394">
        <f t="shared" si="13"/>
        <v>-20367.917072372351</v>
      </c>
      <c r="E394">
        <f t="shared" si="14"/>
        <v>-21904.22804430117</v>
      </c>
    </row>
    <row r="395" spans="1:5">
      <c r="A395">
        <f t="shared" si="10"/>
        <v>0.25</v>
      </c>
      <c r="B395">
        <f t="shared" si="11"/>
        <v>-0.37081187517208036</v>
      </c>
      <c r="C395">
        <f t="shared" si="12"/>
        <v>-7259.0775623812369</v>
      </c>
      <c r="D395">
        <f t="shared" si="13"/>
        <v>-21707.520208299306</v>
      </c>
      <c r="E395">
        <f t="shared" si="14"/>
        <v>-23296.801058357276</v>
      </c>
    </row>
    <row r="396" spans="1:5">
      <c r="A396">
        <f t="shared" si="10"/>
        <v>0.25800000000000001</v>
      </c>
      <c r="B396">
        <f t="shared" si="11"/>
        <v>-0.4016673031354685</v>
      </c>
      <c r="C396">
        <f t="shared" si="12"/>
        <v>-7784.4332514201305</v>
      </c>
      <c r="D396">
        <f t="shared" si="13"/>
        <v>-23078.113644632846</v>
      </c>
      <c r="E396">
        <f t="shared" si="14"/>
        <v>-24719.85672730935</v>
      </c>
    </row>
    <row r="397" spans="1:5">
      <c r="A397">
        <f t="shared" si="10"/>
        <v>0.26700000000000002</v>
      </c>
      <c r="B397">
        <f t="shared" si="11"/>
        <v>-0.43857412502381976</v>
      </c>
      <c r="C397">
        <f t="shared" si="12"/>
        <v>-8394.7042158108015</v>
      </c>
      <c r="D397">
        <f t="shared" si="13"/>
        <v>-24655.783322873089</v>
      </c>
      <c r="E397">
        <f t="shared" si="14"/>
        <v>-26355.922820228821</v>
      </c>
    </row>
    <row r="398" spans="1:5">
      <c r="A398">
        <f t="shared" si="10"/>
        <v>0.27500000000000002</v>
      </c>
      <c r="B398">
        <f t="shared" si="11"/>
        <v>-0.47341919121004139</v>
      </c>
      <c r="C398">
        <f t="shared" si="12"/>
        <v>-8953.936813088847</v>
      </c>
      <c r="D398">
        <f t="shared" si="13"/>
        <v>-26088.80968164916</v>
      </c>
      <c r="E398">
        <f t="shared" si="14"/>
        <v>-27840.28839250606</v>
      </c>
    </row>
    <row r="399" spans="1:5">
      <c r="A399">
        <f t="shared" si="10"/>
        <v>0.28299999999999997</v>
      </c>
      <c r="B399">
        <f t="shared" si="11"/>
        <v>-0.51026903842853244</v>
      </c>
      <c r="C399">
        <f t="shared" si="12"/>
        <v>-9528.6373739095579</v>
      </c>
      <c r="D399">
        <f t="shared" si="13"/>
        <v>-27549.646131814996</v>
      </c>
      <c r="E399">
        <f t="shared" si="14"/>
        <v>-29351.915801664421</v>
      </c>
    </row>
    <row r="400" spans="1:5">
      <c r="A400">
        <f t="shared" si="10"/>
        <v>0.29199999999999998</v>
      </c>
      <c r="B400">
        <f t="shared" si="11"/>
        <v>-0.55422705180376397</v>
      </c>
      <c r="C400">
        <f t="shared" si="12"/>
        <v>-10193.291736298088</v>
      </c>
      <c r="D400">
        <f t="shared" si="13"/>
        <v>-29225.110156036026</v>
      </c>
      <c r="E400">
        <f t="shared" si="14"/>
        <v>-31083.84952937637</v>
      </c>
    </row>
    <row r="401" spans="1:5">
      <c r="A401">
        <f t="shared" si="10"/>
        <v>0.3</v>
      </c>
      <c r="B401">
        <f t="shared" si="11"/>
        <v>-0.59562134887653428</v>
      </c>
      <c r="C401">
        <f t="shared" si="12"/>
        <v>-10799.871032643307</v>
      </c>
      <c r="D401">
        <f t="shared" si="13"/>
        <v>-30741.814145394601</v>
      </c>
      <c r="E401">
        <f t="shared" si="14"/>
        <v>-32650.140682705838</v>
      </c>
    </row>
    <row r="402" spans="1:5">
      <c r="A402">
        <f t="shared" si="10"/>
        <v>0.308</v>
      </c>
      <c r="B402">
        <f t="shared" si="11"/>
        <v>-0.63929306925479068</v>
      </c>
      <c r="C402">
        <f t="shared" si="12"/>
        <v>-11420.992588521869</v>
      </c>
      <c r="D402">
        <f t="shared" si="13"/>
        <v>-32283.3287901734</v>
      </c>
      <c r="E402">
        <f t="shared" si="14"/>
        <v>-34240.659083493854</v>
      </c>
    </row>
    <row r="403" spans="1:5">
      <c r="A403">
        <f t="shared" si="10"/>
        <v>0.317</v>
      </c>
      <c r="B403">
        <f t="shared" si="11"/>
        <v>-0.69126076184193153</v>
      </c>
      <c r="C403">
        <f t="shared" si="12"/>
        <v>-12136.776407525518</v>
      </c>
      <c r="D403">
        <f t="shared" si="13"/>
        <v>-34046.041947946462</v>
      </c>
      <c r="E403">
        <f t="shared" si="14"/>
        <v>-36057.791762901921</v>
      </c>
    </row>
    <row r="404" spans="1:5">
      <c r="A404">
        <f t="shared" si="10"/>
        <v>0.32500000000000001</v>
      </c>
      <c r="B404">
        <f t="shared" si="11"/>
        <v>-0.74008074998198481</v>
      </c>
      <c r="C404">
        <f t="shared" si="12"/>
        <v>-12787.842801368242</v>
      </c>
      <c r="D404">
        <f t="shared" si="13"/>
        <v>-35637.240500205327</v>
      </c>
      <c r="E404">
        <f t="shared" si="14"/>
        <v>-37696.722160192003</v>
      </c>
    </row>
    <row r="405" spans="1:5">
      <c r="A405">
        <f t="shared" si="10"/>
        <v>0.33300000000000002</v>
      </c>
      <c r="B405">
        <f t="shared" si="11"/>
        <v>-0.79147378083268904</v>
      </c>
      <c r="C405">
        <f t="shared" si="12"/>
        <v>-13452.557524737189</v>
      </c>
      <c r="D405">
        <f t="shared" si="13"/>
        <v>-37250.428651962648</v>
      </c>
      <c r="E405">
        <f t="shared" si="14"/>
        <v>-39357.029917001244</v>
      </c>
    </row>
    <row r="406" spans="1:5">
      <c r="A406">
        <f t="shared" si="10"/>
        <v>0.34200000000000003</v>
      </c>
      <c r="B406">
        <f t="shared" si="11"/>
        <v>-0.8524904108952569</v>
      </c>
      <c r="C406">
        <f t="shared" si="12"/>
        <v>-14216.328265502132</v>
      </c>
      <c r="D406">
        <f t="shared" si="13"/>
        <v>-39090.472738230732</v>
      </c>
      <c r="E406">
        <f t="shared" si="14"/>
        <v>-41249.342022156037</v>
      </c>
    </row>
    <row r="407" spans="1:5">
      <c r="A407">
        <f t="shared" si="10"/>
        <v>0.35</v>
      </c>
      <c r="B407">
        <f t="shared" si="11"/>
        <v>-0.90968416440080091</v>
      </c>
      <c r="C407">
        <f t="shared" si="12"/>
        <v>-14909.123361914171</v>
      </c>
      <c r="D407">
        <f t="shared" si="13"/>
        <v>-40747.537049505336</v>
      </c>
      <c r="E407">
        <f t="shared" si="14"/>
        <v>-42952.199792501269</v>
      </c>
    </row>
    <row r="408" spans="1:5">
      <c r="A408">
        <f t="shared" si="10"/>
        <v>0.35799999999999998</v>
      </c>
      <c r="B408">
        <f t="shared" si="11"/>
        <v>-0.96976937592569357</v>
      </c>
      <c r="C408">
        <f t="shared" si="12"/>
        <v>-15614.706103309647</v>
      </c>
      <c r="D408">
        <f t="shared" si="13"/>
        <v>-42423.945096951444</v>
      </c>
      <c r="E408">
        <f t="shared" si="14"/>
        <v>-44673.766867657643</v>
      </c>
    </row>
    <row r="409" spans="1:5">
      <c r="A409">
        <f t="shared" si="10"/>
        <v>0.36699999999999999</v>
      </c>
      <c r="B409">
        <f t="shared" si="11"/>
        <v>-1.0409543459660426</v>
      </c>
      <c r="C409">
        <f t="shared" si="12"/>
        <v>-16423.437974027576</v>
      </c>
      <c r="D409">
        <f t="shared" si="13"/>
        <v>-44332.017687418353</v>
      </c>
      <c r="E409">
        <f t="shared" si="14"/>
        <v>-46631.877946633977</v>
      </c>
    </row>
    <row r="410" spans="1:5">
      <c r="A410">
        <f t="shared" si="10"/>
        <v>0.375</v>
      </c>
      <c r="B410">
        <f t="shared" si="11"/>
        <v>-1.1075409744717035</v>
      </c>
      <c r="C410">
        <f t="shared" si="12"/>
        <v>-17155.307880334622</v>
      </c>
      <c r="D410">
        <f t="shared" si="13"/>
        <v>-46046.862259196627</v>
      </c>
      <c r="E410">
        <f t="shared" si="14"/>
        <v>-48390.515274855643</v>
      </c>
    </row>
    <row r="411" spans="1:5">
      <c r="A411">
        <f t="shared" si="10"/>
        <v>0.38300000000000001</v>
      </c>
      <c r="B411">
        <f t="shared" si="11"/>
        <v>-1.1773600760669751</v>
      </c>
      <c r="C411">
        <f t="shared" si="12"/>
        <v>-17899.138415944799</v>
      </c>
      <c r="D411">
        <f t="shared" si="13"/>
        <v>-47778.575755723403</v>
      </c>
      <c r="E411">
        <f t="shared" si="14"/>
        <v>-50165.371473340492</v>
      </c>
    </row>
    <row r="412" spans="1:5">
      <c r="A412">
        <f t="shared" si="10"/>
        <v>0.39200000000000002</v>
      </c>
      <c r="B412">
        <f t="shared" si="11"/>
        <v>-1.2599122492363222</v>
      </c>
      <c r="C412">
        <f t="shared" si="12"/>
        <v>-18749.923928481869</v>
      </c>
      <c r="D412">
        <f t="shared" si="13"/>
        <v>-49745.975650615073</v>
      </c>
      <c r="E412">
        <f t="shared" si="14"/>
        <v>-52180.525354744314</v>
      </c>
    </row>
    <row r="413" spans="1:5">
      <c r="A413">
        <f t="shared" si="10"/>
        <v>0.4</v>
      </c>
      <c r="B413">
        <f t="shared" si="11"/>
        <v>-1.3369812749583616</v>
      </c>
      <c r="C413">
        <f t="shared" si="12"/>
        <v>-19518.319974547761</v>
      </c>
      <c r="D413">
        <f t="shared" si="13"/>
        <v>-51511.044325088587</v>
      </c>
      <c r="E413">
        <f t="shared" si="14"/>
        <v>-53987.343983635947</v>
      </c>
    </row>
    <row r="414" spans="1:5">
      <c r="A414">
        <f t="shared" si="10"/>
        <v>0.40799999999999997</v>
      </c>
      <c r="B414">
        <f t="shared" si="11"/>
        <v>-1.4176461878619193</v>
      </c>
      <c r="C414">
        <f t="shared" si="12"/>
        <v>-20297.883237372909</v>
      </c>
      <c r="D414">
        <f t="shared" si="13"/>
        <v>-53290.673072524412</v>
      </c>
      <c r="E414">
        <f t="shared" si="14"/>
        <v>-55808.063239413677</v>
      </c>
    </row>
    <row r="415" spans="1:5">
      <c r="A415">
        <f t="shared" si="10"/>
        <v>0.41699999999999998</v>
      </c>
      <c r="B415">
        <f t="shared" si="11"/>
        <v>-1.512843152252799</v>
      </c>
      <c r="C415">
        <f t="shared" si="12"/>
        <v>-21187.933007764419</v>
      </c>
      <c r="D415">
        <f t="shared" si="13"/>
        <v>-55309.282407726903</v>
      </c>
      <c r="E415">
        <f t="shared" si="14"/>
        <v>-57872.108972825328</v>
      </c>
    </row>
    <row r="416" spans="1:5">
      <c r="A416">
        <f t="shared" si="10"/>
        <v>0.42499999999999999</v>
      </c>
      <c r="B416">
        <f t="shared" si="11"/>
        <v>-1.601553853415453</v>
      </c>
      <c r="C416">
        <f t="shared" si="12"/>
        <v>-21990.411244520401</v>
      </c>
      <c r="D416">
        <f t="shared" si="13"/>
        <v>-57117.531516682895</v>
      </c>
      <c r="E416">
        <f t="shared" si="14"/>
        <v>-59720.042102486739</v>
      </c>
    </row>
    <row r="417" spans="1:5">
      <c r="A417">
        <f t="shared" si="10"/>
        <v>0.433</v>
      </c>
      <c r="B417">
        <f t="shared" si="11"/>
        <v>-1.6942460296072568</v>
      </c>
      <c r="C417">
        <f t="shared" si="12"/>
        <v>-22803.296578072215</v>
      </c>
      <c r="D417">
        <f t="shared" si="13"/>
        <v>-58938.191859995903</v>
      </c>
      <c r="E417">
        <f t="shared" si="14"/>
        <v>-61579.723356260423</v>
      </c>
    </row>
    <row r="418" spans="1:5">
      <c r="A418">
        <f t="shared" si="10"/>
        <v>0.442</v>
      </c>
      <c r="B418">
        <f t="shared" si="11"/>
        <v>-1.8034433360094226</v>
      </c>
      <c r="C418">
        <f t="shared" si="12"/>
        <v>-23729.938248077415</v>
      </c>
      <c r="D418">
        <f t="shared" si="13"/>
        <v>-61000.455221790791</v>
      </c>
      <c r="E418">
        <f t="shared" si="14"/>
        <v>-63685.092564364168</v>
      </c>
    </row>
    <row r="419" spans="1:5">
      <c r="A419">
        <f t="shared" si="10"/>
        <v>0.45</v>
      </c>
      <c r="B419">
        <f t="shared" si="11"/>
        <v>-1.9050240415085682</v>
      </c>
      <c r="C419">
        <f t="shared" si="12"/>
        <v>-24564.15831269131</v>
      </c>
      <c r="D419">
        <f t="shared" si="13"/>
        <v>-62845.334215087452</v>
      </c>
      <c r="E419">
        <f t="shared" si="14"/>
        <v>-65567.58378946672</v>
      </c>
    </row>
    <row r="420" spans="1:5">
      <c r="A420">
        <f t="shared" si="10"/>
        <v>0.45800000000000002</v>
      </c>
      <c r="B420">
        <f t="shared" si="11"/>
        <v>-2.0109937508048006</v>
      </c>
      <c r="C420">
        <f t="shared" si="12"/>
        <v>-25408.058195726262</v>
      </c>
      <c r="D420">
        <f t="shared" si="13"/>
        <v>-64700.628963954092</v>
      </c>
      <c r="E420">
        <f t="shared" si="14"/>
        <v>-67459.829123438802</v>
      </c>
    </row>
    <row r="421" spans="1:5">
      <c r="A421">
        <f t="shared" si="10"/>
        <v>0.46700000000000003</v>
      </c>
      <c r="B421">
        <f t="shared" si="11"/>
        <v>-2.13562408544135</v>
      </c>
      <c r="C421">
        <f t="shared" si="12"/>
        <v>-26368.734852925336</v>
      </c>
      <c r="D421">
        <f t="shared" si="13"/>
        <v>-66799.530021092098</v>
      </c>
      <c r="E421">
        <f t="shared" si="14"/>
        <v>-69599.510532789413</v>
      </c>
    </row>
    <row r="422" spans="1:5">
      <c r="A422">
        <f t="shared" si="10"/>
        <v>0.47499999999999998</v>
      </c>
      <c r="B422">
        <f t="shared" si="11"/>
        <v>-2.2513714361657549</v>
      </c>
      <c r="C422">
        <f t="shared" si="12"/>
        <v>-27232.458450313294</v>
      </c>
      <c r="D422">
        <f t="shared" si="13"/>
        <v>-68674.960061513659</v>
      </c>
      <c r="E422">
        <f t="shared" si="14"/>
        <v>-71510.490507051625</v>
      </c>
    </row>
    <row r="423" spans="1:5">
      <c r="A423">
        <f t="shared" si="10"/>
        <v>0.48299999999999998</v>
      </c>
      <c r="B423">
        <f t="shared" si="11"/>
        <v>-2.3719370163648819</v>
      </c>
      <c r="C423">
        <f t="shared" si="12"/>
        <v>-28105.166881475925</v>
      </c>
      <c r="D423">
        <f t="shared" si="13"/>
        <v>-70558.956545294859</v>
      </c>
      <c r="E423">
        <f t="shared" si="14"/>
        <v>-73429.381226253347</v>
      </c>
    </row>
    <row r="424" spans="1:5">
      <c r="A424">
        <f t="shared" si="10"/>
        <v>0.49199999999999999</v>
      </c>
      <c r="B424">
        <f t="shared" si="11"/>
        <v>-2.5135093403541759</v>
      </c>
      <c r="C424">
        <f t="shared" si="12"/>
        <v>-29097.435135520704</v>
      </c>
      <c r="D424">
        <f t="shared" si="13"/>
        <v>-72687.992783106223</v>
      </c>
      <c r="E424">
        <f t="shared" si="14"/>
        <v>-75596.893145963986</v>
      </c>
    </row>
    <row r="425" spans="1:5">
      <c r="A425">
        <f t="shared" si="10"/>
        <v>0.5</v>
      </c>
      <c r="B425">
        <f t="shared" si="11"/>
        <v>-2.6447875068229223</v>
      </c>
      <c r="C425">
        <f t="shared" si="12"/>
        <v>-29988.524239953986</v>
      </c>
      <c r="D425">
        <f t="shared" si="13"/>
        <v>-74588.343833805033</v>
      </c>
      <c r="E425">
        <f t="shared" si="14"/>
        <v>-77530.754646811518</v>
      </c>
    </row>
    <row r="426" spans="1:5">
      <c r="A426">
        <f t="shared" si="10"/>
        <v>0.50800000000000001</v>
      </c>
      <c r="B426">
        <f t="shared" si="11"/>
        <v>-2.7813345652473345</v>
      </c>
      <c r="C426">
        <f t="shared" si="12"/>
        <v>-30887.934860679583</v>
      </c>
      <c r="D426">
        <f t="shared" si="13"/>
        <v>-76495.550616892637</v>
      </c>
      <c r="E426">
        <f t="shared" si="14"/>
        <v>-79470.825965851109</v>
      </c>
    </row>
    <row r="427" spans="1:5">
      <c r="A427">
        <f t="shared" si="10"/>
        <v>0.51700000000000002</v>
      </c>
      <c r="B427">
        <f t="shared" si="11"/>
        <v>-2.9414332074700269</v>
      </c>
      <c r="C427">
        <f t="shared" si="12"/>
        <v>-31909.462641600694</v>
      </c>
      <c r="D427">
        <f t="shared" si="13"/>
        <v>-78648.706761738111</v>
      </c>
      <c r="E427">
        <f t="shared" si="14"/>
        <v>-81660.187434621097</v>
      </c>
    </row>
    <row r="428" spans="1:5">
      <c r="A428">
        <f t="shared" si="10"/>
        <v>0.52500000000000002</v>
      </c>
      <c r="B428">
        <f t="shared" si="11"/>
        <v>-3.0896730716708589</v>
      </c>
      <c r="C428">
        <f t="shared" si="12"/>
        <v>-32825.877462688077</v>
      </c>
      <c r="D428">
        <f t="shared" si="13"/>
        <v>-80568.773681183695</v>
      </c>
      <c r="E428">
        <f t="shared" si="14"/>
        <v>-83611.759447186691</v>
      </c>
    </row>
    <row r="429" spans="1:5">
      <c r="A429">
        <f t="shared" si="10"/>
        <v>0.53300000000000003</v>
      </c>
      <c r="B429">
        <f t="shared" si="11"/>
        <v>-3.2436536593402252</v>
      </c>
      <c r="C429">
        <f t="shared" si="12"/>
        <v>-33749.981453086351</v>
      </c>
      <c r="D429">
        <f t="shared" si="13"/>
        <v>-82494.11644292518</v>
      </c>
      <c r="E429">
        <f t="shared" si="14"/>
        <v>-85567.974379462074</v>
      </c>
    </row>
    <row r="430" spans="1:5">
      <c r="A430">
        <f t="shared" si="10"/>
        <v>0.54200000000000004</v>
      </c>
      <c r="B430">
        <f t="shared" si="11"/>
        <v>-3.4239373717214221</v>
      </c>
      <c r="C430">
        <f t="shared" si="12"/>
        <v>-34798.545562910251</v>
      </c>
      <c r="D430">
        <f t="shared" si="13"/>
        <v>-84665.837128348503</v>
      </c>
      <c r="E430">
        <f t="shared" si="14"/>
        <v>-87773.675624308933</v>
      </c>
    </row>
    <row r="431" spans="1:5">
      <c r="A431">
        <f t="shared" si="10"/>
        <v>0.55000000000000004</v>
      </c>
      <c r="B431">
        <f t="shared" si="11"/>
        <v>-3.5906356710743239</v>
      </c>
      <c r="C431">
        <f t="shared" si="12"/>
        <v>-35738.342299056225</v>
      </c>
      <c r="D431">
        <f t="shared" si="13"/>
        <v>-86600.815246497659</v>
      </c>
      <c r="E431">
        <f t="shared" si="14"/>
        <v>-89738.19699014083</v>
      </c>
    </row>
    <row r="432" spans="1:5">
      <c r="A432">
        <f t="shared" si="10"/>
        <v>0.55800000000000005</v>
      </c>
      <c r="B432">
        <f t="shared" si="11"/>
        <v>-3.7635674146301881</v>
      </c>
      <c r="C432">
        <f t="shared" si="12"/>
        <v>-36685.226067220021</v>
      </c>
      <c r="D432">
        <f t="shared" si="13"/>
        <v>-88539.612282307149</v>
      </c>
      <c r="E432">
        <f t="shared" si="14"/>
        <v>-91705.919959116174</v>
      </c>
    </row>
    <row r="433" spans="1:5">
      <c r="A433">
        <f t="shared" si="10"/>
        <v>0.56699999999999995</v>
      </c>
      <c r="B433">
        <f t="shared" si="11"/>
        <v>-3.965768378529674</v>
      </c>
      <c r="C433">
        <f t="shared" si="12"/>
        <v>-37758.709506008992</v>
      </c>
      <c r="D433">
        <f t="shared" si="13"/>
        <v>-90724.77444856253</v>
      </c>
      <c r="E433">
        <f t="shared" si="14"/>
        <v>-93922.892718857969</v>
      </c>
    </row>
    <row r="434" spans="1:5">
      <c r="A434">
        <f t="shared" si="10"/>
        <v>0.57499999999999996</v>
      </c>
      <c r="B434">
        <f t="shared" si="11"/>
        <v>-4.1524868146580047</v>
      </c>
      <c r="C434">
        <f t="shared" si="12"/>
        <v>-38720.0379034832</v>
      </c>
      <c r="D434">
        <f t="shared" si="13"/>
        <v>-92670.235040711414</v>
      </c>
      <c r="E434">
        <f t="shared" si="14"/>
        <v>-95895.985812650615</v>
      </c>
    </row>
    <row r="435" spans="1:5">
      <c r="A435">
        <f t="shared" si="10"/>
        <v>0.58299999999999996</v>
      </c>
      <c r="B435">
        <f t="shared" si="11"/>
        <v>-4.3459520128728855</v>
      </c>
      <c r="C435">
        <f t="shared" si="12"/>
        <v>-39687.880586280618</v>
      </c>
      <c r="D435">
        <f t="shared" si="13"/>
        <v>-94618.172780739114</v>
      </c>
      <c r="E435">
        <f t="shared" si="14"/>
        <v>-97870.956421788025</v>
      </c>
    </row>
    <row r="436" spans="1:5">
      <c r="A436">
        <f t="shared" si="10"/>
        <v>0.59199999999999997</v>
      </c>
      <c r="B436">
        <f t="shared" si="11"/>
        <v>-4.5718748099950517</v>
      </c>
      <c r="C436">
        <f t="shared" si="12"/>
        <v>-40784.269673397313</v>
      </c>
      <c r="D436">
        <f t="shared" si="13"/>
        <v>-96812.058229060291</v>
      </c>
      <c r="E436">
        <f t="shared" si="14"/>
        <v>-100094.54459469789</v>
      </c>
    </row>
    <row r="437" spans="1:5">
      <c r="A437">
        <f t="shared" ref="A437:A485" si="15">I194</f>
        <v>0.6</v>
      </c>
      <c r="B437">
        <f t="shared" ref="B437:B485" si="16">J194</f>
        <v>-4.780239127223922</v>
      </c>
      <c r="C437">
        <f t="shared" ref="C437:C485" si="17">K194</f>
        <v>-41765.370410184376</v>
      </c>
      <c r="D437">
        <f t="shared" ref="D437:D485" si="18">L194</f>
        <v>-98763.924239837128</v>
      </c>
      <c r="E437">
        <f t="shared" ref="E437:E485" si="19">M194</f>
        <v>-102072.18940950758</v>
      </c>
    </row>
    <row r="438" spans="1:5">
      <c r="A438">
        <f t="shared" si="15"/>
        <v>0.60799999999999998</v>
      </c>
      <c r="B438">
        <f t="shared" si="16"/>
        <v>-4.995883813084447</v>
      </c>
      <c r="C438">
        <f t="shared" si="17"/>
        <v>-42752.441205505645</v>
      </c>
      <c r="D438">
        <f t="shared" si="18"/>
        <v>-100717.0331168441</v>
      </c>
      <c r="E438">
        <f t="shared" si="19"/>
        <v>-104050.49672552545</v>
      </c>
    </row>
    <row r="439" spans="1:5">
      <c r="A439">
        <f t="shared" si="15"/>
        <v>0.61699999999999999</v>
      </c>
      <c r="B439">
        <f t="shared" si="16"/>
        <v>-5.2474043572378832</v>
      </c>
      <c r="C439">
        <f t="shared" si="17"/>
        <v>-43869.822519639056</v>
      </c>
      <c r="D439">
        <f t="shared" si="18"/>
        <v>-102915.30156679449</v>
      </c>
      <c r="E439">
        <f t="shared" si="19"/>
        <v>-106276.42770998081</v>
      </c>
    </row>
    <row r="440" spans="1:5">
      <c r="A440">
        <f t="shared" si="15"/>
        <v>0.625</v>
      </c>
      <c r="B440">
        <f t="shared" si="16"/>
        <v>-5.479103372775171</v>
      </c>
      <c r="C440">
        <f t="shared" si="17"/>
        <v>-44869.024435891464</v>
      </c>
      <c r="D440">
        <f t="shared" si="18"/>
        <v>-104869.82387216578</v>
      </c>
      <c r="E440">
        <f t="shared" si="19"/>
        <v>-108254.93665267841</v>
      </c>
    </row>
    <row r="441" spans="1:5">
      <c r="A441">
        <f t="shared" si="15"/>
        <v>0.63300000000000001</v>
      </c>
      <c r="B441">
        <f t="shared" si="16"/>
        <v>-5.7186363390651422</v>
      </c>
      <c r="C441">
        <f t="shared" si="17"/>
        <v>-45873.679789055182</v>
      </c>
      <c r="D441">
        <f t="shared" si="18"/>
        <v>-106824.4548063119</v>
      </c>
      <c r="E441">
        <f t="shared" si="19"/>
        <v>-110232.99428005761</v>
      </c>
    </row>
    <row r="442" spans="1:5">
      <c r="A442">
        <f t="shared" si="15"/>
        <v>0.64200000000000002</v>
      </c>
      <c r="B442">
        <f t="shared" si="16"/>
        <v>-5.9977007769762167</v>
      </c>
      <c r="C442">
        <f t="shared" si="17"/>
        <v>-47010.236953450061</v>
      </c>
      <c r="D442">
        <f t="shared" si="18"/>
        <v>-109023.11773384197</v>
      </c>
      <c r="E442">
        <f t="shared" si="19"/>
        <v>-112457.35129337219</v>
      </c>
    </row>
    <row r="443" spans="1:5">
      <c r="A443">
        <f t="shared" si="15"/>
        <v>0.65</v>
      </c>
      <c r="B443">
        <f t="shared" si="16"/>
        <v>-6.2544853914218947</v>
      </c>
      <c r="C443">
        <f t="shared" si="17"/>
        <v>-48025.954152811115</v>
      </c>
      <c r="D443">
        <f t="shared" si="18"/>
        <v>-110976.85216755129</v>
      </c>
      <c r="E443">
        <f t="shared" si="19"/>
        <v>-114433.34492030981</v>
      </c>
    </row>
    <row r="444" spans="1:5">
      <c r="A444">
        <f t="shared" si="15"/>
        <v>0.65800000000000003</v>
      </c>
      <c r="B444">
        <f t="shared" si="16"/>
        <v>-6.5196771902137698</v>
      </c>
      <c r="C444">
        <f t="shared" si="17"/>
        <v>-49046.634821966058</v>
      </c>
      <c r="D444">
        <f t="shared" si="18"/>
        <v>-112929.65387596656</v>
      </c>
      <c r="E444">
        <f t="shared" si="19"/>
        <v>-116407.86707581836</v>
      </c>
    </row>
    <row r="445" spans="1:5">
      <c r="A445">
        <f t="shared" si="15"/>
        <v>0.66700000000000004</v>
      </c>
      <c r="B445">
        <f t="shared" si="16"/>
        <v>-6.8283007484997142</v>
      </c>
      <c r="C445">
        <f t="shared" si="17"/>
        <v>-50200.645163369787</v>
      </c>
      <c r="D445">
        <f t="shared" si="18"/>
        <v>-115125.04934461691</v>
      </c>
      <c r="E445">
        <f t="shared" si="19"/>
        <v>-118627.06266188357</v>
      </c>
    </row>
    <row r="446" spans="1:5">
      <c r="A446">
        <f t="shared" si="15"/>
        <v>0.67500000000000004</v>
      </c>
      <c r="B446">
        <f t="shared" si="16"/>
        <v>-7.1119829201097673</v>
      </c>
      <c r="C446">
        <f t="shared" si="17"/>
        <v>-51231.374010913656</v>
      </c>
      <c r="D446">
        <f t="shared" si="18"/>
        <v>-117074.83465957025</v>
      </c>
      <c r="E446">
        <f t="shared" si="19"/>
        <v>-120597.44652148281</v>
      </c>
    </row>
    <row r="447" spans="1:5">
      <c r="A447">
        <f t="shared" si="15"/>
        <v>0.68300000000000005</v>
      </c>
      <c r="B447">
        <f t="shared" si="16"/>
        <v>-7.4046648244461721</v>
      </c>
      <c r="C447">
        <f t="shared" si="17"/>
        <v>-52266.602037422461</v>
      </c>
      <c r="D447">
        <f t="shared" si="18"/>
        <v>-119022.73194468833</v>
      </c>
      <c r="E447">
        <f t="shared" si="19"/>
        <v>-122565.42525707473</v>
      </c>
    </row>
    <row r="448" spans="1:5">
      <c r="A448">
        <f t="shared" si="15"/>
        <v>0.69199999999999995</v>
      </c>
      <c r="B448">
        <f t="shared" si="16"/>
        <v>-7.7449306373637228</v>
      </c>
      <c r="C448">
        <f t="shared" si="17"/>
        <v>-53436.433148204567</v>
      </c>
      <c r="D448">
        <f t="shared" si="18"/>
        <v>-121211.50058427514</v>
      </c>
      <c r="E448">
        <f t="shared" si="19"/>
        <v>-124776.17612891932</v>
      </c>
    </row>
    <row r="449" spans="1:5">
      <c r="A449">
        <f t="shared" si="15"/>
        <v>0.7</v>
      </c>
      <c r="B449">
        <f t="shared" si="16"/>
        <v>-8.0573823215368066</v>
      </c>
      <c r="C449">
        <f t="shared" si="17"/>
        <v>-54480.749191198192</v>
      </c>
      <c r="D449">
        <f t="shared" si="18"/>
        <v>-123154.43747008915</v>
      </c>
      <c r="E449">
        <f t="shared" si="19"/>
        <v>-126738.11882360443</v>
      </c>
    </row>
    <row r="450" spans="1:5">
      <c r="A450">
        <f t="shared" si="15"/>
        <v>0.70799999999999996</v>
      </c>
      <c r="B450">
        <f t="shared" si="16"/>
        <v>-8.379445258978194</v>
      </c>
      <c r="C450">
        <f t="shared" si="17"/>
        <v>-55529.124801208076</v>
      </c>
      <c r="D450">
        <f t="shared" si="18"/>
        <v>-125094.61059367246</v>
      </c>
      <c r="E450">
        <f t="shared" si="19"/>
        <v>-128696.80249462544</v>
      </c>
    </row>
    <row r="451" spans="1:5">
      <c r="A451">
        <f t="shared" si="15"/>
        <v>0.71699999999999997</v>
      </c>
      <c r="B451">
        <f t="shared" si="16"/>
        <v>-8.7535031569864259</v>
      </c>
      <c r="C451">
        <f t="shared" si="17"/>
        <v>-56713.231033901524</v>
      </c>
      <c r="D451">
        <f t="shared" si="18"/>
        <v>-127273.67283059817</v>
      </c>
      <c r="E451">
        <f t="shared" si="19"/>
        <v>-130896.10580357289</v>
      </c>
    </row>
    <row r="452" spans="1:5">
      <c r="A452">
        <f t="shared" si="15"/>
        <v>0.72499999999999998</v>
      </c>
      <c r="B452">
        <f t="shared" si="16"/>
        <v>-9.0966552194690848</v>
      </c>
      <c r="C452">
        <f t="shared" si="17"/>
        <v>-57769.785871170316</v>
      </c>
      <c r="D452">
        <f t="shared" si="18"/>
        <v>-129207.10406628711</v>
      </c>
      <c r="E452">
        <f t="shared" si="19"/>
        <v>-132847.0183380536</v>
      </c>
    </row>
    <row r="453" spans="1:5">
      <c r="A453">
        <f t="shared" si="15"/>
        <v>0.73299999999999998</v>
      </c>
      <c r="B453">
        <f t="shared" si="16"/>
        <v>-9.4500486732272293</v>
      </c>
      <c r="C453">
        <f t="shared" si="17"/>
        <v>-58829.984333780376</v>
      </c>
      <c r="D453">
        <f t="shared" si="18"/>
        <v>-131136.96927609123</v>
      </c>
      <c r="E453">
        <f t="shared" si="19"/>
        <v>-134793.8913710381</v>
      </c>
    </row>
    <row r="454" spans="1:5">
      <c r="A454">
        <f t="shared" si="15"/>
        <v>0.74199999999999999</v>
      </c>
      <c r="B454">
        <f t="shared" si="16"/>
        <v>-9.8601139367465294</v>
      </c>
      <c r="C454">
        <f t="shared" si="17"/>
        <v>-60026.903256236474</v>
      </c>
      <c r="D454">
        <f t="shared" si="18"/>
        <v>-133303.50387707388</v>
      </c>
      <c r="E454">
        <f t="shared" si="19"/>
        <v>-136979.00244933437</v>
      </c>
    </row>
    <row r="455" spans="1:5">
      <c r="A455">
        <f t="shared" si="15"/>
        <v>0.75</v>
      </c>
      <c r="B455">
        <f t="shared" si="16"/>
        <v>-10.235955038383963</v>
      </c>
      <c r="C455">
        <f t="shared" si="17"/>
        <v>-61094.421380709784</v>
      </c>
      <c r="D455">
        <f t="shared" si="18"/>
        <v>-135224.99566257387</v>
      </c>
      <c r="E455">
        <f t="shared" si="19"/>
        <v>-138916.51889518261</v>
      </c>
    </row>
    <row r="456" spans="1:5">
      <c r="A456">
        <f t="shared" si="15"/>
        <v>0.75800000000000001</v>
      </c>
      <c r="B456">
        <f t="shared" si="16"/>
        <v>-10.622685923482095</v>
      </c>
      <c r="C456">
        <f t="shared" si="17"/>
        <v>-62165.189846866822</v>
      </c>
      <c r="D456">
        <f t="shared" si="18"/>
        <v>-137142.1869054522</v>
      </c>
      <c r="E456">
        <f t="shared" si="19"/>
        <v>-140849.28287495405</v>
      </c>
    </row>
    <row r="457" spans="1:5">
      <c r="A457">
        <f t="shared" si="15"/>
        <v>0.76700000000000002</v>
      </c>
      <c r="B457">
        <f t="shared" si="16"/>
        <v>-11.071038001998204</v>
      </c>
      <c r="C457">
        <f t="shared" si="17"/>
        <v>-63373.538684469881</v>
      </c>
      <c r="D457">
        <f t="shared" si="18"/>
        <v>-139293.61086167686</v>
      </c>
      <c r="E457">
        <f t="shared" si="19"/>
        <v>-143017.69446274079</v>
      </c>
    </row>
    <row r="458" spans="1:5">
      <c r="A458">
        <f t="shared" si="15"/>
        <v>0.77500000000000002</v>
      </c>
      <c r="B458">
        <f t="shared" si="16"/>
        <v>-11.481613456182458</v>
      </c>
      <c r="C458">
        <f t="shared" si="17"/>
        <v>-64450.814321778293</v>
      </c>
      <c r="D458">
        <f t="shared" si="18"/>
        <v>-141200.93534309621</v>
      </c>
      <c r="E458">
        <f t="shared" si="19"/>
        <v>-144939.65393967155</v>
      </c>
    </row>
    <row r="459" spans="1:5">
      <c r="A459">
        <f t="shared" si="15"/>
        <v>0.78300000000000003</v>
      </c>
      <c r="B459">
        <f t="shared" si="16"/>
        <v>-11.903744966717568</v>
      </c>
      <c r="C459">
        <f t="shared" si="17"/>
        <v>-65530.968666103057</v>
      </c>
      <c r="D459">
        <f t="shared" si="18"/>
        <v>-143103.28717150204</v>
      </c>
      <c r="E459">
        <f t="shared" si="19"/>
        <v>-146856.21000814691</v>
      </c>
    </row>
    <row r="460" spans="1:5">
      <c r="A460">
        <f t="shared" si="15"/>
        <v>0.79200000000000004</v>
      </c>
      <c r="B460">
        <f t="shared" si="16"/>
        <v>-12.392726180069985</v>
      </c>
      <c r="C460">
        <f t="shared" si="17"/>
        <v>-66749.440755261516</v>
      </c>
      <c r="D460">
        <f t="shared" si="18"/>
        <v>-145237.23692226943</v>
      </c>
      <c r="E460">
        <f t="shared" si="19"/>
        <v>-149005.63294747737</v>
      </c>
    </row>
    <row r="461" spans="1:5">
      <c r="A461">
        <f t="shared" si="15"/>
        <v>0.8</v>
      </c>
      <c r="B461">
        <f t="shared" si="16"/>
        <v>-12.840136776974759</v>
      </c>
      <c r="C461">
        <f t="shared" si="17"/>
        <v>-67835.334719187129</v>
      </c>
      <c r="D461">
        <f t="shared" si="18"/>
        <v>-147128.35590287362</v>
      </c>
      <c r="E461">
        <f t="shared" si="19"/>
        <v>-150910.062898851</v>
      </c>
    </row>
    <row r="462" spans="1:5">
      <c r="A462">
        <f t="shared" si="15"/>
        <v>0.80800000000000005</v>
      </c>
      <c r="B462">
        <f t="shared" si="16"/>
        <v>-13.299787208880844</v>
      </c>
      <c r="C462">
        <f t="shared" si="17"/>
        <v>-68923.75640485117</v>
      </c>
      <c r="D462">
        <f t="shared" si="18"/>
        <v>-149013.88756056636</v>
      </c>
      <c r="E462">
        <f t="shared" si="19"/>
        <v>-152808.49543699686</v>
      </c>
    </row>
    <row r="463" spans="1:5">
      <c r="A463">
        <f t="shared" si="15"/>
        <v>0.81699999999999995</v>
      </c>
      <c r="B463">
        <f t="shared" si="16"/>
        <v>-13.831801402375277</v>
      </c>
      <c r="C463">
        <f t="shared" si="17"/>
        <v>-70151.117679492658</v>
      </c>
      <c r="D463">
        <f t="shared" si="18"/>
        <v>-151128.20153368788</v>
      </c>
      <c r="E463">
        <f t="shared" si="19"/>
        <v>-154936.84079418762</v>
      </c>
    </row>
    <row r="464" spans="1:5">
      <c r="A464">
        <f t="shared" si="15"/>
        <v>0.82499999999999996</v>
      </c>
      <c r="B464">
        <f t="shared" si="16"/>
        <v>-14.318202220481453</v>
      </c>
      <c r="C464">
        <f t="shared" si="17"/>
        <v>-71244.554262802048</v>
      </c>
      <c r="D464">
        <f t="shared" si="18"/>
        <v>-153001.25134490427</v>
      </c>
      <c r="E464">
        <f t="shared" si="19"/>
        <v>-156821.9415170548</v>
      </c>
    </row>
    <row r="465" spans="1:5">
      <c r="A465">
        <f t="shared" si="15"/>
        <v>0.83299999999999996</v>
      </c>
      <c r="B465">
        <f t="shared" si="16"/>
        <v>-14.817543761564139</v>
      </c>
      <c r="C465">
        <f t="shared" si="17"/>
        <v>-72340.187247200345</v>
      </c>
      <c r="D465">
        <f t="shared" si="18"/>
        <v>-154868.15200145351</v>
      </c>
      <c r="E465">
        <f t="shared" si="19"/>
        <v>-158700.50306586799</v>
      </c>
    </row>
    <row r="466" spans="1:5">
      <c r="A466">
        <f t="shared" si="15"/>
        <v>0.84199999999999997</v>
      </c>
      <c r="B466">
        <f t="shared" si="16"/>
        <v>-15.39505495210642</v>
      </c>
      <c r="C466">
        <f t="shared" si="17"/>
        <v>-73575.272777374368</v>
      </c>
      <c r="D466">
        <f t="shared" si="18"/>
        <v>-156960.85443111658</v>
      </c>
      <c r="E466">
        <f t="shared" si="19"/>
        <v>-160805.86562780722</v>
      </c>
    </row>
    <row r="467" spans="1:5">
      <c r="A467">
        <f t="shared" si="15"/>
        <v>0.85</v>
      </c>
      <c r="B467">
        <f t="shared" si="16"/>
        <v>-15.922654129073635</v>
      </c>
      <c r="C467">
        <f t="shared" si="17"/>
        <v>-74675.236694186082</v>
      </c>
      <c r="D467">
        <f t="shared" si="18"/>
        <v>-158814.13192459266</v>
      </c>
      <c r="E467">
        <f t="shared" si="19"/>
        <v>-162669.99600543149</v>
      </c>
    </row>
    <row r="468" spans="1:5">
      <c r="A468">
        <f t="shared" si="15"/>
        <v>0.85799999999999998</v>
      </c>
      <c r="B468">
        <f t="shared" si="16"/>
        <v>-16.463911639531943</v>
      </c>
      <c r="C468">
        <f t="shared" si="17"/>
        <v>-75777.084390837059</v>
      </c>
      <c r="D468">
        <f t="shared" si="18"/>
        <v>-160660.74701629803</v>
      </c>
      <c r="E468">
        <f t="shared" si="19"/>
        <v>-164527.09337077409</v>
      </c>
    </row>
    <row r="469" spans="1:5">
      <c r="A469">
        <f t="shared" si="15"/>
        <v>0.86699999999999999</v>
      </c>
      <c r="B469">
        <f t="shared" si="16"/>
        <v>-17.089442616799715</v>
      </c>
      <c r="C469">
        <f t="shared" si="17"/>
        <v>-77018.794989844479</v>
      </c>
      <c r="D469">
        <f t="shared" si="18"/>
        <v>-162730.03298707728</v>
      </c>
      <c r="E469">
        <f t="shared" si="19"/>
        <v>-166607.73644990035</v>
      </c>
    </row>
    <row r="470" spans="1:5">
      <c r="A470">
        <f t="shared" si="15"/>
        <v>0.875</v>
      </c>
      <c r="B470">
        <f t="shared" si="16"/>
        <v>-17.660500113955095</v>
      </c>
      <c r="C470">
        <f t="shared" si="17"/>
        <v>-78124.328383369575</v>
      </c>
      <c r="D470">
        <f t="shared" si="18"/>
        <v>-164561.98259931064</v>
      </c>
      <c r="E470">
        <f t="shared" si="19"/>
        <v>-168449.40082622971</v>
      </c>
    </row>
    <row r="471" spans="1:5">
      <c r="A471">
        <f t="shared" si="15"/>
        <v>0.88300000000000001</v>
      </c>
      <c r="B471">
        <f t="shared" si="16"/>
        <v>-18.245949870930872</v>
      </c>
      <c r="C471">
        <f t="shared" si="17"/>
        <v>-79231.450693104271</v>
      </c>
      <c r="D471">
        <f t="shared" si="18"/>
        <v>-166386.8012256964</v>
      </c>
      <c r="E471">
        <f t="shared" si="19"/>
        <v>-170283.58230501931</v>
      </c>
    </row>
    <row r="472" spans="1:5">
      <c r="A472">
        <f t="shared" si="15"/>
        <v>0.89200000000000002</v>
      </c>
      <c r="B472">
        <f t="shared" si="16"/>
        <v>-18.922080788589938</v>
      </c>
      <c r="C472">
        <f t="shared" si="17"/>
        <v>-80478.749607010046</v>
      </c>
      <c r="D472">
        <f t="shared" si="18"/>
        <v>-168431.02288308344</v>
      </c>
      <c r="E472">
        <f t="shared" si="19"/>
        <v>-172337.92378063095</v>
      </c>
    </row>
    <row r="473" spans="1:5">
      <c r="A473">
        <f t="shared" si="15"/>
        <v>0.9</v>
      </c>
      <c r="B473">
        <f t="shared" si="16"/>
        <v>-19.538907124212074</v>
      </c>
      <c r="C473">
        <f t="shared" si="17"/>
        <v>-81588.949134183073</v>
      </c>
      <c r="D473">
        <f t="shared" si="18"/>
        <v>-170240.22471774745</v>
      </c>
      <c r="E473">
        <f t="shared" si="19"/>
        <v>-174155.75991096892</v>
      </c>
    </row>
    <row r="474" spans="1:5">
      <c r="A474">
        <f t="shared" si="15"/>
        <v>0.90800000000000003</v>
      </c>
      <c r="B474">
        <f t="shared" si="16"/>
        <v>-20.170875551412792</v>
      </c>
      <c r="C474">
        <f t="shared" si="17"/>
        <v>-82700.459556477144</v>
      </c>
      <c r="D474">
        <f t="shared" si="18"/>
        <v>-172041.86803726552</v>
      </c>
      <c r="E474">
        <f t="shared" si="19"/>
        <v>-175965.70357183574</v>
      </c>
    </row>
    <row r="475" spans="1:5">
      <c r="A475">
        <f t="shared" si="15"/>
        <v>0.91700000000000004</v>
      </c>
      <c r="B475">
        <f t="shared" si="16"/>
        <v>-20.900242486699881</v>
      </c>
      <c r="C475">
        <f t="shared" si="17"/>
        <v>-83952.369247370851</v>
      </c>
      <c r="D475">
        <f t="shared" si="18"/>
        <v>-174059.52189979836</v>
      </c>
      <c r="E475">
        <f t="shared" si="19"/>
        <v>-177992.30309147591</v>
      </c>
    </row>
    <row r="476" spans="1:5">
      <c r="A476">
        <f t="shared" si="15"/>
        <v>0.92500000000000004</v>
      </c>
      <c r="B476">
        <f t="shared" si="16"/>
        <v>-21.565197447271657</v>
      </c>
      <c r="C476">
        <f t="shared" si="17"/>
        <v>-85066.383249791965</v>
      </c>
      <c r="D476">
        <f t="shared" si="18"/>
        <v>-175844.68076899392</v>
      </c>
      <c r="E476">
        <f t="shared" si="19"/>
        <v>-179785.07110087413</v>
      </c>
    </row>
    <row r="477" spans="1:5">
      <c r="A477">
        <f t="shared" si="15"/>
        <v>0.93300000000000005</v>
      </c>
      <c r="B477">
        <f t="shared" si="16"/>
        <v>-22.246059825895372</v>
      </c>
      <c r="C477">
        <f t="shared" si="17"/>
        <v>-86181.446082973955</v>
      </c>
      <c r="D477">
        <f t="shared" si="18"/>
        <v>-177621.89133436125</v>
      </c>
      <c r="E477">
        <f t="shared" si="19"/>
        <v>-181569.57405040326</v>
      </c>
    </row>
    <row r="478" spans="1:5">
      <c r="A478">
        <f t="shared" si="15"/>
        <v>0.94199999999999995</v>
      </c>
      <c r="B478">
        <f t="shared" si="16"/>
        <v>-23.031353320222479</v>
      </c>
      <c r="C478">
        <f t="shared" si="17"/>
        <v>-87437.045115058572</v>
      </c>
      <c r="D478">
        <f t="shared" si="18"/>
        <v>-179611.60663962277</v>
      </c>
      <c r="E478">
        <f t="shared" si="19"/>
        <v>-183567.12131353328</v>
      </c>
    </row>
    <row r="479" spans="1:5">
      <c r="A479">
        <f t="shared" si="15"/>
        <v>0.95</v>
      </c>
      <c r="B479">
        <f t="shared" si="16"/>
        <v>-23.746844660086936</v>
      </c>
      <c r="C479">
        <f t="shared" si="17"/>
        <v>-88554.070883643246</v>
      </c>
      <c r="D479">
        <f t="shared" si="18"/>
        <v>-181371.54200338566</v>
      </c>
      <c r="E479">
        <f t="shared" si="19"/>
        <v>-185333.69359371395</v>
      </c>
    </row>
    <row r="480" spans="1:5">
      <c r="A480">
        <f t="shared" si="15"/>
        <v>0.95799999999999996</v>
      </c>
      <c r="B480">
        <f t="shared" si="16"/>
        <v>-24.47902381513677</v>
      </c>
      <c r="C480">
        <f t="shared" si="17"/>
        <v>-89671.898520796967</v>
      </c>
      <c r="D480">
        <f t="shared" si="18"/>
        <v>-183123.17397563395</v>
      </c>
      <c r="E480">
        <f t="shared" si="19"/>
        <v>-187091.66215917439</v>
      </c>
    </row>
    <row r="481" spans="1:5">
      <c r="A481">
        <f t="shared" si="15"/>
        <v>0.96699999999999997</v>
      </c>
      <c r="B481">
        <f t="shared" si="16"/>
        <v>-25.322987391846254</v>
      </c>
      <c r="C481">
        <f t="shared" si="17"/>
        <v>-90930.318556275321</v>
      </c>
      <c r="D481">
        <f t="shared" si="18"/>
        <v>-185083.70199145714</v>
      </c>
      <c r="E481">
        <f t="shared" si="19"/>
        <v>-189058.96620570039</v>
      </c>
    </row>
    <row r="482" spans="1:5">
      <c r="A482">
        <f t="shared" si="15"/>
        <v>0.97499999999999998</v>
      </c>
      <c r="B482">
        <f t="shared" si="16"/>
        <v>-26.091469511469313</v>
      </c>
      <c r="C482">
        <f t="shared" si="17"/>
        <v>-92049.599695208031</v>
      </c>
      <c r="D482">
        <f t="shared" si="18"/>
        <v>-186817.33873453335</v>
      </c>
      <c r="E482">
        <f t="shared" si="19"/>
        <v>-190798.31818207764</v>
      </c>
    </row>
    <row r="483" spans="1:5">
      <c r="A483">
        <f t="shared" si="15"/>
        <v>0.98299999999999998</v>
      </c>
      <c r="B483">
        <f t="shared" si="16"/>
        <v>-26.877434485224512</v>
      </c>
      <c r="C483">
        <f t="shared" si="17"/>
        <v>-93169.450020823526</v>
      </c>
      <c r="D483">
        <f t="shared" si="18"/>
        <v>-188542.34891493848</v>
      </c>
      <c r="E483">
        <f t="shared" si="19"/>
        <v>-192528.7589427018</v>
      </c>
    </row>
    <row r="484" spans="1:5">
      <c r="A484">
        <f t="shared" si="15"/>
        <v>0.99199999999999999</v>
      </c>
      <c r="B484">
        <f t="shared" si="16"/>
        <v>-27.782863149590867</v>
      </c>
      <c r="C484">
        <f t="shared" si="17"/>
        <v>-94429.872930648256</v>
      </c>
      <c r="D484">
        <f t="shared" si="18"/>
        <v>-190472.55314770059</v>
      </c>
      <c r="E484">
        <f t="shared" si="19"/>
        <v>-194464.73837065237</v>
      </c>
    </row>
    <row r="485" spans="1:5">
      <c r="A485">
        <f t="shared" si="15"/>
        <v>1</v>
      </c>
      <c r="B485">
        <f t="shared" si="16"/>
        <v>-28.606835752051211</v>
      </c>
      <c r="C485">
        <f t="shared" si="17"/>
        <v>-95550.696824635204</v>
      </c>
      <c r="D485">
        <f t="shared" si="18"/>
        <v>-192178.91313344726</v>
      </c>
      <c r="E485">
        <f t="shared" si="19"/>
        <v>-196175.94007289349</v>
      </c>
    </row>
    <row r="490" spans="1:5">
      <c r="A490">
        <f t="shared" ref="A490:A553" si="20">I2</f>
        <v>-1</v>
      </c>
      <c r="B490">
        <f t="shared" ref="B490:B553" si="21">P2</f>
        <v>2695.1978892010684</v>
      </c>
      <c r="C490">
        <f t="shared" ref="C490:C553" si="22">R2</f>
        <v>2668.5127615852166</v>
      </c>
      <c r="D490">
        <f t="shared" ref="D490:D553" si="23">T2</f>
        <v>6671.2819039630413</v>
      </c>
      <c r="E490">
        <f t="shared" ref="E490:E553" si="24">V2</f>
        <v>6671.2819039630413</v>
      </c>
    </row>
    <row r="491" spans="1:5">
      <c r="A491">
        <f t="shared" si="20"/>
        <v>-0.99199999999999999</v>
      </c>
      <c r="B491">
        <f t="shared" si="21"/>
        <v>2694.7726350073826</v>
      </c>
      <c r="C491">
        <f t="shared" si="22"/>
        <v>2629.7083164113487</v>
      </c>
      <c r="D491">
        <f t="shared" si="23"/>
        <v>6568.6893297362412</v>
      </c>
      <c r="E491">
        <f t="shared" si="24"/>
        <v>6567.6261942520241</v>
      </c>
    </row>
    <row r="492" spans="1:5">
      <c r="A492">
        <f t="shared" si="20"/>
        <v>-0.98299999999999998</v>
      </c>
      <c r="B492">
        <f t="shared" si="21"/>
        <v>2694.2983068640106</v>
      </c>
      <c r="C492">
        <f t="shared" si="22"/>
        <v>2586.4258733286742</v>
      </c>
      <c r="D492">
        <f t="shared" si="23"/>
        <v>6454.2576651478003</v>
      </c>
      <c r="E492">
        <f t="shared" si="24"/>
        <v>6452.0087093051552</v>
      </c>
    </row>
    <row r="493" spans="1:5">
      <c r="A493">
        <f t="shared" si="20"/>
        <v>-0.97499999999999998</v>
      </c>
      <c r="B493">
        <f t="shared" si="21"/>
        <v>2693.8803110250356</v>
      </c>
      <c r="C493">
        <f t="shared" si="22"/>
        <v>2548.2837530222323</v>
      </c>
      <c r="D493">
        <f t="shared" si="23"/>
        <v>6353.4161689951516</v>
      </c>
      <c r="E493">
        <f t="shared" si="24"/>
        <v>6350.1222235550704</v>
      </c>
    </row>
    <row r="494" spans="1:5">
      <c r="A494">
        <f t="shared" si="20"/>
        <v>-0.96699999999999997</v>
      </c>
      <c r="B494">
        <f t="shared" si="21"/>
        <v>2693.4657308823962</v>
      </c>
      <c r="C494">
        <f t="shared" si="22"/>
        <v>2510.4533150063435</v>
      </c>
      <c r="D494">
        <f t="shared" si="23"/>
        <v>6253.3987095832817</v>
      </c>
      <c r="E494">
        <f t="shared" si="24"/>
        <v>6249.0683137866017</v>
      </c>
    </row>
    <row r="495" spans="1:5">
      <c r="A495">
        <f t="shared" si="20"/>
        <v>-0.95799999999999996</v>
      </c>
      <c r="B495">
        <f t="shared" si="21"/>
        <v>2693.0034110464517</v>
      </c>
      <c r="C495">
        <f t="shared" si="22"/>
        <v>2468.2666299763951</v>
      </c>
      <c r="D495">
        <f t="shared" si="23"/>
        <v>6141.864049161637</v>
      </c>
      <c r="E495">
        <f t="shared" si="24"/>
        <v>6136.3778537750932</v>
      </c>
    </row>
    <row r="496" spans="1:5">
      <c r="A496">
        <f t="shared" si="20"/>
        <v>-0.95</v>
      </c>
      <c r="B496">
        <f t="shared" si="21"/>
        <v>2692.5960892585231</v>
      </c>
      <c r="C496">
        <f t="shared" si="22"/>
        <v>2431.0985168279312</v>
      </c>
      <c r="D496">
        <f t="shared" si="23"/>
        <v>6043.5976678239176</v>
      </c>
      <c r="E496">
        <f t="shared" si="24"/>
        <v>6037.0931679675541</v>
      </c>
    </row>
    <row r="497" spans="1:5">
      <c r="A497">
        <f t="shared" si="20"/>
        <v>-0.94199999999999995</v>
      </c>
      <c r="B497">
        <f t="shared" si="21"/>
        <v>2692.1921831669297</v>
      </c>
      <c r="C497">
        <f t="shared" si="22"/>
        <v>2394.2420859700205</v>
      </c>
      <c r="D497">
        <f t="shared" si="23"/>
        <v>5946.1553232269753</v>
      </c>
      <c r="E497">
        <f t="shared" si="24"/>
        <v>5938.6410581416285</v>
      </c>
    </row>
    <row r="498" spans="1:5">
      <c r="A498">
        <f t="shared" si="20"/>
        <v>-0.93300000000000005</v>
      </c>
      <c r="B498">
        <f t="shared" si="21"/>
        <v>2691.7418716384122</v>
      </c>
      <c r="C498">
        <f t="shared" si="22"/>
        <v>2353.1511589928</v>
      </c>
      <c r="D498">
        <f t="shared" si="23"/>
        <v>5837.5176669721304</v>
      </c>
      <c r="E498">
        <f t="shared" si="24"/>
        <v>5828.8776230654903</v>
      </c>
    </row>
    <row r="499" spans="1:5">
      <c r="A499">
        <f t="shared" si="20"/>
        <v>-0.92500000000000004</v>
      </c>
      <c r="B499">
        <f t="shared" si="21"/>
        <v>2691.3452239015301</v>
      </c>
      <c r="C499">
        <f t="shared" si="22"/>
        <v>2316.9570530023138</v>
      </c>
      <c r="D499">
        <f t="shared" si="23"/>
        <v>5741.8264004493403</v>
      </c>
      <c r="E499">
        <f t="shared" si="24"/>
        <v>5732.1947372004943</v>
      </c>
    </row>
    <row r="500" spans="1:5">
      <c r="A500">
        <f t="shared" si="20"/>
        <v>-0.91700000000000004</v>
      </c>
      <c r="B500">
        <f t="shared" si="21"/>
        <v>2690.9519918609831</v>
      </c>
      <c r="C500">
        <f t="shared" si="22"/>
        <v>2281.0746293023826</v>
      </c>
      <c r="D500">
        <f t="shared" si="23"/>
        <v>5646.9591706673291</v>
      </c>
      <c r="E500">
        <f t="shared" si="24"/>
        <v>5636.3444273171144</v>
      </c>
    </row>
    <row r="501" spans="1:5">
      <c r="A501">
        <f t="shared" si="20"/>
        <v>-0.90800000000000003</v>
      </c>
      <c r="B501">
        <f t="shared" si="21"/>
        <v>2690.5136886398923</v>
      </c>
      <c r="C501">
        <f t="shared" si="22"/>
        <v>2241.0794603778854</v>
      </c>
      <c r="D501">
        <f t="shared" si="23"/>
        <v>5541.218518579276</v>
      </c>
      <c r="E501">
        <f t="shared" si="24"/>
        <v>5529.5080171763357</v>
      </c>
    </row>
    <row r="502" spans="1:5">
      <c r="A502">
        <f t="shared" si="20"/>
        <v>-0.9</v>
      </c>
      <c r="B502">
        <f t="shared" si="21"/>
        <v>2690.1277149540565</v>
      </c>
      <c r="C502">
        <f t="shared" si="22"/>
        <v>2205.8593615453797</v>
      </c>
      <c r="D502">
        <f t="shared" si="23"/>
        <v>5448.1023668714188</v>
      </c>
      <c r="E502">
        <f t="shared" si="24"/>
        <v>5435.4269312538872</v>
      </c>
    </row>
    <row r="503" spans="1:5">
      <c r="A503">
        <f t="shared" si="20"/>
        <v>-0.89200000000000002</v>
      </c>
      <c r="B503">
        <f t="shared" si="21"/>
        <v>2689.7451569645559</v>
      </c>
      <c r="C503">
        <f t="shared" si="22"/>
        <v>2170.9509450034266</v>
      </c>
      <c r="D503">
        <f t="shared" si="23"/>
        <v>5355.8102519043368</v>
      </c>
      <c r="E503">
        <f t="shared" si="24"/>
        <v>5342.1784213130541</v>
      </c>
    </row>
    <row r="504" spans="1:5">
      <c r="A504">
        <f t="shared" si="20"/>
        <v>-0.88300000000000001</v>
      </c>
      <c r="B504">
        <f t="shared" si="21"/>
        <v>2689.3188620508927</v>
      </c>
      <c r="C504">
        <f t="shared" si="22"/>
        <v>2132.0515341316559</v>
      </c>
      <c r="D504">
        <f t="shared" si="23"/>
        <v>5252.966603983079</v>
      </c>
      <c r="E504">
        <f t="shared" si="24"/>
        <v>5238.2690361076393</v>
      </c>
    </row>
    <row r="505" spans="1:5">
      <c r="A505">
        <f t="shared" si="20"/>
        <v>-0.875</v>
      </c>
      <c r="B505">
        <f t="shared" si="21"/>
        <v>2688.9435624161033</v>
      </c>
      <c r="C505">
        <f t="shared" si="22"/>
        <v>2097.8054424571283</v>
      </c>
      <c r="D505">
        <f t="shared" si="23"/>
        <v>5162.4255670901503</v>
      </c>
      <c r="E505">
        <f t="shared" si="24"/>
        <v>5146.7897501277366</v>
      </c>
    </row>
    <row r="506" spans="1:5">
      <c r="A506">
        <f t="shared" si="20"/>
        <v>-0.86699999999999999</v>
      </c>
      <c r="B506">
        <f t="shared" si="21"/>
        <v>2688.5716784776487</v>
      </c>
      <c r="C506">
        <f t="shared" si="22"/>
        <v>2063.8710330731533</v>
      </c>
      <c r="D506">
        <f t="shared" si="23"/>
        <v>5072.7085669379976</v>
      </c>
      <c r="E506">
        <f t="shared" si="24"/>
        <v>5056.1430401294483</v>
      </c>
    </row>
    <row r="507" spans="1:5">
      <c r="A507">
        <f t="shared" si="20"/>
        <v>-0.85799999999999998</v>
      </c>
      <c r="B507">
        <f t="shared" si="21"/>
        <v>2688.1573918714125</v>
      </c>
      <c r="C507">
        <f t="shared" si="22"/>
        <v>2026.0673802541089</v>
      </c>
      <c r="D507">
        <f t="shared" si="23"/>
        <v>4972.7619231835379</v>
      </c>
      <c r="E507">
        <f t="shared" si="24"/>
        <v>4955.1606798593975</v>
      </c>
    </row>
    <row r="508" spans="1:5">
      <c r="A508">
        <f t="shared" si="20"/>
        <v>-0.85</v>
      </c>
      <c r="B508">
        <f t="shared" si="21"/>
        <v>2687.7927662876696</v>
      </c>
      <c r="C508">
        <f t="shared" si="22"/>
        <v>1992.7952957375599</v>
      </c>
      <c r="D508">
        <f t="shared" si="23"/>
        <v>4884.7960011055375</v>
      </c>
      <c r="E508">
        <f t="shared" si="24"/>
        <v>4866.2831938220397</v>
      </c>
    </row>
    <row r="509" spans="1:5">
      <c r="A509">
        <f t="shared" si="20"/>
        <v>-0.84199999999999997</v>
      </c>
      <c r="B509">
        <f t="shared" si="21"/>
        <v>2687.4315564002609</v>
      </c>
      <c r="C509">
        <f t="shared" si="22"/>
        <v>1959.8348935115644</v>
      </c>
      <c r="D509">
        <f t="shared" si="23"/>
        <v>4797.6541157683168</v>
      </c>
      <c r="E509">
        <f t="shared" si="24"/>
        <v>4778.238283766299</v>
      </c>
    </row>
    <row r="510" spans="1:5">
      <c r="A510">
        <f t="shared" si="20"/>
        <v>-0.83299999999999996</v>
      </c>
      <c r="B510">
        <f t="shared" si="21"/>
        <v>2687.0292781014527</v>
      </c>
      <c r="C510">
        <f t="shared" si="22"/>
        <v>1923.1269987452456</v>
      </c>
      <c r="D510">
        <f t="shared" si="23"/>
        <v>4700.6044761806515</v>
      </c>
      <c r="E510">
        <f t="shared" si="24"/>
        <v>4680.1829484316113</v>
      </c>
    </row>
    <row r="511" spans="1:5">
      <c r="A511">
        <f t="shared" si="20"/>
        <v>-0.82499999999999996</v>
      </c>
      <c r="B511">
        <f t="shared" si="21"/>
        <v>2686.6753265687557</v>
      </c>
      <c r="C511">
        <f t="shared" si="22"/>
        <v>1890.8289213866744</v>
      </c>
      <c r="D511">
        <f t="shared" si="23"/>
        <v>4615.2136689175813</v>
      </c>
      <c r="E511">
        <f t="shared" si="24"/>
        <v>4593.9072623367983</v>
      </c>
    </row>
    <row r="512" spans="1:5">
      <c r="A512">
        <f t="shared" si="20"/>
        <v>-0.81699999999999995</v>
      </c>
      <c r="B512">
        <f t="shared" si="21"/>
        <v>2686.3247907323939</v>
      </c>
      <c r="C512">
        <f t="shared" si="22"/>
        <v>1858.8425263186568</v>
      </c>
      <c r="D512">
        <f t="shared" si="23"/>
        <v>4530.6468983952882</v>
      </c>
      <c r="E512">
        <f t="shared" si="24"/>
        <v>4508.4641522236016</v>
      </c>
    </row>
    <row r="513" spans="1:5">
      <c r="A513">
        <f t="shared" si="20"/>
        <v>-0.80800000000000005</v>
      </c>
      <c r="B513">
        <f t="shared" si="21"/>
        <v>2685.9345207410115</v>
      </c>
      <c r="C513">
        <f t="shared" si="22"/>
        <v>1823.2303896050653</v>
      </c>
      <c r="D513">
        <f t="shared" si="23"/>
        <v>4436.4942629744219</v>
      </c>
      <c r="E513">
        <f t="shared" si="24"/>
        <v>4413.3358418242815</v>
      </c>
    </row>
    <row r="514" spans="1:5">
      <c r="A514">
        <f t="shared" si="20"/>
        <v>-0.8</v>
      </c>
      <c r="B514">
        <f t="shared" si="21"/>
        <v>2685.5912432593618</v>
      </c>
      <c r="C514">
        <f t="shared" si="22"/>
        <v>1791.9063194044727</v>
      </c>
      <c r="D514">
        <f t="shared" si="23"/>
        <v>4353.678570526281</v>
      </c>
      <c r="E514">
        <f t="shared" si="24"/>
        <v>4329.6619556720143</v>
      </c>
    </row>
    <row r="515" spans="1:5">
      <c r="A515">
        <f t="shared" si="20"/>
        <v>-0.79200000000000004</v>
      </c>
      <c r="B515">
        <f t="shared" si="21"/>
        <v>2685.251381474046</v>
      </c>
      <c r="C515">
        <f t="shared" si="22"/>
        <v>1760.8939314944344</v>
      </c>
      <c r="D515">
        <f t="shared" si="23"/>
        <v>4271.6869148189189</v>
      </c>
      <c r="E515">
        <f t="shared" si="24"/>
        <v>4246.8206455013624</v>
      </c>
    </row>
    <row r="516" spans="1:5">
      <c r="A516">
        <f t="shared" si="20"/>
        <v>-0.78300000000000003</v>
      </c>
      <c r="B516">
        <f t="shared" si="21"/>
        <v>2684.873119790092</v>
      </c>
      <c r="C516">
        <f t="shared" si="22"/>
        <v>1726.3775528335677</v>
      </c>
      <c r="D516">
        <f t="shared" si="23"/>
        <v>4180.431283564847</v>
      </c>
      <c r="E516">
        <f t="shared" si="24"/>
        <v>4154.6193600374036</v>
      </c>
    </row>
    <row r="517" spans="1:5">
      <c r="A517">
        <f t="shared" si="20"/>
        <v>-0.77500000000000002</v>
      </c>
      <c r="B517">
        <f t="shared" si="21"/>
        <v>2684.5405163594878</v>
      </c>
      <c r="C517">
        <f t="shared" si="22"/>
        <v>1696.0274897909542</v>
      </c>
      <c r="D517">
        <f t="shared" si="23"/>
        <v>4100.1907059316354</v>
      </c>
      <c r="E517">
        <f t="shared" si="24"/>
        <v>4073.5472738276831</v>
      </c>
    </row>
    <row r="518" spans="1:5">
      <c r="A518">
        <f t="shared" si="20"/>
        <v>-0.76700000000000002</v>
      </c>
      <c r="B518">
        <f t="shared" si="21"/>
        <v>2684.2113286252188</v>
      </c>
      <c r="C518">
        <f t="shared" si="22"/>
        <v>1665.989109038894</v>
      </c>
      <c r="D518">
        <f t="shared" si="23"/>
        <v>4020.7741650392022</v>
      </c>
      <c r="E518">
        <f t="shared" si="24"/>
        <v>3993.3077635995774</v>
      </c>
    </row>
    <row r="519" spans="1:5">
      <c r="A519">
        <f t="shared" si="20"/>
        <v>-0.75800000000000001</v>
      </c>
      <c r="B519">
        <f t="shared" si="21"/>
        <v>2683.8450752486906</v>
      </c>
      <c r="C519">
        <f t="shared" si="22"/>
        <v>1632.568488430753</v>
      </c>
      <c r="D519">
        <f t="shared" si="23"/>
        <v>3932.4155379519252</v>
      </c>
      <c r="E519">
        <f t="shared" si="24"/>
        <v>3904.0335030709807</v>
      </c>
    </row>
    <row r="520" spans="1:5">
      <c r="A520">
        <f t="shared" si="20"/>
        <v>-0.75</v>
      </c>
      <c r="B520">
        <f t="shared" si="21"/>
        <v>2683.5231458691333</v>
      </c>
      <c r="C520">
        <f t="shared" si="22"/>
        <v>1603.1924325461182</v>
      </c>
      <c r="D520">
        <f t="shared" si="23"/>
        <v>3854.7500751336447</v>
      </c>
      <c r="E520">
        <f t="shared" si="24"/>
        <v>3825.5632168038064</v>
      </c>
    </row>
    <row r="521" spans="1:5">
      <c r="A521">
        <f t="shared" si="20"/>
        <v>-0.74199999999999999</v>
      </c>
      <c r="B521">
        <f t="shared" si="21"/>
        <v>2683.2046321859102</v>
      </c>
      <c r="C521">
        <f t="shared" si="22"/>
        <v>1574.1280589520366</v>
      </c>
      <c r="D521">
        <f t="shared" si="23"/>
        <v>3777.9086490561408</v>
      </c>
      <c r="E521">
        <f t="shared" si="24"/>
        <v>3747.925506518246</v>
      </c>
    </row>
    <row r="522" spans="1:5">
      <c r="A522">
        <f t="shared" si="20"/>
        <v>-0.73299999999999998</v>
      </c>
      <c r="B522">
        <f t="shared" si="21"/>
        <v>2682.85038711681</v>
      </c>
      <c r="C522">
        <f t="shared" si="22"/>
        <v>1541.8031963966218</v>
      </c>
      <c r="D522">
        <f t="shared" si="23"/>
        <v>3692.447026135661</v>
      </c>
      <c r="E522">
        <f t="shared" si="24"/>
        <v>3661.5782709250147</v>
      </c>
    </row>
    <row r="523" spans="1:5">
      <c r="A523">
        <f t="shared" si="20"/>
        <v>-0.72499999999999998</v>
      </c>
      <c r="B523">
        <f t="shared" si="21"/>
        <v>2682.5391317882991</v>
      </c>
      <c r="C523">
        <f t="shared" si="22"/>
        <v>1513.4011476699659</v>
      </c>
      <c r="D523">
        <f t="shared" si="23"/>
        <v>3617.3566781323107</v>
      </c>
      <c r="E523">
        <f t="shared" si="24"/>
        <v>3585.7097846003849</v>
      </c>
    </row>
    <row r="524" spans="1:5">
      <c r="A524">
        <f t="shared" si="20"/>
        <v>-0.71699999999999997</v>
      </c>
      <c r="B524">
        <f t="shared" si="21"/>
        <v>2682.231292156122</v>
      </c>
      <c r="C524">
        <f t="shared" si="22"/>
        <v>1485.3107812338621</v>
      </c>
      <c r="D524">
        <f t="shared" si="23"/>
        <v>3543.0903668697347</v>
      </c>
      <c r="E524">
        <f t="shared" si="24"/>
        <v>3510.6738742573698</v>
      </c>
    </row>
    <row r="525" spans="1:5">
      <c r="A525">
        <f t="shared" si="20"/>
        <v>-0.70799999999999996</v>
      </c>
      <c r="B525">
        <f t="shared" si="21"/>
        <v>2681.8890553944493</v>
      </c>
      <c r="C525">
        <f t="shared" si="22"/>
        <v>1454.0816767311737</v>
      </c>
      <c r="D525">
        <f t="shared" si="23"/>
        <v>3460.5257481160511</v>
      </c>
      <c r="E525">
        <f t="shared" si="24"/>
        <v>3427.2536635995016</v>
      </c>
    </row>
    <row r="526" spans="1:5">
      <c r="A526">
        <f t="shared" si="20"/>
        <v>-0.7</v>
      </c>
      <c r="B526">
        <f t="shared" si="21"/>
        <v>2681.5884741169839</v>
      </c>
      <c r="C526">
        <f t="shared" si="22"/>
        <v>1426.6536351624961</v>
      </c>
      <c r="D526">
        <f t="shared" si="23"/>
        <v>3388.0105149276301</v>
      </c>
      <c r="E526">
        <f t="shared" si="24"/>
        <v>3353.9869772174184</v>
      </c>
    </row>
    <row r="527" spans="1:5">
      <c r="A527">
        <f t="shared" si="20"/>
        <v>-0.69199999999999995</v>
      </c>
      <c r="B527">
        <f t="shared" si="21"/>
        <v>2681.2913085358537</v>
      </c>
      <c r="C527">
        <f t="shared" si="22"/>
        <v>1399.5372758843714</v>
      </c>
      <c r="D527">
        <f t="shared" si="23"/>
        <v>3316.3193184799852</v>
      </c>
      <c r="E527">
        <f t="shared" si="24"/>
        <v>3281.5528668169482</v>
      </c>
    </row>
    <row r="528" spans="1:5">
      <c r="A528">
        <f t="shared" si="20"/>
        <v>-0.68300000000000005</v>
      </c>
      <c r="B528">
        <f t="shared" si="21"/>
        <v>2680.9610800816076</v>
      </c>
      <c r="C528">
        <f t="shared" si="22"/>
        <v>1369.4039294344093</v>
      </c>
      <c r="D528">
        <f t="shared" si="23"/>
        <v>3236.6517038930992</v>
      </c>
      <c r="E528">
        <f t="shared" si="24"/>
        <v>3201.0596810944471</v>
      </c>
    </row>
    <row r="529" spans="1:5">
      <c r="A529">
        <f t="shared" si="20"/>
        <v>-0.67500000000000004</v>
      </c>
      <c r="B529">
        <f t="shared" si="21"/>
        <v>2680.6711728551891</v>
      </c>
      <c r="C529">
        <f t="shared" si="22"/>
        <v>1342.9498950237103</v>
      </c>
      <c r="D529">
        <f t="shared" si="23"/>
        <v>3166.7115855196066</v>
      </c>
      <c r="E529">
        <f t="shared" si="24"/>
        <v>3130.3947946549083</v>
      </c>
    </row>
    <row r="530" spans="1:5">
      <c r="A530">
        <f t="shared" si="20"/>
        <v>-0.66700000000000004</v>
      </c>
      <c r="B530">
        <f t="shared" si="21"/>
        <v>2680.3846813251052</v>
      </c>
      <c r="C530">
        <f t="shared" si="22"/>
        <v>1316.8075429035646</v>
      </c>
      <c r="D530">
        <f t="shared" si="23"/>
        <v>3097.5955038868924</v>
      </c>
      <c r="E530">
        <f t="shared" si="24"/>
        <v>3060.5624841969843</v>
      </c>
    </row>
    <row r="531" spans="1:5">
      <c r="A531">
        <f t="shared" si="20"/>
        <v>-0.65800000000000003</v>
      </c>
      <c r="B531">
        <f t="shared" si="21"/>
        <v>2680.0664611782863</v>
      </c>
      <c r="C531">
        <f t="shared" si="22"/>
        <v>1287.7699545063276</v>
      </c>
      <c r="D531">
        <f t="shared" si="23"/>
        <v>3020.8248934668009</v>
      </c>
      <c r="E531">
        <f t="shared" si="24"/>
        <v>2982.9963234098454</v>
      </c>
    </row>
    <row r="532" spans="1:5">
      <c r="A532">
        <f t="shared" si="20"/>
        <v>-0.65</v>
      </c>
      <c r="B532">
        <f t="shared" si="21"/>
        <v>2679.7872280029137</v>
      </c>
      <c r="C532">
        <f t="shared" si="22"/>
        <v>1262.2899272536067</v>
      </c>
      <c r="D532">
        <f t="shared" si="23"/>
        <v>2953.459889908238</v>
      </c>
      <c r="E532">
        <f t="shared" si="24"/>
        <v>2914.9332369128515</v>
      </c>
    </row>
    <row r="533" spans="1:5">
      <c r="A533">
        <f t="shared" si="20"/>
        <v>-0.64200000000000002</v>
      </c>
      <c r="B533">
        <f t="shared" si="21"/>
        <v>2679.5114105238763</v>
      </c>
      <c r="C533">
        <f t="shared" si="22"/>
        <v>1237.1215822914398</v>
      </c>
      <c r="D533">
        <f t="shared" si="23"/>
        <v>2886.9189230904535</v>
      </c>
      <c r="E533">
        <f t="shared" si="24"/>
        <v>2847.7027263974737</v>
      </c>
    </row>
    <row r="534" spans="1:5">
      <c r="A534">
        <f t="shared" si="20"/>
        <v>-0.63300000000000001</v>
      </c>
      <c r="B534">
        <f t="shared" si="21"/>
        <v>2679.2051986844849</v>
      </c>
      <c r="C534">
        <f t="shared" si="22"/>
        <v>1209.1797519469287</v>
      </c>
      <c r="D534">
        <f t="shared" si="23"/>
        <v>2813.0453168371569</v>
      </c>
      <c r="E534">
        <f t="shared" si="24"/>
        <v>2773.063590545697</v>
      </c>
    </row>
    <row r="535" spans="1:5">
      <c r="A535">
        <f t="shared" si="20"/>
        <v>-0.625</v>
      </c>
      <c r="B535">
        <f t="shared" si="21"/>
        <v>2678.9366395601587</v>
      </c>
      <c r="C535">
        <f t="shared" si="22"/>
        <v>1184.6737318521868</v>
      </c>
      <c r="D535">
        <f t="shared" si="23"/>
        <v>2748.2554280935246</v>
      </c>
      <c r="E535">
        <f t="shared" si="24"/>
        <v>2707.6023039912498</v>
      </c>
    </row>
    <row r="536" spans="1:5">
      <c r="A536">
        <f t="shared" si="20"/>
        <v>-0.61699999999999999</v>
      </c>
      <c r="B536">
        <f t="shared" si="21"/>
        <v>2678.6714961321677</v>
      </c>
      <c r="C536">
        <f t="shared" si="22"/>
        <v>1160.4793940479983</v>
      </c>
      <c r="D536">
        <f t="shared" si="23"/>
        <v>2684.2895760906704</v>
      </c>
      <c r="E536">
        <f t="shared" si="24"/>
        <v>2642.9735934184177</v>
      </c>
    </row>
    <row r="537" spans="1:5">
      <c r="A537">
        <f t="shared" si="20"/>
        <v>-0.60799999999999998</v>
      </c>
      <c r="B537">
        <f t="shared" si="21"/>
        <v>2678.377292600203</v>
      </c>
      <c r="C537">
        <f t="shared" si="22"/>
        <v>1133.633321756213</v>
      </c>
      <c r="D537">
        <f t="shared" si="23"/>
        <v>2613.3129740041691</v>
      </c>
      <c r="E537">
        <f t="shared" si="24"/>
        <v>2571.2614825020046</v>
      </c>
    </row>
    <row r="538" spans="1:5">
      <c r="A538">
        <f t="shared" si="20"/>
        <v>-0.6</v>
      </c>
      <c r="B538">
        <f t="shared" si="21"/>
        <v>2678.1194075269232</v>
      </c>
      <c r="C538">
        <f t="shared" si="22"/>
        <v>1110.1013088194502</v>
      </c>
      <c r="D538">
        <f t="shared" si="23"/>
        <v>2551.098200075467</v>
      </c>
      <c r="E538">
        <f t="shared" si="24"/>
        <v>2508.4019958901035</v>
      </c>
    </row>
    <row r="539" spans="1:5">
      <c r="A539">
        <f t="shared" si="20"/>
        <v>-0.59199999999999997</v>
      </c>
      <c r="B539">
        <f t="shared" si="21"/>
        <v>2677.8649381499786</v>
      </c>
      <c r="C539">
        <f t="shared" si="22"/>
        <v>1086.88097817324</v>
      </c>
      <c r="D539">
        <f t="shared" si="23"/>
        <v>2489.7074628875416</v>
      </c>
      <c r="E539">
        <f t="shared" si="24"/>
        <v>2446.3750852598164</v>
      </c>
    </row>
    <row r="540" spans="1:5">
      <c r="A540">
        <f t="shared" si="20"/>
        <v>-0.58299999999999996</v>
      </c>
      <c r="B540">
        <f t="shared" si="21"/>
        <v>2677.5827429254409</v>
      </c>
      <c r="C540">
        <f t="shared" si="22"/>
        <v>1061.1306639341806</v>
      </c>
      <c r="D540">
        <f t="shared" si="23"/>
        <v>2421.627864967837</v>
      </c>
      <c r="E540">
        <f t="shared" si="24"/>
        <v>2377.5899992787677</v>
      </c>
    </row>
    <row r="541" spans="1:5">
      <c r="A541">
        <f t="shared" si="20"/>
        <v>-0.57499999999999996</v>
      </c>
      <c r="B541">
        <f t="shared" si="21"/>
        <v>2677.3355319032075</v>
      </c>
      <c r="C541">
        <f t="shared" si="22"/>
        <v>1038.5726581553961</v>
      </c>
      <c r="D541">
        <f t="shared" si="23"/>
        <v>2361.9882058540638</v>
      </c>
      <c r="E541">
        <f t="shared" si="24"/>
        <v>2317.3323126094115</v>
      </c>
    </row>
    <row r="542" spans="1:5">
      <c r="A542">
        <f t="shared" si="20"/>
        <v>-0.56699999999999995</v>
      </c>
      <c r="B542">
        <f t="shared" si="21"/>
        <v>2677.0917365773089</v>
      </c>
      <c r="C542">
        <f t="shared" si="22"/>
        <v>1016.3263346671649</v>
      </c>
      <c r="D542">
        <f t="shared" si="23"/>
        <v>2303.1725834810691</v>
      </c>
      <c r="E542">
        <f t="shared" si="24"/>
        <v>2257.9072019216705</v>
      </c>
    </row>
    <row r="543" spans="1:5">
      <c r="A543">
        <f t="shared" si="20"/>
        <v>-0.55800000000000005</v>
      </c>
      <c r="B543">
        <f t="shared" si="21"/>
        <v>2676.8215496601988</v>
      </c>
      <c r="C543">
        <f t="shared" si="22"/>
        <v>991.67177848083179</v>
      </c>
      <c r="D543">
        <f t="shared" si="23"/>
        <v>2237.9899897281612</v>
      </c>
      <c r="E543">
        <f t="shared" si="24"/>
        <v>2192.0491408759858</v>
      </c>
    </row>
    <row r="544" spans="1:5">
      <c r="A544">
        <f t="shared" si="20"/>
        <v>-0.55000000000000004</v>
      </c>
      <c r="B544">
        <f t="shared" si="21"/>
        <v>2676.5850126890118</v>
      </c>
      <c r="C544">
        <f t="shared" si="22"/>
        <v>970.08777986002588</v>
      </c>
      <c r="D544">
        <f t="shared" si="23"/>
        <v>2180.9254454293177</v>
      </c>
      <c r="E544">
        <f t="shared" si="24"/>
        <v>2134.3932541491758</v>
      </c>
    </row>
    <row r="545" spans="1:5">
      <c r="A545">
        <f t="shared" si="20"/>
        <v>-0.54200000000000004</v>
      </c>
      <c r="B545">
        <f t="shared" si="21"/>
        <v>2676.3518914141596</v>
      </c>
      <c r="C545">
        <f t="shared" si="22"/>
        <v>948.81546352977307</v>
      </c>
      <c r="D545">
        <f t="shared" si="23"/>
        <v>2124.6849378712523</v>
      </c>
      <c r="E545">
        <f t="shared" si="24"/>
        <v>2077.5699434039798</v>
      </c>
    </row>
    <row r="546" spans="1:5">
      <c r="A546">
        <f t="shared" si="20"/>
        <v>-0.53300000000000003</v>
      </c>
      <c r="B546">
        <f t="shared" si="21"/>
        <v>2676.0937128044761</v>
      </c>
      <c r="C546">
        <f t="shared" si="22"/>
        <v>925.25666539616589</v>
      </c>
      <c r="D546">
        <f t="shared" si="23"/>
        <v>2062.3993482851392</v>
      </c>
      <c r="E546">
        <f t="shared" si="24"/>
        <v>2014.6389072936586</v>
      </c>
    </row>
    <row r="547" spans="1:5">
      <c r="A547">
        <f t="shared" si="20"/>
        <v>-0.52500000000000002</v>
      </c>
      <c r="B547">
        <f t="shared" si="21"/>
        <v>2675.867849884336</v>
      </c>
      <c r="C547">
        <f t="shared" si="22"/>
        <v>904.64667393333821</v>
      </c>
      <c r="D547">
        <f t="shared" si="23"/>
        <v>2007.9099188012265</v>
      </c>
      <c r="E547">
        <f t="shared" si="24"/>
        <v>1959.5848205093939</v>
      </c>
    </row>
    <row r="548" spans="1:5">
      <c r="A548">
        <f t="shared" si="20"/>
        <v>-0.51700000000000002</v>
      </c>
      <c r="B548">
        <f t="shared" si="21"/>
        <v>2675.6454026605297</v>
      </c>
      <c r="C548">
        <f t="shared" si="22"/>
        <v>884.34836476106409</v>
      </c>
      <c r="D548">
        <f t="shared" si="23"/>
        <v>1954.2445260580903</v>
      </c>
      <c r="E548">
        <f t="shared" si="24"/>
        <v>1905.3633097067436</v>
      </c>
    </row>
    <row r="549" spans="1:5">
      <c r="A549">
        <f t="shared" si="20"/>
        <v>-0.50800000000000001</v>
      </c>
      <c r="B549">
        <f t="shared" si="21"/>
        <v>2675.3992323582734</v>
      </c>
      <c r="C549">
        <f t="shared" si="22"/>
        <v>861.88532468018263</v>
      </c>
      <c r="D549">
        <f t="shared" si="23"/>
        <v>1894.8559406387737</v>
      </c>
      <c r="E549">
        <f t="shared" si="24"/>
        <v>1845.3592985317862</v>
      </c>
    </row>
    <row r="550" spans="1:5">
      <c r="A550">
        <f t="shared" si="20"/>
        <v>-0.5</v>
      </c>
      <c r="B550">
        <f t="shared" si="21"/>
        <v>2675.1840434891792</v>
      </c>
      <c r="C550">
        <f t="shared" si="22"/>
        <v>842.24934037533387</v>
      </c>
      <c r="D550">
        <f t="shared" si="23"/>
        <v>1842.9416259697903</v>
      </c>
      <c r="E550">
        <f t="shared" si="24"/>
        <v>1792.9070116900673</v>
      </c>
    </row>
    <row r="551" spans="1:5">
      <c r="A551">
        <f t="shared" si="20"/>
        <v>-0.49199999999999999</v>
      </c>
      <c r="B551">
        <f t="shared" si="21"/>
        <v>2674.9722703164202</v>
      </c>
      <c r="C551">
        <f t="shared" si="22"/>
        <v>822.92503836103856</v>
      </c>
      <c r="D551">
        <f t="shared" si="23"/>
        <v>1791.8513480415841</v>
      </c>
      <c r="E551">
        <f t="shared" si="24"/>
        <v>1741.2873008299634</v>
      </c>
    </row>
    <row r="552" spans="1:5">
      <c r="A552">
        <f t="shared" si="20"/>
        <v>-0.48299999999999998</v>
      </c>
      <c r="B552">
        <f t="shared" si="21"/>
        <v>2674.738108321591</v>
      </c>
      <c r="C552">
        <f t="shared" si="22"/>
        <v>801.55775633288272</v>
      </c>
      <c r="D552">
        <f t="shared" si="23"/>
        <v>1735.3597667890629</v>
      </c>
      <c r="E552">
        <f t="shared" si="24"/>
        <v>1684.2103145903689</v>
      </c>
    </row>
    <row r="553" spans="1:5">
      <c r="A553">
        <f t="shared" si="20"/>
        <v>-0.47499999999999998</v>
      </c>
      <c r="B553">
        <f t="shared" si="21"/>
        <v>2674.5335935035428</v>
      </c>
      <c r="C553">
        <f t="shared" si="22"/>
        <v>782.89577918601265</v>
      </c>
      <c r="D553">
        <f t="shared" si="23"/>
        <v>1686.0205669350094</v>
      </c>
      <c r="E553">
        <f t="shared" si="24"/>
        <v>1634.3598276911957</v>
      </c>
    </row>
    <row r="554" spans="1:5">
      <c r="A554">
        <f t="shared" ref="A554:A617" si="25">I66</f>
        <v>-0.46700000000000003</v>
      </c>
      <c r="B554">
        <f t="shared" ref="B554:B617" si="26">P66</f>
        <v>2674.3324943818302</v>
      </c>
      <c r="C554">
        <f t="shared" ref="C554:C617" si="27">R66</f>
        <v>764.54548432969602</v>
      </c>
      <c r="D554">
        <f t="shared" ref="D554:D617" si="28">T66</f>
        <v>1637.5054038217336</v>
      </c>
      <c r="E554">
        <f t="shared" ref="E554:E617" si="29">V66</f>
        <v>1585.3419167736374</v>
      </c>
    </row>
    <row r="555" spans="1:5">
      <c r="A555">
        <f t="shared" si="25"/>
        <v>-0.45800000000000002</v>
      </c>
      <c r="B555">
        <f t="shared" si="26"/>
        <v>2674.1103406944285</v>
      </c>
      <c r="C555">
        <f t="shared" si="27"/>
        <v>744.27396035426614</v>
      </c>
      <c r="D555">
        <f t="shared" si="28"/>
        <v>1583.9108267360079</v>
      </c>
      <c r="E555">
        <f t="shared" si="29"/>
        <v>1531.1919554694066</v>
      </c>
    </row>
    <row r="556" spans="1:5">
      <c r="A556">
        <f t="shared" si="25"/>
        <v>-0.45</v>
      </c>
      <c r="B556">
        <f t="shared" si="26"/>
        <v>2673.9164999274262</v>
      </c>
      <c r="C556">
        <f t="shared" si="27"/>
        <v>726.58599036537464</v>
      </c>
      <c r="D556">
        <f t="shared" si="28"/>
        <v>1537.146741696884</v>
      </c>
      <c r="E556">
        <f t="shared" si="29"/>
        <v>1483.9432685127788</v>
      </c>
    </row>
    <row r="557" spans="1:5">
      <c r="A557">
        <f t="shared" si="25"/>
        <v>-0.442</v>
      </c>
      <c r="B557">
        <f t="shared" si="26"/>
        <v>2673.7260748567596</v>
      </c>
      <c r="C557">
        <f t="shared" si="27"/>
        <v>709.20970266703625</v>
      </c>
      <c r="D557">
        <f t="shared" si="28"/>
        <v>1491.2066933985375</v>
      </c>
      <c r="E557">
        <f t="shared" si="29"/>
        <v>1437.5271575377656</v>
      </c>
    </row>
    <row r="558" spans="1:5">
      <c r="A558">
        <f t="shared" si="25"/>
        <v>-0.433</v>
      </c>
      <c r="B558">
        <f t="shared" si="26"/>
        <v>2673.515929476785</v>
      </c>
      <c r="C558">
        <f t="shared" si="27"/>
        <v>690.03393674433278</v>
      </c>
      <c r="D558">
        <f t="shared" si="28"/>
        <v>1440.509120479609</v>
      </c>
      <c r="E558">
        <f t="shared" si="29"/>
        <v>1386.3042211688996</v>
      </c>
    </row>
    <row r="559" spans="1:5">
      <c r="A559">
        <f t="shared" si="25"/>
        <v>-0.42499999999999999</v>
      </c>
      <c r="B559">
        <f t="shared" si="26"/>
        <v>2673.3327627608296</v>
      </c>
      <c r="C559">
        <f t="shared" si="27"/>
        <v>673.31997391341986</v>
      </c>
      <c r="D559">
        <f t="shared" si="28"/>
        <v>1396.3201502554145</v>
      </c>
      <c r="E559">
        <f t="shared" si="29"/>
        <v>1341.6573341548174</v>
      </c>
    </row>
    <row r="560" spans="1:5">
      <c r="A560">
        <f t="shared" si="25"/>
        <v>-0.41699999999999998</v>
      </c>
      <c r="B560">
        <f t="shared" si="26"/>
        <v>2673.1530117412094</v>
      </c>
      <c r="C560">
        <f t="shared" si="27"/>
        <v>656.91769337306016</v>
      </c>
      <c r="D560">
        <f t="shared" si="28"/>
        <v>1352.955216771998</v>
      </c>
      <c r="E560">
        <f t="shared" si="29"/>
        <v>1297.8430231223497</v>
      </c>
    </row>
    <row r="561" spans="1:5">
      <c r="A561">
        <f t="shared" si="25"/>
        <v>-0.40799999999999997</v>
      </c>
      <c r="B561">
        <f t="shared" si="26"/>
        <v>2672.9548746686619</v>
      </c>
      <c r="C561">
        <f t="shared" si="27"/>
        <v>638.83768550308218</v>
      </c>
      <c r="D561">
        <f t="shared" si="28"/>
        <v>1305.154648019864</v>
      </c>
      <c r="E561">
        <f t="shared" si="29"/>
        <v>1249.5471116888466</v>
      </c>
    </row>
    <row r="562" spans="1:5">
      <c r="A562">
        <f t="shared" si="25"/>
        <v>-0.4</v>
      </c>
      <c r="B562">
        <f t="shared" si="26"/>
        <v>2672.7823820037529</v>
      </c>
      <c r="C562">
        <f t="shared" si="27"/>
        <v>623.09772983014795</v>
      </c>
      <c r="D562">
        <f t="shared" si="28"/>
        <v>1263.5407926106002</v>
      </c>
      <c r="E562">
        <f t="shared" si="29"/>
        <v>1207.5020246173106</v>
      </c>
    </row>
    <row r="563" spans="1:5">
      <c r="A563">
        <f t="shared" si="25"/>
        <v>-0.39200000000000002</v>
      </c>
      <c r="B563">
        <f t="shared" si="26"/>
        <v>2672.6133050351787</v>
      </c>
      <c r="C563">
        <f t="shared" si="27"/>
        <v>607.66945644776706</v>
      </c>
      <c r="D563">
        <f t="shared" si="28"/>
        <v>1222.750973942113</v>
      </c>
      <c r="E563">
        <f t="shared" si="29"/>
        <v>1166.2895135273884</v>
      </c>
    </row>
    <row r="564" spans="1:5">
      <c r="A564">
        <f t="shared" si="25"/>
        <v>-0.38300000000000001</v>
      </c>
      <c r="B564">
        <f t="shared" si="26"/>
        <v>2672.4271762700582</v>
      </c>
      <c r="C564">
        <f t="shared" si="27"/>
        <v>590.68520663051504</v>
      </c>
      <c r="D564">
        <f t="shared" si="28"/>
        <v>1177.8474093567754</v>
      </c>
      <c r="E564">
        <f t="shared" si="29"/>
        <v>1120.9206270292493</v>
      </c>
    </row>
    <row r="565" spans="1:5">
      <c r="A565">
        <f t="shared" si="25"/>
        <v>-0.375</v>
      </c>
      <c r="B565">
        <f t="shared" si="26"/>
        <v>2672.2653576561956</v>
      </c>
      <c r="C565">
        <f t="shared" si="27"/>
        <v>575.91925811555939</v>
      </c>
      <c r="D565">
        <f t="shared" si="28"/>
        <v>1138.8086687624409</v>
      </c>
      <c r="E565">
        <f t="shared" si="29"/>
        <v>1081.4773399002586</v>
      </c>
    </row>
    <row r="566" spans="1:5">
      <c r="A566">
        <f t="shared" si="25"/>
        <v>-0.36699999999999999</v>
      </c>
      <c r="B566">
        <f t="shared" si="26"/>
        <v>2672.1069547386678</v>
      </c>
      <c r="C566">
        <f t="shared" si="27"/>
        <v>561.46499189115696</v>
      </c>
      <c r="D566">
        <f t="shared" si="28"/>
        <v>1100.5939649088839</v>
      </c>
      <c r="E566">
        <f t="shared" si="29"/>
        <v>1042.8666287528822</v>
      </c>
    </row>
    <row r="567" spans="1:5">
      <c r="A567">
        <f t="shared" si="25"/>
        <v>-0.35799999999999998</v>
      </c>
      <c r="B567">
        <f t="shared" si="26"/>
        <v>2671.9328342809749</v>
      </c>
      <c r="C567">
        <f t="shared" si="27"/>
        <v>545.576500126631</v>
      </c>
      <c r="D567">
        <f t="shared" si="28"/>
        <v>1058.5874044903424</v>
      </c>
      <c r="E567">
        <f t="shared" si="29"/>
        <v>1000.4247671901072</v>
      </c>
    </row>
    <row r="568" spans="1:5">
      <c r="A568">
        <f t="shared" si="25"/>
        <v>-0.35</v>
      </c>
      <c r="B568">
        <f t="shared" si="26"/>
        <v>2671.7816897181583</v>
      </c>
      <c r="C568">
        <f t="shared" si="27"/>
        <v>531.78455876965381</v>
      </c>
      <c r="D568">
        <f t="shared" si="28"/>
        <v>1022.1237787109374</v>
      </c>
      <c r="E568">
        <f t="shared" si="29"/>
        <v>963.58328000366168</v>
      </c>
    </row>
    <row r="569" spans="1:5">
      <c r="A569">
        <f t="shared" si="25"/>
        <v>-0.34200000000000003</v>
      </c>
      <c r="B569">
        <f t="shared" si="26"/>
        <v>2671.6339608516769</v>
      </c>
      <c r="C569">
        <f t="shared" si="27"/>
        <v>518.30429970323007</v>
      </c>
      <c r="D569">
        <f t="shared" si="28"/>
        <v>986.48418967231009</v>
      </c>
      <c r="E569">
        <f t="shared" si="29"/>
        <v>927.57436879883096</v>
      </c>
    </row>
    <row r="570" spans="1:5">
      <c r="A570">
        <f t="shared" si="25"/>
        <v>-0.33300000000000002</v>
      </c>
      <c r="B570">
        <f t="shared" si="26"/>
        <v>2671.4718487014106</v>
      </c>
      <c r="C570">
        <f t="shared" si="27"/>
        <v>503.51156599142996</v>
      </c>
      <c r="D570">
        <f t="shared" si="28"/>
        <v>947.37463342056446</v>
      </c>
      <c r="E570">
        <f t="shared" si="29"/>
        <v>888.05953217141951</v>
      </c>
    </row>
    <row r="571" spans="1:5">
      <c r="A571">
        <f t="shared" si="25"/>
        <v>-0.32500000000000001</v>
      </c>
      <c r="B571">
        <f t="shared" si="26"/>
        <v>2671.3313781896409</v>
      </c>
      <c r="C571">
        <f t="shared" si="27"/>
        <v>490.69363179243157</v>
      </c>
      <c r="D571">
        <f t="shared" si="28"/>
        <v>913.48612245608945</v>
      </c>
      <c r="E571">
        <f t="shared" si="29"/>
        <v>853.81984492751985</v>
      </c>
    </row>
    <row r="572" spans="1:5">
      <c r="A572">
        <f t="shared" si="25"/>
        <v>-0.317</v>
      </c>
      <c r="B572">
        <f t="shared" si="26"/>
        <v>2671.1943233742059</v>
      </c>
      <c r="C572">
        <f t="shared" si="27"/>
        <v>478.18737988398607</v>
      </c>
      <c r="D572">
        <f t="shared" si="28"/>
        <v>880.42164823239102</v>
      </c>
      <c r="E572">
        <f t="shared" si="29"/>
        <v>820.4127336652341</v>
      </c>
    </row>
    <row r="573" spans="1:5">
      <c r="A573">
        <f t="shared" si="25"/>
        <v>-0.308</v>
      </c>
      <c r="B573">
        <f t="shared" si="26"/>
        <v>2671.0442195313667</v>
      </c>
      <c r="C573">
        <f t="shared" si="27"/>
        <v>464.49040422491237</v>
      </c>
      <c r="D573">
        <f t="shared" si="28"/>
        <v>844.20909614744266</v>
      </c>
      <c r="E573">
        <f t="shared" si="29"/>
        <v>783.82492197318754</v>
      </c>
    </row>
    <row r="574" spans="1:5">
      <c r="A574">
        <f t="shared" si="25"/>
        <v>-0.3</v>
      </c>
      <c r="B574">
        <f t="shared" si="26"/>
        <v>2670.9144230706429</v>
      </c>
      <c r="C574">
        <f t="shared" si="27"/>
        <v>452.64647718389233</v>
      </c>
      <c r="D574">
        <f t="shared" si="28"/>
        <v>812.8956999978966</v>
      </c>
      <c r="E574">
        <f t="shared" si="29"/>
        <v>752.18703467183286</v>
      </c>
    </row>
    <row r="575" spans="1:5">
      <c r="A575">
        <f t="shared" si="25"/>
        <v>-0.29199999999999998</v>
      </c>
      <c r="B575">
        <f t="shared" si="26"/>
        <v>2670.7880423062543</v>
      </c>
      <c r="C575">
        <f t="shared" si="27"/>
        <v>441.11423243342574</v>
      </c>
      <c r="D575">
        <f t="shared" si="28"/>
        <v>782.4063405891286</v>
      </c>
      <c r="E575">
        <f t="shared" si="29"/>
        <v>721.38172335209333</v>
      </c>
    </row>
    <row r="576" spans="1:5">
      <c r="A576">
        <f t="shared" si="25"/>
        <v>-0.28299999999999997</v>
      </c>
      <c r="B576">
        <f t="shared" si="26"/>
        <v>2670.6499467708427</v>
      </c>
      <c r="C576">
        <f t="shared" si="27"/>
        <v>428.51301482707748</v>
      </c>
      <c r="D576">
        <f t="shared" si="28"/>
        <v>749.09079267097502</v>
      </c>
      <c r="E576">
        <f t="shared" si="29"/>
        <v>687.72093659540951</v>
      </c>
    </row>
    <row r="577" spans="1:5">
      <c r="A577">
        <f t="shared" si="25"/>
        <v>-0.27500000000000002</v>
      </c>
      <c r="B577">
        <f t="shared" si="26"/>
        <v>2670.5308243611653</v>
      </c>
      <c r="C577">
        <f t="shared" si="27"/>
        <v>417.64309494403631</v>
      </c>
      <c r="D577">
        <f t="shared" si="28"/>
        <v>720.35251133635927</v>
      </c>
      <c r="E577">
        <f t="shared" si="29"/>
        <v>658.68484923660094</v>
      </c>
    </row>
    <row r="578" spans="1:5">
      <c r="A578">
        <f t="shared" si="25"/>
        <v>-0.26700000000000002</v>
      </c>
      <c r="B578">
        <f t="shared" si="26"/>
        <v>2670.4151176478226</v>
      </c>
      <c r="C578">
        <f t="shared" si="27"/>
        <v>407.08485735154818</v>
      </c>
      <c r="D578">
        <f t="shared" si="28"/>
        <v>692.43826674252091</v>
      </c>
      <c r="E578">
        <f t="shared" si="29"/>
        <v>630.48133785940684</v>
      </c>
    </row>
    <row r="579" spans="1:5">
      <c r="A579">
        <f t="shared" si="25"/>
        <v>-0.25800000000000001</v>
      </c>
      <c r="B579">
        <f t="shared" si="26"/>
        <v>2670.2890304198377</v>
      </c>
      <c r="C579">
        <f t="shared" si="27"/>
        <v>395.57939779792588</v>
      </c>
      <c r="D579">
        <f t="shared" si="28"/>
        <v>662.01972299116323</v>
      </c>
      <c r="E579">
        <f t="shared" si="29"/>
        <v>599.74757603808689</v>
      </c>
    </row>
    <row r="580" spans="1:5">
      <c r="A580">
        <f t="shared" si="25"/>
        <v>-0.25</v>
      </c>
      <c r="B580">
        <f t="shared" si="26"/>
        <v>2670.1805820612071</v>
      </c>
      <c r="C580">
        <f t="shared" si="27"/>
        <v>385.68348507286333</v>
      </c>
      <c r="D580">
        <f t="shared" si="28"/>
        <v>635.85655647147735</v>
      </c>
      <c r="E580">
        <f t="shared" si="29"/>
        <v>573.31328862182386</v>
      </c>
    </row>
    <row r="581" spans="1:5">
      <c r="A581">
        <f t="shared" si="25"/>
        <v>-0.24199999999999999</v>
      </c>
      <c r="B581">
        <f t="shared" si="26"/>
        <v>2670.0755493989109</v>
      </c>
      <c r="C581">
        <f t="shared" si="27"/>
        <v>376.09925463835384</v>
      </c>
      <c r="D581">
        <f t="shared" si="28"/>
        <v>610.51742669256885</v>
      </c>
      <c r="E581">
        <f t="shared" si="29"/>
        <v>547.71157718717541</v>
      </c>
    </row>
    <row r="582" spans="1:5">
      <c r="A582">
        <f t="shared" si="25"/>
        <v>-0.23300000000000001</v>
      </c>
      <c r="B582">
        <f t="shared" si="26"/>
        <v>2669.9614704783535</v>
      </c>
      <c r="C582">
        <f t="shared" si="27"/>
        <v>365.68955313745749</v>
      </c>
      <c r="D582">
        <f t="shared" si="28"/>
        <v>582.9958871080072</v>
      </c>
      <c r="E582">
        <f t="shared" si="29"/>
        <v>519.90484030121934</v>
      </c>
    </row>
    <row r="583" spans="1:5">
      <c r="A583">
        <f t="shared" si="25"/>
        <v>-0.22500000000000001</v>
      </c>
      <c r="B583">
        <f t="shared" si="26"/>
        <v>2669.8636961707689</v>
      </c>
      <c r="C583">
        <f t="shared" si="27"/>
        <v>356.76764757037353</v>
      </c>
      <c r="D583">
        <f t="shared" si="28"/>
        <v>559.40783540325083</v>
      </c>
      <c r="E583">
        <f t="shared" si="29"/>
        <v>496.07235282750179</v>
      </c>
    </row>
    <row r="584" spans="1:5">
      <c r="A584">
        <f t="shared" si="25"/>
        <v>-0.217</v>
      </c>
      <c r="B584">
        <f t="shared" si="26"/>
        <v>2669.769337559519</v>
      </c>
      <c r="C584">
        <f t="shared" si="27"/>
        <v>348.15742429384272</v>
      </c>
      <c r="D584">
        <f t="shared" si="28"/>
        <v>536.64382043927219</v>
      </c>
      <c r="E584">
        <f t="shared" si="29"/>
        <v>473.07244133539882</v>
      </c>
    </row>
    <row r="585" spans="1:5">
      <c r="A585">
        <f t="shared" si="25"/>
        <v>-0.20799999999999999</v>
      </c>
      <c r="B585">
        <f t="shared" si="26"/>
        <v>2669.6672669463883</v>
      </c>
      <c r="C585">
        <f t="shared" si="27"/>
        <v>338.84348084567222</v>
      </c>
      <c r="D585">
        <f t="shared" si="28"/>
        <v>512.01928502150633</v>
      </c>
      <c r="E585">
        <f t="shared" si="29"/>
        <v>448.19272938480651</v>
      </c>
    </row>
    <row r="586" spans="1:5">
      <c r="A586">
        <f t="shared" si="25"/>
        <v>-0.2</v>
      </c>
      <c r="B586">
        <f t="shared" si="26"/>
        <v>2669.5801666898506</v>
      </c>
      <c r="C586">
        <f t="shared" si="27"/>
        <v>330.89558243656683</v>
      </c>
      <c r="D586">
        <f t="shared" si="28"/>
        <v>491.00634813167994</v>
      </c>
      <c r="E586">
        <f t="shared" si="29"/>
        <v>426.96204185363462</v>
      </c>
    </row>
    <row r="587" spans="1:5">
      <c r="A587">
        <f t="shared" si="25"/>
        <v>-0.192</v>
      </c>
      <c r="B587">
        <f t="shared" si="26"/>
        <v>2669.4964821296471</v>
      </c>
      <c r="C587">
        <f t="shared" si="27"/>
        <v>323.25936631801449</v>
      </c>
      <c r="D587">
        <f t="shared" si="28"/>
        <v>470.81744798263048</v>
      </c>
      <c r="E587">
        <f t="shared" si="29"/>
        <v>406.56393030407702</v>
      </c>
    </row>
    <row r="588" spans="1:5">
      <c r="A588">
        <f t="shared" si="25"/>
        <v>-0.183</v>
      </c>
      <c r="B588">
        <f t="shared" si="26"/>
        <v>2669.4064198239439</v>
      </c>
      <c r="C588">
        <f t="shared" si="27"/>
        <v>315.04118092257016</v>
      </c>
      <c r="D588">
        <f t="shared" si="28"/>
        <v>449.08991673166133</v>
      </c>
      <c r="E588">
        <f t="shared" si="29"/>
        <v>384.6112432888491</v>
      </c>
    </row>
    <row r="589" spans="1:5">
      <c r="A589">
        <f t="shared" si="25"/>
        <v>-0.17499999999999999</v>
      </c>
      <c r="B589">
        <f t="shared" si="26"/>
        <v>2669.3299936184521</v>
      </c>
      <c r="C589">
        <f t="shared" si="27"/>
        <v>308.06728967144329</v>
      </c>
      <c r="D589">
        <f t="shared" si="28"/>
        <v>430.65209465676418</v>
      </c>
      <c r="E589">
        <f t="shared" si="29"/>
        <v>365.98235570022246</v>
      </c>
    </row>
    <row r="590" spans="1:5">
      <c r="A590">
        <f t="shared" si="25"/>
        <v>-0.16700000000000001</v>
      </c>
      <c r="B590">
        <f t="shared" si="26"/>
        <v>2669.2569831092951</v>
      </c>
      <c r="C590">
        <f t="shared" si="27"/>
        <v>301.40508071086964</v>
      </c>
      <c r="D590">
        <f t="shared" si="28"/>
        <v>413.03830932264486</v>
      </c>
      <c r="E590">
        <f t="shared" si="29"/>
        <v>348.18604409321068</v>
      </c>
    </row>
    <row r="591" spans="1:5">
      <c r="A591">
        <f t="shared" si="25"/>
        <v>-0.158</v>
      </c>
      <c r="B591">
        <f t="shared" si="26"/>
        <v>2669.1789291110185</v>
      </c>
      <c r="C591">
        <f t="shared" si="27"/>
        <v>294.2826533681511</v>
      </c>
      <c r="D591">
        <f t="shared" si="28"/>
        <v>394.20778223847111</v>
      </c>
      <c r="E591">
        <f t="shared" si="29"/>
        <v>329.16038201334601</v>
      </c>
    </row>
    <row r="592" spans="1:5">
      <c r="A592">
        <f t="shared" si="25"/>
        <v>-0.15</v>
      </c>
      <c r="B592">
        <f t="shared" si="26"/>
        <v>2669.1131769565732</v>
      </c>
      <c r="C592">
        <f t="shared" si="27"/>
        <v>288.28276927500292</v>
      </c>
      <c r="D592">
        <f t="shared" si="28"/>
        <v>378.34507497850399</v>
      </c>
      <c r="E592">
        <f t="shared" si="29"/>
        <v>313.13329436726525</v>
      </c>
    </row>
    <row r="593" spans="1:5">
      <c r="A593">
        <f t="shared" si="25"/>
        <v>-0.14199999999999999</v>
      </c>
      <c r="B593">
        <f t="shared" si="26"/>
        <v>2669.0508404984621</v>
      </c>
      <c r="C593">
        <f t="shared" si="27"/>
        <v>282.5945674724079</v>
      </c>
      <c r="D593">
        <f t="shared" si="28"/>
        <v>363.30640445931436</v>
      </c>
      <c r="E593">
        <f t="shared" si="29"/>
        <v>297.93878270279907</v>
      </c>
    </row>
    <row r="594" spans="1:5">
      <c r="A594">
        <f t="shared" si="25"/>
        <v>-0.13300000000000001</v>
      </c>
      <c r="B594">
        <f t="shared" si="26"/>
        <v>2668.9847948076131</v>
      </c>
      <c r="C594">
        <f t="shared" si="27"/>
        <v>276.56789818241526</v>
      </c>
      <c r="D594">
        <f t="shared" si="28"/>
        <v>347.37288154193652</v>
      </c>
      <c r="E594">
        <f t="shared" si="29"/>
        <v>281.84014555829816</v>
      </c>
    </row>
    <row r="595" spans="1:5">
      <c r="A595">
        <f t="shared" si="25"/>
        <v>-0.125</v>
      </c>
      <c r="B595">
        <f t="shared" si="26"/>
        <v>2668.9297167042141</v>
      </c>
      <c r="C595">
        <f t="shared" si="27"/>
        <v>271.54202124724566</v>
      </c>
      <c r="D595">
        <f t="shared" si="28"/>
        <v>334.08528909689915</v>
      </c>
      <c r="E595">
        <f t="shared" si="29"/>
        <v>268.414857854763</v>
      </c>
    </row>
    <row r="596" spans="1:5">
      <c r="A596">
        <f t="shared" si="25"/>
        <v>-0.11700000000000001</v>
      </c>
      <c r="B596">
        <f t="shared" si="26"/>
        <v>2668.8780542971494</v>
      </c>
      <c r="C596">
        <f t="shared" si="27"/>
        <v>266.82782660262927</v>
      </c>
      <c r="D596">
        <f t="shared" si="28"/>
        <v>321.62173339263933</v>
      </c>
      <c r="E596">
        <f t="shared" si="29"/>
        <v>255.82214613284236</v>
      </c>
    </row>
    <row r="597" spans="1:5">
      <c r="A597">
        <f t="shared" si="25"/>
        <v>-0.108</v>
      </c>
      <c r="B597">
        <f t="shared" si="26"/>
        <v>2668.8240169137275</v>
      </c>
      <c r="C597">
        <f t="shared" si="27"/>
        <v>261.89691536536253</v>
      </c>
      <c r="D597">
        <f t="shared" si="28"/>
        <v>308.58521464205745</v>
      </c>
      <c r="E597">
        <f t="shared" si="29"/>
        <v>242.6505339237053</v>
      </c>
    </row>
    <row r="598" spans="1:5">
      <c r="A598">
        <f t="shared" si="25"/>
        <v>-0.1</v>
      </c>
      <c r="B598">
        <f t="shared" si="26"/>
        <v>2668.779612861375</v>
      </c>
      <c r="C598">
        <f t="shared" si="27"/>
        <v>257.8450455881715</v>
      </c>
      <c r="D598">
        <f t="shared" si="28"/>
        <v>297.87273701194982</v>
      </c>
      <c r="E598">
        <f t="shared" si="29"/>
        <v>231.82704616271567</v>
      </c>
    </row>
    <row r="599" spans="1:5">
      <c r="A599">
        <f t="shared" si="25"/>
        <v>-9.1999999999999998E-2</v>
      </c>
      <c r="B599">
        <f t="shared" si="26"/>
        <v>2668.7386245053572</v>
      </c>
      <c r="C599">
        <f t="shared" si="27"/>
        <v>254.10485810153369</v>
      </c>
      <c r="D599">
        <f t="shared" si="28"/>
        <v>287.98429612261964</v>
      </c>
      <c r="E599">
        <f t="shared" si="29"/>
        <v>221.83613438334069</v>
      </c>
    </row>
    <row r="600" spans="1:5">
      <c r="A600">
        <f t="shared" si="25"/>
        <v>-8.3000000000000004E-2</v>
      </c>
      <c r="B600">
        <f t="shared" si="26"/>
        <v>2668.6965954293619</v>
      </c>
      <c r="C600">
        <f t="shared" si="27"/>
        <v>250.26970491699296</v>
      </c>
      <c r="D600">
        <f t="shared" si="28"/>
        <v>277.84478153883373</v>
      </c>
      <c r="E600">
        <f t="shared" si="29"/>
        <v>211.59154710956733</v>
      </c>
    </row>
    <row r="601" spans="1:5">
      <c r="A601">
        <f t="shared" si="25"/>
        <v>-7.4999999999999997E-2</v>
      </c>
      <c r="B601">
        <f t="shared" si="26"/>
        <v>2668.6628654280557</v>
      </c>
      <c r="C601">
        <f t="shared" si="27"/>
        <v>247.19184229778054</v>
      </c>
      <c r="D601">
        <f t="shared" si="28"/>
        <v>269.70741872365579</v>
      </c>
      <c r="E601">
        <f t="shared" si="29"/>
        <v>203.36985929112333</v>
      </c>
    </row>
    <row r="602" spans="1:5">
      <c r="A602">
        <f t="shared" si="25"/>
        <v>-6.7000000000000004E-2</v>
      </c>
      <c r="B602">
        <f t="shared" si="26"/>
        <v>2668.6325511230839</v>
      </c>
      <c r="C602">
        <f t="shared" si="27"/>
        <v>244.42566196912128</v>
      </c>
      <c r="D602">
        <f t="shared" si="28"/>
        <v>262.3940926492553</v>
      </c>
      <c r="E602">
        <f t="shared" si="29"/>
        <v>195.98074745429378</v>
      </c>
    </row>
    <row r="603" spans="1:5">
      <c r="A603">
        <f t="shared" si="25"/>
        <v>-5.8000000000000003E-2</v>
      </c>
      <c r="B603">
        <f t="shared" si="26"/>
        <v>2668.6025303545161</v>
      </c>
      <c r="C603">
        <f t="shared" si="27"/>
        <v>241.68626683730656</v>
      </c>
      <c r="D603">
        <f t="shared" si="28"/>
        <v>255.15158223226561</v>
      </c>
      <c r="E603">
        <f t="shared" si="29"/>
        <v>188.66318511588446</v>
      </c>
    </row>
    <row r="604" spans="1:5">
      <c r="A604">
        <f t="shared" si="25"/>
        <v>-0.05</v>
      </c>
      <c r="B604">
        <f t="shared" si="26"/>
        <v>2668.579474404256</v>
      </c>
      <c r="C604">
        <f t="shared" si="27"/>
        <v>239.58241137607271</v>
      </c>
      <c r="D604">
        <f t="shared" si="28"/>
        <v>249.58933423201725</v>
      </c>
      <c r="E604">
        <f t="shared" si="29"/>
        <v>183.04329723998595</v>
      </c>
    </row>
    <row r="605" spans="1:5">
      <c r="A605">
        <f t="shared" si="25"/>
        <v>-4.2000000000000003E-2</v>
      </c>
      <c r="B605">
        <f t="shared" si="26"/>
        <v>2668.5598341503305</v>
      </c>
      <c r="C605">
        <f t="shared" si="27"/>
        <v>237.79023820539209</v>
      </c>
      <c r="D605">
        <f t="shared" si="28"/>
        <v>244.85112297254656</v>
      </c>
      <c r="E605">
        <f t="shared" si="29"/>
        <v>178.25598534570207</v>
      </c>
    </row>
    <row r="606" spans="1:5">
      <c r="A606">
        <f t="shared" si="25"/>
        <v>-3.3000000000000002E-2</v>
      </c>
      <c r="B606">
        <f t="shared" si="26"/>
        <v>2668.5418216891899</v>
      </c>
      <c r="C606">
        <f t="shared" si="27"/>
        <v>236.14660112630315</v>
      </c>
      <c r="D606">
        <f t="shared" si="28"/>
        <v>240.50561672235264</v>
      </c>
      <c r="E606">
        <f t="shared" si="29"/>
        <v>173.86544794265637</v>
      </c>
    </row>
    <row r="607" spans="1:5">
      <c r="A607">
        <f t="shared" si="25"/>
        <v>-2.5000000000000001E-2</v>
      </c>
      <c r="B607">
        <f t="shared" si="26"/>
        <v>2668.5294397899765</v>
      </c>
      <c r="C607">
        <f t="shared" si="27"/>
        <v>235.01675282304802</v>
      </c>
      <c r="D607">
        <f t="shared" si="28"/>
        <v>237.51848353703414</v>
      </c>
      <c r="E607">
        <f t="shared" si="29"/>
        <v>170.84736000930349</v>
      </c>
    </row>
    <row r="608" spans="1:5">
      <c r="A608">
        <f t="shared" si="25"/>
        <v>-1.7000000000000001E-2</v>
      </c>
      <c r="B608">
        <f t="shared" si="26"/>
        <v>2668.5204735870971</v>
      </c>
      <c r="C608">
        <f t="shared" si="27"/>
        <v>234.19858681034597</v>
      </c>
      <c r="D608">
        <f t="shared" si="28"/>
        <v>235.35538709249317</v>
      </c>
      <c r="E608">
        <f t="shared" si="29"/>
        <v>168.66184805756521</v>
      </c>
    </row>
    <row r="609" spans="1:5">
      <c r="A609">
        <f t="shared" si="25"/>
        <v>-8.0000000000000002E-3</v>
      </c>
      <c r="B609">
        <f t="shared" si="26"/>
        <v>2668.514469433384</v>
      </c>
      <c r="C609">
        <f t="shared" si="27"/>
        <v>233.65070778398297</v>
      </c>
      <c r="D609">
        <f t="shared" si="28"/>
        <v>233.90688500909519</v>
      </c>
      <c r="E609">
        <f t="shared" si="29"/>
        <v>167.19833558988333</v>
      </c>
    </row>
    <row r="610" spans="1:5">
      <c r="A610">
        <f t="shared" si="25"/>
        <v>0</v>
      </c>
      <c r="B610">
        <f t="shared" si="26"/>
        <v>2668.5127615852166</v>
      </c>
      <c r="C610">
        <f t="shared" si="27"/>
        <v>233.49486663870644</v>
      </c>
      <c r="D610">
        <f t="shared" si="28"/>
        <v>233.49486663870644</v>
      </c>
      <c r="E610">
        <f t="shared" si="29"/>
        <v>166.78204759907604</v>
      </c>
    </row>
    <row r="611" spans="1:5">
      <c r="A611">
        <f t="shared" si="25"/>
        <v>8.0000000000000002E-3</v>
      </c>
      <c r="B611">
        <f t="shared" si="26"/>
        <v>2668.514469433384</v>
      </c>
      <c r="C611">
        <f t="shared" si="27"/>
        <v>233.65070778398297</v>
      </c>
      <c r="D611">
        <f t="shared" si="28"/>
        <v>233.90688500909519</v>
      </c>
      <c r="E611">
        <f t="shared" si="29"/>
        <v>167.19833558988333</v>
      </c>
    </row>
    <row r="612" spans="1:5">
      <c r="A612">
        <f t="shared" si="25"/>
        <v>1.7000000000000001E-2</v>
      </c>
      <c r="B612">
        <f t="shared" si="26"/>
        <v>2668.5204735870971</v>
      </c>
      <c r="C612">
        <f t="shared" si="27"/>
        <v>234.19858681034597</v>
      </c>
      <c r="D612">
        <f t="shared" si="28"/>
        <v>235.35538709249312</v>
      </c>
      <c r="E612">
        <f t="shared" si="29"/>
        <v>168.66184805756518</v>
      </c>
    </row>
    <row r="613" spans="1:5">
      <c r="A613">
        <f t="shared" si="25"/>
        <v>2.5000000000000001E-2</v>
      </c>
      <c r="B613">
        <f t="shared" si="26"/>
        <v>2668.5294397899765</v>
      </c>
      <c r="C613">
        <f t="shared" si="27"/>
        <v>235.01675282304802</v>
      </c>
      <c r="D613">
        <f t="shared" si="28"/>
        <v>237.51848353703411</v>
      </c>
      <c r="E613">
        <f t="shared" si="29"/>
        <v>170.84736000930343</v>
      </c>
    </row>
    <row r="614" spans="1:5">
      <c r="A614">
        <f t="shared" si="25"/>
        <v>3.3000000000000002E-2</v>
      </c>
      <c r="B614">
        <f t="shared" si="26"/>
        <v>2668.5418216891899</v>
      </c>
      <c r="C614">
        <f t="shared" si="27"/>
        <v>236.14660112630315</v>
      </c>
      <c r="D614">
        <f t="shared" si="28"/>
        <v>240.50561672235264</v>
      </c>
      <c r="E614">
        <f t="shared" si="29"/>
        <v>173.86544794265637</v>
      </c>
    </row>
    <row r="615" spans="1:5">
      <c r="A615">
        <f t="shared" si="25"/>
        <v>4.2000000000000003E-2</v>
      </c>
      <c r="B615">
        <f t="shared" si="26"/>
        <v>2668.5598341503305</v>
      </c>
      <c r="C615">
        <f t="shared" si="27"/>
        <v>237.79023820539209</v>
      </c>
      <c r="D615">
        <f t="shared" si="28"/>
        <v>244.85112297254656</v>
      </c>
      <c r="E615">
        <f t="shared" si="29"/>
        <v>178.25598534570207</v>
      </c>
    </row>
    <row r="616" spans="1:5">
      <c r="A616">
        <f t="shared" si="25"/>
        <v>0.05</v>
      </c>
      <c r="B616">
        <f t="shared" si="26"/>
        <v>2668.579474404256</v>
      </c>
      <c r="C616">
        <f t="shared" si="27"/>
        <v>239.58241137607271</v>
      </c>
      <c r="D616">
        <f t="shared" si="28"/>
        <v>249.58933423201725</v>
      </c>
      <c r="E616">
        <f t="shared" si="29"/>
        <v>183.04329723998595</v>
      </c>
    </row>
    <row r="617" spans="1:5">
      <c r="A617">
        <f t="shared" si="25"/>
        <v>5.8000000000000003E-2</v>
      </c>
      <c r="B617">
        <f t="shared" si="26"/>
        <v>2668.6025303545161</v>
      </c>
      <c r="C617">
        <f t="shared" si="27"/>
        <v>241.68626683730656</v>
      </c>
      <c r="D617">
        <f t="shared" si="28"/>
        <v>255.15158223226561</v>
      </c>
      <c r="E617">
        <f t="shared" si="29"/>
        <v>188.66318511588446</v>
      </c>
    </row>
    <row r="618" spans="1:5">
      <c r="A618">
        <f t="shared" ref="A618:A681" si="30">I130</f>
        <v>6.7000000000000004E-2</v>
      </c>
      <c r="B618">
        <f t="shared" ref="B618:B681" si="31">P130</f>
        <v>2668.6325511230839</v>
      </c>
      <c r="C618">
        <f t="shared" ref="C618:C681" si="32">R130</f>
        <v>244.42566196912128</v>
      </c>
      <c r="D618">
        <f t="shared" ref="D618:D681" si="33">T130</f>
        <v>262.3940926492553</v>
      </c>
      <c r="E618">
        <f t="shared" ref="E618:E681" si="34">V130</f>
        <v>195.98074745429378</v>
      </c>
    </row>
    <row r="619" spans="1:5">
      <c r="A619">
        <f t="shared" si="30"/>
        <v>7.4999999999999997E-2</v>
      </c>
      <c r="B619">
        <f t="shared" si="31"/>
        <v>2668.6628654280557</v>
      </c>
      <c r="C619">
        <f t="shared" si="32"/>
        <v>247.19184229778054</v>
      </c>
      <c r="D619">
        <f t="shared" si="33"/>
        <v>269.70741872365579</v>
      </c>
      <c r="E619">
        <f t="shared" si="34"/>
        <v>203.36985929112333</v>
      </c>
    </row>
    <row r="620" spans="1:5">
      <c r="A620">
        <f t="shared" si="30"/>
        <v>8.3000000000000004E-2</v>
      </c>
      <c r="B620">
        <f t="shared" si="31"/>
        <v>2668.6965954293619</v>
      </c>
      <c r="C620">
        <f t="shared" si="32"/>
        <v>250.26970491699296</v>
      </c>
      <c r="D620">
        <f t="shared" si="33"/>
        <v>277.84478153883373</v>
      </c>
      <c r="E620">
        <f t="shared" si="34"/>
        <v>211.59154710956733</v>
      </c>
    </row>
    <row r="621" spans="1:5">
      <c r="A621">
        <f t="shared" si="30"/>
        <v>9.1999999999999998E-2</v>
      </c>
      <c r="B621">
        <f t="shared" si="31"/>
        <v>2668.7386245053572</v>
      </c>
      <c r="C621">
        <f t="shared" si="32"/>
        <v>254.10485810153369</v>
      </c>
      <c r="D621">
        <f t="shared" si="33"/>
        <v>287.98429612261964</v>
      </c>
      <c r="E621">
        <f t="shared" si="34"/>
        <v>221.83613438334069</v>
      </c>
    </row>
    <row r="622" spans="1:5">
      <c r="A622">
        <f t="shared" si="30"/>
        <v>0.1</v>
      </c>
      <c r="B622">
        <f t="shared" si="31"/>
        <v>2668.779612861375</v>
      </c>
      <c r="C622">
        <f t="shared" si="32"/>
        <v>257.84504558817162</v>
      </c>
      <c r="D622">
        <f t="shared" si="33"/>
        <v>297.87273701194999</v>
      </c>
      <c r="E622">
        <f t="shared" si="34"/>
        <v>231.82704616271587</v>
      </c>
    </row>
    <row r="623" spans="1:5">
      <c r="A623">
        <f t="shared" si="30"/>
        <v>0.108</v>
      </c>
      <c r="B623">
        <f t="shared" si="31"/>
        <v>2668.8240169137275</v>
      </c>
      <c r="C623">
        <f t="shared" si="32"/>
        <v>261.89691536536259</v>
      </c>
      <c r="D623">
        <f t="shared" si="33"/>
        <v>308.58521464205768</v>
      </c>
      <c r="E623">
        <f t="shared" si="34"/>
        <v>242.65053392370547</v>
      </c>
    </row>
    <row r="624" spans="1:5">
      <c r="A624">
        <f t="shared" si="30"/>
        <v>0.11700000000000001</v>
      </c>
      <c r="B624">
        <f t="shared" si="31"/>
        <v>2668.8780542971494</v>
      </c>
      <c r="C624">
        <f t="shared" si="32"/>
        <v>266.82782660262927</v>
      </c>
      <c r="D624">
        <f t="shared" si="33"/>
        <v>321.62173339263933</v>
      </c>
      <c r="E624">
        <f t="shared" si="34"/>
        <v>255.82214613284236</v>
      </c>
    </row>
    <row r="625" spans="1:5">
      <c r="A625">
        <f t="shared" si="30"/>
        <v>0.125</v>
      </c>
      <c r="B625">
        <f t="shared" si="31"/>
        <v>2668.9297167042141</v>
      </c>
      <c r="C625">
        <f t="shared" si="32"/>
        <v>271.54202124724566</v>
      </c>
      <c r="D625">
        <f t="shared" si="33"/>
        <v>334.08528909689915</v>
      </c>
      <c r="E625">
        <f t="shared" si="34"/>
        <v>268.414857854763</v>
      </c>
    </row>
    <row r="626" spans="1:5">
      <c r="A626">
        <f t="shared" si="30"/>
        <v>0.13300000000000001</v>
      </c>
      <c r="B626">
        <f t="shared" si="31"/>
        <v>2668.9847948076131</v>
      </c>
      <c r="C626">
        <f t="shared" si="32"/>
        <v>276.56789818241526</v>
      </c>
      <c r="D626">
        <f t="shared" si="33"/>
        <v>347.37288154193652</v>
      </c>
      <c r="E626">
        <f t="shared" si="34"/>
        <v>281.84014555829816</v>
      </c>
    </row>
    <row r="627" spans="1:5">
      <c r="A627">
        <f t="shared" si="30"/>
        <v>0.14199999999999999</v>
      </c>
      <c r="B627">
        <f t="shared" si="31"/>
        <v>2669.0508404984621</v>
      </c>
      <c r="C627">
        <f t="shared" si="32"/>
        <v>282.59456747240779</v>
      </c>
      <c r="D627">
        <f t="shared" si="33"/>
        <v>363.30640445931414</v>
      </c>
      <c r="E627">
        <f t="shared" si="34"/>
        <v>297.93878270279879</v>
      </c>
    </row>
    <row r="628" spans="1:5">
      <c r="A628">
        <f t="shared" si="30"/>
        <v>0.15</v>
      </c>
      <c r="B628">
        <f t="shared" si="31"/>
        <v>2669.1131769565732</v>
      </c>
      <c r="C628">
        <f t="shared" si="32"/>
        <v>288.28276927500281</v>
      </c>
      <c r="D628">
        <f t="shared" si="33"/>
        <v>378.3450749785037</v>
      </c>
      <c r="E628">
        <f t="shared" si="34"/>
        <v>313.13329436726491</v>
      </c>
    </row>
    <row r="629" spans="1:5">
      <c r="A629">
        <f t="shared" si="30"/>
        <v>0.158</v>
      </c>
      <c r="B629">
        <f t="shared" si="31"/>
        <v>2669.1789291110185</v>
      </c>
      <c r="C629">
        <f t="shared" si="32"/>
        <v>294.2826533681511</v>
      </c>
      <c r="D629">
        <f t="shared" si="33"/>
        <v>394.20778223847111</v>
      </c>
      <c r="E629">
        <f t="shared" si="34"/>
        <v>329.16038201334601</v>
      </c>
    </row>
    <row r="630" spans="1:5">
      <c r="A630">
        <f t="shared" si="30"/>
        <v>0.16700000000000001</v>
      </c>
      <c r="B630">
        <f t="shared" si="31"/>
        <v>2669.2569831092951</v>
      </c>
      <c r="C630">
        <f t="shared" si="32"/>
        <v>301.40508071086964</v>
      </c>
      <c r="D630">
        <f t="shared" si="33"/>
        <v>413.03830932264486</v>
      </c>
      <c r="E630">
        <f t="shared" si="34"/>
        <v>348.18604409321068</v>
      </c>
    </row>
    <row r="631" spans="1:5">
      <c r="A631">
        <f t="shared" si="30"/>
        <v>0.17499999999999999</v>
      </c>
      <c r="B631">
        <f t="shared" si="31"/>
        <v>2669.3299936184521</v>
      </c>
      <c r="C631">
        <f t="shared" si="32"/>
        <v>308.06728967144329</v>
      </c>
      <c r="D631">
        <f t="shared" si="33"/>
        <v>430.65209465676418</v>
      </c>
      <c r="E631">
        <f t="shared" si="34"/>
        <v>365.98235570022246</v>
      </c>
    </row>
    <row r="632" spans="1:5">
      <c r="A632">
        <f t="shared" si="30"/>
        <v>0.183</v>
      </c>
      <c r="B632">
        <f t="shared" si="31"/>
        <v>2669.4064198239439</v>
      </c>
      <c r="C632">
        <f t="shared" si="32"/>
        <v>315.04118092257016</v>
      </c>
      <c r="D632">
        <f t="shared" si="33"/>
        <v>449.08991673166133</v>
      </c>
      <c r="E632">
        <f t="shared" si="34"/>
        <v>384.6112432888491</v>
      </c>
    </row>
    <row r="633" spans="1:5">
      <c r="A633">
        <f t="shared" si="30"/>
        <v>0.192</v>
      </c>
      <c r="B633">
        <f t="shared" si="31"/>
        <v>2669.4964821296471</v>
      </c>
      <c r="C633">
        <f t="shared" si="32"/>
        <v>323.25936631801449</v>
      </c>
      <c r="D633">
        <f t="shared" si="33"/>
        <v>470.81744798263048</v>
      </c>
      <c r="E633">
        <f t="shared" si="34"/>
        <v>406.56393030407702</v>
      </c>
    </row>
    <row r="634" spans="1:5">
      <c r="A634">
        <f t="shared" si="30"/>
        <v>0.2</v>
      </c>
      <c r="B634">
        <f t="shared" si="31"/>
        <v>2669.5801666898506</v>
      </c>
      <c r="C634">
        <f t="shared" si="32"/>
        <v>330.89558243656683</v>
      </c>
      <c r="D634">
        <f t="shared" si="33"/>
        <v>491.00634813167994</v>
      </c>
      <c r="E634">
        <f t="shared" si="34"/>
        <v>426.96204185363462</v>
      </c>
    </row>
    <row r="635" spans="1:5">
      <c r="A635">
        <f t="shared" si="30"/>
        <v>0.20799999999999999</v>
      </c>
      <c r="B635">
        <f t="shared" si="31"/>
        <v>2669.6672669463883</v>
      </c>
      <c r="C635">
        <f t="shared" si="32"/>
        <v>338.84348084567222</v>
      </c>
      <c r="D635">
        <f t="shared" si="33"/>
        <v>512.01928502150633</v>
      </c>
      <c r="E635">
        <f t="shared" si="34"/>
        <v>448.19272938480651</v>
      </c>
    </row>
    <row r="636" spans="1:5">
      <c r="A636">
        <f t="shared" si="30"/>
        <v>0.217</v>
      </c>
      <c r="B636">
        <f t="shared" si="31"/>
        <v>2669.769337559519</v>
      </c>
      <c r="C636">
        <f t="shared" si="32"/>
        <v>348.15742429384272</v>
      </c>
      <c r="D636">
        <f t="shared" si="33"/>
        <v>536.64382043927219</v>
      </c>
      <c r="E636">
        <f t="shared" si="34"/>
        <v>473.07244133539882</v>
      </c>
    </row>
    <row r="637" spans="1:5">
      <c r="A637">
        <f t="shared" si="30"/>
        <v>0.22500000000000001</v>
      </c>
      <c r="B637">
        <f t="shared" si="31"/>
        <v>2669.8636961707689</v>
      </c>
      <c r="C637">
        <f t="shared" si="32"/>
        <v>356.76764757037364</v>
      </c>
      <c r="D637">
        <f t="shared" si="33"/>
        <v>559.40783540325128</v>
      </c>
      <c r="E637">
        <f t="shared" si="34"/>
        <v>496.07235282750207</v>
      </c>
    </row>
    <row r="638" spans="1:5">
      <c r="A638">
        <f t="shared" si="30"/>
        <v>0.23300000000000001</v>
      </c>
      <c r="B638">
        <f t="shared" si="31"/>
        <v>2669.9614704783535</v>
      </c>
      <c r="C638">
        <f t="shared" si="32"/>
        <v>365.68955313745766</v>
      </c>
      <c r="D638">
        <f t="shared" si="33"/>
        <v>582.99588710800765</v>
      </c>
      <c r="E638">
        <f t="shared" si="34"/>
        <v>519.90484030121968</v>
      </c>
    </row>
    <row r="639" spans="1:5">
      <c r="A639">
        <f t="shared" si="30"/>
        <v>0.24199999999999999</v>
      </c>
      <c r="B639">
        <f t="shared" si="31"/>
        <v>2670.0755493989109</v>
      </c>
      <c r="C639">
        <f t="shared" si="32"/>
        <v>376.09925463835384</v>
      </c>
      <c r="D639">
        <f t="shared" si="33"/>
        <v>610.51742669256885</v>
      </c>
      <c r="E639">
        <f t="shared" si="34"/>
        <v>547.71157718717541</v>
      </c>
    </row>
    <row r="640" spans="1:5">
      <c r="A640">
        <f t="shared" si="30"/>
        <v>0.25</v>
      </c>
      <c r="B640">
        <f t="shared" si="31"/>
        <v>2670.1805820612071</v>
      </c>
      <c r="C640">
        <f t="shared" si="32"/>
        <v>385.68348507286333</v>
      </c>
      <c r="D640">
        <f t="shared" si="33"/>
        <v>635.85655647147735</v>
      </c>
      <c r="E640">
        <f t="shared" si="34"/>
        <v>573.31328862182386</v>
      </c>
    </row>
    <row r="641" spans="1:5">
      <c r="A641">
        <f t="shared" si="30"/>
        <v>0.25800000000000001</v>
      </c>
      <c r="B641">
        <f t="shared" si="31"/>
        <v>2670.2890304198377</v>
      </c>
      <c r="C641">
        <f t="shared" si="32"/>
        <v>395.57939779792588</v>
      </c>
      <c r="D641">
        <f t="shared" si="33"/>
        <v>662.01972299116323</v>
      </c>
      <c r="E641">
        <f t="shared" si="34"/>
        <v>599.74757603808689</v>
      </c>
    </row>
    <row r="642" spans="1:5">
      <c r="A642">
        <f t="shared" si="30"/>
        <v>0.26700000000000002</v>
      </c>
      <c r="B642">
        <f t="shared" si="31"/>
        <v>2670.4151176478226</v>
      </c>
      <c r="C642">
        <f t="shared" si="32"/>
        <v>407.08485735154807</v>
      </c>
      <c r="D642">
        <f t="shared" si="33"/>
        <v>692.43826674252057</v>
      </c>
      <c r="E642">
        <f t="shared" si="34"/>
        <v>630.48133785940638</v>
      </c>
    </row>
    <row r="643" spans="1:5">
      <c r="A643">
        <f t="shared" si="30"/>
        <v>0.27500000000000002</v>
      </c>
      <c r="B643">
        <f t="shared" si="31"/>
        <v>2670.5308243611653</v>
      </c>
      <c r="C643">
        <f t="shared" si="32"/>
        <v>417.64309494403608</v>
      </c>
      <c r="D643">
        <f t="shared" si="33"/>
        <v>720.3525113363587</v>
      </c>
      <c r="E643">
        <f t="shared" si="34"/>
        <v>658.68484923660026</v>
      </c>
    </row>
    <row r="644" spans="1:5">
      <c r="A644">
        <f t="shared" si="30"/>
        <v>0.28299999999999997</v>
      </c>
      <c r="B644">
        <f t="shared" si="31"/>
        <v>2670.6499467708427</v>
      </c>
      <c r="C644">
        <f t="shared" si="32"/>
        <v>428.51301482707726</v>
      </c>
      <c r="D644">
        <f t="shared" si="33"/>
        <v>749.09079267097434</v>
      </c>
      <c r="E644">
        <f t="shared" si="34"/>
        <v>687.72093659540906</v>
      </c>
    </row>
    <row r="645" spans="1:5">
      <c r="A645">
        <f t="shared" si="30"/>
        <v>0.29199999999999998</v>
      </c>
      <c r="B645">
        <f t="shared" si="31"/>
        <v>2670.7880423062543</v>
      </c>
      <c r="C645">
        <f t="shared" si="32"/>
        <v>441.11423243342597</v>
      </c>
      <c r="D645">
        <f t="shared" si="33"/>
        <v>782.40634058912906</v>
      </c>
      <c r="E645">
        <f t="shared" si="34"/>
        <v>721.38172335209379</v>
      </c>
    </row>
    <row r="646" spans="1:5">
      <c r="A646">
        <f t="shared" si="30"/>
        <v>0.3</v>
      </c>
      <c r="B646">
        <f t="shared" si="31"/>
        <v>2670.9144230706429</v>
      </c>
      <c r="C646">
        <f t="shared" si="32"/>
        <v>452.64647718389233</v>
      </c>
      <c r="D646">
        <f t="shared" si="33"/>
        <v>812.8956999978966</v>
      </c>
      <c r="E646">
        <f t="shared" si="34"/>
        <v>752.18703467183286</v>
      </c>
    </row>
    <row r="647" spans="1:5">
      <c r="A647">
        <f t="shared" si="30"/>
        <v>0.308</v>
      </c>
      <c r="B647">
        <f t="shared" si="31"/>
        <v>2671.0442195313667</v>
      </c>
      <c r="C647">
        <f t="shared" si="32"/>
        <v>464.49040422491237</v>
      </c>
      <c r="D647">
        <f t="shared" si="33"/>
        <v>844.20909614744266</v>
      </c>
      <c r="E647">
        <f t="shared" si="34"/>
        <v>783.82492197318754</v>
      </c>
    </row>
    <row r="648" spans="1:5">
      <c r="A648">
        <f t="shared" si="30"/>
        <v>0.317</v>
      </c>
      <c r="B648">
        <f t="shared" si="31"/>
        <v>2671.1943233742059</v>
      </c>
      <c r="C648">
        <f t="shared" si="32"/>
        <v>478.18737988398607</v>
      </c>
      <c r="D648">
        <f t="shared" si="33"/>
        <v>880.42164823239102</v>
      </c>
      <c r="E648">
        <f t="shared" si="34"/>
        <v>820.4127336652341</v>
      </c>
    </row>
    <row r="649" spans="1:5">
      <c r="A649">
        <f t="shared" si="30"/>
        <v>0.32500000000000001</v>
      </c>
      <c r="B649">
        <f t="shared" si="31"/>
        <v>2671.3313781896409</v>
      </c>
      <c r="C649">
        <f t="shared" si="32"/>
        <v>490.69363179243157</v>
      </c>
      <c r="D649">
        <f t="shared" si="33"/>
        <v>913.48612245608945</v>
      </c>
      <c r="E649">
        <f t="shared" si="34"/>
        <v>853.81984492751985</v>
      </c>
    </row>
    <row r="650" spans="1:5">
      <c r="A650">
        <f t="shared" si="30"/>
        <v>0.33300000000000002</v>
      </c>
      <c r="B650">
        <f t="shared" si="31"/>
        <v>2671.4718487014106</v>
      </c>
      <c r="C650">
        <f t="shared" si="32"/>
        <v>503.51156599142973</v>
      </c>
      <c r="D650">
        <f t="shared" si="33"/>
        <v>947.3746334205639</v>
      </c>
      <c r="E650">
        <f t="shared" si="34"/>
        <v>888.05953217141905</v>
      </c>
    </row>
    <row r="651" spans="1:5">
      <c r="A651">
        <f t="shared" si="30"/>
        <v>0.34200000000000003</v>
      </c>
      <c r="B651">
        <f t="shared" si="31"/>
        <v>2671.6339608516769</v>
      </c>
      <c r="C651">
        <f t="shared" si="32"/>
        <v>518.30429970323041</v>
      </c>
      <c r="D651">
        <f t="shared" si="33"/>
        <v>986.484189672311</v>
      </c>
      <c r="E651">
        <f t="shared" si="34"/>
        <v>927.57436879883176</v>
      </c>
    </row>
    <row r="652" spans="1:5">
      <c r="A652">
        <f t="shared" si="30"/>
        <v>0.35</v>
      </c>
      <c r="B652">
        <f t="shared" si="31"/>
        <v>2671.7816897181583</v>
      </c>
      <c r="C652">
        <f t="shared" si="32"/>
        <v>531.78455876965381</v>
      </c>
      <c r="D652">
        <f t="shared" si="33"/>
        <v>1022.1237787109374</v>
      </c>
      <c r="E652">
        <f t="shared" si="34"/>
        <v>963.58328000366168</v>
      </c>
    </row>
    <row r="653" spans="1:5">
      <c r="A653">
        <f t="shared" si="30"/>
        <v>0.35799999999999998</v>
      </c>
      <c r="B653">
        <f t="shared" si="31"/>
        <v>2671.9328342809749</v>
      </c>
      <c r="C653">
        <f t="shared" si="32"/>
        <v>545.57650012663112</v>
      </c>
      <c r="D653">
        <f t="shared" si="33"/>
        <v>1058.5874044903426</v>
      </c>
      <c r="E653">
        <f t="shared" si="34"/>
        <v>1000.4247671901077</v>
      </c>
    </row>
    <row r="654" spans="1:5">
      <c r="A654">
        <f t="shared" si="30"/>
        <v>0.36699999999999999</v>
      </c>
      <c r="B654">
        <f t="shared" si="31"/>
        <v>2672.1069547386678</v>
      </c>
      <c r="C654">
        <f t="shared" si="32"/>
        <v>561.46499189115673</v>
      </c>
      <c r="D654">
        <f t="shared" si="33"/>
        <v>1100.5939649088832</v>
      </c>
      <c r="E654">
        <f t="shared" si="34"/>
        <v>1042.8666287528815</v>
      </c>
    </row>
    <row r="655" spans="1:5">
      <c r="A655">
        <f t="shared" si="30"/>
        <v>0.375</v>
      </c>
      <c r="B655">
        <f t="shared" si="31"/>
        <v>2672.2653576561956</v>
      </c>
      <c r="C655">
        <f t="shared" si="32"/>
        <v>575.91925811555939</v>
      </c>
      <c r="D655">
        <f t="shared" si="33"/>
        <v>1138.8086687624409</v>
      </c>
      <c r="E655">
        <f t="shared" si="34"/>
        <v>1081.4773399002586</v>
      </c>
    </row>
    <row r="656" spans="1:5">
      <c r="A656">
        <f t="shared" si="30"/>
        <v>0.38300000000000001</v>
      </c>
      <c r="B656">
        <f t="shared" si="31"/>
        <v>2672.4271762700582</v>
      </c>
      <c r="C656">
        <f t="shared" si="32"/>
        <v>590.68520663051527</v>
      </c>
      <c r="D656">
        <f t="shared" si="33"/>
        <v>1177.8474093567763</v>
      </c>
      <c r="E656">
        <f t="shared" si="34"/>
        <v>1120.9206270292505</v>
      </c>
    </row>
    <row r="657" spans="1:5">
      <c r="A657">
        <f t="shared" si="30"/>
        <v>0.39200000000000002</v>
      </c>
      <c r="B657">
        <f t="shared" si="31"/>
        <v>2672.6133050351787</v>
      </c>
      <c r="C657">
        <f t="shared" si="32"/>
        <v>607.66945644776661</v>
      </c>
      <c r="D657">
        <f t="shared" si="33"/>
        <v>1222.7509739421123</v>
      </c>
      <c r="E657">
        <f t="shared" si="34"/>
        <v>1166.2895135273877</v>
      </c>
    </row>
    <row r="658" spans="1:5">
      <c r="A658">
        <f t="shared" si="30"/>
        <v>0.4</v>
      </c>
      <c r="B658">
        <f t="shared" si="31"/>
        <v>2672.7823820037529</v>
      </c>
      <c r="C658">
        <f t="shared" si="32"/>
        <v>623.09772983014795</v>
      </c>
      <c r="D658">
        <f t="shared" si="33"/>
        <v>1263.5407926106002</v>
      </c>
      <c r="E658">
        <f t="shared" si="34"/>
        <v>1207.5020246173106</v>
      </c>
    </row>
    <row r="659" spans="1:5">
      <c r="A659">
        <f t="shared" si="30"/>
        <v>0.40799999999999997</v>
      </c>
      <c r="B659">
        <f t="shared" si="31"/>
        <v>2672.9548746686619</v>
      </c>
      <c r="C659">
        <f t="shared" si="32"/>
        <v>638.83768550308173</v>
      </c>
      <c r="D659">
        <f t="shared" si="33"/>
        <v>1305.1546480198635</v>
      </c>
      <c r="E659">
        <f t="shared" si="34"/>
        <v>1249.5471116888461</v>
      </c>
    </row>
    <row r="660" spans="1:5">
      <c r="A660">
        <f t="shared" si="30"/>
        <v>0.41699999999999998</v>
      </c>
      <c r="B660">
        <f t="shared" si="31"/>
        <v>2673.1530117412094</v>
      </c>
      <c r="C660">
        <f t="shared" si="32"/>
        <v>656.91769337306039</v>
      </c>
      <c r="D660">
        <f t="shared" si="33"/>
        <v>1352.9552167719985</v>
      </c>
      <c r="E660">
        <f t="shared" si="34"/>
        <v>1297.8430231223504</v>
      </c>
    </row>
    <row r="661" spans="1:5">
      <c r="A661">
        <f t="shared" si="30"/>
        <v>0.42499999999999999</v>
      </c>
      <c r="B661">
        <f t="shared" si="31"/>
        <v>2673.3327627608296</v>
      </c>
      <c r="C661">
        <f t="shared" si="32"/>
        <v>673.31997391341974</v>
      </c>
      <c r="D661">
        <f t="shared" si="33"/>
        <v>1396.3201502554143</v>
      </c>
      <c r="E661">
        <f t="shared" si="34"/>
        <v>1341.6573341548171</v>
      </c>
    </row>
    <row r="662" spans="1:5">
      <c r="A662">
        <f t="shared" si="30"/>
        <v>0.433</v>
      </c>
      <c r="B662">
        <f t="shared" si="31"/>
        <v>2673.515929476785</v>
      </c>
      <c r="C662">
        <f t="shared" si="32"/>
        <v>690.03393674433289</v>
      </c>
      <c r="D662">
        <f t="shared" si="33"/>
        <v>1440.5091204796092</v>
      </c>
      <c r="E662">
        <f t="shared" si="34"/>
        <v>1386.3042211689001</v>
      </c>
    </row>
    <row r="663" spans="1:5">
      <c r="A663">
        <f t="shared" si="30"/>
        <v>0.442</v>
      </c>
      <c r="B663">
        <f t="shared" si="31"/>
        <v>2673.7260748567596</v>
      </c>
      <c r="C663">
        <f t="shared" si="32"/>
        <v>709.20970266703614</v>
      </c>
      <c r="D663">
        <f t="shared" si="33"/>
        <v>1491.206693398537</v>
      </c>
      <c r="E663">
        <f t="shared" si="34"/>
        <v>1437.5271575377651</v>
      </c>
    </row>
    <row r="664" spans="1:5">
      <c r="A664">
        <f t="shared" si="30"/>
        <v>0.45</v>
      </c>
      <c r="B664">
        <f t="shared" si="31"/>
        <v>2673.9164999274262</v>
      </c>
      <c r="C664">
        <f t="shared" si="32"/>
        <v>726.58599036537476</v>
      </c>
      <c r="D664">
        <f t="shared" si="33"/>
        <v>1537.1467416968844</v>
      </c>
      <c r="E664">
        <f t="shared" si="34"/>
        <v>1483.943268512779</v>
      </c>
    </row>
    <row r="665" spans="1:5">
      <c r="A665">
        <f t="shared" si="30"/>
        <v>0.45800000000000002</v>
      </c>
      <c r="B665">
        <f t="shared" si="31"/>
        <v>2674.1103406944285</v>
      </c>
      <c r="C665">
        <f t="shared" si="32"/>
        <v>744.2739603542658</v>
      </c>
      <c r="D665">
        <f t="shared" si="33"/>
        <v>1583.9108267360073</v>
      </c>
      <c r="E665">
        <f t="shared" si="34"/>
        <v>1531.1919554694059</v>
      </c>
    </row>
    <row r="666" spans="1:5">
      <c r="A666">
        <f t="shared" si="30"/>
        <v>0.46700000000000003</v>
      </c>
      <c r="B666">
        <f t="shared" si="31"/>
        <v>2674.3324943818302</v>
      </c>
      <c r="C666">
        <f t="shared" si="32"/>
        <v>764.54548432969614</v>
      </c>
      <c r="D666">
        <f t="shared" si="33"/>
        <v>1637.5054038217343</v>
      </c>
      <c r="E666">
        <f t="shared" si="34"/>
        <v>1585.3419167736381</v>
      </c>
    </row>
    <row r="667" spans="1:5">
      <c r="A667">
        <f t="shared" si="30"/>
        <v>0.47499999999999998</v>
      </c>
      <c r="B667">
        <f t="shared" si="31"/>
        <v>2674.5335935035428</v>
      </c>
      <c r="C667">
        <f t="shared" si="32"/>
        <v>782.89577918601265</v>
      </c>
      <c r="D667">
        <f t="shared" si="33"/>
        <v>1686.0205669350094</v>
      </c>
      <c r="E667">
        <f t="shared" si="34"/>
        <v>1634.3598276911957</v>
      </c>
    </row>
    <row r="668" spans="1:5">
      <c r="A668">
        <f t="shared" si="30"/>
        <v>0.48299999999999998</v>
      </c>
      <c r="B668">
        <f t="shared" si="31"/>
        <v>2674.738108321591</v>
      </c>
      <c r="C668">
        <f t="shared" si="32"/>
        <v>801.55775633288295</v>
      </c>
      <c r="D668">
        <f t="shared" si="33"/>
        <v>1735.3597667890638</v>
      </c>
      <c r="E668">
        <f t="shared" si="34"/>
        <v>1684.2103145903695</v>
      </c>
    </row>
    <row r="669" spans="1:5">
      <c r="A669">
        <f t="shared" si="30"/>
        <v>0.49199999999999999</v>
      </c>
      <c r="B669">
        <f t="shared" si="31"/>
        <v>2674.9722703164202</v>
      </c>
      <c r="C669">
        <f t="shared" si="32"/>
        <v>822.92503836103822</v>
      </c>
      <c r="D669">
        <f t="shared" si="33"/>
        <v>1791.8513480415836</v>
      </c>
      <c r="E669">
        <f t="shared" si="34"/>
        <v>1741.2873008299623</v>
      </c>
    </row>
    <row r="670" spans="1:5">
      <c r="A670">
        <f t="shared" si="30"/>
        <v>0.5</v>
      </c>
      <c r="B670">
        <f t="shared" si="31"/>
        <v>2675.1840434891792</v>
      </c>
      <c r="C670">
        <f t="shared" si="32"/>
        <v>842.24934037533387</v>
      </c>
      <c r="D670">
        <f t="shared" si="33"/>
        <v>1842.9416259697903</v>
      </c>
      <c r="E670">
        <f t="shared" si="34"/>
        <v>1792.9070116900673</v>
      </c>
    </row>
    <row r="671" spans="1:5">
      <c r="A671">
        <f t="shared" si="30"/>
        <v>0.50800000000000001</v>
      </c>
      <c r="B671">
        <f t="shared" si="31"/>
        <v>2675.3992323582734</v>
      </c>
      <c r="C671">
        <f t="shared" si="32"/>
        <v>861.88532468018286</v>
      </c>
      <c r="D671">
        <f t="shared" si="33"/>
        <v>1894.8559406387742</v>
      </c>
      <c r="E671">
        <f t="shared" si="34"/>
        <v>1845.3592985317866</v>
      </c>
    </row>
    <row r="672" spans="1:5">
      <c r="A672">
        <f t="shared" si="30"/>
        <v>0.51700000000000002</v>
      </c>
      <c r="B672">
        <f t="shared" si="31"/>
        <v>2675.6454026605297</v>
      </c>
      <c r="C672">
        <f t="shared" si="32"/>
        <v>884.34836476106409</v>
      </c>
      <c r="D672">
        <f t="shared" si="33"/>
        <v>1954.2445260580898</v>
      </c>
      <c r="E672">
        <f t="shared" si="34"/>
        <v>1905.3633097067434</v>
      </c>
    </row>
    <row r="673" spans="1:5">
      <c r="A673">
        <f t="shared" si="30"/>
        <v>0.52500000000000002</v>
      </c>
      <c r="B673">
        <f t="shared" si="31"/>
        <v>2675.867849884336</v>
      </c>
      <c r="C673">
        <f t="shared" si="32"/>
        <v>904.64667393333821</v>
      </c>
      <c r="D673">
        <f t="shared" si="33"/>
        <v>2007.9099188012265</v>
      </c>
      <c r="E673">
        <f t="shared" si="34"/>
        <v>1959.5848205093939</v>
      </c>
    </row>
    <row r="674" spans="1:5">
      <c r="A674">
        <f t="shared" si="30"/>
        <v>0.53300000000000003</v>
      </c>
      <c r="B674">
        <f t="shared" si="31"/>
        <v>2676.0937128044761</v>
      </c>
      <c r="C674">
        <f t="shared" si="32"/>
        <v>925.25666539616498</v>
      </c>
      <c r="D674">
        <f t="shared" si="33"/>
        <v>2062.3993482851374</v>
      </c>
      <c r="E674">
        <f t="shared" si="34"/>
        <v>2014.638907293657</v>
      </c>
    </row>
    <row r="675" spans="1:5">
      <c r="A675">
        <f t="shared" si="30"/>
        <v>0.54200000000000004</v>
      </c>
      <c r="B675">
        <f t="shared" si="31"/>
        <v>2676.3518914141596</v>
      </c>
      <c r="C675">
        <f t="shared" si="32"/>
        <v>948.8154635297733</v>
      </c>
      <c r="D675">
        <f t="shared" si="33"/>
        <v>2124.6849378712532</v>
      </c>
      <c r="E675">
        <f t="shared" si="34"/>
        <v>2077.5699434039807</v>
      </c>
    </row>
    <row r="676" spans="1:5">
      <c r="A676">
        <f t="shared" si="30"/>
        <v>0.55000000000000004</v>
      </c>
      <c r="B676">
        <f t="shared" si="31"/>
        <v>2676.5850126890118</v>
      </c>
      <c r="C676">
        <f t="shared" si="32"/>
        <v>970.08777986002588</v>
      </c>
      <c r="D676">
        <f t="shared" si="33"/>
        <v>2180.9254454293177</v>
      </c>
      <c r="E676">
        <f t="shared" si="34"/>
        <v>2134.3932541491758</v>
      </c>
    </row>
    <row r="677" spans="1:5">
      <c r="A677">
        <f t="shared" si="30"/>
        <v>0.55800000000000005</v>
      </c>
      <c r="B677">
        <f t="shared" si="31"/>
        <v>2676.8215496601988</v>
      </c>
      <c r="C677">
        <f t="shared" si="32"/>
        <v>991.67177848083202</v>
      </c>
      <c r="D677">
        <f t="shared" si="33"/>
        <v>2237.9899897281621</v>
      </c>
      <c r="E677">
        <f t="shared" si="34"/>
        <v>2192.0491408759867</v>
      </c>
    </row>
    <row r="678" spans="1:5">
      <c r="A678">
        <f t="shared" si="30"/>
        <v>0.56699999999999995</v>
      </c>
      <c r="B678">
        <f t="shared" si="31"/>
        <v>2677.0917365773089</v>
      </c>
      <c r="C678">
        <f t="shared" si="32"/>
        <v>1016.3263346671646</v>
      </c>
      <c r="D678">
        <f t="shared" si="33"/>
        <v>2303.1725834810677</v>
      </c>
      <c r="E678">
        <f t="shared" si="34"/>
        <v>2257.9072019216701</v>
      </c>
    </row>
    <row r="679" spans="1:5">
      <c r="A679">
        <f t="shared" si="30"/>
        <v>0.57499999999999996</v>
      </c>
      <c r="B679">
        <f t="shared" si="31"/>
        <v>2677.3355319032075</v>
      </c>
      <c r="C679">
        <f t="shared" si="32"/>
        <v>1038.5726581553961</v>
      </c>
      <c r="D679">
        <f t="shared" si="33"/>
        <v>2361.9882058540638</v>
      </c>
      <c r="E679">
        <f t="shared" si="34"/>
        <v>2317.3323126094115</v>
      </c>
    </row>
    <row r="680" spans="1:5">
      <c r="A680">
        <f t="shared" si="30"/>
        <v>0.58299999999999996</v>
      </c>
      <c r="B680">
        <f t="shared" si="31"/>
        <v>2677.5827429254409</v>
      </c>
      <c r="C680">
        <f t="shared" si="32"/>
        <v>1061.1306639341801</v>
      </c>
      <c r="D680">
        <f t="shared" si="33"/>
        <v>2421.6278649678361</v>
      </c>
      <c r="E680">
        <f t="shared" si="34"/>
        <v>2377.5899992787668</v>
      </c>
    </row>
    <row r="681" spans="1:5">
      <c r="A681">
        <f t="shared" si="30"/>
        <v>0.59199999999999997</v>
      </c>
      <c r="B681">
        <f t="shared" si="31"/>
        <v>2677.8649381499786</v>
      </c>
      <c r="C681">
        <f t="shared" si="32"/>
        <v>1086.8809781732407</v>
      </c>
      <c r="D681">
        <f t="shared" si="33"/>
        <v>2489.7074628875434</v>
      </c>
      <c r="E681">
        <f t="shared" si="34"/>
        <v>2446.3750852598187</v>
      </c>
    </row>
    <row r="682" spans="1:5">
      <c r="A682">
        <f t="shared" ref="A682:A730" si="35">I194</f>
        <v>0.6</v>
      </c>
      <c r="B682">
        <f t="shared" ref="B682:B730" si="36">P194</f>
        <v>2678.1194075269232</v>
      </c>
      <c r="C682">
        <f t="shared" ref="C682:C730" si="37">R194</f>
        <v>1110.1013088194502</v>
      </c>
      <c r="D682">
        <f t="shared" ref="D682:D730" si="38">T194</f>
        <v>2551.098200075467</v>
      </c>
      <c r="E682">
        <f t="shared" ref="E682:E730" si="39">V194</f>
        <v>2508.4019958901035</v>
      </c>
    </row>
    <row r="683" spans="1:5">
      <c r="A683">
        <f t="shared" si="35"/>
        <v>0.60799999999999998</v>
      </c>
      <c r="B683">
        <f t="shared" si="36"/>
        <v>2678.377292600203</v>
      </c>
      <c r="C683">
        <f t="shared" si="37"/>
        <v>1133.6333217562135</v>
      </c>
      <c r="D683">
        <f t="shared" si="38"/>
        <v>2613.31297400417</v>
      </c>
      <c r="E683">
        <f t="shared" si="39"/>
        <v>2571.2614825020055</v>
      </c>
    </row>
    <row r="684" spans="1:5">
      <c r="A684">
        <f t="shared" si="35"/>
        <v>0.61699999999999999</v>
      </c>
      <c r="B684">
        <f t="shared" si="36"/>
        <v>2678.6714961321677</v>
      </c>
      <c r="C684">
        <f t="shared" si="37"/>
        <v>1160.4793940479979</v>
      </c>
      <c r="D684">
        <f t="shared" si="38"/>
        <v>2684.289576090669</v>
      </c>
      <c r="E684">
        <f t="shared" si="39"/>
        <v>2642.9735934184168</v>
      </c>
    </row>
    <row r="685" spans="1:5">
      <c r="A685">
        <f t="shared" si="35"/>
        <v>0.625</v>
      </c>
      <c r="B685">
        <f t="shared" si="36"/>
        <v>2678.9366395601587</v>
      </c>
      <c r="C685">
        <f t="shared" si="37"/>
        <v>1184.6737318521868</v>
      </c>
      <c r="D685">
        <f t="shared" si="38"/>
        <v>2748.2554280935246</v>
      </c>
      <c r="E685">
        <f t="shared" si="39"/>
        <v>2707.6023039912498</v>
      </c>
    </row>
    <row r="686" spans="1:5">
      <c r="A686">
        <f t="shared" si="35"/>
        <v>0.63300000000000001</v>
      </c>
      <c r="B686">
        <f t="shared" si="36"/>
        <v>2679.2051986844849</v>
      </c>
      <c r="C686">
        <f t="shared" si="37"/>
        <v>1209.1797519469292</v>
      </c>
      <c r="D686">
        <f t="shared" si="38"/>
        <v>2813.0453168371578</v>
      </c>
      <c r="E686">
        <f t="shared" si="39"/>
        <v>2773.0635905456975</v>
      </c>
    </row>
    <row r="687" spans="1:5">
      <c r="A687">
        <f t="shared" si="35"/>
        <v>0.64200000000000002</v>
      </c>
      <c r="B687">
        <f t="shared" si="36"/>
        <v>2679.5114105238763</v>
      </c>
      <c r="C687">
        <f t="shared" si="37"/>
        <v>1237.1215822914396</v>
      </c>
      <c r="D687">
        <f t="shared" si="38"/>
        <v>2886.9189230904522</v>
      </c>
      <c r="E687">
        <f t="shared" si="39"/>
        <v>2847.7027263974724</v>
      </c>
    </row>
    <row r="688" spans="1:5">
      <c r="A688">
        <f t="shared" si="35"/>
        <v>0.65</v>
      </c>
      <c r="B688">
        <f t="shared" si="36"/>
        <v>2679.7872280029137</v>
      </c>
      <c r="C688">
        <f t="shared" si="37"/>
        <v>1262.2899272536067</v>
      </c>
      <c r="D688">
        <f t="shared" si="38"/>
        <v>2953.459889908238</v>
      </c>
      <c r="E688">
        <f t="shared" si="39"/>
        <v>2914.9332369128515</v>
      </c>
    </row>
    <row r="689" spans="1:5">
      <c r="A689">
        <f t="shared" si="35"/>
        <v>0.65800000000000003</v>
      </c>
      <c r="B689">
        <f t="shared" si="36"/>
        <v>2680.0664611782863</v>
      </c>
      <c r="C689">
        <f t="shared" si="37"/>
        <v>1287.7699545063265</v>
      </c>
      <c r="D689">
        <f t="shared" si="38"/>
        <v>3020.8248934667977</v>
      </c>
      <c r="E689">
        <f t="shared" si="39"/>
        <v>2982.9963234098418</v>
      </c>
    </row>
    <row r="690" spans="1:5">
      <c r="A690">
        <f t="shared" si="35"/>
        <v>0.66700000000000004</v>
      </c>
      <c r="B690">
        <f t="shared" si="36"/>
        <v>2680.3846813251052</v>
      </c>
      <c r="C690">
        <f t="shared" si="37"/>
        <v>1316.8075429035648</v>
      </c>
      <c r="D690">
        <f t="shared" si="38"/>
        <v>3097.5955038868938</v>
      </c>
      <c r="E690">
        <f t="shared" si="39"/>
        <v>3060.5624841969852</v>
      </c>
    </row>
    <row r="691" spans="1:5">
      <c r="A691">
        <f t="shared" si="35"/>
        <v>0.67500000000000004</v>
      </c>
      <c r="B691">
        <f t="shared" si="36"/>
        <v>2680.6711728551891</v>
      </c>
      <c r="C691">
        <f t="shared" si="37"/>
        <v>1342.9498950237103</v>
      </c>
      <c r="D691">
        <f t="shared" si="38"/>
        <v>3166.7115855196066</v>
      </c>
      <c r="E691">
        <f t="shared" si="39"/>
        <v>3130.3947946549083</v>
      </c>
    </row>
    <row r="692" spans="1:5">
      <c r="A692">
        <f t="shared" si="35"/>
        <v>0.68300000000000005</v>
      </c>
      <c r="B692">
        <f t="shared" si="36"/>
        <v>2680.9610800816076</v>
      </c>
      <c r="C692">
        <f t="shared" si="37"/>
        <v>1369.4039294344093</v>
      </c>
      <c r="D692">
        <f t="shared" si="38"/>
        <v>3236.6517038930992</v>
      </c>
      <c r="E692">
        <f t="shared" si="39"/>
        <v>3201.0596810944471</v>
      </c>
    </row>
    <row r="693" spans="1:5">
      <c r="A693">
        <f t="shared" si="35"/>
        <v>0.69199999999999995</v>
      </c>
      <c r="B693">
        <f t="shared" si="36"/>
        <v>2681.2913085358537</v>
      </c>
      <c r="C693">
        <f t="shared" si="37"/>
        <v>1399.5372758843714</v>
      </c>
      <c r="D693">
        <f t="shared" si="38"/>
        <v>3316.3193184799852</v>
      </c>
      <c r="E693">
        <f t="shared" si="39"/>
        <v>3281.5528668169482</v>
      </c>
    </row>
    <row r="694" spans="1:5">
      <c r="A694">
        <f t="shared" si="35"/>
        <v>0.7</v>
      </c>
      <c r="B694">
        <f t="shared" si="36"/>
        <v>2681.5884741169839</v>
      </c>
      <c r="C694">
        <f t="shared" si="37"/>
        <v>1426.6536351624961</v>
      </c>
      <c r="D694">
        <f t="shared" si="38"/>
        <v>3388.0105149276301</v>
      </c>
      <c r="E694">
        <f t="shared" si="39"/>
        <v>3353.9869772174184</v>
      </c>
    </row>
    <row r="695" spans="1:5">
      <c r="A695">
        <f t="shared" si="35"/>
        <v>0.70799999999999996</v>
      </c>
      <c r="B695">
        <f t="shared" si="36"/>
        <v>2681.8890553944493</v>
      </c>
      <c r="C695">
        <f t="shared" si="37"/>
        <v>1454.0816767311733</v>
      </c>
      <c r="D695">
        <f t="shared" si="38"/>
        <v>3460.5257481160506</v>
      </c>
      <c r="E695">
        <f t="shared" si="39"/>
        <v>3427.2536635995016</v>
      </c>
    </row>
    <row r="696" spans="1:5">
      <c r="A696">
        <f t="shared" si="35"/>
        <v>0.71699999999999997</v>
      </c>
      <c r="B696">
        <f t="shared" si="36"/>
        <v>2682.231292156122</v>
      </c>
      <c r="C696">
        <f t="shared" si="37"/>
        <v>1485.3107812338633</v>
      </c>
      <c r="D696">
        <f t="shared" si="38"/>
        <v>3543.090366869737</v>
      </c>
      <c r="E696">
        <f t="shared" si="39"/>
        <v>3510.6738742573721</v>
      </c>
    </row>
    <row r="697" spans="1:5">
      <c r="A697">
        <f t="shared" si="35"/>
        <v>0.72499999999999998</v>
      </c>
      <c r="B697">
        <f t="shared" si="36"/>
        <v>2682.5391317882991</v>
      </c>
      <c r="C697">
        <f t="shared" si="37"/>
        <v>1513.4011476699659</v>
      </c>
      <c r="D697">
        <f t="shared" si="38"/>
        <v>3617.3566781323107</v>
      </c>
      <c r="E697">
        <f t="shared" si="39"/>
        <v>3585.7097846003849</v>
      </c>
    </row>
    <row r="698" spans="1:5">
      <c r="A698">
        <f t="shared" si="35"/>
        <v>0.73299999999999998</v>
      </c>
      <c r="B698">
        <f t="shared" si="36"/>
        <v>2682.85038711681</v>
      </c>
      <c r="C698">
        <f t="shared" si="37"/>
        <v>1541.8031963966221</v>
      </c>
      <c r="D698">
        <f t="shared" si="38"/>
        <v>3692.4470261356614</v>
      </c>
      <c r="E698">
        <f t="shared" si="39"/>
        <v>3661.5782709250157</v>
      </c>
    </row>
    <row r="699" spans="1:5">
      <c r="A699">
        <f t="shared" si="35"/>
        <v>0.74199999999999999</v>
      </c>
      <c r="B699">
        <f t="shared" si="36"/>
        <v>2683.2046321859102</v>
      </c>
      <c r="C699">
        <f t="shared" si="37"/>
        <v>1574.1280589520366</v>
      </c>
      <c r="D699">
        <f t="shared" si="38"/>
        <v>3777.9086490561399</v>
      </c>
      <c r="E699">
        <f t="shared" si="39"/>
        <v>3747.9255065182456</v>
      </c>
    </row>
    <row r="700" spans="1:5">
      <c r="A700">
        <f t="shared" si="35"/>
        <v>0.75</v>
      </c>
      <c r="B700">
        <f t="shared" si="36"/>
        <v>2683.5231458691333</v>
      </c>
      <c r="C700">
        <f t="shared" si="37"/>
        <v>1603.1924325461182</v>
      </c>
      <c r="D700">
        <f t="shared" si="38"/>
        <v>3854.7500751336447</v>
      </c>
      <c r="E700">
        <f t="shared" si="39"/>
        <v>3825.5632168038064</v>
      </c>
    </row>
    <row r="701" spans="1:5">
      <c r="A701">
        <f t="shared" si="35"/>
        <v>0.75800000000000001</v>
      </c>
      <c r="B701">
        <f t="shared" si="36"/>
        <v>2683.8450752486906</v>
      </c>
      <c r="C701">
        <f t="shared" si="37"/>
        <v>1632.5684884307536</v>
      </c>
      <c r="D701">
        <f t="shared" si="38"/>
        <v>3932.4155379519266</v>
      </c>
      <c r="E701">
        <f t="shared" si="39"/>
        <v>3904.0335030709825</v>
      </c>
    </row>
    <row r="702" spans="1:5">
      <c r="A702">
        <f t="shared" si="35"/>
        <v>0.76700000000000002</v>
      </c>
      <c r="B702">
        <f t="shared" si="36"/>
        <v>2684.2113286252188</v>
      </c>
      <c r="C702">
        <f t="shared" si="37"/>
        <v>1665.9891090388933</v>
      </c>
      <c r="D702">
        <f t="shared" si="38"/>
        <v>4020.7741650392004</v>
      </c>
      <c r="E702">
        <f t="shared" si="39"/>
        <v>3993.3077635995755</v>
      </c>
    </row>
    <row r="703" spans="1:5">
      <c r="A703">
        <f t="shared" si="35"/>
        <v>0.77500000000000002</v>
      </c>
      <c r="B703">
        <f t="shared" si="36"/>
        <v>2684.5405163594878</v>
      </c>
      <c r="C703">
        <f t="shared" si="37"/>
        <v>1696.0274897909542</v>
      </c>
      <c r="D703">
        <f t="shared" si="38"/>
        <v>4100.1907059316354</v>
      </c>
      <c r="E703">
        <f t="shared" si="39"/>
        <v>4073.5472738276831</v>
      </c>
    </row>
    <row r="704" spans="1:5">
      <c r="A704">
        <f t="shared" si="35"/>
        <v>0.78300000000000003</v>
      </c>
      <c r="B704">
        <f t="shared" si="36"/>
        <v>2684.873119790092</v>
      </c>
      <c r="C704">
        <f t="shared" si="37"/>
        <v>1726.3775528335661</v>
      </c>
      <c r="D704">
        <f t="shared" si="38"/>
        <v>4180.4312835648425</v>
      </c>
      <c r="E704">
        <f t="shared" si="39"/>
        <v>4154.6193600374008</v>
      </c>
    </row>
    <row r="705" spans="1:5">
      <c r="A705">
        <f t="shared" si="35"/>
        <v>0.79200000000000004</v>
      </c>
      <c r="B705">
        <f t="shared" si="36"/>
        <v>2685.251381474046</v>
      </c>
      <c r="C705">
        <f t="shared" si="37"/>
        <v>1760.893931494435</v>
      </c>
      <c r="D705">
        <f t="shared" si="38"/>
        <v>4271.6869148189198</v>
      </c>
      <c r="E705">
        <f t="shared" si="39"/>
        <v>4246.8206455013642</v>
      </c>
    </row>
    <row r="706" spans="1:5">
      <c r="A706">
        <f t="shared" si="35"/>
        <v>0.8</v>
      </c>
      <c r="B706">
        <f t="shared" si="36"/>
        <v>2685.5912432593618</v>
      </c>
      <c r="C706">
        <f t="shared" si="37"/>
        <v>1791.9063194044727</v>
      </c>
      <c r="D706">
        <f t="shared" si="38"/>
        <v>4353.678570526281</v>
      </c>
      <c r="E706">
        <f t="shared" si="39"/>
        <v>4329.6619556720143</v>
      </c>
    </row>
    <row r="707" spans="1:5">
      <c r="A707">
        <f t="shared" si="35"/>
        <v>0.80800000000000005</v>
      </c>
      <c r="B707">
        <f t="shared" si="36"/>
        <v>2685.9345207410115</v>
      </c>
      <c r="C707">
        <f t="shared" si="37"/>
        <v>1823.2303896050653</v>
      </c>
      <c r="D707">
        <f t="shared" si="38"/>
        <v>4436.4942629744219</v>
      </c>
      <c r="E707">
        <f t="shared" si="39"/>
        <v>4413.3358418242815</v>
      </c>
    </row>
    <row r="708" spans="1:5">
      <c r="A708">
        <f t="shared" si="35"/>
        <v>0.81699999999999995</v>
      </c>
      <c r="B708">
        <f t="shared" si="36"/>
        <v>2686.3247907323939</v>
      </c>
      <c r="C708">
        <f t="shared" si="37"/>
        <v>1858.8425263186568</v>
      </c>
      <c r="D708">
        <f t="shared" si="38"/>
        <v>4530.6468983952882</v>
      </c>
      <c r="E708">
        <f t="shared" si="39"/>
        <v>4508.4641522236016</v>
      </c>
    </row>
    <row r="709" spans="1:5">
      <c r="A709">
        <f t="shared" si="35"/>
        <v>0.82499999999999996</v>
      </c>
      <c r="B709">
        <f t="shared" si="36"/>
        <v>2686.6753265687557</v>
      </c>
      <c r="C709">
        <f t="shared" si="37"/>
        <v>1890.8289213866744</v>
      </c>
      <c r="D709">
        <f t="shared" si="38"/>
        <v>4615.2136689175813</v>
      </c>
      <c r="E709">
        <f t="shared" si="39"/>
        <v>4593.9072623367983</v>
      </c>
    </row>
    <row r="710" spans="1:5">
      <c r="A710">
        <f t="shared" si="35"/>
        <v>0.83299999999999996</v>
      </c>
      <c r="B710">
        <f t="shared" si="36"/>
        <v>2687.0292781014527</v>
      </c>
      <c r="C710">
        <f t="shared" si="37"/>
        <v>1923.1269987452447</v>
      </c>
      <c r="D710">
        <f t="shared" si="38"/>
        <v>4700.6044761806506</v>
      </c>
      <c r="E710">
        <f t="shared" si="39"/>
        <v>4680.1829484316095</v>
      </c>
    </row>
    <row r="711" spans="1:5">
      <c r="A711">
        <f t="shared" si="35"/>
        <v>0.84199999999999997</v>
      </c>
      <c r="B711">
        <f t="shared" si="36"/>
        <v>2687.4315564002609</v>
      </c>
      <c r="C711">
        <f t="shared" si="37"/>
        <v>1959.8348935115648</v>
      </c>
      <c r="D711">
        <f t="shared" si="38"/>
        <v>4797.6541157683187</v>
      </c>
      <c r="E711">
        <f t="shared" si="39"/>
        <v>4778.2382837662999</v>
      </c>
    </row>
    <row r="712" spans="1:5">
      <c r="A712">
        <f t="shared" si="35"/>
        <v>0.85</v>
      </c>
      <c r="B712">
        <f t="shared" si="36"/>
        <v>2687.7927662876696</v>
      </c>
      <c r="C712">
        <f t="shared" si="37"/>
        <v>1992.7952957375599</v>
      </c>
      <c r="D712">
        <f t="shared" si="38"/>
        <v>4884.7960011055375</v>
      </c>
      <c r="E712">
        <f t="shared" si="39"/>
        <v>4866.2831938220397</v>
      </c>
    </row>
    <row r="713" spans="1:5">
      <c r="A713">
        <f t="shared" si="35"/>
        <v>0.85799999999999998</v>
      </c>
      <c r="B713">
        <f t="shared" si="36"/>
        <v>2688.1573918714125</v>
      </c>
      <c r="C713">
        <f t="shared" si="37"/>
        <v>2026.0673802541094</v>
      </c>
      <c r="D713">
        <f t="shared" si="38"/>
        <v>4972.7619231835379</v>
      </c>
      <c r="E713">
        <f t="shared" si="39"/>
        <v>4955.1606798593994</v>
      </c>
    </row>
    <row r="714" spans="1:5">
      <c r="A714">
        <f t="shared" si="35"/>
        <v>0.86699999999999999</v>
      </c>
      <c r="B714">
        <f t="shared" si="36"/>
        <v>2688.5716784776487</v>
      </c>
      <c r="C714">
        <f t="shared" si="37"/>
        <v>2063.8710330731533</v>
      </c>
      <c r="D714">
        <f t="shared" si="38"/>
        <v>5072.7085669379967</v>
      </c>
      <c r="E714">
        <f t="shared" si="39"/>
        <v>5056.1430401294474</v>
      </c>
    </row>
    <row r="715" spans="1:5">
      <c r="A715">
        <f t="shared" si="35"/>
        <v>0.875</v>
      </c>
      <c r="B715">
        <f t="shared" si="36"/>
        <v>2688.9435624161033</v>
      </c>
      <c r="C715">
        <f t="shared" si="37"/>
        <v>2097.8054424571283</v>
      </c>
      <c r="D715">
        <f t="shared" si="38"/>
        <v>5162.4255670901503</v>
      </c>
      <c r="E715">
        <f t="shared" si="39"/>
        <v>5146.7897501277366</v>
      </c>
    </row>
    <row r="716" spans="1:5">
      <c r="A716">
        <f t="shared" si="35"/>
        <v>0.88300000000000001</v>
      </c>
      <c r="B716">
        <f t="shared" si="36"/>
        <v>2689.3188620508927</v>
      </c>
      <c r="C716">
        <f t="shared" si="37"/>
        <v>2132.0515341316568</v>
      </c>
      <c r="D716">
        <f t="shared" si="38"/>
        <v>5252.9666039830799</v>
      </c>
      <c r="E716">
        <f t="shared" si="39"/>
        <v>5238.2690361076411</v>
      </c>
    </row>
    <row r="717" spans="1:5">
      <c r="A717">
        <f t="shared" si="35"/>
        <v>0.89200000000000002</v>
      </c>
      <c r="B717">
        <f t="shared" si="36"/>
        <v>2689.7451569645559</v>
      </c>
      <c r="C717">
        <f t="shared" si="37"/>
        <v>2170.9509450034257</v>
      </c>
      <c r="D717">
        <f t="shared" si="38"/>
        <v>5355.810251904335</v>
      </c>
      <c r="E717">
        <f t="shared" si="39"/>
        <v>5342.1784213130522</v>
      </c>
    </row>
    <row r="718" spans="1:5">
      <c r="A718">
        <f t="shared" si="35"/>
        <v>0.9</v>
      </c>
      <c r="B718">
        <f t="shared" si="36"/>
        <v>2690.1277149540565</v>
      </c>
      <c r="C718">
        <f t="shared" si="37"/>
        <v>2205.8593615453797</v>
      </c>
      <c r="D718">
        <f t="shared" si="38"/>
        <v>5448.1023668714188</v>
      </c>
      <c r="E718">
        <f t="shared" si="39"/>
        <v>5435.4269312538872</v>
      </c>
    </row>
    <row r="719" spans="1:5">
      <c r="A719">
        <f t="shared" si="35"/>
        <v>0.90800000000000003</v>
      </c>
      <c r="B719">
        <f t="shared" si="36"/>
        <v>2690.5136886398923</v>
      </c>
      <c r="C719">
        <f t="shared" si="37"/>
        <v>2241.079460377885</v>
      </c>
      <c r="D719">
        <f t="shared" si="38"/>
        <v>5541.218518579275</v>
      </c>
      <c r="E719">
        <f t="shared" si="39"/>
        <v>5529.5080171763339</v>
      </c>
    </row>
    <row r="720" spans="1:5">
      <c r="A720">
        <f t="shared" si="35"/>
        <v>0.91700000000000004</v>
      </c>
      <c r="B720">
        <f t="shared" si="36"/>
        <v>2690.9519918609831</v>
      </c>
      <c r="C720">
        <f t="shared" si="37"/>
        <v>2281.0746293023826</v>
      </c>
      <c r="D720">
        <f t="shared" si="38"/>
        <v>5646.95917066733</v>
      </c>
      <c r="E720">
        <f t="shared" si="39"/>
        <v>5636.3444273171153</v>
      </c>
    </row>
    <row r="721" spans="1:5">
      <c r="A721">
        <f t="shared" si="35"/>
        <v>0.92500000000000004</v>
      </c>
      <c r="B721">
        <f t="shared" si="36"/>
        <v>2691.3452239015301</v>
      </c>
      <c r="C721">
        <f t="shared" si="37"/>
        <v>2316.9570530023138</v>
      </c>
      <c r="D721">
        <f t="shared" si="38"/>
        <v>5741.8264004493403</v>
      </c>
      <c r="E721">
        <f t="shared" si="39"/>
        <v>5732.1947372004943</v>
      </c>
    </row>
    <row r="722" spans="1:5">
      <c r="A722">
        <f t="shared" si="35"/>
        <v>0.93300000000000005</v>
      </c>
      <c r="B722">
        <f t="shared" si="36"/>
        <v>2691.7418716384122</v>
      </c>
      <c r="C722">
        <f t="shared" si="37"/>
        <v>2353.1511589928</v>
      </c>
      <c r="D722">
        <f t="shared" si="38"/>
        <v>5837.5176669721304</v>
      </c>
      <c r="E722">
        <f t="shared" si="39"/>
        <v>5828.8776230654903</v>
      </c>
    </row>
    <row r="723" spans="1:5">
      <c r="A723">
        <f t="shared" si="35"/>
        <v>0.94199999999999995</v>
      </c>
      <c r="B723">
        <f t="shared" si="36"/>
        <v>2692.1921831669297</v>
      </c>
      <c r="C723">
        <f t="shared" si="37"/>
        <v>2394.2420859700205</v>
      </c>
      <c r="D723">
        <f t="shared" si="38"/>
        <v>5946.1553232269753</v>
      </c>
      <c r="E723">
        <f t="shared" si="39"/>
        <v>5938.6410581416285</v>
      </c>
    </row>
    <row r="724" spans="1:5">
      <c r="A724">
        <f t="shared" si="35"/>
        <v>0.95</v>
      </c>
      <c r="B724">
        <f t="shared" si="36"/>
        <v>2692.5960892585231</v>
      </c>
      <c r="C724">
        <f t="shared" si="37"/>
        <v>2431.0985168279312</v>
      </c>
      <c r="D724">
        <f t="shared" si="38"/>
        <v>6043.5976678239176</v>
      </c>
      <c r="E724">
        <f t="shared" si="39"/>
        <v>6037.0931679675541</v>
      </c>
    </row>
    <row r="725" spans="1:5">
      <c r="A725">
        <f t="shared" si="35"/>
        <v>0.95799999999999996</v>
      </c>
      <c r="B725">
        <f t="shared" si="36"/>
        <v>2693.0034110464517</v>
      </c>
      <c r="C725">
        <f t="shared" si="37"/>
        <v>2468.2666299763941</v>
      </c>
      <c r="D725">
        <f t="shared" si="38"/>
        <v>6141.8640491616352</v>
      </c>
      <c r="E725">
        <f t="shared" si="39"/>
        <v>6136.3778537750923</v>
      </c>
    </row>
    <row r="726" spans="1:5">
      <c r="A726">
        <f t="shared" si="35"/>
        <v>0.96699999999999997</v>
      </c>
      <c r="B726">
        <f t="shared" si="36"/>
        <v>2693.4657308823962</v>
      </c>
      <c r="C726">
        <f t="shared" si="37"/>
        <v>2510.4533150063444</v>
      </c>
      <c r="D726">
        <f t="shared" si="38"/>
        <v>6253.3987095832836</v>
      </c>
      <c r="E726">
        <f t="shared" si="39"/>
        <v>6249.0683137866017</v>
      </c>
    </row>
    <row r="727" spans="1:5">
      <c r="A727">
        <f t="shared" si="35"/>
        <v>0.97499999999999998</v>
      </c>
      <c r="B727">
        <f t="shared" si="36"/>
        <v>2693.8803110250356</v>
      </c>
      <c r="C727">
        <f t="shared" si="37"/>
        <v>2548.2837530222323</v>
      </c>
      <c r="D727">
        <f t="shared" si="38"/>
        <v>6353.4161689951516</v>
      </c>
      <c r="E727">
        <f t="shared" si="39"/>
        <v>6350.1222235550704</v>
      </c>
    </row>
    <row r="728" spans="1:5">
      <c r="A728">
        <f t="shared" si="35"/>
        <v>0.98299999999999998</v>
      </c>
      <c r="B728">
        <f t="shared" si="36"/>
        <v>2694.2983068640106</v>
      </c>
      <c r="C728">
        <f t="shared" si="37"/>
        <v>2586.4258733286752</v>
      </c>
      <c r="D728">
        <f t="shared" si="38"/>
        <v>6454.2576651478012</v>
      </c>
      <c r="E728">
        <f t="shared" si="39"/>
        <v>6452.008709305157</v>
      </c>
    </row>
    <row r="729" spans="1:5">
      <c r="A729">
        <f t="shared" si="35"/>
        <v>0.99199999999999999</v>
      </c>
      <c r="B729">
        <f t="shared" si="36"/>
        <v>2694.7726350073826</v>
      </c>
      <c r="C729">
        <f t="shared" si="37"/>
        <v>2629.7083164113478</v>
      </c>
      <c r="D729">
        <f t="shared" si="38"/>
        <v>6568.6893297362394</v>
      </c>
      <c r="E729">
        <f t="shared" si="39"/>
        <v>6567.6261942520232</v>
      </c>
    </row>
    <row r="730" spans="1:5">
      <c r="A730">
        <f t="shared" si="35"/>
        <v>1</v>
      </c>
      <c r="B730">
        <f t="shared" si="36"/>
        <v>2695.1978892010684</v>
      </c>
      <c r="C730">
        <f t="shared" si="37"/>
        <v>2668.5127615852166</v>
      </c>
      <c r="D730">
        <f t="shared" si="38"/>
        <v>6671.2819039630413</v>
      </c>
      <c r="E730">
        <f t="shared" si="39"/>
        <v>6671.2819039630413</v>
      </c>
    </row>
    <row r="735" spans="1:5">
      <c r="A735">
        <f t="shared" ref="A735:A798" si="40">I2</f>
        <v>-1</v>
      </c>
      <c r="B735">
        <f t="shared" ref="B735:B798" si="41">Y2</f>
        <v>2695.1794479163468</v>
      </c>
      <c r="C735">
        <f t="shared" ref="C735:C798" si="42">AA2</f>
        <v>2668.428145382044</v>
      </c>
      <c r="D735">
        <f t="shared" ref="D735:D798" si="43">AC2</f>
        <v>6671.2479839550178</v>
      </c>
      <c r="E735">
        <f t="shared" ref="E735:E798" si="44">AE2</f>
        <v>6671.2479839550178</v>
      </c>
    </row>
    <row r="736" spans="1:5">
      <c r="A736">
        <f t="shared" si="40"/>
        <v>-0.99199999999999999</v>
      </c>
      <c r="B736">
        <f t="shared" si="41"/>
        <v>2694.649504247689</v>
      </c>
      <c r="C736">
        <f t="shared" si="42"/>
        <v>2629.6394627152467</v>
      </c>
      <c r="D736">
        <f t="shared" si="43"/>
        <v>6568.698547910094</v>
      </c>
      <c r="E736">
        <f t="shared" si="44"/>
        <v>6567.6354124258787</v>
      </c>
    </row>
    <row r="737" spans="1:5">
      <c r="A737">
        <f t="shared" si="40"/>
        <v>-0.98299999999999998</v>
      </c>
      <c r="B737">
        <f t="shared" si="41"/>
        <v>2694.1888252313724</v>
      </c>
      <c r="C737">
        <f t="shared" si="42"/>
        <v>2585.9914136189823</v>
      </c>
      <c r="D737">
        <f t="shared" si="43"/>
        <v>6453.9451764081532</v>
      </c>
      <c r="E737">
        <f t="shared" si="44"/>
        <v>6451.6962205655063</v>
      </c>
    </row>
    <row r="738" spans="1:5">
      <c r="A738">
        <f t="shared" si="40"/>
        <v>-0.97499999999999998</v>
      </c>
      <c r="B738">
        <f t="shared" si="41"/>
        <v>2693.7352285655788</v>
      </c>
      <c r="C738">
        <f t="shared" si="42"/>
        <v>2547.8333970113854</v>
      </c>
      <c r="D738">
        <f t="shared" si="43"/>
        <v>6353.4611546852802</v>
      </c>
      <c r="E738">
        <f t="shared" si="44"/>
        <v>6350.167209245199</v>
      </c>
    </row>
    <row r="739" spans="1:5">
      <c r="A739">
        <f t="shared" si="40"/>
        <v>-0.96699999999999997</v>
      </c>
      <c r="B739">
        <f t="shared" si="41"/>
        <v>2693.2153299918791</v>
      </c>
      <c r="C739">
        <f t="shared" si="42"/>
        <v>2510.4039491819062</v>
      </c>
      <c r="D739">
        <f t="shared" si="43"/>
        <v>6253.0707671760938</v>
      </c>
      <c r="E739">
        <f t="shared" si="44"/>
        <v>6248.7403713794138</v>
      </c>
    </row>
    <row r="740" spans="1:5">
      <c r="A740">
        <f t="shared" si="40"/>
        <v>-0.95799999999999996</v>
      </c>
      <c r="B740">
        <f t="shared" si="41"/>
        <v>2692.8270450627988</v>
      </c>
      <c r="C740">
        <f t="shared" si="42"/>
        <v>2468.416414407845</v>
      </c>
      <c r="D740">
        <f t="shared" si="43"/>
        <v>6141.3739805987534</v>
      </c>
      <c r="E740">
        <f t="shared" si="44"/>
        <v>6135.8877852122096</v>
      </c>
    </row>
    <row r="741" spans="1:5">
      <c r="A741">
        <f t="shared" si="40"/>
        <v>-0.95</v>
      </c>
      <c r="B741">
        <f t="shared" si="41"/>
        <v>2692.226227498772</v>
      </c>
      <c r="C741">
        <f t="shared" si="42"/>
        <v>2431.3222101605998</v>
      </c>
      <c r="D741">
        <f t="shared" si="43"/>
        <v>6043.3407753063475</v>
      </c>
      <c r="E741">
        <f t="shared" si="44"/>
        <v>6036.8362754499831</v>
      </c>
    </row>
    <row r="742" spans="1:5">
      <c r="A742">
        <f t="shared" si="40"/>
        <v>-0.94199999999999995</v>
      </c>
      <c r="B742">
        <f t="shared" si="41"/>
        <v>2691.9513345452874</v>
      </c>
      <c r="C742">
        <f t="shared" si="42"/>
        <v>2394.3649511886424</v>
      </c>
      <c r="D742">
        <f t="shared" si="43"/>
        <v>5945.6334485608777</v>
      </c>
      <c r="E742">
        <f t="shared" si="44"/>
        <v>5938.11918347553</v>
      </c>
    </row>
    <row r="743" spans="1:5">
      <c r="A743">
        <f t="shared" si="40"/>
        <v>-0.93300000000000005</v>
      </c>
      <c r="B743">
        <f t="shared" si="41"/>
        <v>2691.3317880941772</v>
      </c>
      <c r="C743">
        <f t="shared" si="42"/>
        <v>2353.0603134471717</v>
      </c>
      <c r="D743">
        <f t="shared" si="43"/>
        <v>5837.1856328694821</v>
      </c>
      <c r="E743">
        <f t="shared" si="44"/>
        <v>5828.5455889628411</v>
      </c>
    </row>
    <row r="744" spans="1:5">
      <c r="A744">
        <f t="shared" si="40"/>
        <v>-0.92500000000000004</v>
      </c>
      <c r="B744">
        <f t="shared" si="41"/>
        <v>2691.0884023495619</v>
      </c>
      <c r="C744">
        <f t="shared" si="42"/>
        <v>2316.8740711674895</v>
      </c>
      <c r="D744">
        <f t="shared" si="43"/>
        <v>5741.7295362966088</v>
      </c>
      <c r="E744">
        <f t="shared" si="44"/>
        <v>5732.0978730477627</v>
      </c>
    </row>
    <row r="745" spans="1:5">
      <c r="A745">
        <f t="shared" si="40"/>
        <v>-0.91700000000000004</v>
      </c>
      <c r="B745">
        <f t="shared" si="41"/>
        <v>2690.6954474900699</v>
      </c>
      <c r="C745">
        <f t="shared" si="42"/>
        <v>2281.4213901659514</v>
      </c>
      <c r="D745">
        <f t="shared" si="43"/>
        <v>5646.7277866164695</v>
      </c>
      <c r="E745">
        <f t="shared" si="44"/>
        <v>5636.1130432662549</v>
      </c>
    </row>
    <row r="746" spans="1:5">
      <c r="A746">
        <f t="shared" si="40"/>
        <v>-0.90800000000000003</v>
      </c>
      <c r="B746">
        <f t="shared" si="41"/>
        <v>2690.1320799792074</v>
      </c>
      <c r="C746">
        <f t="shared" si="42"/>
        <v>2241.5050146309113</v>
      </c>
      <c r="D746">
        <f t="shared" si="43"/>
        <v>5541.4542258106449</v>
      </c>
      <c r="E746">
        <f t="shared" si="44"/>
        <v>5529.7437244077037</v>
      </c>
    </row>
    <row r="747" spans="1:5">
      <c r="A747">
        <f t="shared" si="40"/>
        <v>-0.9</v>
      </c>
      <c r="B747">
        <f t="shared" si="41"/>
        <v>2689.8747687370624</v>
      </c>
      <c r="C747">
        <f t="shared" si="42"/>
        <v>2205.9282374305321</v>
      </c>
      <c r="D747">
        <f t="shared" si="43"/>
        <v>5448.2441741170287</v>
      </c>
      <c r="E747">
        <f t="shared" si="44"/>
        <v>5435.568738499499</v>
      </c>
    </row>
    <row r="748" spans="1:5">
      <c r="A748">
        <f t="shared" si="40"/>
        <v>-0.89200000000000002</v>
      </c>
      <c r="B748">
        <f t="shared" si="41"/>
        <v>2689.4097329621941</v>
      </c>
      <c r="C748">
        <f t="shared" si="42"/>
        <v>2170.5785179125855</v>
      </c>
      <c r="D748">
        <f t="shared" si="43"/>
        <v>5355.7535640556407</v>
      </c>
      <c r="E748">
        <f t="shared" si="44"/>
        <v>5342.1217334643588</v>
      </c>
    </row>
    <row r="749" spans="1:5">
      <c r="A749">
        <f t="shared" si="40"/>
        <v>-0.88300000000000001</v>
      </c>
      <c r="B749">
        <f t="shared" si="41"/>
        <v>2688.9805156608413</v>
      </c>
      <c r="C749">
        <f t="shared" si="42"/>
        <v>2131.7740125261425</v>
      </c>
      <c r="D749">
        <f t="shared" si="43"/>
        <v>5253.1451203444094</v>
      </c>
      <c r="E749">
        <f t="shared" si="44"/>
        <v>5238.4475524689706</v>
      </c>
    </row>
    <row r="750" spans="1:5">
      <c r="A750">
        <f t="shared" si="40"/>
        <v>-0.875</v>
      </c>
      <c r="B750">
        <f t="shared" si="41"/>
        <v>2688.663945378994</v>
      </c>
      <c r="C750">
        <f t="shared" si="42"/>
        <v>2097.9403231136475</v>
      </c>
      <c r="D750">
        <f t="shared" si="43"/>
        <v>5162.261744423181</v>
      </c>
      <c r="E750">
        <f t="shared" si="44"/>
        <v>5146.6259274607673</v>
      </c>
    </row>
    <row r="751" spans="1:5">
      <c r="A751">
        <f t="shared" si="40"/>
        <v>-0.86699999999999999</v>
      </c>
      <c r="B751">
        <f t="shared" si="41"/>
        <v>2688.3599201386814</v>
      </c>
      <c r="C751">
        <f t="shared" si="42"/>
        <v>2064.0528274628359</v>
      </c>
      <c r="D751">
        <f t="shared" si="43"/>
        <v>5072.4876261423988</v>
      </c>
      <c r="E751">
        <f t="shared" si="44"/>
        <v>5055.9220993338495</v>
      </c>
    </row>
    <row r="752" spans="1:5">
      <c r="A752">
        <f t="shared" si="40"/>
        <v>-0.85799999999999998</v>
      </c>
      <c r="B752">
        <f t="shared" si="41"/>
        <v>2687.8899442216875</v>
      </c>
      <c r="C752">
        <f t="shared" si="42"/>
        <v>2025.882453771376</v>
      </c>
      <c r="D752">
        <f t="shared" si="43"/>
        <v>4972.6494839789893</v>
      </c>
      <c r="E752">
        <f t="shared" si="44"/>
        <v>4955.0482406548499</v>
      </c>
    </row>
    <row r="753" spans="1:5">
      <c r="A753">
        <f t="shared" si="40"/>
        <v>-0.85</v>
      </c>
      <c r="B753">
        <f t="shared" si="41"/>
        <v>2687.5318603472888</v>
      </c>
      <c r="C753">
        <f t="shared" si="42"/>
        <v>1992.3821270692181</v>
      </c>
      <c r="D753">
        <f t="shared" si="43"/>
        <v>4884.2685576372187</v>
      </c>
      <c r="E753">
        <f t="shared" si="44"/>
        <v>4865.75575035372</v>
      </c>
    </row>
    <row r="754" spans="1:5">
      <c r="A754">
        <f t="shared" si="40"/>
        <v>-0.84199999999999997</v>
      </c>
      <c r="B754">
        <f t="shared" si="41"/>
        <v>2687.2430684507012</v>
      </c>
      <c r="C754">
        <f t="shared" si="42"/>
        <v>1959.4786630524291</v>
      </c>
      <c r="D754">
        <f t="shared" si="43"/>
        <v>4797.5202527371293</v>
      </c>
      <c r="E754">
        <f t="shared" si="44"/>
        <v>4778.1044207351115</v>
      </c>
    </row>
    <row r="755" spans="1:5">
      <c r="A755">
        <f t="shared" si="40"/>
        <v>-0.83299999999999996</v>
      </c>
      <c r="B755">
        <f t="shared" si="41"/>
        <v>2686.8370816958704</v>
      </c>
      <c r="C755">
        <f t="shared" si="42"/>
        <v>1922.830246360397</v>
      </c>
      <c r="D755">
        <f t="shared" si="43"/>
        <v>4700.3891661272646</v>
      </c>
      <c r="E755">
        <f t="shared" si="44"/>
        <v>4679.9676383782244</v>
      </c>
    </row>
    <row r="756" spans="1:5">
      <c r="A756">
        <f t="shared" si="40"/>
        <v>-0.82499999999999996</v>
      </c>
      <c r="B756">
        <f t="shared" si="41"/>
        <v>2686.3290562347079</v>
      </c>
      <c r="C756">
        <f t="shared" si="42"/>
        <v>1890.6642418919669</v>
      </c>
      <c r="D756">
        <f t="shared" si="43"/>
        <v>4614.8462996856424</v>
      </c>
      <c r="E756">
        <f t="shared" si="44"/>
        <v>4593.5398931048603</v>
      </c>
    </row>
    <row r="757" spans="1:5">
      <c r="A757">
        <f t="shared" si="40"/>
        <v>-0.81699999999999995</v>
      </c>
      <c r="B757">
        <f t="shared" si="41"/>
        <v>2685.975086049943</v>
      </c>
      <c r="C757">
        <f t="shared" si="42"/>
        <v>1858.6153385407679</v>
      </c>
      <c r="D757">
        <f t="shared" si="43"/>
        <v>4530.5093392336075</v>
      </c>
      <c r="E757">
        <f t="shared" si="44"/>
        <v>4508.3265930619218</v>
      </c>
    </row>
    <row r="758" spans="1:5">
      <c r="A758">
        <f t="shared" si="40"/>
        <v>-0.80800000000000005</v>
      </c>
      <c r="B758">
        <f t="shared" si="41"/>
        <v>2685.6117027895602</v>
      </c>
      <c r="C758">
        <f t="shared" si="42"/>
        <v>1822.7245436204166</v>
      </c>
      <c r="D758">
        <f t="shared" si="43"/>
        <v>4436.0864161767022</v>
      </c>
      <c r="E758">
        <f t="shared" si="44"/>
        <v>4412.9279950265618</v>
      </c>
    </row>
    <row r="759" spans="1:5">
      <c r="A759">
        <f t="shared" si="40"/>
        <v>-0.8</v>
      </c>
      <c r="B759">
        <f t="shared" si="41"/>
        <v>2685.2198059365082</v>
      </c>
      <c r="C759">
        <f t="shared" si="42"/>
        <v>1791.3103173149912</v>
      </c>
      <c r="D759">
        <f t="shared" si="43"/>
        <v>4353.3618800404856</v>
      </c>
      <c r="E759">
        <f t="shared" si="44"/>
        <v>4329.345265186219</v>
      </c>
    </row>
    <row r="760" spans="1:5">
      <c r="A760">
        <f t="shared" si="40"/>
        <v>-0.79200000000000004</v>
      </c>
      <c r="B760">
        <f t="shared" si="41"/>
        <v>2684.9493444150958</v>
      </c>
      <c r="C760">
        <f t="shared" si="42"/>
        <v>1760.4310673656025</v>
      </c>
      <c r="D760">
        <f t="shared" si="43"/>
        <v>4271.5992312773296</v>
      </c>
      <c r="E760">
        <f t="shared" si="44"/>
        <v>4246.732961959774</v>
      </c>
    </row>
    <row r="761" spans="1:5">
      <c r="A761">
        <f t="shared" si="40"/>
        <v>-0.78300000000000003</v>
      </c>
      <c r="B761">
        <f t="shared" si="41"/>
        <v>2684.6217262202226</v>
      </c>
      <c r="C761">
        <f t="shared" si="42"/>
        <v>1726.2341157164356</v>
      </c>
      <c r="D761">
        <f t="shared" si="43"/>
        <v>4179.9352678498881</v>
      </c>
      <c r="E761">
        <f t="shared" si="44"/>
        <v>4154.1233443224446</v>
      </c>
    </row>
    <row r="762" spans="1:5">
      <c r="A762">
        <f t="shared" si="40"/>
        <v>-0.77500000000000002</v>
      </c>
      <c r="B762">
        <f t="shared" si="41"/>
        <v>2684.1567187076917</v>
      </c>
      <c r="C762">
        <f t="shared" si="42"/>
        <v>1695.8586735261722</v>
      </c>
      <c r="D762">
        <f t="shared" si="43"/>
        <v>4099.9658977903973</v>
      </c>
      <c r="E762">
        <f t="shared" si="44"/>
        <v>4073.322465686445</v>
      </c>
    </row>
    <row r="763" spans="1:5">
      <c r="A763">
        <f t="shared" si="40"/>
        <v>-0.76700000000000002</v>
      </c>
      <c r="B763">
        <f t="shared" si="41"/>
        <v>2683.8451366502386</v>
      </c>
      <c r="C763">
        <f t="shared" si="42"/>
        <v>1665.8212925006906</v>
      </c>
      <c r="D763">
        <f t="shared" si="43"/>
        <v>4020.642850016849</v>
      </c>
      <c r="E763">
        <f t="shared" si="44"/>
        <v>3993.1764485772242</v>
      </c>
    </row>
    <row r="764" spans="1:5">
      <c r="A764">
        <f t="shared" si="40"/>
        <v>-0.75800000000000001</v>
      </c>
      <c r="B764">
        <f t="shared" si="41"/>
        <v>2683.5136176627734</v>
      </c>
      <c r="C764">
        <f t="shared" si="42"/>
        <v>1632.376799481638</v>
      </c>
      <c r="D764">
        <f t="shared" si="43"/>
        <v>3932.1224212477778</v>
      </c>
      <c r="E764">
        <f t="shared" si="44"/>
        <v>3903.7403863668333</v>
      </c>
    </row>
    <row r="765" spans="1:5">
      <c r="A765">
        <f t="shared" si="40"/>
        <v>-0.75</v>
      </c>
      <c r="B765">
        <f t="shared" si="41"/>
        <v>2683.212269613844</v>
      </c>
      <c r="C765">
        <f t="shared" si="42"/>
        <v>1602.8094295360397</v>
      </c>
      <c r="D765">
        <f t="shared" si="43"/>
        <v>3854.8328075100399</v>
      </c>
      <c r="E765">
        <f t="shared" si="44"/>
        <v>3825.645949180202</v>
      </c>
    </row>
    <row r="766" spans="1:5">
      <c r="A766">
        <f t="shared" si="40"/>
        <v>-0.74199999999999999</v>
      </c>
      <c r="B766">
        <f t="shared" si="41"/>
        <v>2682.9899653906477</v>
      </c>
      <c r="C766">
        <f t="shared" si="42"/>
        <v>1573.7599919685726</v>
      </c>
      <c r="D766">
        <f t="shared" si="43"/>
        <v>3777.7390062611744</v>
      </c>
      <c r="E766">
        <f t="shared" si="44"/>
        <v>3747.7558637232796</v>
      </c>
    </row>
    <row r="767" spans="1:5">
      <c r="A767">
        <f t="shared" si="40"/>
        <v>-0.73299999999999998</v>
      </c>
      <c r="B767">
        <f t="shared" si="41"/>
        <v>2682.6790087524896</v>
      </c>
      <c r="C767">
        <f t="shared" si="42"/>
        <v>1541.9632012793968</v>
      </c>
      <c r="D767">
        <f t="shared" si="43"/>
        <v>3692.4898473144344</v>
      </c>
      <c r="E767">
        <f t="shared" si="44"/>
        <v>3661.6210921037882</v>
      </c>
    </row>
    <row r="768" spans="1:5">
      <c r="A768">
        <f t="shared" si="40"/>
        <v>-0.72499999999999998</v>
      </c>
      <c r="B768">
        <f t="shared" si="41"/>
        <v>2682.3886623098647</v>
      </c>
      <c r="C768">
        <f t="shared" si="42"/>
        <v>1513.6531034623615</v>
      </c>
      <c r="D768">
        <f t="shared" si="43"/>
        <v>3617.6794807622759</v>
      </c>
      <c r="E768">
        <f t="shared" si="44"/>
        <v>3586.0325872303506</v>
      </c>
    </row>
    <row r="769" spans="1:5">
      <c r="A769">
        <f t="shared" si="40"/>
        <v>-0.71699999999999997</v>
      </c>
      <c r="B769">
        <f t="shared" si="41"/>
        <v>2682.2032020768329</v>
      </c>
      <c r="C769">
        <f t="shared" si="42"/>
        <v>1485.0967429511381</v>
      </c>
      <c r="D769">
        <f t="shared" si="43"/>
        <v>3542.9615560105917</v>
      </c>
      <c r="E769">
        <f t="shared" si="44"/>
        <v>3510.5450633982268</v>
      </c>
    </row>
    <row r="770" spans="1:5">
      <c r="A770">
        <f t="shared" si="40"/>
        <v>-0.70799999999999996</v>
      </c>
      <c r="B770">
        <f t="shared" si="41"/>
        <v>2681.7900212837867</v>
      </c>
      <c r="C770">
        <f t="shared" si="42"/>
        <v>1453.6204263071959</v>
      </c>
      <c r="D770">
        <f t="shared" si="43"/>
        <v>3460.5582527761894</v>
      </c>
      <c r="E770">
        <f t="shared" si="44"/>
        <v>3427.2861682596395</v>
      </c>
    </row>
    <row r="771" spans="1:5">
      <c r="A771">
        <f t="shared" si="40"/>
        <v>-0.7</v>
      </c>
      <c r="B771">
        <f t="shared" si="41"/>
        <v>2681.6464562529191</v>
      </c>
      <c r="C771">
        <f t="shared" si="42"/>
        <v>1426.4451757847878</v>
      </c>
      <c r="D771">
        <f t="shared" si="43"/>
        <v>3387.9425003472197</v>
      </c>
      <c r="E771">
        <f t="shared" si="44"/>
        <v>3353.9189626370085</v>
      </c>
    </row>
    <row r="772" spans="1:5">
      <c r="A772">
        <f t="shared" si="40"/>
        <v>-0.69199999999999995</v>
      </c>
      <c r="B772">
        <f t="shared" si="41"/>
        <v>2681.4018438923181</v>
      </c>
      <c r="C772">
        <f t="shared" si="42"/>
        <v>1399.6223178847788</v>
      </c>
      <c r="D772">
        <f t="shared" si="43"/>
        <v>3315.7545835019178</v>
      </c>
      <c r="E772">
        <f t="shared" si="44"/>
        <v>3280.9881318388811</v>
      </c>
    </row>
    <row r="773" spans="1:5">
      <c r="A773">
        <f t="shared" si="40"/>
        <v>-0.68300000000000005</v>
      </c>
      <c r="B773">
        <f t="shared" si="41"/>
        <v>2681.0046271600381</v>
      </c>
      <c r="C773">
        <f t="shared" si="42"/>
        <v>1369.53463092272</v>
      </c>
      <c r="D773">
        <f t="shared" si="43"/>
        <v>3236.4613821608532</v>
      </c>
      <c r="E773">
        <f t="shared" si="44"/>
        <v>3200.8693593622015</v>
      </c>
    </row>
    <row r="774" spans="1:5">
      <c r="A774">
        <f t="shared" si="40"/>
        <v>-0.67500000000000004</v>
      </c>
      <c r="B774">
        <f t="shared" si="41"/>
        <v>2680.7715287985948</v>
      </c>
      <c r="C774">
        <f t="shared" si="42"/>
        <v>1342.8567868048142</v>
      </c>
      <c r="D774">
        <f t="shared" si="43"/>
        <v>3166.259400612073</v>
      </c>
      <c r="E774">
        <f t="shared" si="44"/>
        <v>3129.9426097473743</v>
      </c>
    </row>
    <row r="775" spans="1:5">
      <c r="A775">
        <f t="shared" si="40"/>
        <v>-0.66700000000000004</v>
      </c>
      <c r="B775">
        <f t="shared" si="41"/>
        <v>2680.6232576705215</v>
      </c>
      <c r="C775">
        <f t="shared" si="42"/>
        <v>1316.3812634102339</v>
      </c>
      <c r="D775">
        <f t="shared" si="43"/>
        <v>3096.9092919272548</v>
      </c>
      <c r="E775">
        <f t="shared" si="44"/>
        <v>3059.8762722373463</v>
      </c>
    </row>
    <row r="776" spans="1:5">
      <c r="A776">
        <f t="shared" si="40"/>
        <v>-0.65800000000000003</v>
      </c>
      <c r="B776">
        <f t="shared" si="41"/>
        <v>2680.3194831047786</v>
      </c>
      <c r="C776">
        <f t="shared" si="42"/>
        <v>1287.3992463636328</v>
      </c>
      <c r="D776">
        <f t="shared" si="43"/>
        <v>3020.7723219878835</v>
      </c>
      <c r="E776">
        <f t="shared" si="44"/>
        <v>2982.9437519309276</v>
      </c>
    </row>
    <row r="777" spans="1:5">
      <c r="A777">
        <f t="shared" si="40"/>
        <v>-0.65</v>
      </c>
      <c r="B777">
        <f t="shared" si="41"/>
        <v>2680.0008437928418</v>
      </c>
      <c r="C777">
        <f t="shared" si="42"/>
        <v>1262.1922491504713</v>
      </c>
      <c r="D777">
        <f t="shared" si="43"/>
        <v>2953.0454000908212</v>
      </c>
      <c r="E777">
        <f t="shared" si="44"/>
        <v>2914.5187470954347</v>
      </c>
    </row>
    <row r="778" spans="1:5">
      <c r="A778">
        <f t="shared" si="40"/>
        <v>-0.64200000000000002</v>
      </c>
      <c r="B778">
        <f t="shared" si="41"/>
        <v>2679.7722655199441</v>
      </c>
      <c r="C778">
        <f t="shared" si="42"/>
        <v>1237.2988669437987</v>
      </c>
      <c r="D778">
        <f t="shared" si="43"/>
        <v>2886.8093182607818</v>
      </c>
      <c r="E778">
        <f t="shared" si="44"/>
        <v>2847.5931215678015</v>
      </c>
    </row>
    <row r="779" spans="1:5">
      <c r="A779">
        <f t="shared" si="40"/>
        <v>-0.63300000000000001</v>
      </c>
      <c r="B779">
        <f t="shared" si="41"/>
        <v>2679.4800447239541</v>
      </c>
      <c r="C779">
        <f t="shared" si="42"/>
        <v>1209.2757717257143</v>
      </c>
      <c r="D779">
        <f t="shared" si="43"/>
        <v>2813.2125751554345</v>
      </c>
      <c r="E779">
        <f t="shared" si="44"/>
        <v>2773.2308488639746</v>
      </c>
    </row>
    <row r="780" spans="1:5">
      <c r="A780">
        <f t="shared" si="40"/>
        <v>-0.625</v>
      </c>
      <c r="B780">
        <f t="shared" si="41"/>
        <v>2679.0613485791851</v>
      </c>
      <c r="C780">
        <f t="shared" si="42"/>
        <v>1184.3076782731637</v>
      </c>
      <c r="D780">
        <f t="shared" si="43"/>
        <v>2747.9784005923898</v>
      </c>
      <c r="E780">
        <f t="shared" si="44"/>
        <v>2707.3252764901149</v>
      </c>
    </row>
    <row r="781" spans="1:5">
      <c r="A781">
        <f t="shared" si="40"/>
        <v>-0.61699999999999999</v>
      </c>
      <c r="B781">
        <f t="shared" si="41"/>
        <v>2678.8524716885131</v>
      </c>
      <c r="C781">
        <f t="shared" si="42"/>
        <v>1160.1745172754654</v>
      </c>
      <c r="D781">
        <f t="shared" si="43"/>
        <v>2684.5299483671524</v>
      </c>
      <c r="E781">
        <f t="shared" si="44"/>
        <v>2643.2139656948998</v>
      </c>
    </row>
    <row r="782" spans="1:5">
      <c r="A782">
        <f t="shared" si="40"/>
        <v>-0.60799999999999998</v>
      </c>
      <c r="B782">
        <f t="shared" si="41"/>
        <v>2678.5467573407996</v>
      </c>
      <c r="C782">
        <f t="shared" si="42"/>
        <v>1133.8318204369273</v>
      </c>
      <c r="D782">
        <f t="shared" si="43"/>
        <v>2613.1887828674335</v>
      </c>
      <c r="E782">
        <f t="shared" si="44"/>
        <v>2571.137291365269</v>
      </c>
    </row>
    <row r="783" spans="1:5">
      <c r="A783">
        <f t="shared" si="40"/>
        <v>-0.6</v>
      </c>
      <c r="B783">
        <f t="shared" si="41"/>
        <v>2678.1346624951211</v>
      </c>
      <c r="C783">
        <f t="shared" si="42"/>
        <v>1110.4114575267997</v>
      </c>
      <c r="D783">
        <f t="shared" si="43"/>
        <v>2550.8882906400845</v>
      </c>
      <c r="E783">
        <f t="shared" si="44"/>
        <v>2508.192086454721</v>
      </c>
    </row>
    <row r="784" spans="1:5">
      <c r="A784">
        <f t="shared" si="40"/>
        <v>-0.59199999999999997</v>
      </c>
      <c r="B784">
        <f t="shared" si="41"/>
        <v>2677.8312038609492</v>
      </c>
      <c r="C784">
        <f t="shared" si="42"/>
        <v>1086.8427303999092</v>
      </c>
      <c r="D784">
        <f t="shared" si="43"/>
        <v>2489.7392629473461</v>
      </c>
      <c r="E784">
        <f t="shared" si="44"/>
        <v>2446.4068853196209</v>
      </c>
    </row>
    <row r="785" spans="1:5">
      <c r="A785">
        <f t="shared" si="40"/>
        <v>-0.58299999999999996</v>
      </c>
      <c r="B785">
        <f t="shared" si="41"/>
        <v>2677.5913730272569</v>
      </c>
      <c r="C785">
        <f t="shared" si="42"/>
        <v>1061.1254317167784</v>
      </c>
      <c r="D785">
        <f t="shared" si="43"/>
        <v>2421.2039336802191</v>
      </c>
      <c r="E785">
        <f t="shared" si="44"/>
        <v>2377.1660679911497</v>
      </c>
    </row>
    <row r="786" spans="1:5">
      <c r="A786">
        <f t="shared" si="40"/>
        <v>-0.57499999999999996</v>
      </c>
      <c r="B786">
        <f t="shared" si="41"/>
        <v>2677.4013084133485</v>
      </c>
      <c r="C786">
        <f t="shared" si="42"/>
        <v>1038.5909879836215</v>
      </c>
      <c r="D786">
        <f t="shared" si="43"/>
        <v>2361.7787973155059</v>
      </c>
      <c r="E786">
        <f t="shared" si="44"/>
        <v>2317.1229040708531</v>
      </c>
    </row>
    <row r="787" spans="1:5">
      <c r="A787">
        <f t="shared" si="40"/>
        <v>-0.56699999999999995</v>
      </c>
      <c r="B787">
        <f t="shared" si="41"/>
        <v>2677.1088155150319</v>
      </c>
      <c r="C787">
        <f t="shared" si="42"/>
        <v>1016.1344402669544</v>
      </c>
      <c r="D787">
        <f t="shared" si="43"/>
        <v>2303.344286876124</v>
      </c>
      <c r="E787">
        <f t="shared" si="44"/>
        <v>2258.0789053167259</v>
      </c>
    </row>
    <row r="788" spans="1:5">
      <c r="A788">
        <f t="shared" si="40"/>
        <v>-0.55800000000000005</v>
      </c>
      <c r="B788">
        <f t="shared" si="41"/>
        <v>2676.6947597635431</v>
      </c>
      <c r="C788">
        <f t="shared" si="42"/>
        <v>991.53332581625716</v>
      </c>
      <c r="D788">
        <f t="shared" si="43"/>
        <v>2237.6242728070965</v>
      </c>
      <c r="E788">
        <f t="shared" si="44"/>
        <v>2191.6834239549212</v>
      </c>
    </row>
    <row r="789" spans="1:5">
      <c r="A789">
        <f t="shared" si="40"/>
        <v>-0.55000000000000004</v>
      </c>
      <c r="B789">
        <f t="shared" si="41"/>
        <v>2676.4990534043568</v>
      </c>
      <c r="C789">
        <f t="shared" si="42"/>
        <v>970.16851043660358</v>
      </c>
      <c r="D789">
        <f t="shared" si="43"/>
        <v>2180.8662292442368</v>
      </c>
      <c r="E789">
        <f t="shared" si="44"/>
        <v>2134.3340379640949</v>
      </c>
    </row>
    <row r="790" spans="1:5">
      <c r="A790">
        <f t="shared" si="40"/>
        <v>-0.54200000000000004</v>
      </c>
      <c r="B790">
        <f t="shared" si="41"/>
        <v>2676.2200621956567</v>
      </c>
      <c r="C790">
        <f t="shared" si="42"/>
        <v>948.76083680906561</v>
      </c>
      <c r="D790">
        <f t="shared" si="43"/>
        <v>2124.6961361378512</v>
      </c>
      <c r="E790">
        <f t="shared" si="44"/>
        <v>2077.5811416705787</v>
      </c>
    </row>
    <row r="791" spans="1:5">
      <c r="A791">
        <f t="shared" si="40"/>
        <v>-0.53300000000000003</v>
      </c>
      <c r="B791">
        <f t="shared" si="41"/>
        <v>2676.1391391812404</v>
      </c>
      <c r="C791">
        <f t="shared" si="42"/>
        <v>924.7601899779155</v>
      </c>
      <c r="D791">
        <f t="shared" si="43"/>
        <v>2061.9306805806214</v>
      </c>
      <c r="E791">
        <f t="shared" si="44"/>
        <v>2014.1702395891407</v>
      </c>
    </row>
    <row r="792" spans="1:5">
      <c r="A792">
        <f t="shared" si="40"/>
        <v>-0.52500000000000002</v>
      </c>
      <c r="B792">
        <f t="shared" si="41"/>
        <v>2675.8058348678301</v>
      </c>
      <c r="C792">
        <f t="shared" si="42"/>
        <v>904.25330988211329</v>
      </c>
      <c r="D792">
        <f t="shared" si="43"/>
        <v>2007.8337102011103</v>
      </c>
      <c r="E792">
        <f t="shared" si="44"/>
        <v>1959.5086119092775</v>
      </c>
    </row>
    <row r="793" spans="1:5">
      <c r="A793">
        <f t="shared" si="40"/>
        <v>-0.51700000000000002</v>
      </c>
      <c r="B793">
        <f t="shared" si="41"/>
        <v>2675.7021946279692</v>
      </c>
      <c r="C793">
        <f t="shared" si="42"/>
        <v>884.12039163790871</v>
      </c>
      <c r="D793">
        <f t="shared" si="43"/>
        <v>1953.8304542430778</v>
      </c>
      <c r="E793">
        <f t="shared" si="44"/>
        <v>1904.9492378917314</v>
      </c>
    </row>
    <row r="794" spans="1:5">
      <c r="A794">
        <f t="shared" si="40"/>
        <v>-0.50800000000000001</v>
      </c>
      <c r="B794">
        <f t="shared" si="41"/>
        <v>2675.4695261018783</v>
      </c>
      <c r="C794">
        <f t="shared" si="42"/>
        <v>861.71394056116776</v>
      </c>
      <c r="D794">
        <f t="shared" si="43"/>
        <v>1894.3114493737276</v>
      </c>
      <c r="E794">
        <f t="shared" si="44"/>
        <v>1844.81480726674</v>
      </c>
    </row>
    <row r="795" spans="1:5">
      <c r="A795">
        <f t="shared" si="40"/>
        <v>-0.5</v>
      </c>
      <c r="B795">
        <f t="shared" si="41"/>
        <v>2675.3009110978614</v>
      </c>
      <c r="C795">
        <f t="shared" si="42"/>
        <v>842.09103914771345</v>
      </c>
      <c r="D795">
        <f t="shared" si="43"/>
        <v>1842.8570097666177</v>
      </c>
      <c r="E795">
        <f t="shared" si="44"/>
        <v>1792.8223954868949</v>
      </c>
    </row>
    <row r="796" spans="1:5">
      <c r="A796">
        <f t="shared" si="40"/>
        <v>-0.49199999999999999</v>
      </c>
      <c r="B796">
        <f t="shared" si="41"/>
        <v>2675.1900720308854</v>
      </c>
      <c r="C796">
        <f t="shared" si="42"/>
        <v>822.55207478089949</v>
      </c>
      <c r="D796">
        <f t="shared" si="43"/>
        <v>1791.3583570829956</v>
      </c>
      <c r="E796">
        <f t="shared" si="44"/>
        <v>1740.7943098713745</v>
      </c>
    </row>
    <row r="797" spans="1:5">
      <c r="A797">
        <f t="shared" si="40"/>
        <v>-0.48299999999999998</v>
      </c>
      <c r="B797">
        <f t="shared" si="41"/>
        <v>2674.966604122772</v>
      </c>
      <c r="C797">
        <f t="shared" si="42"/>
        <v>800.78844516792503</v>
      </c>
      <c r="D797">
        <f t="shared" si="43"/>
        <v>1735.3520404808066</v>
      </c>
      <c r="E797">
        <f t="shared" si="44"/>
        <v>1684.2025882821126</v>
      </c>
    </row>
    <row r="798" spans="1:5">
      <c r="A798">
        <f t="shared" si="40"/>
        <v>-0.47499999999999998</v>
      </c>
      <c r="B798">
        <f t="shared" si="41"/>
        <v>2674.7319398843601</v>
      </c>
      <c r="C798">
        <f t="shared" si="42"/>
        <v>782.18275859500397</v>
      </c>
      <c r="D798">
        <f t="shared" si="43"/>
        <v>1686.2442602676783</v>
      </c>
      <c r="E798">
        <f t="shared" si="44"/>
        <v>1634.5835210238645</v>
      </c>
    </row>
    <row r="799" spans="1:5">
      <c r="A799">
        <f t="shared" ref="A799:A862" si="45">I66</f>
        <v>-0.46700000000000003</v>
      </c>
      <c r="B799">
        <f t="shared" ref="B799:B862" si="46">Y66</f>
        <v>2674.723922285471</v>
      </c>
      <c r="C799">
        <f t="shared" ref="C799:C862" si="47">AA66</f>
        <v>764.29975082137639</v>
      </c>
      <c r="D799">
        <f t="shared" ref="D799:D862" si="48">AC66</f>
        <v>1637.3177434988168</v>
      </c>
      <c r="E799">
        <f t="shared" ref="E799:E862" si="49">AE66</f>
        <v>1585.1542564507204</v>
      </c>
    </row>
    <row r="800" spans="1:5">
      <c r="A800">
        <f t="shared" si="45"/>
        <v>-0.45800000000000002</v>
      </c>
      <c r="B800">
        <f t="shared" si="46"/>
        <v>2674.5566383706246</v>
      </c>
      <c r="C800">
        <f t="shared" si="47"/>
        <v>744.29967064682944</v>
      </c>
      <c r="D800">
        <f t="shared" si="48"/>
        <v>1584.1474784934796</v>
      </c>
      <c r="E800">
        <f t="shared" si="49"/>
        <v>1531.4286072268783</v>
      </c>
    </row>
    <row r="801" spans="1:5">
      <c r="A801">
        <f t="shared" si="45"/>
        <v>-0.45</v>
      </c>
      <c r="B801">
        <f t="shared" si="46"/>
        <v>2674.381298406674</v>
      </c>
      <c r="C801">
        <f t="shared" si="47"/>
        <v>726.39027637027345</v>
      </c>
      <c r="D801">
        <f t="shared" si="48"/>
        <v>1537.2156175815205</v>
      </c>
      <c r="E801">
        <f t="shared" si="49"/>
        <v>1484.0121443974156</v>
      </c>
    </row>
    <row r="802" spans="1:5">
      <c r="A802">
        <f t="shared" si="45"/>
        <v>-0.442</v>
      </c>
      <c r="B802">
        <f t="shared" si="46"/>
        <v>2674.3335334564645</v>
      </c>
      <c r="C802">
        <f t="shared" si="47"/>
        <v>708.59652239732816</v>
      </c>
      <c r="D802">
        <f t="shared" si="48"/>
        <v>1491.0140510931733</v>
      </c>
      <c r="E802">
        <f t="shared" si="49"/>
        <v>1437.3345152324011</v>
      </c>
    </row>
    <row r="803" spans="1:5">
      <c r="A803">
        <f t="shared" si="45"/>
        <v>-0.433</v>
      </c>
      <c r="B803">
        <f t="shared" si="46"/>
        <v>2674.1216025512749</v>
      </c>
      <c r="C803">
        <f t="shared" si="47"/>
        <v>689.6044707976647</v>
      </c>
      <c r="D803">
        <f t="shared" si="48"/>
        <v>1440.7064420089457</v>
      </c>
      <c r="E803">
        <f t="shared" si="49"/>
        <v>1386.5015426982363</v>
      </c>
    </row>
    <row r="804" spans="1:5">
      <c r="A804">
        <f t="shared" si="45"/>
        <v>-0.42499999999999999</v>
      </c>
      <c r="B804">
        <f t="shared" si="46"/>
        <v>2674.0286984605818</v>
      </c>
      <c r="C804">
        <f t="shared" si="47"/>
        <v>673.52943021065596</v>
      </c>
      <c r="D804">
        <f t="shared" si="48"/>
        <v>1395.9069815926184</v>
      </c>
      <c r="E804">
        <f t="shared" si="49"/>
        <v>1341.2441654920215</v>
      </c>
    </row>
    <row r="805" spans="1:5">
      <c r="A805">
        <f t="shared" si="45"/>
        <v>-0.41699999999999998</v>
      </c>
      <c r="B805">
        <f t="shared" si="46"/>
        <v>2673.8364151669812</v>
      </c>
      <c r="C805">
        <f t="shared" si="47"/>
        <v>657.15792890890543</v>
      </c>
      <c r="D805">
        <f t="shared" si="48"/>
        <v>1352.5285718842533</v>
      </c>
      <c r="E805">
        <f t="shared" si="49"/>
        <v>1297.4163782346052</v>
      </c>
    </row>
    <row r="806" spans="1:5">
      <c r="A806">
        <f t="shared" si="45"/>
        <v>-0.40799999999999997</v>
      </c>
      <c r="B806">
        <f t="shared" si="46"/>
        <v>2673.7029376385944</v>
      </c>
      <c r="C806">
        <f t="shared" si="47"/>
        <v>638.70335285133183</v>
      </c>
      <c r="D806">
        <f t="shared" si="48"/>
        <v>1304.9764199784206</v>
      </c>
      <c r="E806">
        <f t="shared" si="49"/>
        <v>1249.3688836474032</v>
      </c>
    </row>
    <row r="807" spans="1:5">
      <c r="A807">
        <f t="shared" si="45"/>
        <v>-0.4</v>
      </c>
      <c r="B807">
        <f t="shared" si="46"/>
        <v>2673.5261534625206</v>
      </c>
      <c r="C807">
        <f t="shared" si="47"/>
        <v>622.95581929458547</v>
      </c>
      <c r="D807">
        <f t="shared" si="48"/>
        <v>1262.9447905211184</v>
      </c>
      <c r="E807">
        <f t="shared" si="49"/>
        <v>1206.9060225278288</v>
      </c>
    </row>
    <row r="808" spans="1:5">
      <c r="A808">
        <f t="shared" si="45"/>
        <v>-0.39200000000000002</v>
      </c>
      <c r="B808">
        <f t="shared" si="46"/>
        <v>2673.5228751299887</v>
      </c>
      <c r="C808">
        <f t="shared" si="47"/>
        <v>607.69841650728927</v>
      </c>
      <c r="D808">
        <f t="shared" si="48"/>
        <v>1222.5976275941218</v>
      </c>
      <c r="E808">
        <f t="shared" si="49"/>
        <v>1166.1361671793973</v>
      </c>
    </row>
    <row r="809" spans="1:5">
      <c r="A809">
        <f t="shared" si="45"/>
        <v>-0.38300000000000001</v>
      </c>
      <c r="B809">
        <f t="shared" si="46"/>
        <v>2673.2921080293481</v>
      </c>
      <c r="C809">
        <f t="shared" si="47"/>
        <v>590.66197110767814</v>
      </c>
      <c r="D809">
        <f t="shared" si="48"/>
        <v>1177.5797561447957</v>
      </c>
      <c r="E809">
        <f t="shared" si="49"/>
        <v>1120.6529738172696</v>
      </c>
    </row>
    <row r="810" spans="1:5">
      <c r="A810">
        <f t="shared" si="45"/>
        <v>-0.375</v>
      </c>
      <c r="B810">
        <f t="shared" si="46"/>
        <v>2673.18796223142</v>
      </c>
      <c r="C810">
        <f t="shared" si="47"/>
        <v>576.22258813122494</v>
      </c>
      <c r="D810">
        <f t="shared" si="48"/>
        <v>1138.4256657523622</v>
      </c>
      <c r="E810">
        <f t="shared" si="49"/>
        <v>1081.0943368901799</v>
      </c>
    </row>
    <row r="811" spans="1:5">
      <c r="A811">
        <f t="shared" si="45"/>
        <v>-0.36699999999999999</v>
      </c>
      <c r="B811">
        <f t="shared" si="46"/>
        <v>2673.1305400369843</v>
      </c>
      <c r="C811">
        <f t="shared" si="47"/>
        <v>561.82224623232139</v>
      </c>
      <c r="D811">
        <f t="shared" si="48"/>
        <v>1100.589696399725</v>
      </c>
      <c r="E811">
        <f t="shared" si="49"/>
        <v>1042.8623602437233</v>
      </c>
    </row>
    <row r="812" spans="1:5">
      <c r="A812">
        <f t="shared" si="45"/>
        <v>-0.35799999999999998</v>
      </c>
      <c r="B812">
        <f t="shared" si="46"/>
        <v>2672.9477639052798</v>
      </c>
      <c r="C812">
        <f t="shared" si="47"/>
        <v>545.46838456100261</v>
      </c>
      <c r="D812">
        <f t="shared" si="48"/>
        <v>1058.3002345586074</v>
      </c>
      <c r="E812">
        <f t="shared" si="49"/>
        <v>1000.1375972583725</v>
      </c>
    </row>
    <row r="813" spans="1:5">
      <c r="A813">
        <f t="shared" si="45"/>
        <v>-0.35</v>
      </c>
      <c r="B813">
        <f t="shared" si="46"/>
        <v>2672.7315331589957</v>
      </c>
      <c r="C813">
        <f t="shared" si="47"/>
        <v>531.44205975631633</v>
      </c>
      <c r="D813">
        <f t="shared" si="48"/>
        <v>1021.9153193332289</v>
      </c>
      <c r="E813">
        <f t="shared" si="49"/>
        <v>963.37482062595336</v>
      </c>
    </row>
    <row r="814" spans="1:5">
      <c r="A814">
        <f t="shared" si="45"/>
        <v>-0.34200000000000003</v>
      </c>
      <c r="B814">
        <f t="shared" si="46"/>
        <v>2672.6976301058958</v>
      </c>
      <c r="C814">
        <f t="shared" si="47"/>
        <v>518.30702957057997</v>
      </c>
      <c r="D814">
        <f t="shared" si="48"/>
        <v>986.64556882876252</v>
      </c>
      <c r="E814">
        <f t="shared" si="49"/>
        <v>927.73574795528327</v>
      </c>
    </row>
    <row r="815" spans="1:5">
      <c r="A815">
        <f t="shared" si="45"/>
        <v>-0.33300000000000002</v>
      </c>
      <c r="B815">
        <f t="shared" si="46"/>
        <v>2672.4754623052013</v>
      </c>
      <c r="C815">
        <f t="shared" si="47"/>
        <v>503.5300716509127</v>
      </c>
      <c r="D815">
        <f t="shared" si="48"/>
        <v>946.93028901938692</v>
      </c>
      <c r="E815">
        <f t="shared" si="49"/>
        <v>887.61518777024196</v>
      </c>
    </row>
    <row r="816" spans="1:5">
      <c r="A816">
        <f t="shared" si="45"/>
        <v>-0.32500000000000001</v>
      </c>
      <c r="B816">
        <f t="shared" si="46"/>
        <v>2672.2656801334788</v>
      </c>
      <c r="C816">
        <f t="shared" si="47"/>
        <v>490.6119523498117</v>
      </c>
      <c r="D816">
        <f t="shared" si="48"/>
        <v>913.38844435295391</v>
      </c>
      <c r="E816">
        <f t="shared" si="49"/>
        <v>853.72216682438443</v>
      </c>
    </row>
    <row r="817" spans="1:5">
      <c r="A817">
        <f t="shared" si="45"/>
        <v>-0.317</v>
      </c>
      <c r="B817">
        <f t="shared" si="46"/>
        <v>2672.1155658418929</v>
      </c>
      <c r="C817">
        <f t="shared" si="47"/>
        <v>478.15408387641003</v>
      </c>
      <c r="D817">
        <f t="shared" si="48"/>
        <v>880.52295629152457</v>
      </c>
      <c r="E817">
        <f t="shared" si="49"/>
        <v>820.51404172436776</v>
      </c>
    </row>
    <row r="818" spans="1:5">
      <c r="A818">
        <f t="shared" si="45"/>
        <v>-0.308</v>
      </c>
      <c r="B818">
        <f t="shared" si="46"/>
        <v>2671.9751728842639</v>
      </c>
      <c r="C818">
        <f t="shared" si="47"/>
        <v>464.26488226134251</v>
      </c>
      <c r="D818">
        <f t="shared" si="48"/>
        <v>843.85241150892091</v>
      </c>
      <c r="E818">
        <f t="shared" si="49"/>
        <v>783.46823733466601</v>
      </c>
    </row>
    <row r="819" spans="1:5">
      <c r="A819">
        <f t="shared" si="45"/>
        <v>-0.3</v>
      </c>
      <c r="B819">
        <f t="shared" si="46"/>
        <v>2671.9092619653225</v>
      </c>
      <c r="C819">
        <f t="shared" si="47"/>
        <v>452.12513673633737</v>
      </c>
      <c r="D819">
        <f t="shared" si="48"/>
        <v>813.20584870524624</v>
      </c>
      <c r="E819">
        <f t="shared" si="49"/>
        <v>752.49718337918262</v>
      </c>
    </row>
    <row r="820" spans="1:5">
      <c r="A820">
        <f t="shared" si="45"/>
        <v>-0.29199999999999998</v>
      </c>
      <c r="B820">
        <f t="shared" si="46"/>
        <v>2671.6172551078062</v>
      </c>
      <c r="C820">
        <f t="shared" si="47"/>
        <v>440.789520058493</v>
      </c>
      <c r="D820">
        <f t="shared" si="48"/>
        <v>782.23831898070887</v>
      </c>
      <c r="E820">
        <f t="shared" si="49"/>
        <v>721.2137017436736</v>
      </c>
    </row>
    <row r="821" spans="1:5">
      <c r="A821">
        <f t="shared" si="45"/>
        <v>-0.28299999999999997</v>
      </c>
      <c r="B821">
        <f t="shared" si="46"/>
        <v>2671.4755777744185</v>
      </c>
      <c r="C821">
        <f t="shared" si="47"/>
        <v>428.42468286207787</v>
      </c>
      <c r="D821">
        <f t="shared" si="48"/>
        <v>748.93086768833803</v>
      </c>
      <c r="E821">
        <f t="shared" si="49"/>
        <v>687.56101161277263</v>
      </c>
    </row>
    <row r="822" spans="1:5">
      <c r="A822">
        <f t="shared" si="45"/>
        <v>-0.27500000000000002</v>
      </c>
      <c r="B822">
        <f t="shared" si="46"/>
        <v>2671.3571868013596</v>
      </c>
      <c r="C822">
        <f t="shared" si="47"/>
        <v>417.67037608062077</v>
      </c>
      <c r="D822">
        <f t="shared" si="48"/>
        <v>720.43324191293686</v>
      </c>
      <c r="E822">
        <f t="shared" si="49"/>
        <v>658.76557981317865</v>
      </c>
    </row>
    <row r="823" spans="1:5">
      <c r="A823">
        <f t="shared" si="45"/>
        <v>-0.26700000000000002</v>
      </c>
      <c r="B823">
        <f t="shared" si="46"/>
        <v>2671.2248800209791</v>
      </c>
      <c r="C823">
        <f t="shared" si="47"/>
        <v>406.74702738970677</v>
      </c>
      <c r="D823">
        <f t="shared" si="48"/>
        <v>691.96705519544912</v>
      </c>
      <c r="E823">
        <f t="shared" si="49"/>
        <v>630.01012631233505</v>
      </c>
    </row>
    <row r="824" spans="1:5">
      <c r="A824">
        <f t="shared" si="45"/>
        <v>-0.25800000000000001</v>
      </c>
      <c r="B824">
        <f t="shared" si="46"/>
        <v>2670.8930621337031</v>
      </c>
      <c r="C824">
        <f t="shared" si="47"/>
        <v>395.08927018210937</v>
      </c>
      <c r="D824">
        <f t="shared" si="48"/>
        <v>661.68999948461476</v>
      </c>
      <c r="E824">
        <f t="shared" si="49"/>
        <v>599.4178525315383</v>
      </c>
    </row>
    <row r="825" spans="1:5">
      <c r="A825">
        <f t="shared" si="45"/>
        <v>-0.25</v>
      </c>
      <c r="B825">
        <f t="shared" si="46"/>
        <v>2670.7843017787291</v>
      </c>
      <c r="C825">
        <f t="shared" si="47"/>
        <v>385.36613803777971</v>
      </c>
      <c r="D825">
        <f t="shared" si="48"/>
        <v>635.69825524385692</v>
      </c>
      <c r="E825">
        <f t="shared" si="49"/>
        <v>573.15498739420343</v>
      </c>
    </row>
    <row r="826" spans="1:5">
      <c r="A826">
        <f t="shared" si="45"/>
        <v>-0.24199999999999999</v>
      </c>
      <c r="B826">
        <f t="shared" si="46"/>
        <v>2670.7108751368901</v>
      </c>
      <c r="C826">
        <f t="shared" si="47"/>
        <v>376.13515915351996</v>
      </c>
      <c r="D826">
        <f t="shared" si="48"/>
        <v>609.84988496189897</v>
      </c>
      <c r="E826">
        <f t="shared" si="49"/>
        <v>547.04403545650553</v>
      </c>
    </row>
    <row r="827" spans="1:5">
      <c r="A827">
        <f t="shared" si="45"/>
        <v>-0.23300000000000001</v>
      </c>
      <c r="B827">
        <f t="shared" si="46"/>
        <v>2670.5085985921796</v>
      </c>
      <c r="C827">
        <f t="shared" si="47"/>
        <v>365.6912781317871</v>
      </c>
      <c r="D827">
        <f t="shared" si="48"/>
        <v>582.82512814340009</v>
      </c>
      <c r="E827">
        <f t="shared" si="49"/>
        <v>519.73408133661223</v>
      </c>
    </row>
    <row r="828" spans="1:5">
      <c r="A828">
        <f t="shared" si="45"/>
        <v>-0.22500000000000001</v>
      </c>
      <c r="B828">
        <f t="shared" si="46"/>
        <v>2670.2708582144087</v>
      </c>
      <c r="C828">
        <f t="shared" si="47"/>
        <v>356.4473590251373</v>
      </c>
      <c r="D828">
        <f t="shared" si="48"/>
        <v>559.21212141093656</v>
      </c>
      <c r="E828">
        <f t="shared" si="49"/>
        <v>495.87663883518746</v>
      </c>
    </row>
    <row r="829" spans="1:5">
      <c r="A829">
        <f t="shared" si="45"/>
        <v>-0.217</v>
      </c>
      <c r="B829">
        <f t="shared" si="46"/>
        <v>2670.1536854385186</v>
      </c>
      <c r="C829">
        <f t="shared" si="47"/>
        <v>347.79823047108033</v>
      </c>
      <c r="D829">
        <f t="shared" si="48"/>
        <v>536.20036896901183</v>
      </c>
      <c r="E829">
        <f t="shared" si="49"/>
        <v>472.62898986513858</v>
      </c>
    </row>
    <row r="830" spans="1:5">
      <c r="A830">
        <f t="shared" si="45"/>
        <v>-0.20799999999999999</v>
      </c>
      <c r="B830">
        <f t="shared" si="46"/>
        <v>2670.1402141895642</v>
      </c>
      <c r="C830">
        <f t="shared" si="47"/>
        <v>338.4523662185664</v>
      </c>
      <c r="D830">
        <f t="shared" si="48"/>
        <v>512.3169245672517</v>
      </c>
      <c r="E830">
        <f t="shared" si="49"/>
        <v>448.49036893055194</v>
      </c>
    </row>
    <row r="831" spans="1:5">
      <c r="A831">
        <f t="shared" si="45"/>
        <v>-0.2</v>
      </c>
      <c r="B831">
        <f t="shared" si="46"/>
        <v>2669.897439151252</v>
      </c>
      <c r="C831">
        <f t="shared" si="47"/>
        <v>330.81553538368979</v>
      </c>
      <c r="D831">
        <f t="shared" si="48"/>
        <v>490.86443759611723</v>
      </c>
      <c r="E831">
        <f t="shared" si="49"/>
        <v>426.82013131807196</v>
      </c>
    </row>
    <row r="832" spans="1:5">
      <c r="A832">
        <f t="shared" si="45"/>
        <v>-0.192</v>
      </c>
      <c r="B832">
        <f t="shared" si="46"/>
        <v>2669.7518575562381</v>
      </c>
      <c r="C832">
        <f t="shared" si="47"/>
        <v>323.37933770340271</v>
      </c>
      <c r="D832">
        <f t="shared" si="48"/>
        <v>470.8262366207249</v>
      </c>
      <c r="E832">
        <f t="shared" si="49"/>
        <v>406.57271894217143</v>
      </c>
    </row>
    <row r="833" spans="1:5">
      <c r="A833">
        <f t="shared" si="45"/>
        <v>-0.183</v>
      </c>
      <c r="B833">
        <f t="shared" si="46"/>
        <v>2669.6399802909527</v>
      </c>
      <c r="C833">
        <f t="shared" si="47"/>
        <v>314.94112454596194</v>
      </c>
      <c r="D833">
        <f t="shared" si="48"/>
        <v>449.38514116972078</v>
      </c>
      <c r="E833">
        <f t="shared" si="49"/>
        <v>384.90646772690855</v>
      </c>
    </row>
    <row r="834" spans="1:5">
      <c r="A834">
        <f t="shared" si="45"/>
        <v>-0.17499999999999999</v>
      </c>
      <c r="B834">
        <f t="shared" si="46"/>
        <v>2669.6775428195497</v>
      </c>
      <c r="C834">
        <f t="shared" si="47"/>
        <v>307.48456938359294</v>
      </c>
      <c r="D834">
        <f t="shared" si="48"/>
        <v>430.30959564342669</v>
      </c>
      <c r="E834">
        <f t="shared" si="49"/>
        <v>365.63985668688503</v>
      </c>
    </row>
    <row r="835" spans="1:5">
      <c r="A835">
        <f t="shared" si="45"/>
        <v>-0.16700000000000001</v>
      </c>
      <c r="B835">
        <f t="shared" si="46"/>
        <v>2669.5329806107666</v>
      </c>
      <c r="C835">
        <f t="shared" si="47"/>
        <v>300.77094466978451</v>
      </c>
      <c r="D835">
        <f t="shared" si="48"/>
        <v>413.13501587361156</v>
      </c>
      <c r="E835">
        <f t="shared" si="49"/>
        <v>348.28275064417738</v>
      </c>
    </row>
    <row r="836" spans="1:5">
      <c r="A836">
        <f t="shared" si="45"/>
        <v>-0.158</v>
      </c>
      <c r="B836">
        <f t="shared" si="46"/>
        <v>2669.511245132921</v>
      </c>
      <c r="C836">
        <f t="shared" si="47"/>
        <v>294.23661277989663</v>
      </c>
      <c r="D836">
        <f t="shared" si="48"/>
        <v>394.10574765913475</v>
      </c>
      <c r="E836">
        <f t="shared" si="49"/>
        <v>329.0583474340097</v>
      </c>
    </row>
    <row r="837" spans="1:5">
      <c r="A837">
        <f t="shared" si="45"/>
        <v>-0.15</v>
      </c>
      <c r="B837">
        <f t="shared" si="46"/>
        <v>2669.4295389835215</v>
      </c>
      <c r="C837">
        <f t="shared" si="47"/>
        <v>288.26432799028123</v>
      </c>
      <c r="D837">
        <f t="shared" si="48"/>
        <v>377.82373453094897</v>
      </c>
      <c r="E837">
        <f t="shared" si="49"/>
        <v>312.61195391971023</v>
      </c>
    </row>
    <row r="838" spans="1:5">
      <c r="A838">
        <f t="shared" si="45"/>
        <v>-0.14199999999999999</v>
      </c>
      <c r="B838">
        <f t="shared" si="46"/>
        <v>2669.3804992497408</v>
      </c>
      <c r="C838">
        <f t="shared" si="47"/>
        <v>282.22696445345809</v>
      </c>
      <c r="D838">
        <f t="shared" si="48"/>
        <v>363.28651770825104</v>
      </c>
      <c r="E838">
        <f t="shared" si="49"/>
        <v>297.91889595173575</v>
      </c>
    </row>
    <row r="839" spans="1:5">
      <c r="A839">
        <f t="shared" si="45"/>
        <v>-0.13300000000000001</v>
      </c>
      <c r="B839">
        <f t="shared" si="46"/>
        <v>2669.2987438838682</v>
      </c>
      <c r="C839">
        <f t="shared" si="47"/>
        <v>276.28378915801528</v>
      </c>
      <c r="D839">
        <f t="shared" si="48"/>
        <v>347.02160342794394</v>
      </c>
      <c r="E839">
        <f t="shared" si="49"/>
        <v>281.48886744430553</v>
      </c>
    </row>
    <row r="840" spans="1:5">
      <c r="A840">
        <f t="shared" si="45"/>
        <v>-0.125</v>
      </c>
      <c r="B840">
        <f t="shared" si="46"/>
        <v>2669.218074935372</v>
      </c>
      <c r="C840">
        <f t="shared" si="47"/>
        <v>271.34832444874655</v>
      </c>
      <c r="D840">
        <f t="shared" si="48"/>
        <v>333.76794206181557</v>
      </c>
      <c r="E840">
        <f t="shared" si="49"/>
        <v>268.09751081967937</v>
      </c>
    </row>
    <row r="841" spans="1:5">
      <c r="A841">
        <f t="shared" si="45"/>
        <v>-0.11700000000000001</v>
      </c>
      <c r="B841">
        <f t="shared" si="46"/>
        <v>2669.21282651006</v>
      </c>
      <c r="C841">
        <f t="shared" si="47"/>
        <v>266.44749315542441</v>
      </c>
      <c r="D841">
        <f t="shared" si="48"/>
        <v>321.74541917953098</v>
      </c>
      <c r="E841">
        <f t="shared" si="49"/>
        <v>255.9458319197341</v>
      </c>
    </row>
    <row r="842" spans="1:5">
      <c r="A842">
        <f t="shared" si="45"/>
        <v>-0.108</v>
      </c>
      <c r="B842">
        <f t="shared" si="46"/>
        <v>2669.1536621213982</v>
      </c>
      <c r="C842">
        <f t="shared" si="47"/>
        <v>261.83320614424036</v>
      </c>
      <c r="D842">
        <f t="shared" si="48"/>
        <v>308.09338637329017</v>
      </c>
      <c r="E842">
        <f t="shared" si="49"/>
        <v>242.15870565493802</v>
      </c>
    </row>
    <row r="843" spans="1:5">
      <c r="A843">
        <f t="shared" si="45"/>
        <v>-0.1</v>
      </c>
      <c r="B843">
        <f t="shared" si="46"/>
        <v>2669.1872191485263</v>
      </c>
      <c r="C843">
        <f t="shared" si="47"/>
        <v>258.05340113702442</v>
      </c>
      <c r="D843">
        <f t="shared" si="48"/>
        <v>297.79268995907279</v>
      </c>
      <c r="E843">
        <f t="shared" si="49"/>
        <v>231.74699910983864</v>
      </c>
    </row>
    <row r="844" spans="1:5">
      <c r="A844">
        <f t="shared" si="45"/>
        <v>-9.1999999999999998E-2</v>
      </c>
      <c r="B844">
        <f t="shared" si="46"/>
        <v>2669.1819695313975</v>
      </c>
      <c r="C844">
        <f t="shared" si="47"/>
        <v>254.26353690986213</v>
      </c>
      <c r="D844">
        <f t="shared" si="48"/>
        <v>287.99444888229908</v>
      </c>
      <c r="E844">
        <f t="shared" si="49"/>
        <v>221.84628714302016</v>
      </c>
    </row>
    <row r="845" spans="1:5">
      <c r="A845">
        <f t="shared" si="45"/>
        <v>-8.3000000000000004E-2</v>
      </c>
      <c r="B845">
        <f t="shared" si="46"/>
        <v>2669.1403160796563</v>
      </c>
      <c r="C845">
        <f t="shared" si="47"/>
        <v>250.22595087297077</v>
      </c>
      <c r="D845">
        <f t="shared" si="48"/>
        <v>277.34427520472127</v>
      </c>
      <c r="E845">
        <f t="shared" si="49"/>
        <v>211.09104077545487</v>
      </c>
    </row>
    <row r="846" spans="1:5">
      <c r="A846">
        <f t="shared" si="45"/>
        <v>-7.4999999999999997E-2</v>
      </c>
      <c r="B846">
        <f t="shared" si="46"/>
        <v>2669.150465091966</v>
      </c>
      <c r="C846">
        <f t="shared" si="47"/>
        <v>247.30870990646252</v>
      </c>
      <c r="D846">
        <f t="shared" si="48"/>
        <v>269.68897743893416</v>
      </c>
      <c r="E846">
        <f t="shared" si="49"/>
        <v>203.35141800640167</v>
      </c>
    </row>
    <row r="847" spans="1:5">
      <c r="A847">
        <f t="shared" si="45"/>
        <v>-6.7000000000000004E-2</v>
      </c>
      <c r="B847">
        <f t="shared" si="46"/>
        <v>2669.1164451494619</v>
      </c>
      <c r="C847">
        <f t="shared" si="47"/>
        <v>244.89455924676798</v>
      </c>
      <c r="D847">
        <f t="shared" si="48"/>
        <v>262.1373262830445</v>
      </c>
      <c r="E847">
        <f t="shared" si="49"/>
        <v>195.72398108808298</v>
      </c>
    </row>
    <row r="848" spans="1:5">
      <c r="A848">
        <f t="shared" si="45"/>
        <v>-5.8000000000000003E-2</v>
      </c>
      <c r="B848">
        <f t="shared" si="46"/>
        <v>2669.0711271464738</v>
      </c>
      <c r="C848">
        <f t="shared" si="47"/>
        <v>242.50974664246002</v>
      </c>
      <c r="D848">
        <f t="shared" si="48"/>
        <v>254.90519878903751</v>
      </c>
      <c r="E848">
        <f t="shared" si="49"/>
        <v>188.41680167265642</v>
      </c>
    </row>
    <row r="849" spans="1:5">
      <c r="A849">
        <f t="shared" si="45"/>
        <v>-0.05</v>
      </c>
      <c r="B849">
        <f t="shared" si="46"/>
        <v>2669.0309999552733</v>
      </c>
      <c r="C849">
        <f t="shared" si="47"/>
        <v>240.55860819468157</v>
      </c>
      <c r="D849">
        <f t="shared" si="48"/>
        <v>249.79768978087017</v>
      </c>
      <c r="E849">
        <f t="shared" si="49"/>
        <v>183.25165278883884</v>
      </c>
    </row>
    <row r="850" spans="1:5">
      <c r="A850">
        <f t="shared" si="45"/>
        <v>-4.2000000000000003E-2</v>
      </c>
      <c r="B850">
        <f t="shared" si="46"/>
        <v>2668.8889151109515</v>
      </c>
      <c r="C850">
        <f t="shared" si="47"/>
        <v>238.60170190557463</v>
      </c>
      <c r="D850">
        <f t="shared" si="48"/>
        <v>244.83703512320048</v>
      </c>
      <c r="E850">
        <f t="shared" si="49"/>
        <v>178.24189749635596</v>
      </c>
    </row>
    <row r="851" spans="1:5">
      <c r="A851">
        <f t="shared" si="45"/>
        <v>-3.3000000000000002E-2</v>
      </c>
      <c r="B851">
        <f t="shared" si="46"/>
        <v>2668.8599671350553</v>
      </c>
      <c r="C851">
        <f t="shared" si="47"/>
        <v>236.54055700599343</v>
      </c>
      <c r="D851">
        <f t="shared" si="48"/>
        <v>241.1070862491305</v>
      </c>
      <c r="E851">
        <f t="shared" si="49"/>
        <v>174.46691746943421</v>
      </c>
    </row>
    <row r="852" spans="1:5">
      <c r="A852">
        <f t="shared" si="45"/>
        <v>-2.5000000000000001E-2</v>
      </c>
      <c r="B852">
        <f t="shared" si="46"/>
        <v>2668.7572944221138</v>
      </c>
      <c r="C852">
        <f t="shared" si="47"/>
        <v>235.34646846600202</v>
      </c>
      <c r="D852">
        <f t="shared" si="48"/>
        <v>238.49468035564297</v>
      </c>
      <c r="E852">
        <f t="shared" si="49"/>
        <v>171.82355682791237</v>
      </c>
    </row>
    <row r="853" spans="1:5">
      <c r="A853">
        <f t="shared" si="45"/>
        <v>-1.7000000000000001E-2</v>
      </c>
      <c r="B853">
        <f t="shared" si="46"/>
        <v>2668.6246227078218</v>
      </c>
      <c r="C853">
        <f t="shared" si="47"/>
        <v>234.64317423280781</v>
      </c>
      <c r="D853">
        <f t="shared" si="48"/>
        <v>235.9173120128643</v>
      </c>
      <c r="E853">
        <f t="shared" si="49"/>
        <v>169.22377297793633</v>
      </c>
    </row>
    <row r="854" spans="1:5">
      <c r="A854">
        <f t="shared" si="45"/>
        <v>-8.0000000000000002E-3</v>
      </c>
      <c r="B854">
        <f t="shared" si="46"/>
        <v>2668.6746994182126</v>
      </c>
      <c r="C854">
        <f t="shared" si="47"/>
        <v>234.10344532166638</v>
      </c>
      <c r="D854">
        <f t="shared" si="48"/>
        <v>234.34957585937047</v>
      </c>
      <c r="E854">
        <f t="shared" si="49"/>
        <v>167.64102644015861</v>
      </c>
    </row>
    <row r="855" spans="1:5">
      <c r="A855">
        <f t="shared" si="45"/>
        <v>0</v>
      </c>
      <c r="B855">
        <f t="shared" si="46"/>
        <v>2668.5457719379128</v>
      </c>
      <c r="C855">
        <f t="shared" si="47"/>
        <v>233.52787699140268</v>
      </c>
      <c r="D855">
        <f t="shared" si="48"/>
        <v>233.52787699140268</v>
      </c>
      <c r="E855">
        <f t="shared" si="49"/>
        <v>166.81505795177227</v>
      </c>
    </row>
    <row r="856" spans="1:5">
      <c r="A856">
        <f t="shared" si="45"/>
        <v>8.0000000000000002E-3</v>
      </c>
      <c r="B856">
        <f t="shared" si="46"/>
        <v>2668.4228325014228</v>
      </c>
      <c r="C856">
        <f t="shared" si="47"/>
        <v>233.03942030536456</v>
      </c>
      <c r="D856">
        <f t="shared" si="48"/>
        <v>233.45037452297623</v>
      </c>
      <c r="E856">
        <f t="shared" si="49"/>
        <v>166.74182510376431</v>
      </c>
    </row>
    <row r="857" spans="1:5">
      <c r="A857">
        <f t="shared" si="45"/>
        <v>1.7000000000000001E-2</v>
      </c>
      <c r="B857">
        <f t="shared" si="46"/>
        <v>2668.2784457720195</v>
      </c>
      <c r="C857">
        <f t="shared" si="47"/>
        <v>233.69251190455986</v>
      </c>
      <c r="D857">
        <f t="shared" si="48"/>
        <v>235.19841567119786</v>
      </c>
      <c r="E857">
        <f t="shared" si="49"/>
        <v>168.50487663626993</v>
      </c>
    </row>
    <row r="858" spans="1:5">
      <c r="A858">
        <f t="shared" si="45"/>
        <v>2.5000000000000001E-2</v>
      </c>
      <c r="B858">
        <f t="shared" si="46"/>
        <v>2668.2171240293146</v>
      </c>
      <c r="C858">
        <f t="shared" si="47"/>
        <v>235.07392198175725</v>
      </c>
      <c r="D858">
        <f t="shared" si="48"/>
        <v>237.0225960137918</v>
      </c>
      <c r="E858">
        <f t="shared" si="49"/>
        <v>170.3514724860612</v>
      </c>
    </row>
    <row r="859" spans="1:5">
      <c r="A859">
        <f t="shared" si="45"/>
        <v>3.3000000000000002E-2</v>
      </c>
      <c r="B859">
        <f t="shared" si="46"/>
        <v>2668.1155856737228</v>
      </c>
      <c r="C859">
        <f t="shared" si="47"/>
        <v>236.07895498772078</v>
      </c>
      <c r="D859">
        <f t="shared" si="48"/>
        <v>240.09565006494091</v>
      </c>
      <c r="E859">
        <f t="shared" si="49"/>
        <v>173.45548128524464</v>
      </c>
    </row>
    <row r="860" spans="1:5">
      <c r="A860">
        <f t="shared" si="45"/>
        <v>4.2000000000000003E-2</v>
      </c>
      <c r="B860">
        <f t="shared" si="46"/>
        <v>2668.10404084736</v>
      </c>
      <c r="C860">
        <f t="shared" si="47"/>
        <v>237.32784196765127</v>
      </c>
      <c r="D860">
        <f t="shared" si="48"/>
        <v>244.71146714319224</v>
      </c>
      <c r="E860">
        <f t="shared" si="49"/>
        <v>178.11632951634772</v>
      </c>
    </row>
    <row r="861" spans="1:5">
      <c r="A861">
        <f t="shared" si="45"/>
        <v>0.05</v>
      </c>
      <c r="B861">
        <f t="shared" si="46"/>
        <v>2668.031622957878</v>
      </c>
      <c r="C861">
        <f t="shared" si="47"/>
        <v>239.08652386018932</v>
      </c>
      <c r="D861">
        <f t="shared" si="48"/>
        <v>249.14725446361194</v>
      </c>
      <c r="E861">
        <f t="shared" si="49"/>
        <v>182.60121747158061</v>
      </c>
    </row>
    <row r="862" spans="1:5">
      <c r="A862">
        <f t="shared" si="45"/>
        <v>5.8000000000000003E-2</v>
      </c>
      <c r="B862">
        <f t="shared" si="46"/>
        <v>2667.9465338834552</v>
      </c>
      <c r="C862">
        <f t="shared" si="47"/>
        <v>241.24252251869183</v>
      </c>
      <c r="D862">
        <f t="shared" si="48"/>
        <v>255.21873989523931</v>
      </c>
      <c r="E862">
        <f t="shared" si="49"/>
        <v>188.73034277885816</v>
      </c>
    </row>
    <row r="863" spans="1:5">
      <c r="A863">
        <f t="shared" ref="A863:A926" si="50">I130</f>
        <v>6.7000000000000004E-2</v>
      </c>
      <c r="B863">
        <f t="shared" ref="B863:B926" si="51">Y130</f>
        <v>2668.0413136983166</v>
      </c>
      <c r="C863">
        <f t="shared" ref="C863:C926" si="52">AA130</f>
        <v>243.91411166454145</v>
      </c>
      <c r="D863">
        <f t="shared" ref="D863:D926" si="53">AC130</f>
        <v>262.37433251239833</v>
      </c>
      <c r="E863">
        <f t="shared" ref="E863:E926" si="54">AE130</f>
        <v>195.9609873174368</v>
      </c>
    </row>
    <row r="864" spans="1:5">
      <c r="A864">
        <f t="shared" si="50"/>
        <v>7.4999999999999997E-2</v>
      </c>
      <c r="B864">
        <f t="shared" si="51"/>
        <v>2668.1123513393559</v>
      </c>
      <c r="C864">
        <f t="shared" si="52"/>
        <v>247.11259334940169</v>
      </c>
      <c r="D864">
        <f t="shared" si="53"/>
        <v>269.49464398527886</v>
      </c>
      <c r="E864">
        <f t="shared" si="54"/>
        <v>203.15708455274637</v>
      </c>
    </row>
    <row r="865" spans="1:5">
      <c r="A865">
        <f t="shared" si="50"/>
        <v>8.3000000000000004E-2</v>
      </c>
      <c r="B865">
        <f t="shared" si="51"/>
        <v>2668.0240443711618</v>
      </c>
      <c r="C865">
        <f t="shared" si="52"/>
        <v>250.26819786260651</v>
      </c>
      <c r="D865">
        <f t="shared" si="53"/>
        <v>278.00342597194327</v>
      </c>
      <c r="E865">
        <f t="shared" si="54"/>
        <v>211.7501915426769</v>
      </c>
    </row>
    <row r="866" spans="1:5">
      <c r="A866">
        <f t="shared" si="50"/>
        <v>9.1999999999999998E-2</v>
      </c>
      <c r="B866">
        <f t="shared" si="51"/>
        <v>2668.1188396643256</v>
      </c>
      <c r="C866">
        <f t="shared" si="52"/>
        <v>253.68974248855739</v>
      </c>
      <c r="D866">
        <f t="shared" si="53"/>
        <v>287.86798453674362</v>
      </c>
      <c r="E866">
        <f t="shared" si="54"/>
        <v>221.71982279746464</v>
      </c>
    </row>
    <row r="867" spans="1:5">
      <c r="A867">
        <f t="shared" si="50"/>
        <v>0.1</v>
      </c>
      <c r="B867">
        <f t="shared" si="51"/>
        <v>2668.3103378572691</v>
      </c>
      <c r="C867">
        <f t="shared" si="52"/>
        <v>257.40296582102707</v>
      </c>
      <c r="D867">
        <f t="shared" si="53"/>
        <v>297.55144670801428</v>
      </c>
      <c r="E867">
        <f t="shared" si="54"/>
        <v>231.50575585878019</v>
      </c>
    </row>
    <row r="868" spans="1:5">
      <c r="A868">
        <f t="shared" si="50"/>
        <v>0.108</v>
      </c>
      <c r="B868">
        <f t="shared" si="51"/>
        <v>2668.3499734017573</v>
      </c>
      <c r="C868">
        <f t="shared" si="52"/>
        <v>261.65670987990978</v>
      </c>
      <c r="D868">
        <f t="shared" si="53"/>
        <v>308.68111860671877</v>
      </c>
      <c r="E868">
        <f t="shared" si="54"/>
        <v>242.74643788836661</v>
      </c>
    </row>
    <row r="869" spans="1:5">
      <c r="A869">
        <f t="shared" si="50"/>
        <v>0.11700000000000001</v>
      </c>
      <c r="B869">
        <f t="shared" si="51"/>
        <v>2668.4165060223545</v>
      </c>
      <c r="C869">
        <f t="shared" si="52"/>
        <v>266.87097786523987</v>
      </c>
      <c r="D869">
        <f t="shared" si="53"/>
        <v>321.24889389520433</v>
      </c>
      <c r="E869">
        <f t="shared" si="54"/>
        <v>255.44930663540742</v>
      </c>
    </row>
    <row r="870" spans="1:5">
      <c r="A870">
        <f t="shared" si="50"/>
        <v>0.125</v>
      </c>
      <c r="B870">
        <f t="shared" si="51"/>
        <v>2668.554777068895</v>
      </c>
      <c r="C870">
        <f t="shared" si="52"/>
        <v>271.48749960629391</v>
      </c>
      <c r="D870">
        <f t="shared" si="53"/>
        <v>333.96907863243558</v>
      </c>
      <c r="E870">
        <f t="shared" si="54"/>
        <v>268.29864739029938</v>
      </c>
    </row>
    <row r="871" spans="1:5">
      <c r="A871">
        <f t="shared" si="50"/>
        <v>0.13300000000000001</v>
      </c>
      <c r="B871">
        <f t="shared" si="51"/>
        <v>2668.6191606348211</v>
      </c>
      <c r="C871">
        <f t="shared" si="52"/>
        <v>276.56459491862398</v>
      </c>
      <c r="D871">
        <f t="shared" si="53"/>
        <v>347.47422266834974</v>
      </c>
      <c r="E871">
        <f t="shared" si="54"/>
        <v>281.94148668471132</v>
      </c>
    </row>
    <row r="872" spans="1:5">
      <c r="A872">
        <f t="shared" si="50"/>
        <v>0.14199999999999999</v>
      </c>
      <c r="B872">
        <f t="shared" si="51"/>
        <v>2668.9381304597596</v>
      </c>
      <c r="C872">
        <f t="shared" si="52"/>
        <v>282.45267503280394</v>
      </c>
      <c r="D872">
        <f t="shared" si="53"/>
        <v>363.00118997829571</v>
      </c>
      <c r="E872">
        <f t="shared" si="54"/>
        <v>297.63356822178037</v>
      </c>
    </row>
    <row r="873" spans="1:5">
      <c r="A873">
        <f t="shared" si="50"/>
        <v>0.15</v>
      </c>
      <c r="B873">
        <f t="shared" si="51"/>
        <v>2668.9155192174899</v>
      </c>
      <c r="C873">
        <f t="shared" si="52"/>
        <v>288.06999454155164</v>
      </c>
      <c r="D873">
        <f t="shared" si="53"/>
        <v>378.40627895976388</v>
      </c>
      <c r="E873">
        <f t="shared" si="54"/>
        <v>313.19449834852514</v>
      </c>
    </row>
    <row r="874" spans="1:5">
      <c r="A874">
        <f t="shared" si="50"/>
        <v>0.158</v>
      </c>
      <c r="B874">
        <f t="shared" si="51"/>
        <v>2669.0410756188267</v>
      </c>
      <c r="C874">
        <f t="shared" si="52"/>
        <v>294.08928666556795</v>
      </c>
      <c r="D874">
        <f t="shared" si="53"/>
        <v>393.96041198478542</v>
      </c>
      <c r="E874">
        <f t="shared" si="54"/>
        <v>328.91301175966038</v>
      </c>
    </row>
    <row r="875" spans="1:5">
      <c r="A875">
        <f t="shared" si="50"/>
        <v>0.16700000000000001</v>
      </c>
      <c r="B875">
        <f t="shared" si="51"/>
        <v>2669.2914899172429</v>
      </c>
      <c r="C875">
        <f t="shared" si="52"/>
        <v>301.65407174238152</v>
      </c>
      <c r="D875">
        <f t="shared" si="53"/>
        <v>412.67306719892719</v>
      </c>
      <c r="E875">
        <f t="shared" si="54"/>
        <v>347.82080196949306</v>
      </c>
    </row>
    <row r="876" spans="1:5">
      <c r="A876">
        <f t="shared" si="50"/>
        <v>0.17499999999999999</v>
      </c>
      <c r="B876">
        <f t="shared" si="51"/>
        <v>2669.2970622335815</v>
      </c>
      <c r="C876">
        <f t="shared" si="52"/>
        <v>308.3339924924266</v>
      </c>
      <c r="D876">
        <f t="shared" si="53"/>
        <v>430.47048810299287</v>
      </c>
      <c r="E876">
        <f t="shared" si="54"/>
        <v>365.80074914645121</v>
      </c>
    </row>
    <row r="877" spans="1:5">
      <c r="A877">
        <f t="shared" si="50"/>
        <v>0.183</v>
      </c>
      <c r="B877">
        <f t="shared" si="51"/>
        <v>2669.4129477465203</v>
      </c>
      <c r="C877">
        <f t="shared" si="52"/>
        <v>314.94191553996393</v>
      </c>
      <c r="D877">
        <f t="shared" si="53"/>
        <v>448.65774247510933</v>
      </c>
      <c r="E877">
        <f t="shared" si="54"/>
        <v>384.17906903229709</v>
      </c>
    </row>
    <row r="878" spans="1:5">
      <c r="A878">
        <f t="shared" si="50"/>
        <v>0.192</v>
      </c>
      <c r="B878">
        <f t="shared" si="51"/>
        <v>2669.607567389517</v>
      </c>
      <c r="C878">
        <f t="shared" si="52"/>
        <v>322.83349393173665</v>
      </c>
      <c r="D878">
        <f t="shared" si="53"/>
        <v>470.35834754862861</v>
      </c>
      <c r="E878">
        <f t="shared" si="54"/>
        <v>406.10482987007515</v>
      </c>
    </row>
    <row r="879" spans="1:5">
      <c r="A879">
        <f t="shared" si="50"/>
        <v>0.2</v>
      </c>
      <c r="B879">
        <f t="shared" si="51"/>
        <v>2669.5329747634537</v>
      </c>
      <c r="C879">
        <f t="shared" si="52"/>
        <v>330.57429212342959</v>
      </c>
      <c r="D879">
        <f t="shared" si="53"/>
        <v>490.82527033564003</v>
      </c>
      <c r="E879">
        <f t="shared" si="54"/>
        <v>426.78096405759464</v>
      </c>
    </row>
    <row r="880" spans="1:5">
      <c r="A880">
        <f t="shared" si="50"/>
        <v>0.20799999999999999</v>
      </c>
      <c r="B880">
        <f t="shared" si="51"/>
        <v>2669.7418428985843</v>
      </c>
      <c r="C880">
        <f t="shared" si="52"/>
        <v>339.00288066211834</v>
      </c>
      <c r="D880">
        <f t="shared" si="53"/>
        <v>511.52104458926755</v>
      </c>
      <c r="E880">
        <f t="shared" si="54"/>
        <v>447.69448895256767</v>
      </c>
    </row>
    <row r="881" spans="1:5">
      <c r="A881">
        <f t="shared" si="50"/>
        <v>0.217</v>
      </c>
      <c r="B881">
        <f t="shared" si="51"/>
        <v>2669.6890589274435</v>
      </c>
      <c r="C881">
        <f t="shared" si="52"/>
        <v>348.18034109312947</v>
      </c>
      <c r="D881">
        <f t="shared" si="53"/>
        <v>536.6856283700555</v>
      </c>
      <c r="E881">
        <f t="shared" si="54"/>
        <v>473.11424926618224</v>
      </c>
    </row>
    <row r="882" spans="1:5">
      <c r="A882">
        <f t="shared" si="50"/>
        <v>0.22500000000000001</v>
      </c>
      <c r="B882">
        <f t="shared" si="51"/>
        <v>2669.8633908840679</v>
      </c>
      <c r="C882">
        <f t="shared" si="52"/>
        <v>356.58736359705688</v>
      </c>
      <c r="D882">
        <f t="shared" si="53"/>
        <v>559.43789397154171</v>
      </c>
      <c r="E882">
        <f t="shared" si="54"/>
        <v>496.10241139579267</v>
      </c>
    </row>
    <row r="883" spans="1:5">
      <c r="A883">
        <f t="shared" si="50"/>
        <v>0.23300000000000001</v>
      </c>
      <c r="B883">
        <f t="shared" si="51"/>
        <v>2669.8639965508737</v>
      </c>
      <c r="C883">
        <f t="shared" si="52"/>
        <v>365.32754339381029</v>
      </c>
      <c r="D883">
        <f t="shared" si="53"/>
        <v>582.85498270378582</v>
      </c>
      <c r="E883">
        <f t="shared" si="54"/>
        <v>519.76393589699796</v>
      </c>
    </row>
    <row r="884" spans="1:5">
      <c r="A884">
        <f t="shared" si="50"/>
        <v>0.24199999999999999</v>
      </c>
      <c r="B884">
        <f t="shared" si="51"/>
        <v>2669.8958574019107</v>
      </c>
      <c r="C884">
        <f t="shared" si="52"/>
        <v>375.71361777908754</v>
      </c>
      <c r="D884">
        <f t="shared" si="53"/>
        <v>610.8989509460198</v>
      </c>
      <c r="E884">
        <f t="shared" si="54"/>
        <v>548.09310144062636</v>
      </c>
    </row>
    <row r="885" spans="1:5">
      <c r="A885">
        <f t="shared" si="50"/>
        <v>0.25</v>
      </c>
      <c r="B885">
        <f t="shared" si="51"/>
        <v>2669.8779533297052</v>
      </c>
      <c r="C885">
        <f t="shared" si="52"/>
        <v>385.56727460839971</v>
      </c>
      <c r="D885">
        <f t="shared" si="53"/>
        <v>635.82445594909598</v>
      </c>
      <c r="E885">
        <f t="shared" si="54"/>
        <v>573.28118809944237</v>
      </c>
    </row>
    <row r="886" spans="1:5">
      <c r="A886">
        <f t="shared" si="50"/>
        <v>0.25800000000000001</v>
      </c>
      <c r="B886">
        <f t="shared" si="51"/>
        <v>2670.0160994406192</v>
      </c>
      <c r="C886">
        <f t="shared" si="52"/>
        <v>395.86086394831472</v>
      </c>
      <c r="D886">
        <f t="shared" si="53"/>
        <v>661.95151068738699</v>
      </c>
      <c r="E886">
        <f t="shared" si="54"/>
        <v>599.67936373431053</v>
      </c>
    </row>
    <row r="887" spans="1:5">
      <c r="A887">
        <f t="shared" si="50"/>
        <v>0.26700000000000002</v>
      </c>
      <c r="B887">
        <f t="shared" si="51"/>
        <v>2669.9938584403485</v>
      </c>
      <c r="C887">
        <f t="shared" si="52"/>
        <v>407.20518284516277</v>
      </c>
      <c r="D887">
        <f t="shared" si="53"/>
        <v>692.4932720409962</v>
      </c>
      <c r="E887">
        <f t="shared" si="54"/>
        <v>630.53634315788202</v>
      </c>
    </row>
    <row r="888" spans="1:5">
      <c r="A888">
        <f t="shared" si="50"/>
        <v>0.27500000000000002</v>
      </c>
      <c r="B888">
        <f t="shared" si="51"/>
        <v>2670.0537663398518</v>
      </c>
      <c r="C888">
        <f t="shared" si="52"/>
        <v>417.17224369757116</v>
      </c>
      <c r="D888">
        <f t="shared" si="53"/>
        <v>719.98873427612637</v>
      </c>
      <c r="E888">
        <f t="shared" si="54"/>
        <v>658.32107217636792</v>
      </c>
    </row>
    <row r="889" spans="1:5">
      <c r="A889">
        <f t="shared" si="50"/>
        <v>0.28299999999999997</v>
      </c>
      <c r="B889">
        <f t="shared" si="51"/>
        <v>2670.2131483374369</v>
      </c>
      <c r="C889">
        <f t="shared" si="52"/>
        <v>428.17126030241781</v>
      </c>
      <c r="D889">
        <f t="shared" si="53"/>
        <v>748.86127758557245</v>
      </c>
      <c r="E889">
        <f t="shared" si="54"/>
        <v>687.49142151000706</v>
      </c>
    </row>
    <row r="890" spans="1:5">
      <c r="A890">
        <f t="shared" si="50"/>
        <v>0.29199999999999998</v>
      </c>
      <c r="B890">
        <f t="shared" si="51"/>
        <v>2670.3303197350824</v>
      </c>
      <c r="C890">
        <f t="shared" si="52"/>
        <v>441.15226021313657</v>
      </c>
      <c r="D890">
        <f t="shared" si="53"/>
        <v>782.04327296375436</v>
      </c>
      <c r="E890">
        <f t="shared" si="54"/>
        <v>721.0186557267192</v>
      </c>
    </row>
    <row r="891" spans="1:5">
      <c r="A891">
        <f t="shared" si="50"/>
        <v>0.3</v>
      </c>
      <c r="B891">
        <f t="shared" si="51"/>
        <v>2670.444077775051</v>
      </c>
      <c r="C891">
        <f t="shared" si="52"/>
        <v>452.70768115682705</v>
      </c>
      <c r="D891">
        <f t="shared" si="53"/>
        <v>812.30782872011355</v>
      </c>
      <c r="E891">
        <f t="shared" si="54"/>
        <v>751.59916339404981</v>
      </c>
    </row>
    <row r="892" spans="1:5">
      <c r="A892">
        <f t="shared" si="50"/>
        <v>0.308</v>
      </c>
      <c r="B892">
        <f t="shared" si="51"/>
        <v>2670.5153353694513</v>
      </c>
      <c r="C892">
        <f t="shared" si="52"/>
        <v>464.34221044971468</v>
      </c>
      <c r="D892">
        <f t="shared" si="53"/>
        <v>843.99023990953719</v>
      </c>
      <c r="E892">
        <f t="shared" si="54"/>
        <v>783.6060657352823</v>
      </c>
    </row>
    <row r="893" spans="1:5">
      <c r="A893">
        <f t="shared" si="50"/>
        <v>0.317</v>
      </c>
      <c r="B893">
        <f t="shared" si="51"/>
        <v>2670.7374273408423</v>
      </c>
      <c r="C893">
        <f t="shared" si="52"/>
        <v>477.97385498477803</v>
      </c>
      <c r="D893">
        <f t="shared" si="53"/>
        <v>880.1287937053022</v>
      </c>
      <c r="E893">
        <f t="shared" si="54"/>
        <v>820.11987913814539</v>
      </c>
    </row>
    <row r="894" spans="1:5">
      <c r="A894">
        <f t="shared" si="50"/>
        <v>0.32500000000000001</v>
      </c>
      <c r="B894">
        <f t="shared" si="51"/>
        <v>2670.7971033225708</v>
      </c>
      <c r="C894">
        <f t="shared" si="52"/>
        <v>490.48209351261062</v>
      </c>
      <c r="D894">
        <f t="shared" si="53"/>
        <v>913.15153955208098</v>
      </c>
      <c r="E894">
        <f t="shared" si="54"/>
        <v>853.48526202351161</v>
      </c>
    </row>
    <row r="895" spans="1:5">
      <c r="A895">
        <f t="shared" si="50"/>
        <v>0.33300000000000002</v>
      </c>
      <c r="B895">
        <f t="shared" si="51"/>
        <v>2670.9787828596327</v>
      </c>
      <c r="C895">
        <f t="shared" si="52"/>
        <v>503.19758645294786</v>
      </c>
      <c r="D895">
        <f t="shared" si="53"/>
        <v>947.33527415572405</v>
      </c>
      <c r="E895">
        <f t="shared" si="54"/>
        <v>888.02017290657932</v>
      </c>
    </row>
    <row r="896" spans="1:5">
      <c r="A896">
        <f t="shared" si="50"/>
        <v>0.34200000000000003</v>
      </c>
      <c r="B896">
        <f t="shared" si="51"/>
        <v>2671.2037863706319</v>
      </c>
      <c r="C896">
        <f t="shared" si="52"/>
        <v>518.04057996620304</v>
      </c>
      <c r="D896">
        <f t="shared" si="53"/>
        <v>986.21098946721315</v>
      </c>
      <c r="E896">
        <f t="shared" si="54"/>
        <v>927.30116859373413</v>
      </c>
    </row>
    <row r="897" spans="1:5">
      <c r="A897">
        <f t="shared" si="50"/>
        <v>0.35</v>
      </c>
      <c r="B897">
        <f t="shared" si="51"/>
        <v>2671.2172587037949</v>
      </c>
      <c r="C897">
        <f t="shared" si="52"/>
        <v>531.60295221588262</v>
      </c>
      <c r="D897">
        <f t="shared" si="53"/>
        <v>1021.9898236507371</v>
      </c>
      <c r="E897">
        <f t="shared" si="54"/>
        <v>963.44932494346153</v>
      </c>
    </row>
    <row r="898" spans="1:5">
      <c r="A898">
        <f t="shared" si="50"/>
        <v>0.35799999999999998</v>
      </c>
      <c r="B898">
        <f t="shared" si="51"/>
        <v>2671.3747102286848</v>
      </c>
      <c r="C898">
        <f t="shared" si="52"/>
        <v>545.28476038725898</v>
      </c>
      <c r="D898">
        <f t="shared" si="53"/>
        <v>1058.645815735003</v>
      </c>
      <c r="E898">
        <f t="shared" si="54"/>
        <v>1000.4831784347678</v>
      </c>
    </row>
    <row r="899" spans="1:5">
      <c r="A899">
        <f t="shared" si="50"/>
        <v>0.36699999999999999</v>
      </c>
      <c r="B899">
        <f t="shared" si="51"/>
        <v>2671.6078983056891</v>
      </c>
      <c r="C899">
        <f t="shared" si="52"/>
        <v>560.98381466569595</v>
      </c>
      <c r="D899">
        <f t="shared" si="53"/>
        <v>1100.2228354690483</v>
      </c>
      <c r="E899">
        <f t="shared" si="54"/>
        <v>1042.4954993130464</v>
      </c>
    </row>
    <row r="900" spans="1:5">
      <c r="A900">
        <f t="shared" si="50"/>
        <v>0.375</v>
      </c>
      <c r="B900">
        <f t="shared" si="51"/>
        <v>2671.7725952926621</v>
      </c>
      <c r="C900">
        <f t="shared" si="52"/>
        <v>575.25927171581282</v>
      </c>
      <c r="D900">
        <f t="shared" si="53"/>
        <v>1138.7605574322938</v>
      </c>
      <c r="E900">
        <f t="shared" si="54"/>
        <v>1081.4292285701115</v>
      </c>
    </row>
    <row r="901" spans="1:5">
      <c r="A901">
        <f t="shared" si="50"/>
        <v>0.38300000000000001</v>
      </c>
      <c r="B901">
        <f t="shared" si="51"/>
        <v>2671.9036227962388</v>
      </c>
      <c r="C901">
        <f t="shared" si="52"/>
        <v>590.28560766568205</v>
      </c>
      <c r="D901">
        <f t="shared" si="53"/>
        <v>1177.7366521085348</v>
      </c>
      <c r="E901">
        <f t="shared" si="54"/>
        <v>1120.809869781009</v>
      </c>
    </row>
    <row r="902" spans="1:5">
      <c r="A902">
        <f t="shared" si="50"/>
        <v>0.39200000000000002</v>
      </c>
      <c r="B902">
        <f t="shared" si="51"/>
        <v>2672.186431982876</v>
      </c>
      <c r="C902">
        <f t="shared" si="52"/>
        <v>607.50156153522198</v>
      </c>
      <c r="D902">
        <f t="shared" si="53"/>
        <v>1222.6057281367232</v>
      </c>
      <c r="E902">
        <f t="shared" si="54"/>
        <v>1166.1442677219984</v>
      </c>
    </row>
    <row r="903" spans="1:5">
      <c r="A903">
        <f t="shared" si="50"/>
        <v>0.4</v>
      </c>
      <c r="B903">
        <f t="shared" si="51"/>
        <v>2672.2789126991943</v>
      </c>
      <c r="C903">
        <f t="shared" si="52"/>
        <v>622.9166520341081</v>
      </c>
      <c r="D903">
        <f t="shared" si="53"/>
        <v>1263.7436976342321</v>
      </c>
      <c r="E903">
        <f t="shared" si="54"/>
        <v>1207.7049296409427</v>
      </c>
    </row>
    <row r="904" spans="1:5">
      <c r="A904">
        <f t="shared" si="50"/>
        <v>0.40799999999999997</v>
      </c>
      <c r="B904">
        <f t="shared" si="51"/>
        <v>2672.4226849537231</v>
      </c>
      <c r="C904">
        <f t="shared" si="52"/>
        <v>638.41432921013279</v>
      </c>
      <c r="D904">
        <f t="shared" si="53"/>
        <v>1304.993058303427</v>
      </c>
      <c r="E904">
        <f t="shared" si="54"/>
        <v>1249.3855219724098</v>
      </c>
    </row>
    <row r="905" spans="1:5">
      <c r="A905">
        <f t="shared" si="50"/>
        <v>0.41699999999999998</v>
      </c>
      <c r="B905">
        <f t="shared" si="51"/>
        <v>2672.7507541412438</v>
      </c>
      <c r="C905">
        <f t="shared" si="52"/>
        <v>656.4778874083446</v>
      </c>
      <c r="D905">
        <f t="shared" si="53"/>
        <v>1352.9496387434049</v>
      </c>
      <c r="E905">
        <f t="shared" si="54"/>
        <v>1297.8374450937565</v>
      </c>
    </row>
    <row r="906" spans="1:5">
      <c r="A906">
        <f t="shared" si="50"/>
        <v>0.42499999999999999</v>
      </c>
      <c r="B906">
        <f t="shared" si="51"/>
        <v>2672.8797701745452</v>
      </c>
      <c r="C906">
        <f t="shared" si="52"/>
        <v>672.95215824713694</v>
      </c>
      <c r="D906">
        <f t="shared" si="53"/>
        <v>1396.3473019036724</v>
      </c>
      <c r="E906">
        <f t="shared" si="54"/>
        <v>1341.6844858030752</v>
      </c>
    </row>
    <row r="907" spans="1:5">
      <c r="A907">
        <f t="shared" si="50"/>
        <v>0.433</v>
      </c>
      <c r="B907">
        <f t="shared" si="51"/>
        <v>2673.023648727582</v>
      </c>
      <c r="C907">
        <f t="shared" si="52"/>
        <v>689.90927027372959</v>
      </c>
      <c r="D907">
        <f t="shared" si="53"/>
        <v>1440.15613079986</v>
      </c>
      <c r="E907">
        <f t="shared" si="54"/>
        <v>1385.951231489151</v>
      </c>
    </row>
    <row r="908" spans="1:5">
      <c r="A908">
        <f t="shared" si="50"/>
        <v>0.442</v>
      </c>
      <c r="B908">
        <f t="shared" si="51"/>
        <v>2673.2031514414361</v>
      </c>
      <c r="C908">
        <f t="shared" si="52"/>
        <v>709.4713880484527</v>
      </c>
      <c r="D908">
        <f t="shared" si="53"/>
        <v>1491.0284044154114</v>
      </c>
      <c r="E908">
        <f t="shared" si="54"/>
        <v>1437.3488685546395</v>
      </c>
    </row>
    <row r="909" spans="1:5">
      <c r="A909">
        <f t="shared" si="50"/>
        <v>0.45</v>
      </c>
      <c r="B909">
        <f t="shared" si="51"/>
        <v>2673.4865059902168</v>
      </c>
      <c r="C909">
        <f t="shared" si="52"/>
        <v>726.61604893984861</v>
      </c>
      <c r="D909">
        <f t="shared" si="53"/>
        <v>1536.7947165438725</v>
      </c>
      <c r="E909">
        <f t="shared" si="54"/>
        <v>1483.5912433597673</v>
      </c>
    </row>
    <row r="910" spans="1:5">
      <c r="A910">
        <f t="shared" si="50"/>
        <v>0.45800000000000002</v>
      </c>
      <c r="B910">
        <f t="shared" si="51"/>
        <v>2673.8136935452526</v>
      </c>
      <c r="C910">
        <f t="shared" si="52"/>
        <v>743.92120409000484</v>
      </c>
      <c r="D910">
        <f t="shared" si="53"/>
        <v>1583.2195430205654</v>
      </c>
      <c r="E910">
        <f t="shared" si="54"/>
        <v>1530.5006717539641</v>
      </c>
    </row>
    <row r="911" spans="1:5">
      <c r="A911">
        <f t="shared" si="50"/>
        <v>0.46700000000000003</v>
      </c>
      <c r="B911">
        <f t="shared" si="51"/>
        <v>2674.0089909749609</v>
      </c>
      <c r="C911">
        <f t="shared" si="52"/>
        <v>764.47980667523132</v>
      </c>
      <c r="D911">
        <f t="shared" si="53"/>
        <v>1637.3411182670352</v>
      </c>
      <c r="E911">
        <f t="shared" si="54"/>
        <v>1585.1776312189386</v>
      </c>
    </row>
    <row r="912" spans="1:5">
      <c r="A912">
        <f t="shared" si="50"/>
        <v>0.47499999999999998</v>
      </c>
      <c r="B912">
        <f t="shared" si="51"/>
        <v>2674.1751651503191</v>
      </c>
      <c r="C912">
        <f t="shared" si="52"/>
        <v>783.32681314868614</v>
      </c>
      <c r="D912">
        <f t="shared" si="53"/>
        <v>1685.5394953979162</v>
      </c>
      <c r="E912">
        <f t="shared" si="54"/>
        <v>1633.8787561541026</v>
      </c>
    </row>
    <row r="913" spans="1:5">
      <c r="A913">
        <f t="shared" si="50"/>
        <v>0.48299999999999998</v>
      </c>
      <c r="B913">
        <f t="shared" si="51"/>
        <v>2674.4235115684287</v>
      </c>
      <c r="C913">
        <f t="shared" si="52"/>
        <v>801.84648320075621</v>
      </c>
      <c r="D913">
        <f t="shared" si="53"/>
        <v>1735.101566695354</v>
      </c>
      <c r="E913">
        <f t="shared" si="54"/>
        <v>1683.9521144966598</v>
      </c>
    </row>
    <row r="914" spans="1:5">
      <c r="A914">
        <f t="shared" si="50"/>
        <v>0.49199999999999999</v>
      </c>
      <c r="B914">
        <f t="shared" si="51"/>
        <v>2674.8583207942811</v>
      </c>
      <c r="C914">
        <f t="shared" si="52"/>
        <v>822.96730769889598</v>
      </c>
      <c r="D914">
        <f t="shared" si="53"/>
        <v>1791.9512689962028</v>
      </c>
      <c r="E914">
        <f t="shared" si="54"/>
        <v>1741.3872217845812</v>
      </c>
    </row>
    <row r="915" spans="1:5">
      <c r="A915">
        <f t="shared" si="50"/>
        <v>0.5</v>
      </c>
      <c r="B915">
        <f t="shared" si="51"/>
        <v>2675.1047945408004</v>
      </c>
      <c r="C915">
        <f t="shared" si="52"/>
        <v>842.2172398529525</v>
      </c>
      <c r="D915">
        <f t="shared" si="53"/>
        <v>1842.779486102344</v>
      </c>
      <c r="E915">
        <f t="shared" si="54"/>
        <v>1792.7448718226212</v>
      </c>
    </row>
    <row r="916" spans="1:5">
      <c r="A916">
        <f t="shared" si="50"/>
        <v>0.50800000000000001</v>
      </c>
      <c r="B916">
        <f t="shared" si="51"/>
        <v>2675.2662006819191</v>
      </c>
      <c r="C916">
        <f t="shared" si="52"/>
        <v>861.79271477454358</v>
      </c>
      <c r="D916">
        <f t="shared" si="53"/>
        <v>1894.9471352963021</v>
      </c>
      <c r="E916">
        <f t="shared" si="54"/>
        <v>1845.4504931893146</v>
      </c>
    </row>
    <row r="917" spans="1:5">
      <c r="A917">
        <f t="shared" si="50"/>
        <v>0.51700000000000002</v>
      </c>
      <c r="B917">
        <f t="shared" si="51"/>
        <v>2675.6070097095831</v>
      </c>
      <c r="C917">
        <f t="shared" si="52"/>
        <v>884.34748750000233</v>
      </c>
      <c r="D917">
        <f t="shared" si="53"/>
        <v>1954.2554299760664</v>
      </c>
      <c r="E917">
        <f t="shared" si="54"/>
        <v>1905.3742136247199</v>
      </c>
    </row>
    <row r="918" spans="1:5">
      <c r="A918">
        <f t="shared" si="50"/>
        <v>0.52500000000000002</v>
      </c>
      <c r="B918">
        <f t="shared" si="51"/>
        <v>2675.7438987522555</v>
      </c>
      <c r="C918">
        <f t="shared" si="52"/>
        <v>904.89343483117568</v>
      </c>
      <c r="D918">
        <f t="shared" si="53"/>
        <v>2007.7962312536522</v>
      </c>
      <c r="E918">
        <f t="shared" si="54"/>
        <v>1959.4711329618194</v>
      </c>
    </row>
    <row r="919" spans="1:5">
      <c r="A919">
        <f t="shared" si="50"/>
        <v>0.53300000000000003</v>
      </c>
      <c r="B919">
        <f t="shared" si="51"/>
        <v>2676.0368656583214</v>
      </c>
      <c r="C919">
        <f t="shared" si="52"/>
        <v>925.29611336663845</v>
      </c>
      <c r="D919">
        <f t="shared" si="53"/>
        <v>2062.4558981393743</v>
      </c>
      <c r="E919">
        <f t="shared" si="54"/>
        <v>2014.6954571478936</v>
      </c>
    </row>
    <row r="920" spans="1:5">
      <c r="A920">
        <f t="shared" si="50"/>
        <v>0.54200000000000004</v>
      </c>
      <c r="B920">
        <f t="shared" si="51"/>
        <v>2676.2888769199035</v>
      </c>
      <c r="C920">
        <f t="shared" si="52"/>
        <v>948.54917388286458</v>
      </c>
      <c r="D920">
        <f t="shared" si="53"/>
        <v>2124.4276204023909</v>
      </c>
      <c r="E920">
        <f t="shared" si="54"/>
        <v>2077.3126259351188</v>
      </c>
    </row>
    <row r="921" spans="1:5">
      <c r="A921">
        <f t="shared" si="50"/>
        <v>0.55000000000000004</v>
      </c>
      <c r="B921">
        <f t="shared" si="51"/>
        <v>2676.6090979579699</v>
      </c>
      <c r="C921">
        <f t="shared" si="52"/>
        <v>969.72400279150156</v>
      </c>
      <c r="D921">
        <f t="shared" si="53"/>
        <v>2180.7142495266362</v>
      </c>
      <c r="E921">
        <f t="shared" si="54"/>
        <v>2134.1820582464943</v>
      </c>
    </row>
    <row r="922" spans="1:5">
      <c r="A922">
        <f t="shared" si="50"/>
        <v>0.55800000000000005</v>
      </c>
      <c r="B922">
        <f t="shared" si="51"/>
        <v>2676.7614368371142</v>
      </c>
      <c r="C922">
        <f t="shared" si="52"/>
        <v>991.30442967562442</v>
      </c>
      <c r="D922">
        <f t="shared" si="53"/>
        <v>2237.9762205627935</v>
      </c>
      <c r="E922">
        <f t="shared" si="54"/>
        <v>2192.0353717106186</v>
      </c>
    </row>
    <row r="923" spans="1:5">
      <c r="A923">
        <f t="shared" si="50"/>
        <v>0.56699999999999995</v>
      </c>
      <c r="B923">
        <f t="shared" si="51"/>
        <v>2676.9678952459385</v>
      </c>
      <c r="C923">
        <f t="shared" si="52"/>
        <v>1016.1752855742253</v>
      </c>
      <c r="D923">
        <f t="shared" si="53"/>
        <v>2302.7493589619621</v>
      </c>
      <c r="E923">
        <f t="shared" si="54"/>
        <v>2257.4839774025636</v>
      </c>
    </row>
    <row r="924" spans="1:5">
      <c r="A924">
        <f t="shared" si="50"/>
        <v>0.57499999999999996</v>
      </c>
      <c r="B924">
        <f t="shared" si="51"/>
        <v>2677.1867210166747</v>
      </c>
      <c r="C924">
        <f t="shared" si="52"/>
        <v>1038.4017236883185</v>
      </c>
      <c r="D924">
        <f t="shared" si="53"/>
        <v>2361.943478253394</v>
      </c>
      <c r="E924">
        <f t="shared" si="54"/>
        <v>2317.2875850087416</v>
      </c>
    </row>
    <row r="925" spans="1:5">
      <c r="A925">
        <f t="shared" si="50"/>
        <v>0.58299999999999996</v>
      </c>
      <c r="B925">
        <f t="shared" si="51"/>
        <v>2677.3815092232917</v>
      </c>
      <c r="C925">
        <f t="shared" si="52"/>
        <v>1060.8081910527985</v>
      </c>
      <c r="D925">
        <f t="shared" si="53"/>
        <v>2421.619819894157</v>
      </c>
      <c r="E925">
        <f t="shared" si="54"/>
        <v>2377.5819542050881</v>
      </c>
    </row>
    <row r="926" spans="1:5">
      <c r="A926">
        <f t="shared" si="50"/>
        <v>0.59199999999999997</v>
      </c>
      <c r="B926">
        <f t="shared" si="51"/>
        <v>2677.619339587693</v>
      </c>
      <c r="C926">
        <f t="shared" si="52"/>
        <v>1086.4391980001599</v>
      </c>
      <c r="D926">
        <f t="shared" si="53"/>
        <v>2489.3835360654489</v>
      </c>
      <c r="E926">
        <f t="shared" si="54"/>
        <v>2446.0511584377236</v>
      </c>
    </row>
    <row r="927" spans="1:5">
      <c r="A927">
        <f t="shared" ref="A927:A975" si="55">I194</f>
        <v>0.6</v>
      </c>
      <c r="B927">
        <f t="shared" ref="B927:B975" si="56">Y194</f>
        <v>2677.8163809813632</v>
      </c>
      <c r="C927">
        <f t="shared" ref="C927:C975" si="57">AA194</f>
        <v>1109.5134375416669</v>
      </c>
      <c r="D927">
        <f t="shared" ref="D927:D975" si="58">AC194</f>
        <v>2551.1472763301176</v>
      </c>
      <c r="E927">
        <f t="shared" ref="E927:E975" si="59">AE194</f>
        <v>2508.4510721447541</v>
      </c>
    </row>
    <row r="928" spans="1:5">
      <c r="A928">
        <f t="shared" si="55"/>
        <v>0.60799999999999998</v>
      </c>
      <c r="B928">
        <f t="shared" si="56"/>
        <v>2678.077818920377</v>
      </c>
      <c r="C928">
        <f t="shared" si="57"/>
        <v>1133.2303407408722</v>
      </c>
      <c r="D928">
        <f t="shared" si="58"/>
        <v>2612.9574942317927</v>
      </c>
      <c r="E928">
        <f t="shared" si="59"/>
        <v>2570.9060027296282</v>
      </c>
    </row>
    <row r="929" spans="1:5">
      <c r="A929">
        <f t="shared" si="55"/>
        <v>0.61699999999999999</v>
      </c>
      <c r="B929">
        <f t="shared" si="56"/>
        <v>2678.2572674085541</v>
      </c>
      <c r="C929">
        <f t="shared" si="57"/>
        <v>1160.4424143897661</v>
      </c>
      <c r="D929">
        <f t="shared" si="58"/>
        <v>2683.9185129860048</v>
      </c>
      <c r="E929">
        <f t="shared" si="59"/>
        <v>2642.6025303137526</v>
      </c>
    </row>
    <row r="930" spans="1:5">
      <c r="A930">
        <f t="shared" si="55"/>
        <v>0.625</v>
      </c>
      <c r="B930">
        <f t="shared" si="56"/>
        <v>2678.5625068343511</v>
      </c>
      <c r="C930">
        <f t="shared" si="57"/>
        <v>1184.7688552263792</v>
      </c>
      <c r="D930">
        <f t="shared" si="58"/>
        <v>2748.1539582175906</v>
      </c>
      <c r="E930">
        <f t="shared" si="59"/>
        <v>2707.5008341153157</v>
      </c>
    </row>
    <row r="931" spans="1:5">
      <c r="A931">
        <f t="shared" si="55"/>
        <v>0.63300000000000001</v>
      </c>
      <c r="B931">
        <f t="shared" si="56"/>
        <v>2678.7296092144975</v>
      </c>
      <c r="C931">
        <f t="shared" si="57"/>
        <v>1208.901125428142</v>
      </c>
      <c r="D931">
        <f t="shared" si="58"/>
        <v>2812.6430211949514</v>
      </c>
      <c r="E931">
        <f t="shared" si="59"/>
        <v>2772.6612949034916</v>
      </c>
    </row>
    <row r="932" spans="1:5">
      <c r="A932">
        <f t="shared" si="55"/>
        <v>0.64200000000000002</v>
      </c>
      <c r="B932">
        <f t="shared" si="56"/>
        <v>2678.9468219985015</v>
      </c>
      <c r="C932">
        <f t="shared" si="57"/>
        <v>1236.4423753811409</v>
      </c>
      <c r="D932">
        <f t="shared" si="58"/>
        <v>2886.7454611946159</v>
      </c>
      <c r="E932">
        <f t="shared" si="59"/>
        <v>2847.5292645016361</v>
      </c>
    </row>
    <row r="933" spans="1:5">
      <c r="A933">
        <f t="shared" si="55"/>
        <v>0.65</v>
      </c>
      <c r="B933">
        <f t="shared" si="56"/>
        <v>2679.2351279428963</v>
      </c>
      <c r="C933">
        <f t="shared" si="57"/>
        <v>1261.9553443495984</v>
      </c>
      <c r="D933">
        <f t="shared" si="58"/>
        <v>2953.4833326943167</v>
      </c>
      <c r="E933">
        <f t="shared" si="59"/>
        <v>2914.9566796989302</v>
      </c>
    </row>
    <row r="934" spans="1:5">
      <c r="A934">
        <f t="shared" si="55"/>
        <v>0.65800000000000003</v>
      </c>
      <c r="B934">
        <f t="shared" si="56"/>
        <v>2679.5429217645637</v>
      </c>
      <c r="C934">
        <f t="shared" si="57"/>
        <v>1287.9071431225977</v>
      </c>
      <c r="D934">
        <f t="shared" si="58"/>
        <v>3020.5476721756841</v>
      </c>
      <c r="E934">
        <f t="shared" si="59"/>
        <v>2982.7191021187282</v>
      </c>
    </row>
    <row r="935" spans="1:5">
      <c r="A935">
        <f t="shared" si="55"/>
        <v>0.66700000000000004</v>
      </c>
      <c r="B935">
        <f t="shared" si="56"/>
        <v>2679.9105799026788</v>
      </c>
      <c r="C935">
        <f t="shared" si="57"/>
        <v>1316.748844131012</v>
      </c>
      <c r="D935">
        <f t="shared" si="58"/>
        <v>3097.7527678159954</v>
      </c>
      <c r="E935">
        <f t="shared" si="59"/>
        <v>3060.7197481260864</v>
      </c>
    </row>
    <row r="936" spans="1:5">
      <c r="A936">
        <f t="shared" si="55"/>
        <v>0.67500000000000004</v>
      </c>
      <c r="B936">
        <f t="shared" si="56"/>
        <v>2680.2698805373798</v>
      </c>
      <c r="C936">
        <f t="shared" si="57"/>
        <v>1342.781784912361</v>
      </c>
      <c r="D936">
        <f t="shared" si="58"/>
        <v>3166.7358346388191</v>
      </c>
      <c r="E936">
        <f t="shared" si="59"/>
        <v>3130.4190437741199</v>
      </c>
    </row>
    <row r="937" spans="1:5">
      <c r="A937">
        <f t="shared" si="55"/>
        <v>0.68300000000000005</v>
      </c>
      <c r="B937">
        <f t="shared" si="56"/>
        <v>2680.6154974151013</v>
      </c>
      <c r="C937">
        <f t="shared" si="57"/>
        <v>1369.0331480409086</v>
      </c>
      <c r="D937">
        <f t="shared" si="58"/>
        <v>3236.5059270244437</v>
      </c>
      <c r="E937">
        <f t="shared" si="59"/>
        <v>3200.9139042257916</v>
      </c>
    </row>
    <row r="938" spans="1:5">
      <c r="A938">
        <f t="shared" si="55"/>
        <v>0.69199999999999995</v>
      </c>
      <c r="B938">
        <f t="shared" si="56"/>
        <v>2681.0146298396603</v>
      </c>
      <c r="C938">
        <f t="shared" si="57"/>
        <v>1399.215260026979</v>
      </c>
      <c r="D938">
        <f t="shared" si="58"/>
        <v>3316.5188117920811</v>
      </c>
      <c r="E938">
        <f t="shared" si="59"/>
        <v>3281.7523601290445</v>
      </c>
    </row>
    <row r="939" spans="1:5">
      <c r="A939">
        <f t="shared" si="55"/>
        <v>0.7</v>
      </c>
      <c r="B939">
        <f t="shared" si="56"/>
        <v>2681.3581731791746</v>
      </c>
      <c r="C939">
        <f t="shared" si="57"/>
        <v>1426.519680102296</v>
      </c>
      <c r="D939">
        <f t="shared" si="58"/>
        <v>3387.654474031865</v>
      </c>
      <c r="E939">
        <f t="shared" si="59"/>
        <v>3353.6309363216533</v>
      </c>
    </row>
    <row r="940" spans="1:5">
      <c r="A940">
        <f t="shared" si="55"/>
        <v>0.70799999999999996</v>
      </c>
      <c r="B940">
        <f t="shared" si="56"/>
        <v>2681.7323374639054</v>
      </c>
      <c r="C940">
        <f t="shared" si="57"/>
        <v>1454.3031298706867</v>
      </c>
      <c r="D940">
        <f t="shared" si="58"/>
        <v>3460.2015967853608</v>
      </c>
      <c r="E940">
        <f t="shared" si="59"/>
        <v>3426.9295122688118</v>
      </c>
    </row>
    <row r="941" spans="1:5">
      <c r="A941">
        <f t="shared" si="55"/>
        <v>0.71699999999999997</v>
      </c>
      <c r="B941">
        <f t="shared" si="56"/>
        <v>2682.021911892592</v>
      </c>
      <c r="C941">
        <f t="shared" si="57"/>
        <v>1485.195318540033</v>
      </c>
      <c r="D941">
        <f t="shared" si="58"/>
        <v>3542.8247059020114</v>
      </c>
      <c r="E941">
        <f t="shared" si="59"/>
        <v>3510.4082132896465</v>
      </c>
    </row>
    <row r="942" spans="1:5">
      <c r="A942">
        <f t="shared" si="55"/>
        <v>0.72499999999999998</v>
      </c>
      <c r="B942">
        <f t="shared" si="56"/>
        <v>2682.4022174144784</v>
      </c>
      <c r="C942">
        <f t="shared" si="57"/>
        <v>1512.9108568074798</v>
      </c>
      <c r="D942">
        <f t="shared" si="58"/>
        <v>3616.803052164903</v>
      </c>
      <c r="E942">
        <f t="shared" si="59"/>
        <v>3585.1561586329776</v>
      </c>
    </row>
    <row r="943" spans="1:5">
      <c r="A943">
        <f t="shared" si="55"/>
        <v>0.73299999999999998</v>
      </c>
      <c r="B943">
        <f t="shared" si="56"/>
        <v>2682.7748799157594</v>
      </c>
      <c r="C943">
        <f t="shared" si="57"/>
        <v>1541.4540654481948</v>
      </c>
      <c r="D943">
        <f t="shared" si="58"/>
        <v>3692.1830494024643</v>
      </c>
      <c r="E943">
        <f t="shared" si="59"/>
        <v>3661.3142941918177</v>
      </c>
    </row>
    <row r="944" spans="1:5">
      <c r="A944">
        <f t="shared" si="55"/>
        <v>0.74199999999999999</v>
      </c>
      <c r="B944">
        <f t="shared" si="56"/>
        <v>2683.2285243627853</v>
      </c>
      <c r="C944">
        <f t="shared" si="57"/>
        <v>1574.1976338491966</v>
      </c>
      <c r="D944">
        <f t="shared" si="58"/>
        <v>3777.6203108286313</v>
      </c>
      <c r="E944">
        <f t="shared" si="59"/>
        <v>3747.6371682907366</v>
      </c>
    </row>
    <row r="945" spans="1:5">
      <c r="A945">
        <f t="shared" si="55"/>
        <v>0.75</v>
      </c>
      <c r="B945">
        <f t="shared" si="56"/>
        <v>2683.5548091604642</v>
      </c>
      <c r="C945">
        <f t="shared" si="57"/>
        <v>1603.1443212159713</v>
      </c>
      <c r="D945">
        <f t="shared" si="58"/>
        <v>3854.3093981437132</v>
      </c>
      <c r="E945">
        <f t="shared" si="59"/>
        <v>3825.1225398138749</v>
      </c>
    </row>
    <row r="946" spans="1:5">
      <c r="A946">
        <f t="shared" si="55"/>
        <v>0.75800000000000001</v>
      </c>
      <c r="B946">
        <f t="shared" si="56"/>
        <v>2683.8975540425167</v>
      </c>
      <c r="C946">
        <f t="shared" si="57"/>
        <v>1632.5427234407928</v>
      </c>
      <c r="D946">
        <f t="shared" si="58"/>
        <v>3932.4165893514773</v>
      </c>
      <c r="E946">
        <f t="shared" si="59"/>
        <v>3904.0345544705324</v>
      </c>
    </row>
    <row r="947" spans="1:5">
      <c r="A947">
        <f t="shared" si="55"/>
        <v>0.76700000000000002</v>
      </c>
      <c r="B947">
        <f t="shared" si="56"/>
        <v>2684.2763942375609</v>
      </c>
      <c r="C947">
        <f t="shared" si="57"/>
        <v>1665.8157365634884</v>
      </c>
      <c r="D947">
        <f t="shared" si="58"/>
        <v>4020.5820211383834</v>
      </c>
      <c r="E947">
        <f t="shared" si="59"/>
        <v>3993.1156196987595</v>
      </c>
    </row>
    <row r="948" spans="1:5">
      <c r="A948">
        <f t="shared" si="55"/>
        <v>0.77500000000000002</v>
      </c>
      <c r="B948">
        <f t="shared" si="56"/>
        <v>2684.622731679297</v>
      </c>
      <c r="C948">
        <f t="shared" si="57"/>
        <v>1695.9271546505779</v>
      </c>
      <c r="D948">
        <f t="shared" si="58"/>
        <v>4100.0862314704727</v>
      </c>
      <c r="E948">
        <f t="shared" si="59"/>
        <v>4073.4427993665199</v>
      </c>
    </row>
    <row r="949" spans="1:5">
      <c r="A949">
        <f t="shared" si="55"/>
        <v>0.78300000000000003</v>
      </c>
      <c r="B949">
        <f t="shared" si="56"/>
        <v>2684.9589026777235</v>
      </c>
      <c r="C949">
        <f t="shared" si="57"/>
        <v>1726.1480175819888</v>
      </c>
      <c r="D949">
        <f t="shared" si="58"/>
        <v>4180.5724957116963</v>
      </c>
      <c r="E949">
        <f t="shared" si="59"/>
        <v>4154.7605721842538</v>
      </c>
    </row>
    <row r="950" spans="1:5">
      <c r="A950">
        <f t="shared" si="55"/>
        <v>0.79200000000000004</v>
      </c>
      <c r="B950">
        <f t="shared" si="56"/>
        <v>2685.3018573956542</v>
      </c>
      <c r="C950">
        <f t="shared" si="57"/>
        <v>1760.8952378153272</v>
      </c>
      <c r="D950">
        <f t="shared" si="58"/>
        <v>4271.2581348630956</v>
      </c>
      <c r="E950">
        <f t="shared" si="59"/>
        <v>4246.39186554554</v>
      </c>
    </row>
    <row r="951" spans="1:5">
      <c r="A951">
        <f t="shared" si="55"/>
        <v>0.8</v>
      </c>
      <c r="B951">
        <f t="shared" si="56"/>
        <v>2685.6517979163368</v>
      </c>
      <c r="C951">
        <f t="shared" si="57"/>
        <v>1792.1092244281049</v>
      </c>
      <c r="D951">
        <f t="shared" si="58"/>
        <v>4353.6239154244649</v>
      </c>
      <c r="E951">
        <f t="shared" si="59"/>
        <v>4329.6073005701974</v>
      </c>
    </row>
    <row r="952" spans="1:5">
      <c r="A952">
        <f t="shared" si="55"/>
        <v>0.80800000000000005</v>
      </c>
      <c r="B952">
        <f t="shared" si="56"/>
        <v>2686.0128380585302</v>
      </c>
      <c r="C952">
        <f t="shared" si="57"/>
        <v>1823.4048538981949</v>
      </c>
      <c r="D952">
        <f t="shared" si="58"/>
        <v>4436.5284317048536</v>
      </c>
      <c r="E952">
        <f t="shared" si="59"/>
        <v>4413.3700105547132</v>
      </c>
    </row>
    <row r="953" spans="1:5">
      <c r="A953">
        <f t="shared" si="55"/>
        <v>0.81699999999999995</v>
      </c>
      <c r="B953">
        <f t="shared" si="56"/>
        <v>2686.2620306147478</v>
      </c>
      <c r="C953">
        <f t="shared" si="57"/>
        <v>1858.7218553094999</v>
      </c>
      <c r="D953">
        <f t="shared" si="58"/>
        <v>4530.3282792832006</v>
      </c>
      <c r="E953">
        <f t="shared" si="59"/>
        <v>4508.1455331115139</v>
      </c>
    </row>
    <row r="954" spans="1:5">
      <c r="A954">
        <f t="shared" si="55"/>
        <v>0.82499999999999996</v>
      </c>
      <c r="B954">
        <f t="shared" si="56"/>
        <v>2686.6904699144197</v>
      </c>
      <c r="C954">
        <f t="shared" si="57"/>
        <v>1890.6387614596908</v>
      </c>
      <c r="D954">
        <f t="shared" si="58"/>
        <v>4615.4294066950188</v>
      </c>
      <c r="E954">
        <f t="shared" si="59"/>
        <v>4594.1230001142367</v>
      </c>
    </row>
    <row r="955" spans="1:5">
      <c r="A955">
        <f t="shared" si="55"/>
        <v>0.83299999999999996</v>
      </c>
      <c r="B955">
        <f t="shared" si="56"/>
        <v>2687.075837528585</v>
      </c>
      <c r="C955">
        <f t="shared" si="57"/>
        <v>1923.1125076645915</v>
      </c>
      <c r="D955">
        <f t="shared" si="58"/>
        <v>4700.4031122124379</v>
      </c>
      <c r="E955">
        <f t="shared" si="59"/>
        <v>4679.9815844633977</v>
      </c>
    </row>
    <row r="956" spans="1:5">
      <c r="A956">
        <f t="shared" si="55"/>
        <v>0.84199999999999997</v>
      </c>
      <c r="B956">
        <f t="shared" si="56"/>
        <v>2687.5172186847417</v>
      </c>
      <c r="C956">
        <f t="shared" si="57"/>
        <v>1960.0763885223253</v>
      </c>
      <c r="D956">
        <f t="shared" si="58"/>
        <v>4797.5367354717901</v>
      </c>
      <c r="E956">
        <f t="shared" si="59"/>
        <v>4778.1209034697722</v>
      </c>
    </row>
    <row r="957" spans="1:5">
      <c r="A957">
        <f t="shared" si="55"/>
        <v>0.85</v>
      </c>
      <c r="B957">
        <f t="shared" si="56"/>
        <v>2687.7158781777048</v>
      </c>
      <c r="C957">
        <f t="shared" si="57"/>
        <v>1992.8224473858181</v>
      </c>
      <c r="D957">
        <f t="shared" si="58"/>
        <v>4885.0168871785563</v>
      </c>
      <c r="E957">
        <f t="shared" si="59"/>
        <v>4866.5040798950586</v>
      </c>
    </row>
    <row r="958" spans="1:5">
      <c r="A958">
        <f t="shared" si="55"/>
        <v>0.85799999999999998</v>
      </c>
      <c r="B958">
        <f t="shared" si="56"/>
        <v>2688.2272914906202</v>
      </c>
      <c r="C958">
        <f t="shared" si="57"/>
        <v>2025.9670355035455</v>
      </c>
      <c r="D958">
        <f t="shared" si="58"/>
        <v>4972.4418683291915</v>
      </c>
      <c r="E958">
        <f t="shared" si="59"/>
        <v>4954.8406250050512</v>
      </c>
    </row>
    <row r="959" spans="1:5">
      <c r="A959">
        <f t="shared" si="55"/>
        <v>0.86699999999999999</v>
      </c>
      <c r="B959">
        <f t="shared" si="56"/>
        <v>2688.5106820417809</v>
      </c>
      <c r="C959">
        <f t="shared" si="57"/>
        <v>2063.5225689138215</v>
      </c>
      <c r="D959">
        <f t="shared" si="58"/>
        <v>5072.5799317173605</v>
      </c>
      <c r="E959">
        <f t="shared" si="59"/>
        <v>5056.0144049088103</v>
      </c>
    </row>
    <row r="960" spans="1:5">
      <c r="A960">
        <f t="shared" si="55"/>
        <v>0.875</v>
      </c>
      <c r="B960">
        <f t="shared" si="56"/>
        <v>2688.8996096964388</v>
      </c>
      <c r="C960">
        <f t="shared" si="57"/>
        <v>2097.3953409322794</v>
      </c>
      <c r="D960">
        <f t="shared" si="58"/>
        <v>5162.2940643604143</v>
      </c>
      <c r="E960">
        <f t="shared" si="59"/>
        <v>5146.6582473980006</v>
      </c>
    </row>
    <row r="961" spans="1:5">
      <c r="A961">
        <f t="shared" si="55"/>
        <v>0.88300000000000001</v>
      </c>
      <c r="B961">
        <f t="shared" si="56"/>
        <v>2689.4096505813941</v>
      </c>
      <c r="C961">
        <f t="shared" si="57"/>
        <v>2131.8969934042402</v>
      </c>
      <c r="D961">
        <f t="shared" si="58"/>
        <v>5252.466158272302</v>
      </c>
      <c r="E961">
        <f t="shared" si="59"/>
        <v>5237.7685903968631</v>
      </c>
    </row>
    <row r="962" spans="1:5">
      <c r="A962">
        <f t="shared" si="55"/>
        <v>0.89200000000000002</v>
      </c>
      <c r="B962">
        <f t="shared" si="56"/>
        <v>2689.7775551001491</v>
      </c>
      <c r="C962">
        <f t="shared" si="57"/>
        <v>2170.9661833407722</v>
      </c>
      <c r="D962">
        <f t="shared" si="58"/>
        <v>5355.5487004070555</v>
      </c>
      <c r="E962">
        <f t="shared" si="59"/>
        <v>5341.9168698157728</v>
      </c>
    </row>
    <row r="963" spans="1:5">
      <c r="A963">
        <f t="shared" si="55"/>
        <v>0.9</v>
      </c>
      <c r="B963">
        <f t="shared" si="56"/>
        <v>2690.180103448934</v>
      </c>
      <c r="C963">
        <f t="shared" si="57"/>
        <v>2205.507336392368</v>
      </c>
      <c r="D963">
        <f t="shared" si="58"/>
        <v>5447.708509483361</v>
      </c>
      <c r="E963">
        <f t="shared" si="59"/>
        <v>5435.0330738658304</v>
      </c>
    </row>
    <row r="964" spans="1:5">
      <c r="A964">
        <f t="shared" si="55"/>
        <v>0.90800000000000003</v>
      </c>
      <c r="B964">
        <f t="shared" si="56"/>
        <v>2690.4336269311352</v>
      </c>
      <c r="C964">
        <f t="shared" si="57"/>
        <v>2240.2514311454929</v>
      </c>
      <c r="D964">
        <f t="shared" si="58"/>
        <v>5540.6835798491593</v>
      </c>
      <c r="E964">
        <f t="shared" si="59"/>
        <v>5528.973078446219</v>
      </c>
    </row>
    <row r="965" spans="1:5">
      <c r="A965">
        <f t="shared" si="55"/>
        <v>0.91700000000000004</v>
      </c>
      <c r="B965">
        <f t="shared" si="56"/>
        <v>2690.9276507302575</v>
      </c>
      <c r="C965">
        <f t="shared" si="57"/>
        <v>2280.4144483255877</v>
      </c>
      <c r="D965">
        <f t="shared" si="58"/>
        <v>5646.9615366363732</v>
      </c>
      <c r="E965">
        <f t="shared" si="59"/>
        <v>5636.3467932861586</v>
      </c>
    </row>
    <row r="966" spans="1:5">
      <c r="A966">
        <f t="shared" si="55"/>
        <v>0.92500000000000004</v>
      </c>
      <c r="B966">
        <f t="shared" si="56"/>
        <v>2691.3888413715872</v>
      </c>
      <c r="C966">
        <f t="shared" si="57"/>
        <v>2316.8487948622892</v>
      </c>
      <c r="D966">
        <f t="shared" si="58"/>
        <v>5741.5267452040116</v>
      </c>
      <c r="E966">
        <f t="shared" si="59"/>
        <v>5731.8950819551656</v>
      </c>
    </row>
    <row r="967" spans="1:5">
      <c r="A967">
        <f t="shared" si="55"/>
        <v>0.93300000000000005</v>
      </c>
      <c r="B967">
        <f t="shared" si="56"/>
        <v>2691.6986261121306</v>
      </c>
      <c r="C967">
        <f t="shared" si="57"/>
        <v>2352.98151407561</v>
      </c>
      <c r="D967">
        <f t="shared" si="58"/>
        <v>5837.5354061440466</v>
      </c>
      <c r="E967">
        <f t="shared" si="59"/>
        <v>5828.8953622374065</v>
      </c>
    </row>
    <row r="968" spans="1:5">
      <c r="A968">
        <f t="shared" si="55"/>
        <v>0.94199999999999995</v>
      </c>
      <c r="B968">
        <f t="shared" si="56"/>
        <v>2692.1773075299916</v>
      </c>
      <c r="C968">
        <f t="shared" si="57"/>
        <v>2393.9029324782355</v>
      </c>
      <c r="D968">
        <f t="shared" si="58"/>
        <v>5946.3583069671922</v>
      </c>
      <c r="E968">
        <f t="shared" si="59"/>
        <v>5938.8440418818445</v>
      </c>
    </row>
    <row r="969" spans="1:5">
      <c r="A969">
        <f t="shared" si="55"/>
        <v>0.95</v>
      </c>
      <c r="B969">
        <f t="shared" si="56"/>
        <v>2692.4732471371608</v>
      </c>
      <c r="C969">
        <f t="shared" si="57"/>
        <v>2430.6174452908381</v>
      </c>
      <c r="D969">
        <f t="shared" si="58"/>
        <v>6043.4383091821073</v>
      </c>
      <c r="E969">
        <f t="shared" si="59"/>
        <v>6036.9338093257429</v>
      </c>
    </row>
    <row r="970" spans="1:5">
      <c r="A970">
        <f t="shared" si="55"/>
        <v>0.95799999999999996</v>
      </c>
      <c r="B970">
        <f t="shared" si="56"/>
        <v>2692.8575699494995</v>
      </c>
      <c r="C970">
        <f t="shared" si="57"/>
        <v>2467.7068528864479</v>
      </c>
      <c r="D970">
        <f t="shared" si="58"/>
        <v>6142.1454666172249</v>
      </c>
      <c r="E970">
        <f t="shared" si="59"/>
        <v>6136.659271230682</v>
      </c>
    </row>
    <row r="971" spans="1:5">
      <c r="A971">
        <f t="shared" si="55"/>
        <v>0.96699999999999997</v>
      </c>
      <c r="B971">
        <f t="shared" si="56"/>
        <v>2693.24758219057</v>
      </c>
      <c r="C971">
        <f t="shared" si="57"/>
        <v>2510.2037437880058</v>
      </c>
      <c r="D971">
        <f t="shared" si="58"/>
        <v>6253.2838479641896</v>
      </c>
      <c r="E971">
        <f t="shared" si="59"/>
        <v>6248.9534521675077</v>
      </c>
    </row>
    <row r="972" spans="1:5">
      <c r="A972">
        <f t="shared" si="55"/>
        <v>0.97499999999999998</v>
      </c>
      <c r="B972">
        <f t="shared" si="56"/>
        <v>2693.6906778520884</v>
      </c>
      <c r="C972">
        <f t="shared" si="57"/>
        <v>2548.3058851808387</v>
      </c>
      <c r="D972">
        <f t="shared" si="58"/>
        <v>6353.0935741374824</v>
      </c>
      <c r="E972">
        <f t="shared" si="59"/>
        <v>6349.7996286974003</v>
      </c>
    </row>
    <row r="973" spans="1:5">
      <c r="A973">
        <f t="shared" si="55"/>
        <v>0.98299999999999998</v>
      </c>
      <c r="B973">
        <f t="shared" si="56"/>
        <v>2694.0752882831848</v>
      </c>
      <c r="C973">
        <f t="shared" si="57"/>
        <v>2586.4616875610482</v>
      </c>
      <c r="D973">
        <f t="shared" si="58"/>
        <v>6454.2131231685853</v>
      </c>
      <c r="E973">
        <f t="shared" si="59"/>
        <v>6451.9641673259403</v>
      </c>
    </row>
    <row r="974" spans="1:5">
      <c r="A974">
        <f t="shared" si="55"/>
        <v>0.99199999999999999</v>
      </c>
      <c r="B974">
        <f t="shared" si="56"/>
        <v>2694.6263803403031</v>
      </c>
      <c r="C974">
        <f t="shared" si="57"/>
        <v>2629.5885025696607</v>
      </c>
      <c r="D974">
        <f t="shared" si="58"/>
        <v>6568.2867749412108</v>
      </c>
      <c r="E974">
        <f t="shared" si="59"/>
        <v>6567.2236394569945</v>
      </c>
    </row>
    <row r="975" spans="1:5">
      <c r="A975">
        <f t="shared" si="55"/>
        <v>1</v>
      </c>
      <c r="B975">
        <f t="shared" si="56"/>
        <v>2694.9851144626914</v>
      </c>
      <c r="C975">
        <f t="shared" si="57"/>
        <v>2668.3506217177705</v>
      </c>
      <c r="D975">
        <f t="shared" si="58"/>
        <v>6670.9703513931627</v>
      </c>
      <c r="E975">
        <f t="shared" si="59"/>
        <v>6670.9703513931627</v>
      </c>
    </row>
    <row r="980" spans="1:5">
      <c r="A980">
        <f t="shared" ref="A980:A1043" si="60">I2</f>
        <v>-1</v>
      </c>
      <c r="B980">
        <f t="shared" ref="B980:B1043" si="61">AH2</f>
        <v>2738.7528797589603</v>
      </c>
      <c r="C980">
        <f t="shared" ref="C980:C1043" si="62">AJ2</f>
        <v>4006.5669904921833</v>
      </c>
      <c r="D980">
        <f t="shared" ref="D980:D1043" si="63">AL2</f>
        <v>9500.9899232733605</v>
      </c>
      <c r="E980">
        <f t="shared" ref="E980:E1043" si="64">AN2</f>
        <v>9500.9899232733605</v>
      </c>
    </row>
    <row r="981" spans="1:5">
      <c r="A981">
        <f t="shared" si="60"/>
        <v>-0.99199999999999999</v>
      </c>
      <c r="B981">
        <f t="shared" si="61"/>
        <v>2737.7462241092339</v>
      </c>
      <c r="C981">
        <f t="shared" si="62"/>
        <v>3959.7846663670321</v>
      </c>
      <c r="D981">
        <f t="shared" si="63"/>
        <v>9376.9488060561434</v>
      </c>
      <c r="E981">
        <f t="shared" si="64"/>
        <v>9376.0545934952825</v>
      </c>
    </row>
    <row r="982" spans="1:5">
      <c r="A982">
        <f t="shared" si="60"/>
        <v>-0.98299999999999998</v>
      </c>
      <c r="B982">
        <f t="shared" si="61"/>
        <v>2736.6230846331491</v>
      </c>
      <c r="C982">
        <f t="shared" si="62"/>
        <v>3907.5201435523309</v>
      </c>
      <c r="D982">
        <f t="shared" si="63"/>
        <v>9238.4874028396462</v>
      </c>
      <c r="E982">
        <f t="shared" si="64"/>
        <v>9236.6010042814323</v>
      </c>
    </row>
    <row r="983" spans="1:5">
      <c r="A983">
        <f t="shared" si="60"/>
        <v>-0.97499999999999998</v>
      </c>
      <c r="B983">
        <f t="shared" si="61"/>
        <v>2735.6330546630293</v>
      </c>
      <c r="C983">
        <f t="shared" si="62"/>
        <v>3861.3869170271155</v>
      </c>
      <c r="D983">
        <f t="shared" si="63"/>
        <v>9116.3739007837139</v>
      </c>
      <c r="E983">
        <f t="shared" si="64"/>
        <v>9113.617881954191</v>
      </c>
    </row>
    <row r="984" spans="1:5">
      <c r="A984">
        <f t="shared" si="60"/>
        <v>-0.96699999999999997</v>
      </c>
      <c r="B984">
        <f t="shared" si="61"/>
        <v>2734.6508580754062</v>
      </c>
      <c r="C984">
        <f t="shared" si="62"/>
        <v>3815.5579418876782</v>
      </c>
      <c r="D984">
        <f t="shared" si="63"/>
        <v>8995.1660445283178</v>
      </c>
      <c r="E984">
        <f t="shared" si="64"/>
        <v>8991.5520543354905</v>
      </c>
    </row>
    <row r="985" spans="1:5">
      <c r="A985">
        <f t="shared" si="60"/>
        <v>-0.95799999999999996</v>
      </c>
      <c r="B985">
        <f t="shared" si="61"/>
        <v>2733.5552577832691</v>
      </c>
      <c r="C985">
        <f t="shared" si="62"/>
        <v>3764.3630333251954</v>
      </c>
      <c r="D985">
        <f t="shared" si="63"/>
        <v>8859.8885063548314</v>
      </c>
      <c r="E985">
        <f t="shared" si="64"/>
        <v>8855.3232842094876</v>
      </c>
    </row>
    <row r="986" spans="1:5">
      <c r="A986">
        <f t="shared" si="60"/>
        <v>-0.95</v>
      </c>
      <c r="B986">
        <f t="shared" si="61"/>
        <v>2732.5897271659751</v>
      </c>
      <c r="C986">
        <f t="shared" si="62"/>
        <v>3719.1779432130656</v>
      </c>
      <c r="D986">
        <f t="shared" si="63"/>
        <v>8740.6018276314735</v>
      </c>
      <c r="E986">
        <f t="shared" si="64"/>
        <v>8735.2035534356819</v>
      </c>
    </row>
    <row r="987" spans="1:5">
      <c r="A987">
        <f t="shared" si="60"/>
        <v>-0.94199999999999995</v>
      </c>
      <c r="B987">
        <f t="shared" si="61"/>
        <v>2731.6320487010912</v>
      </c>
      <c r="C987">
        <f t="shared" si="62"/>
        <v>3674.2945786544519</v>
      </c>
      <c r="D987">
        <f t="shared" si="63"/>
        <v>8622.2175923928862</v>
      </c>
      <c r="E987">
        <f t="shared" si="64"/>
        <v>8615.9980720706571</v>
      </c>
    </row>
    <row r="988" spans="1:5">
      <c r="A988">
        <f t="shared" si="60"/>
        <v>-0.93300000000000005</v>
      </c>
      <c r="B988">
        <f t="shared" si="61"/>
        <v>2730.5640535799016</v>
      </c>
      <c r="C988">
        <f t="shared" si="62"/>
        <v>3624.1604034921179</v>
      </c>
      <c r="D988">
        <f t="shared" si="63"/>
        <v>8490.1126571758014</v>
      </c>
      <c r="E988">
        <f t="shared" si="64"/>
        <v>8482.9834109222265</v>
      </c>
    </row>
    <row r="989" spans="1:5">
      <c r="A989">
        <f t="shared" si="60"/>
        <v>-0.92500000000000004</v>
      </c>
      <c r="B989">
        <f t="shared" si="61"/>
        <v>2729.6230805624396</v>
      </c>
      <c r="C989">
        <f t="shared" si="62"/>
        <v>3579.915397473851</v>
      </c>
      <c r="D989">
        <f t="shared" si="63"/>
        <v>8373.6424099258602</v>
      </c>
      <c r="E989">
        <f t="shared" si="64"/>
        <v>8365.7171770078276</v>
      </c>
    </row>
    <row r="990" spans="1:5">
      <c r="A990">
        <f t="shared" si="60"/>
        <v>-0.91700000000000004</v>
      </c>
      <c r="B990">
        <f t="shared" si="61"/>
        <v>2728.6899780807412</v>
      </c>
      <c r="C990">
        <f t="shared" si="62"/>
        <v>3535.9694398561164</v>
      </c>
      <c r="D990">
        <f t="shared" si="63"/>
        <v>8258.0710351577345</v>
      </c>
      <c r="E990">
        <f t="shared" si="64"/>
        <v>8249.3617845544723</v>
      </c>
    </row>
    <row r="991" spans="1:5">
      <c r="A991">
        <f t="shared" si="60"/>
        <v>-0.90800000000000003</v>
      </c>
      <c r="B991">
        <f t="shared" si="61"/>
        <v>2727.6496527585241</v>
      </c>
      <c r="C991">
        <f t="shared" si="62"/>
        <v>3486.8865852502836</v>
      </c>
      <c r="D991">
        <f t="shared" si="63"/>
        <v>8129.1261442908717</v>
      </c>
      <c r="E991">
        <f t="shared" si="64"/>
        <v>8119.5492469653982</v>
      </c>
    </row>
    <row r="992" spans="1:5">
      <c r="A992">
        <f t="shared" si="60"/>
        <v>-0.9</v>
      </c>
      <c r="B992">
        <f t="shared" si="61"/>
        <v>2726.7332943721008</v>
      </c>
      <c r="C992">
        <f t="shared" si="62"/>
        <v>3443.5731304663896</v>
      </c>
      <c r="D992">
        <f t="shared" si="63"/>
        <v>8015.4607514084237</v>
      </c>
      <c r="E992">
        <f t="shared" si="64"/>
        <v>8005.1254484618212</v>
      </c>
    </row>
    <row r="993" spans="1:5">
      <c r="A993">
        <f t="shared" si="60"/>
        <v>-0.89200000000000002</v>
      </c>
      <c r="B993">
        <f t="shared" si="61"/>
        <v>2725.8248245109639</v>
      </c>
      <c r="C993">
        <f t="shared" si="62"/>
        <v>3400.5558883978983</v>
      </c>
      <c r="D993">
        <f t="shared" si="63"/>
        <v>7902.6902595707297</v>
      </c>
      <c r="E993">
        <f t="shared" si="64"/>
        <v>7891.6086886825724</v>
      </c>
    </row>
    <row r="994" spans="1:5">
      <c r="A994">
        <f t="shared" si="60"/>
        <v>-0.88300000000000001</v>
      </c>
      <c r="B994">
        <f t="shared" si="61"/>
        <v>2724.8122322311165</v>
      </c>
      <c r="C994">
        <f t="shared" si="62"/>
        <v>3352.5143841718163</v>
      </c>
      <c r="D994">
        <f t="shared" si="63"/>
        <v>7776.8914462931525</v>
      </c>
      <c r="E994">
        <f t="shared" si="64"/>
        <v>7764.9849009013669</v>
      </c>
    </row>
    <row r="995" spans="1:5">
      <c r="A995">
        <f t="shared" si="60"/>
        <v>-0.875</v>
      </c>
      <c r="B995">
        <f t="shared" si="61"/>
        <v>2723.920544268542</v>
      </c>
      <c r="C995">
        <f t="shared" si="62"/>
        <v>3310.1234447175161</v>
      </c>
      <c r="D995">
        <f t="shared" si="63"/>
        <v>7666.0180432897014</v>
      </c>
      <c r="E995">
        <f t="shared" si="64"/>
        <v>7653.3912060529701</v>
      </c>
    </row>
    <row r="996" spans="1:5">
      <c r="A996">
        <f t="shared" si="60"/>
        <v>-0.86699999999999999</v>
      </c>
      <c r="B996">
        <f t="shared" si="61"/>
        <v>2723.0367624197406</v>
      </c>
      <c r="C996">
        <f t="shared" si="62"/>
        <v>3268.0257165997627</v>
      </c>
      <c r="D996">
        <f t="shared" si="63"/>
        <v>7556.0351349179427</v>
      </c>
      <c r="E996">
        <f t="shared" si="64"/>
        <v>7542.700317284668</v>
      </c>
    </row>
    <row r="997" spans="1:5">
      <c r="A997">
        <f t="shared" si="60"/>
        <v>-0.85799999999999998</v>
      </c>
      <c r="B997">
        <f t="shared" si="61"/>
        <v>2722.0519650158485</v>
      </c>
      <c r="C997">
        <f t="shared" si="62"/>
        <v>3221.0150100806709</v>
      </c>
      <c r="D997">
        <f t="shared" si="63"/>
        <v>7433.3669028529466</v>
      </c>
      <c r="E997">
        <f t="shared" si="64"/>
        <v>7419.2503937327101</v>
      </c>
    </row>
    <row r="998" spans="1:5">
      <c r="A998">
        <f t="shared" si="60"/>
        <v>-0.85</v>
      </c>
      <c r="B998">
        <f t="shared" si="61"/>
        <v>2721.1850020092143</v>
      </c>
      <c r="C998">
        <f t="shared" si="62"/>
        <v>3179.5370247648771</v>
      </c>
      <c r="D998">
        <f t="shared" si="63"/>
        <v>7325.2712267935003</v>
      </c>
      <c r="E998">
        <f t="shared" si="64"/>
        <v>7310.4730873835651</v>
      </c>
    </row>
    <row r="999" spans="1:5">
      <c r="A999">
        <f t="shared" si="60"/>
        <v>-0.84199999999999997</v>
      </c>
      <c r="B999">
        <f t="shared" si="61"/>
        <v>2720.3259622967576</v>
      </c>
      <c r="C999">
        <f t="shared" si="62"/>
        <v>3138.34907670858</v>
      </c>
      <c r="D999">
        <f t="shared" si="63"/>
        <v>7218.0611664589442</v>
      </c>
      <c r="E999">
        <f t="shared" si="64"/>
        <v>7202.5938862445973</v>
      </c>
    </row>
    <row r="1000" spans="1:5">
      <c r="A1000">
        <f t="shared" si="60"/>
        <v>-0.83299999999999996</v>
      </c>
      <c r="B1000">
        <f t="shared" si="61"/>
        <v>2719.3690201677696</v>
      </c>
      <c r="C1000">
        <f t="shared" si="62"/>
        <v>3092.3580081209293</v>
      </c>
      <c r="D1000">
        <f t="shared" si="63"/>
        <v>7098.506357692575</v>
      </c>
      <c r="E1000">
        <f t="shared" si="64"/>
        <v>7082.3012947740126</v>
      </c>
    </row>
    <row r="1001" spans="1:5">
      <c r="A1001">
        <f t="shared" si="60"/>
        <v>-0.82499999999999996</v>
      </c>
      <c r="B1001">
        <f t="shared" si="61"/>
        <v>2718.5268353664997</v>
      </c>
      <c r="C1001">
        <f t="shared" si="62"/>
        <v>3051.7828688525797</v>
      </c>
      <c r="D1001">
        <f t="shared" si="63"/>
        <v>6993.1726266478481</v>
      </c>
      <c r="E1001">
        <f t="shared" si="64"/>
        <v>6976.325155041407</v>
      </c>
    </row>
    <row r="1002" spans="1:5">
      <c r="A1002">
        <f t="shared" si="60"/>
        <v>-0.81699999999999995</v>
      </c>
      <c r="B1002">
        <f t="shared" si="61"/>
        <v>2717.6925906248262</v>
      </c>
      <c r="C1002">
        <f t="shared" si="62"/>
        <v>3011.4944133564245</v>
      </c>
      <c r="D1002">
        <f t="shared" si="63"/>
        <v>6888.7191192634255</v>
      </c>
      <c r="E1002">
        <f t="shared" si="64"/>
        <v>6871.2419096860749</v>
      </c>
    </row>
    <row r="1003" spans="1:5">
      <c r="A1003">
        <f t="shared" si="60"/>
        <v>-0.80800000000000005</v>
      </c>
      <c r="B1003">
        <f t="shared" si="61"/>
        <v>2716.7635627106388</v>
      </c>
      <c r="C1003">
        <f t="shared" si="62"/>
        <v>2966.5111922476426</v>
      </c>
      <c r="D1003">
        <f t="shared" si="63"/>
        <v>6772.2587713643579</v>
      </c>
      <c r="E1003">
        <f t="shared" si="64"/>
        <v>6754.0883248186901</v>
      </c>
    </row>
    <row r="1004" spans="1:5">
      <c r="A1004">
        <f t="shared" si="60"/>
        <v>-0.8</v>
      </c>
      <c r="B1004">
        <f t="shared" si="61"/>
        <v>2715.9462080599938</v>
      </c>
      <c r="C1004">
        <f t="shared" si="62"/>
        <v>2926.8282235073743</v>
      </c>
      <c r="D1004">
        <f t="shared" si="63"/>
        <v>6669.6695538641015</v>
      </c>
      <c r="E1004">
        <f t="shared" si="64"/>
        <v>6650.8964888556302</v>
      </c>
    </row>
    <row r="1005" spans="1:5">
      <c r="A1005">
        <f t="shared" si="60"/>
        <v>-0.79200000000000004</v>
      </c>
      <c r="B1005">
        <f t="shared" si="61"/>
        <v>2715.1368098124726</v>
      </c>
      <c r="C1005">
        <f t="shared" si="62"/>
        <v>2887.428399392069</v>
      </c>
      <c r="D1005">
        <f t="shared" si="63"/>
        <v>6567.9546108397826</v>
      </c>
      <c r="E1005">
        <f t="shared" si="64"/>
        <v>6548.5917811077279</v>
      </c>
    </row>
    <row r="1006" spans="1:5">
      <c r="A1006">
        <f t="shared" si="60"/>
        <v>-0.78300000000000003</v>
      </c>
      <c r="B1006">
        <f t="shared" si="61"/>
        <v>2714.235753570058</v>
      </c>
      <c r="C1006">
        <f t="shared" si="62"/>
        <v>2843.4405826900111</v>
      </c>
      <c r="D1006">
        <f t="shared" si="63"/>
        <v>6454.5678022887669</v>
      </c>
      <c r="E1006">
        <f t="shared" si="64"/>
        <v>6434.5569245182351</v>
      </c>
    </row>
    <row r="1007" spans="1:5">
      <c r="A1007">
        <f t="shared" si="60"/>
        <v>-0.77500000000000002</v>
      </c>
      <c r="B1007">
        <f t="shared" si="61"/>
        <v>2713.4432796899005</v>
      </c>
      <c r="C1007">
        <f t="shared" si="62"/>
        <v>2804.6385226625612</v>
      </c>
      <c r="D1007">
        <f t="shared" si="63"/>
        <v>6354.703876330992</v>
      </c>
      <c r="E1007">
        <f t="shared" si="64"/>
        <v>6334.130742726853</v>
      </c>
    </row>
    <row r="1008" spans="1:5">
      <c r="A1008">
        <f t="shared" si="60"/>
        <v>-0.76700000000000002</v>
      </c>
      <c r="B1008">
        <f t="shared" si="61"/>
        <v>2712.6587781279418</v>
      </c>
      <c r="C1008">
        <f t="shared" si="62"/>
        <v>2766.1158768793084</v>
      </c>
      <c r="D1008">
        <f t="shared" si="63"/>
        <v>6255.7076711632635</v>
      </c>
      <c r="E1008">
        <f t="shared" si="64"/>
        <v>6234.5853184731659</v>
      </c>
    </row>
    <row r="1009" spans="1:5">
      <c r="A1009">
        <f t="shared" si="60"/>
        <v>-0.75800000000000001</v>
      </c>
      <c r="B1009">
        <f t="shared" si="61"/>
        <v>2711.7857495077187</v>
      </c>
      <c r="C1009">
        <f t="shared" si="62"/>
        <v>2723.1103493336241</v>
      </c>
      <c r="D1009">
        <f t="shared" si="63"/>
        <v>6145.3713547660091</v>
      </c>
      <c r="E1009">
        <f t="shared" si="64"/>
        <v>6123.6467860475259</v>
      </c>
    </row>
    <row r="1010" spans="1:5">
      <c r="A1010">
        <f t="shared" si="60"/>
        <v>-0.75</v>
      </c>
      <c r="B1010">
        <f t="shared" si="61"/>
        <v>2711.0182056718681</v>
      </c>
      <c r="C1010">
        <f t="shared" si="62"/>
        <v>2685.1773334232421</v>
      </c>
      <c r="D1010">
        <f t="shared" si="63"/>
        <v>6048.2115560449747</v>
      </c>
      <c r="E1010">
        <f t="shared" si="64"/>
        <v>6025.9656641770644</v>
      </c>
    </row>
    <row r="1011" spans="1:5">
      <c r="A1011">
        <f t="shared" si="60"/>
        <v>-0.74199999999999999</v>
      </c>
      <c r="B1011">
        <f t="shared" si="61"/>
        <v>2710.2586496341951</v>
      </c>
      <c r="C1011">
        <f t="shared" si="62"/>
        <v>2647.519805513155</v>
      </c>
      <c r="D1011">
        <f t="shared" si="63"/>
        <v>5951.9122690476443</v>
      </c>
      <c r="E1011">
        <f t="shared" si="64"/>
        <v>5929.1582714862652</v>
      </c>
    </row>
    <row r="1012" spans="1:5">
      <c r="A1012">
        <f t="shared" si="60"/>
        <v>-0.73299999999999998</v>
      </c>
      <c r="B1012">
        <f t="shared" si="61"/>
        <v>2709.4137030571701</v>
      </c>
      <c r="C1012">
        <f t="shared" si="62"/>
        <v>2605.4827634648645</v>
      </c>
      <c r="D1012">
        <f t="shared" si="63"/>
        <v>5844.6010930614657</v>
      </c>
      <c r="E1012">
        <f t="shared" si="64"/>
        <v>5821.2913463973637</v>
      </c>
    </row>
    <row r="1013" spans="1:5">
      <c r="A1013">
        <f t="shared" si="60"/>
        <v>-0.72499999999999998</v>
      </c>
      <c r="B1013">
        <f t="shared" si="61"/>
        <v>2708.6711371730257</v>
      </c>
      <c r="C1013">
        <f t="shared" si="62"/>
        <v>2568.4063111009086</v>
      </c>
      <c r="D1013">
        <f t="shared" si="63"/>
        <v>5750.1221522344285</v>
      </c>
      <c r="E1013">
        <f t="shared" si="64"/>
        <v>5726.332575075653</v>
      </c>
    </row>
    <row r="1014" spans="1:5">
      <c r="A1014">
        <f t="shared" si="60"/>
        <v>-0.71699999999999997</v>
      </c>
      <c r="B1014">
        <f t="shared" si="61"/>
        <v>2707.9365741255974</v>
      </c>
      <c r="C1014">
        <f t="shared" si="62"/>
        <v>2531.6012212817732</v>
      </c>
      <c r="D1014">
        <f t="shared" si="63"/>
        <v>5656.4958042939516</v>
      </c>
      <c r="E1014">
        <f t="shared" si="64"/>
        <v>5632.2397896392276</v>
      </c>
    </row>
    <row r="1015" spans="1:5">
      <c r="A1015">
        <f t="shared" si="60"/>
        <v>-0.70799999999999996</v>
      </c>
      <c r="B1015">
        <f t="shared" si="61"/>
        <v>2707.1197624607562</v>
      </c>
      <c r="C1015">
        <f t="shared" si="62"/>
        <v>2490.5181609486822</v>
      </c>
      <c r="D1015">
        <f t="shared" si="63"/>
        <v>5552.1819212211358</v>
      </c>
      <c r="E1015">
        <f t="shared" si="64"/>
        <v>5527.4172410510082</v>
      </c>
    </row>
    <row r="1016" spans="1:5">
      <c r="A1016">
        <f t="shared" si="60"/>
        <v>-0.7</v>
      </c>
      <c r="B1016">
        <f t="shared" si="61"/>
        <v>2706.4022210494791</v>
      </c>
      <c r="C1016">
        <f t="shared" si="62"/>
        <v>2454.2851668233561</v>
      </c>
      <c r="D1016">
        <f t="shared" si="63"/>
        <v>5460.3582902555545</v>
      </c>
      <c r="E1016">
        <f t="shared" si="64"/>
        <v>5435.1558124688245</v>
      </c>
    </row>
    <row r="1017" spans="1:5">
      <c r="A1017">
        <f t="shared" si="60"/>
        <v>-0.69199999999999995</v>
      </c>
      <c r="B1017">
        <f t="shared" si="61"/>
        <v>2705.6926970657478</v>
      </c>
      <c r="C1017">
        <f t="shared" si="62"/>
        <v>2418.3192089337513</v>
      </c>
      <c r="D1017">
        <f t="shared" si="63"/>
        <v>5369.3785657395565</v>
      </c>
      <c r="E1017">
        <f t="shared" si="64"/>
        <v>5343.7518501523427</v>
      </c>
    </row>
    <row r="1018" spans="1:5">
      <c r="A1018">
        <f t="shared" si="60"/>
        <v>-0.68300000000000005</v>
      </c>
      <c r="B1018">
        <f t="shared" si="61"/>
        <v>2704.9040716081277</v>
      </c>
      <c r="C1018">
        <f t="shared" si="62"/>
        <v>2378.1749207105045</v>
      </c>
      <c r="D1018">
        <f t="shared" si="63"/>
        <v>5268.0314290477454</v>
      </c>
      <c r="E1018">
        <f t="shared" si="64"/>
        <v>5241.943717406506</v>
      </c>
    </row>
    <row r="1019" spans="1:5">
      <c r="A1019">
        <f t="shared" si="60"/>
        <v>-0.67500000000000004</v>
      </c>
      <c r="B1019">
        <f t="shared" si="61"/>
        <v>2704.2115997852675</v>
      </c>
      <c r="C1019">
        <f t="shared" si="62"/>
        <v>2342.7716518918514</v>
      </c>
      <c r="D1019">
        <f t="shared" si="63"/>
        <v>5178.835096993912</v>
      </c>
      <c r="E1019">
        <f t="shared" si="64"/>
        <v>5152.352129116699</v>
      </c>
    </row>
    <row r="1020" spans="1:5">
      <c r="A1020">
        <f t="shared" si="60"/>
        <v>-0.66700000000000004</v>
      </c>
      <c r="B1020">
        <f t="shared" si="61"/>
        <v>2703.527159526966</v>
      </c>
      <c r="C1020">
        <f t="shared" si="62"/>
        <v>2307.6308927499517</v>
      </c>
      <c r="D1020">
        <f t="shared" si="63"/>
        <v>5090.4731562763036</v>
      </c>
      <c r="E1020">
        <f t="shared" si="64"/>
        <v>5063.6086456793191</v>
      </c>
    </row>
    <row r="1021" spans="1:5">
      <c r="A1021">
        <f t="shared" si="60"/>
        <v>-0.65800000000000003</v>
      </c>
      <c r="B1021">
        <f t="shared" si="61"/>
        <v>2702.7667699761951</v>
      </c>
      <c r="C1021">
        <f t="shared" si="62"/>
        <v>2268.409463423141</v>
      </c>
      <c r="D1021">
        <f t="shared" si="63"/>
        <v>4992.0593057230481</v>
      </c>
      <c r="E1021">
        <f t="shared" si="64"/>
        <v>4964.782008157169</v>
      </c>
    </row>
    <row r="1022" spans="1:5">
      <c r="A1022">
        <f t="shared" si="60"/>
        <v>-0.65</v>
      </c>
      <c r="B1022">
        <f t="shared" si="61"/>
        <v>2702.0994114328023</v>
      </c>
      <c r="C1022">
        <f t="shared" si="62"/>
        <v>2233.8215641775168</v>
      </c>
      <c r="D1022">
        <f t="shared" si="63"/>
        <v>4905.4596046667839</v>
      </c>
      <c r="E1022">
        <f t="shared" si="64"/>
        <v>4877.8300542852958</v>
      </c>
    </row>
    <row r="1023" spans="1:5">
      <c r="A1023">
        <f t="shared" si="60"/>
        <v>-0.64200000000000002</v>
      </c>
      <c r="B1023">
        <f t="shared" si="61"/>
        <v>2701.4400981312092</v>
      </c>
      <c r="C1023">
        <f t="shared" si="62"/>
        <v>2199.4914513372773</v>
      </c>
      <c r="D1023">
        <f t="shared" si="63"/>
        <v>4819.6838871821446</v>
      </c>
      <c r="E1023">
        <f t="shared" si="64"/>
        <v>4791.715932694854</v>
      </c>
    </row>
    <row r="1024" spans="1:5">
      <c r="A1024">
        <f t="shared" si="60"/>
        <v>-0.63300000000000001</v>
      </c>
      <c r="B1024">
        <f t="shared" si="61"/>
        <v>2700.7079925706203</v>
      </c>
      <c r="C1024">
        <f t="shared" si="62"/>
        <v>2161.1762766414804</v>
      </c>
      <c r="D1024">
        <f t="shared" si="63"/>
        <v>4724.1667239784019</v>
      </c>
      <c r="E1024">
        <f t="shared" si="64"/>
        <v>4695.834666007484</v>
      </c>
    </row>
    <row r="1025" spans="1:5">
      <c r="A1025">
        <f t="shared" si="60"/>
        <v>-0.625</v>
      </c>
      <c r="B1025">
        <f t="shared" si="61"/>
        <v>2700.0657895548352</v>
      </c>
      <c r="C1025">
        <f t="shared" si="62"/>
        <v>2127.3887833117165</v>
      </c>
      <c r="D1025">
        <f t="shared" si="63"/>
        <v>4640.1301264745007</v>
      </c>
      <c r="E1025">
        <f t="shared" si="64"/>
        <v>4611.4892166235932</v>
      </c>
    </row>
    <row r="1026" spans="1:5">
      <c r="A1026">
        <f t="shared" si="60"/>
        <v>-0.61699999999999999</v>
      </c>
      <c r="B1026">
        <f t="shared" si="61"/>
        <v>2699.43164499259</v>
      </c>
      <c r="C1026">
        <f t="shared" si="62"/>
        <v>2093.8541637603007</v>
      </c>
      <c r="D1026">
        <f t="shared" si="63"/>
        <v>4556.9061458124115</v>
      </c>
      <c r="E1026">
        <f t="shared" si="64"/>
        <v>4527.9703428921011</v>
      </c>
    </row>
    <row r="1027" spans="1:5">
      <c r="A1027">
        <f t="shared" si="60"/>
        <v>-0.60799999999999998</v>
      </c>
      <c r="B1027">
        <f t="shared" si="61"/>
        <v>2698.7278698689106</v>
      </c>
      <c r="C1027">
        <f t="shared" si="62"/>
        <v>2056.4279743959351</v>
      </c>
      <c r="D1027">
        <f t="shared" si="63"/>
        <v>4464.2456995999191</v>
      </c>
      <c r="E1027">
        <f t="shared" si="64"/>
        <v>4434.9948626697533</v>
      </c>
    </row>
    <row r="1028" spans="1:5">
      <c r="A1028">
        <f t="shared" si="60"/>
        <v>-0.6</v>
      </c>
      <c r="B1028">
        <f t="shared" si="61"/>
        <v>2698.1108631681168</v>
      </c>
      <c r="C1028">
        <f t="shared" si="62"/>
        <v>2023.4253433638573</v>
      </c>
      <c r="D1028">
        <f t="shared" si="63"/>
        <v>4382.7356096105759</v>
      </c>
      <c r="E1028">
        <f t="shared" si="64"/>
        <v>4353.2196326758594</v>
      </c>
    </row>
    <row r="1029" spans="1:5">
      <c r="A1029">
        <f t="shared" si="60"/>
        <v>-0.59199999999999997</v>
      </c>
      <c r="B1029">
        <f t="shared" si="61"/>
        <v>2697.5019276614603</v>
      </c>
      <c r="C1029">
        <f t="shared" si="62"/>
        <v>1990.6704964522148</v>
      </c>
      <c r="D1029">
        <f t="shared" si="63"/>
        <v>4302.025742951585</v>
      </c>
      <c r="E1029">
        <f t="shared" si="64"/>
        <v>4272.2586618025425</v>
      </c>
    </row>
    <row r="1030" spans="1:5">
      <c r="A1030">
        <f t="shared" si="60"/>
        <v>-0.58299999999999996</v>
      </c>
      <c r="B1030">
        <f t="shared" si="61"/>
        <v>2696.8265277651735</v>
      </c>
      <c r="C1030">
        <f t="shared" si="62"/>
        <v>1954.1154016181265</v>
      </c>
      <c r="D1030">
        <f t="shared" si="63"/>
        <v>4212.1784335476086</v>
      </c>
      <c r="E1030">
        <f t="shared" si="64"/>
        <v>4182.1456571735444</v>
      </c>
    </row>
    <row r="1031" spans="1:5">
      <c r="A1031">
        <f t="shared" si="60"/>
        <v>-0.57499999999999996</v>
      </c>
      <c r="B1031">
        <f t="shared" si="61"/>
        <v>2696.2347566886478</v>
      </c>
      <c r="C1031">
        <f t="shared" si="62"/>
        <v>1921.8815542974669</v>
      </c>
      <c r="D1031">
        <f t="shared" si="63"/>
        <v>4133.1549738663607</v>
      </c>
      <c r="E1031">
        <f t="shared" si="64"/>
        <v>4102.9009668625113</v>
      </c>
    </row>
    <row r="1032" spans="1:5">
      <c r="A1032">
        <f t="shared" si="60"/>
        <v>-0.56699999999999995</v>
      </c>
      <c r="B1032">
        <f t="shared" si="61"/>
        <v>2695.6510690703108</v>
      </c>
      <c r="C1032">
        <f t="shared" si="62"/>
        <v>1889.8902432096763</v>
      </c>
      <c r="D1032">
        <f t="shared" si="63"/>
        <v>4054.9182491071806</v>
      </c>
      <c r="E1032">
        <f t="shared" si="64"/>
        <v>4024.4570813468608</v>
      </c>
    </row>
    <row r="1033" spans="1:5">
      <c r="A1033">
        <f t="shared" si="60"/>
        <v>-0.55800000000000005</v>
      </c>
      <c r="B1033">
        <f t="shared" si="61"/>
        <v>2695.0040875164605</v>
      </c>
      <c r="C1033">
        <f t="shared" si="62"/>
        <v>1854.1877969704217</v>
      </c>
      <c r="D1033">
        <f t="shared" si="63"/>
        <v>3967.8366472645534</v>
      </c>
      <c r="E1033">
        <f t="shared" si="64"/>
        <v>3937.1592412789855</v>
      </c>
    </row>
    <row r="1034" spans="1:5">
      <c r="A1034">
        <f t="shared" si="60"/>
        <v>-0.55000000000000004</v>
      </c>
      <c r="B1034">
        <f t="shared" si="61"/>
        <v>2694.4375898786375</v>
      </c>
      <c r="C1034">
        <f t="shared" si="62"/>
        <v>1822.7061870307282</v>
      </c>
      <c r="D1034">
        <f t="shared" si="63"/>
        <v>3891.256447672386</v>
      </c>
      <c r="E1034">
        <f t="shared" si="64"/>
        <v>3860.4017717773222</v>
      </c>
    </row>
    <row r="1035" spans="1:5">
      <c r="A1035">
        <f t="shared" si="60"/>
        <v>-0.54200000000000004</v>
      </c>
      <c r="B1035">
        <f t="shared" si="61"/>
        <v>2693.8791874812646</v>
      </c>
      <c r="C1035">
        <f t="shared" si="62"/>
        <v>1791.4617344869769</v>
      </c>
      <c r="D1035">
        <f t="shared" si="63"/>
        <v>3815.4483329742607</v>
      </c>
      <c r="E1035">
        <f t="shared" si="64"/>
        <v>3784.4304363200208</v>
      </c>
    </row>
    <row r="1036" spans="1:5">
      <c r="A1036">
        <f t="shared" si="60"/>
        <v>-0.53300000000000003</v>
      </c>
      <c r="B1036">
        <f t="shared" si="61"/>
        <v>2693.2606656910839</v>
      </c>
      <c r="C1036">
        <f t="shared" si="62"/>
        <v>1756.5930320423254</v>
      </c>
      <c r="D1036">
        <f t="shared" si="63"/>
        <v>3731.0809261239974</v>
      </c>
      <c r="E1036">
        <f t="shared" si="64"/>
        <v>3699.8961734258551</v>
      </c>
    </row>
    <row r="1037" spans="1:5">
      <c r="A1037">
        <f t="shared" si="60"/>
        <v>-0.52500000000000002</v>
      </c>
      <c r="B1037">
        <f t="shared" si="61"/>
        <v>2692.7194777953123</v>
      </c>
      <c r="C1037">
        <f t="shared" si="62"/>
        <v>1725.8467418024873</v>
      </c>
      <c r="D1037">
        <f t="shared" si="63"/>
        <v>3656.8969182108149</v>
      </c>
      <c r="E1037">
        <f t="shared" si="64"/>
        <v>3625.5787216297722</v>
      </c>
    </row>
    <row r="1038" spans="1:5">
      <c r="A1038">
        <f t="shared" si="60"/>
        <v>-0.51700000000000002</v>
      </c>
      <c r="B1038">
        <f t="shared" si="61"/>
        <v>2692.1863964353583</v>
      </c>
      <c r="C1038">
        <f t="shared" si="62"/>
        <v>1695.3321376263839</v>
      </c>
      <c r="D1038">
        <f t="shared" si="63"/>
        <v>3583.4691205577215</v>
      </c>
      <c r="E1038">
        <f t="shared" si="64"/>
        <v>3552.0314391676843</v>
      </c>
    </row>
    <row r="1039" spans="1:5">
      <c r="A1039">
        <f t="shared" si="60"/>
        <v>-0.50800000000000001</v>
      </c>
      <c r="B1039">
        <f t="shared" si="61"/>
        <v>2691.5963741184592</v>
      </c>
      <c r="C1039">
        <f t="shared" si="62"/>
        <v>1661.27795099574</v>
      </c>
      <c r="D1039">
        <f t="shared" si="63"/>
        <v>3501.760091807711</v>
      </c>
      <c r="E1039">
        <f t="shared" si="64"/>
        <v>3470.2046174700768</v>
      </c>
    </row>
    <row r="1040" spans="1:5">
      <c r="A1040">
        <f t="shared" si="60"/>
        <v>-0.5</v>
      </c>
      <c r="B1040">
        <f t="shared" si="61"/>
        <v>2691.0805307414003</v>
      </c>
      <c r="C1040">
        <f t="shared" si="62"/>
        <v>1631.2498263703887</v>
      </c>
      <c r="D1040">
        <f t="shared" si="63"/>
        <v>3429.9213186632924</v>
      </c>
      <c r="E1040">
        <f t="shared" si="64"/>
        <v>3398.275856941299</v>
      </c>
    </row>
    <row r="1041" spans="1:5">
      <c r="A1041">
        <f t="shared" si="60"/>
        <v>-0.49199999999999999</v>
      </c>
      <c r="B1041">
        <f t="shared" si="61"/>
        <v>2690.5728047037751</v>
      </c>
      <c r="C1041">
        <f t="shared" si="62"/>
        <v>1601.4478772869256</v>
      </c>
      <c r="D1041">
        <f t="shared" si="63"/>
        <v>3358.8216005216295</v>
      </c>
      <c r="E1041">
        <f t="shared" si="64"/>
        <v>3327.0999332019856</v>
      </c>
    </row>
    <row r="1042" spans="1:5">
      <c r="A1042">
        <f t="shared" si="60"/>
        <v>-0.48299999999999998</v>
      </c>
      <c r="B1042">
        <f t="shared" si="61"/>
        <v>2690.0113198410036</v>
      </c>
      <c r="C1042">
        <f t="shared" si="62"/>
        <v>1568.1888433957399</v>
      </c>
      <c r="D1042">
        <f t="shared" si="63"/>
        <v>3279.710632319749</v>
      </c>
      <c r="E1042">
        <f t="shared" si="64"/>
        <v>3247.9196088934864</v>
      </c>
    </row>
    <row r="1043" spans="1:5">
      <c r="A1043">
        <f t="shared" si="60"/>
        <v>-0.47499999999999998</v>
      </c>
      <c r="B1043">
        <f t="shared" si="61"/>
        <v>2689.520854217586</v>
      </c>
      <c r="C1043">
        <f t="shared" si="62"/>
        <v>1538.8616802693725</v>
      </c>
      <c r="D1043">
        <f t="shared" si="63"/>
        <v>3210.1620844044405</v>
      </c>
      <c r="E1043">
        <f t="shared" si="64"/>
        <v>3178.3238656808849</v>
      </c>
    </row>
    <row r="1044" spans="1:5">
      <c r="A1044">
        <f t="shared" ref="A1044:A1107" si="65">I66</f>
        <v>-0.46700000000000003</v>
      </c>
      <c r="B1044">
        <f t="shared" ref="B1044:B1107" si="66">AH66</f>
        <v>2689.038516240782</v>
      </c>
      <c r="C1044">
        <f t="shared" ref="C1044:C1107" si="67">AJ66</f>
        <v>1509.7552162254726</v>
      </c>
      <c r="D1044">
        <f t="shared" ref="D1044:D1107" si="68">AL66</f>
        <v>3141.3341110240226</v>
      </c>
      <c r="E1044">
        <f t="shared" ref="E1044:E1107" si="69">AN66</f>
        <v>3109.4621922008068</v>
      </c>
    </row>
    <row r="1045" spans="1:5">
      <c r="A1045">
        <f t="shared" si="65"/>
        <v>-0.45800000000000002</v>
      </c>
      <c r="B1045">
        <f t="shared" si="66"/>
        <v>2688.505605067754</v>
      </c>
      <c r="C1045">
        <f t="shared" si="67"/>
        <v>1477.272095393459</v>
      </c>
      <c r="D1045">
        <f t="shared" si="68"/>
        <v>3064.7562292393345</v>
      </c>
      <c r="E1045">
        <f t="shared" si="69"/>
        <v>3032.8623798858607</v>
      </c>
    </row>
    <row r="1046" spans="1:5">
      <c r="A1046">
        <f t="shared" si="65"/>
        <v>-0.45</v>
      </c>
      <c r="B1046">
        <f t="shared" si="66"/>
        <v>2688.0405488767533</v>
      </c>
      <c r="C1046">
        <f t="shared" si="67"/>
        <v>1448.628895361848</v>
      </c>
      <c r="D1046">
        <f t="shared" si="68"/>
        <v>2997.4387220817075</v>
      </c>
      <c r="E1046">
        <f t="shared" si="69"/>
        <v>2965.5394356653028</v>
      </c>
    </row>
    <row r="1047" spans="1:5">
      <c r="A1047">
        <f t="shared" si="65"/>
        <v>-0.442</v>
      </c>
      <c r="B1047">
        <f t="shared" si="66"/>
        <v>2687.5836301386457</v>
      </c>
      <c r="C1047">
        <f t="shared" si="67"/>
        <v>1420.2010523856848</v>
      </c>
      <c r="D1047">
        <f t="shared" si="68"/>
        <v>2930.8219568286472</v>
      </c>
      <c r="E1047">
        <f t="shared" si="69"/>
        <v>2898.930305024403</v>
      </c>
    </row>
    <row r="1048" spans="1:5">
      <c r="A1048">
        <f t="shared" si="65"/>
        <v>-0.433</v>
      </c>
      <c r="B1048">
        <f t="shared" si="66"/>
        <v>2687.0793271300054</v>
      </c>
      <c r="C1048">
        <f t="shared" si="67"/>
        <v>1388.4750825653464</v>
      </c>
      <c r="D1048">
        <f t="shared" si="68"/>
        <v>2856.707437171217</v>
      </c>
      <c r="E1048">
        <f t="shared" si="69"/>
        <v>2824.8397867428093</v>
      </c>
    </row>
    <row r="1049" spans="1:5">
      <c r="A1049">
        <f t="shared" si="65"/>
        <v>-0.42499999999999999</v>
      </c>
      <c r="B1049">
        <f t="shared" si="66"/>
        <v>2686.6397104802963</v>
      </c>
      <c r="C1049">
        <f t="shared" si="67"/>
        <v>1360.4994034490926</v>
      </c>
      <c r="D1049">
        <f t="shared" si="68"/>
        <v>2791.5575527526471</v>
      </c>
      <c r="E1049">
        <f t="shared" si="69"/>
        <v>2759.7247264813568</v>
      </c>
    </row>
    <row r="1050" spans="1:5">
      <c r="A1050">
        <f t="shared" si="65"/>
        <v>-0.41699999999999998</v>
      </c>
      <c r="B1050">
        <f t="shared" si="66"/>
        <v>2686.2082405845767</v>
      </c>
      <c r="C1050">
        <f t="shared" si="67"/>
        <v>1332.7340115462373</v>
      </c>
      <c r="D1050">
        <f t="shared" si="68"/>
        <v>2727.0872248769224</v>
      </c>
      <c r="E1050">
        <f t="shared" si="69"/>
        <v>2695.3016989076077</v>
      </c>
    </row>
    <row r="1051" spans="1:5">
      <c r="A1051">
        <f t="shared" si="65"/>
        <v>-0.40799999999999997</v>
      </c>
      <c r="B1051">
        <f t="shared" si="66"/>
        <v>2685.7325784389564</v>
      </c>
      <c r="C1051">
        <f t="shared" si="67"/>
        <v>1301.7473946103885</v>
      </c>
      <c r="D1051">
        <f t="shared" si="68"/>
        <v>2655.3615925812765</v>
      </c>
      <c r="E1051">
        <f t="shared" si="69"/>
        <v>2623.643900129246</v>
      </c>
    </row>
    <row r="1052" spans="1:5">
      <c r="A1052">
        <f t="shared" si="65"/>
        <v>-0.4</v>
      </c>
      <c r="B1052">
        <f t="shared" si="66"/>
        <v>2685.318429856306</v>
      </c>
      <c r="C1052">
        <f t="shared" si="67"/>
        <v>1274.4238323326915</v>
      </c>
      <c r="D1052">
        <f t="shared" si="68"/>
        <v>2592.3117154336151</v>
      </c>
      <c r="E1052">
        <f t="shared" si="69"/>
        <v>2560.6670284536167</v>
      </c>
    </row>
    <row r="1053" spans="1:5">
      <c r="A1053">
        <f t="shared" si="65"/>
        <v>-0.39200000000000002</v>
      </c>
      <c r="B1053">
        <f t="shared" si="66"/>
        <v>2684.9124368195003</v>
      </c>
      <c r="C1053">
        <f t="shared" si="67"/>
        <v>1247.305949695761</v>
      </c>
      <c r="D1053">
        <f t="shared" si="68"/>
        <v>2529.9188951271449</v>
      </c>
      <c r="E1053">
        <f t="shared" si="69"/>
        <v>2498.3588768603126</v>
      </c>
    </row>
    <row r="1054" spans="1:5">
      <c r="A1054">
        <f t="shared" si="65"/>
        <v>-0.38300000000000001</v>
      </c>
      <c r="B1054">
        <f t="shared" si="66"/>
        <v>2684.4654464452342</v>
      </c>
      <c r="C1054">
        <f t="shared" si="67"/>
        <v>1217.0425226665805</v>
      </c>
      <c r="D1054">
        <f t="shared" si="68"/>
        <v>2460.5030623996822</v>
      </c>
      <c r="E1054">
        <f t="shared" si="69"/>
        <v>2429.0518438601966</v>
      </c>
    </row>
    <row r="1055" spans="1:5">
      <c r="A1055">
        <f t="shared" si="65"/>
        <v>-0.375</v>
      </c>
      <c r="B1055">
        <f t="shared" si="66"/>
        <v>2684.0767928598584</v>
      </c>
      <c r="C1055">
        <f t="shared" si="67"/>
        <v>1190.3573781400514</v>
      </c>
      <c r="D1055">
        <f t="shared" si="68"/>
        <v>2399.4815554213374</v>
      </c>
      <c r="E1055">
        <f t="shared" si="69"/>
        <v>2368.1387047809635</v>
      </c>
    </row>
    <row r="1056" spans="1:5">
      <c r="A1056">
        <f t="shared" si="65"/>
        <v>-0.36699999999999999</v>
      </c>
      <c r="B1056">
        <f t="shared" si="66"/>
        <v>2683.6963030990701</v>
      </c>
      <c r="C1056">
        <f t="shared" si="67"/>
        <v>1163.8740325347778</v>
      </c>
      <c r="D1056">
        <f t="shared" si="68"/>
        <v>2339.0933871403463</v>
      </c>
      <c r="E1056">
        <f t="shared" si="69"/>
        <v>2307.869477325939</v>
      </c>
    </row>
    <row r="1057" spans="1:5">
      <c r="A1057">
        <f t="shared" si="65"/>
        <v>-0.35799999999999998</v>
      </c>
      <c r="B1057">
        <f t="shared" si="66"/>
        <v>2683.2780136005345</v>
      </c>
      <c r="C1057">
        <f t="shared" si="67"/>
        <v>1134.3202022333339</v>
      </c>
      <c r="D1057">
        <f t="shared" si="68"/>
        <v>2271.9039940577863</v>
      </c>
      <c r="E1057">
        <f t="shared" si="69"/>
        <v>2240.8260060943512</v>
      </c>
    </row>
    <row r="1058" spans="1:5">
      <c r="A1058">
        <f t="shared" si="65"/>
        <v>-0.35</v>
      </c>
      <c r="B1058">
        <f t="shared" si="66"/>
        <v>2682.9148803352541</v>
      </c>
      <c r="C1058">
        <f t="shared" si="67"/>
        <v>1108.2624133501783</v>
      </c>
      <c r="D1058">
        <f t="shared" si="68"/>
        <v>2212.8355811384035</v>
      </c>
      <c r="E1058">
        <f t="shared" si="69"/>
        <v>2181.8975570992638</v>
      </c>
    </row>
    <row r="1059" spans="1:5">
      <c r="A1059">
        <f t="shared" si="65"/>
        <v>-0.34200000000000003</v>
      </c>
      <c r="B1059">
        <f t="shared" si="66"/>
        <v>2682.5599186564959</v>
      </c>
      <c r="C1059">
        <f t="shared" si="67"/>
        <v>1082.4036420950645</v>
      </c>
      <c r="D1059">
        <f t="shared" si="68"/>
        <v>2154.3757519290621</v>
      </c>
      <c r="E1059">
        <f t="shared" si="69"/>
        <v>2123.5868153942761</v>
      </c>
    </row>
    <row r="1060" spans="1:5">
      <c r="A1060">
        <f t="shared" si="65"/>
        <v>-0.33300000000000002</v>
      </c>
      <c r="B1060">
        <f t="shared" si="66"/>
        <v>2682.1703573214322</v>
      </c>
      <c r="C1060">
        <f t="shared" si="67"/>
        <v>1053.5497018470367</v>
      </c>
      <c r="D1060">
        <f t="shared" si="68"/>
        <v>2089.3258107719435</v>
      </c>
      <c r="E1060">
        <f t="shared" si="69"/>
        <v>2058.7148075309083</v>
      </c>
    </row>
    <row r="1061" spans="1:5">
      <c r="A1061">
        <f t="shared" si="65"/>
        <v>-0.32500000000000001</v>
      </c>
      <c r="B1061">
        <f t="shared" si="66"/>
        <v>2681.8327680804646</v>
      </c>
      <c r="C1061">
        <f t="shared" si="67"/>
        <v>1028.1121624339564</v>
      </c>
      <c r="D1061">
        <f t="shared" si="68"/>
        <v>2032.1322695231349</v>
      </c>
      <c r="E1061">
        <f t="shared" si="69"/>
        <v>2001.6878257232431</v>
      </c>
    </row>
    <row r="1062" spans="1:5">
      <c r="A1062">
        <f t="shared" si="65"/>
        <v>-0.317</v>
      </c>
      <c r="B1062">
        <f t="shared" si="66"/>
        <v>2681.5033576678143</v>
      </c>
      <c r="C1062">
        <f t="shared" si="67"/>
        <v>1002.8724909144175</v>
      </c>
      <c r="D1062">
        <f t="shared" si="68"/>
        <v>1975.5218318440923</v>
      </c>
      <c r="E1062">
        <f t="shared" si="69"/>
        <v>1945.2511482815198</v>
      </c>
    </row>
    <row r="1063" spans="1:5">
      <c r="A1063">
        <f t="shared" si="65"/>
        <v>-0.308</v>
      </c>
      <c r="B1063">
        <f t="shared" si="66"/>
        <v>2681.1425499551765</v>
      </c>
      <c r="C1063">
        <f t="shared" si="67"/>
        <v>974.71450211271815</v>
      </c>
      <c r="D1063">
        <f t="shared" si="68"/>
        <v>1912.5218325119242</v>
      </c>
      <c r="E1063">
        <f t="shared" si="69"/>
        <v>1882.4543117385992</v>
      </c>
    </row>
    <row r="1064" spans="1:5">
      <c r="A1064">
        <f t="shared" si="65"/>
        <v>-0.3</v>
      </c>
      <c r="B1064">
        <f t="shared" si="66"/>
        <v>2680.8305268137187</v>
      </c>
      <c r="C1064">
        <f t="shared" si="67"/>
        <v>949.89595685143365</v>
      </c>
      <c r="D1064">
        <f t="shared" si="68"/>
        <v>1857.1231620816707</v>
      </c>
      <c r="E1064">
        <f t="shared" si="69"/>
        <v>1827.2421550832848</v>
      </c>
    </row>
    <row r="1065" spans="1:5">
      <c r="A1065">
        <f t="shared" si="65"/>
        <v>-0.29199999999999998</v>
      </c>
      <c r="B1065">
        <f t="shared" si="66"/>
        <v>2680.526689218967</v>
      </c>
      <c r="C1065">
        <f t="shared" si="67"/>
        <v>925.27653395464438</v>
      </c>
      <c r="D1065">
        <f t="shared" si="68"/>
        <v>1802.2819043727304</v>
      </c>
      <c r="E1065">
        <f t="shared" si="69"/>
        <v>1772.5920499108024</v>
      </c>
    </row>
    <row r="1066" spans="1:5">
      <c r="A1066">
        <f t="shared" si="65"/>
        <v>-0.28299999999999997</v>
      </c>
      <c r="B1066">
        <f t="shared" si="66"/>
        <v>2680.1946587476814</v>
      </c>
      <c r="C1066">
        <f t="shared" si="67"/>
        <v>897.81905962626126</v>
      </c>
      <c r="D1066">
        <f t="shared" si="68"/>
        <v>1741.2416393615815</v>
      </c>
      <c r="E1066">
        <f t="shared" si="69"/>
        <v>1711.7711368171172</v>
      </c>
    </row>
    <row r="1067" spans="1:5">
      <c r="A1067">
        <f t="shared" si="65"/>
        <v>-0.27500000000000002</v>
      </c>
      <c r="B1067">
        <f t="shared" si="66"/>
        <v>2679.9082221420913</v>
      </c>
      <c r="C1067">
        <f t="shared" si="67"/>
        <v>873.62687375191115</v>
      </c>
      <c r="D1067">
        <f t="shared" si="68"/>
        <v>1687.5579776583929</v>
      </c>
      <c r="E1067">
        <f t="shared" si="69"/>
        <v>1658.2850643618456</v>
      </c>
    </row>
    <row r="1068" spans="1:5">
      <c r="A1068">
        <f t="shared" si="65"/>
        <v>-0.26700000000000002</v>
      </c>
      <c r="B1068">
        <f t="shared" si="66"/>
        <v>2679.6299772752322</v>
      </c>
      <c r="C1068">
        <f t="shared" si="67"/>
        <v>849.63861157700319</v>
      </c>
      <c r="D1068">
        <f t="shared" si="68"/>
        <v>1634.406668398929</v>
      </c>
      <c r="E1068">
        <f t="shared" si="69"/>
        <v>1605.3325327342354</v>
      </c>
    </row>
    <row r="1069" spans="1:5">
      <c r="A1069">
        <f t="shared" si="65"/>
        <v>-0.25800000000000001</v>
      </c>
      <c r="B1069">
        <f t="shared" si="66"/>
        <v>2679.3267458137466</v>
      </c>
      <c r="C1069">
        <f t="shared" si="67"/>
        <v>822.89876155971092</v>
      </c>
      <c r="D1069">
        <f t="shared" si="68"/>
        <v>1575.2382195812656</v>
      </c>
      <c r="E1069">
        <f t="shared" si="69"/>
        <v>1546.3874430517001</v>
      </c>
    </row>
    <row r="1070" spans="1:5">
      <c r="A1070">
        <f t="shared" si="65"/>
        <v>-0.25</v>
      </c>
      <c r="B1070">
        <f t="shared" si="66"/>
        <v>2679.0659145324939</v>
      </c>
      <c r="C1070">
        <f t="shared" si="67"/>
        <v>799.35304652578816</v>
      </c>
      <c r="D1070">
        <f t="shared" si="68"/>
        <v>1523.1929864371127</v>
      </c>
      <c r="E1070">
        <f t="shared" si="69"/>
        <v>1494.538848738704</v>
      </c>
    </row>
    <row r="1071" spans="1:5">
      <c r="A1071">
        <f t="shared" si="65"/>
        <v>-0.24199999999999999</v>
      </c>
      <c r="B1071">
        <f t="shared" si="66"/>
        <v>2678.8132806528729</v>
      </c>
      <c r="C1071">
        <f t="shared" si="67"/>
        <v>776.02132681113301</v>
      </c>
      <c r="D1071">
        <f t="shared" si="68"/>
        <v>1471.657065923119</v>
      </c>
      <c r="E1071">
        <f t="shared" si="69"/>
        <v>1443.1960281662846</v>
      </c>
    </row>
    <row r="1072" spans="1:5">
      <c r="A1072">
        <f t="shared" si="65"/>
        <v>-0.23300000000000001</v>
      </c>
      <c r="B1072">
        <f t="shared" si="66"/>
        <v>2678.53886810944</v>
      </c>
      <c r="C1072">
        <f t="shared" si="67"/>
        <v>750.03486285335612</v>
      </c>
      <c r="D1072">
        <f t="shared" si="68"/>
        <v>1414.2797453815531</v>
      </c>
      <c r="E1072">
        <f t="shared" si="69"/>
        <v>1386.0293710733336</v>
      </c>
    </row>
    <row r="1073" spans="1:5">
      <c r="A1073">
        <f t="shared" si="65"/>
        <v>-0.22500000000000001</v>
      </c>
      <c r="B1073">
        <f t="shared" si="66"/>
        <v>2678.3036592847507</v>
      </c>
      <c r="C1073">
        <f t="shared" si="67"/>
        <v>727.17474536725172</v>
      </c>
      <c r="D1073">
        <f t="shared" si="68"/>
        <v>1363.8048794660731</v>
      </c>
      <c r="E1073">
        <f t="shared" si="69"/>
        <v>1335.7335814317601</v>
      </c>
    </row>
    <row r="1074" spans="1:5">
      <c r="A1074">
        <f t="shared" si="65"/>
        <v>-0.217</v>
      </c>
      <c r="B1074">
        <f t="shared" si="66"/>
        <v>2678.0766529929315</v>
      </c>
      <c r="C1074">
        <f t="shared" si="67"/>
        <v>704.54661686923862</v>
      </c>
      <c r="D1074">
        <f t="shared" si="68"/>
        <v>1313.820661862484</v>
      </c>
      <c r="E1074">
        <f t="shared" si="69"/>
        <v>1285.9182668026356</v>
      </c>
    </row>
    <row r="1075" spans="1:5">
      <c r="A1075">
        <f t="shared" si="65"/>
        <v>-0.20799999999999999</v>
      </c>
      <c r="B1075">
        <f t="shared" si="66"/>
        <v>2677.8310774067595</v>
      </c>
      <c r="C1075">
        <f t="shared" si="67"/>
        <v>679.37735188566262</v>
      </c>
      <c r="D1075">
        <f t="shared" si="68"/>
        <v>1258.1693986938863</v>
      </c>
      <c r="E1075">
        <f t="shared" si="69"/>
        <v>1230.4415066288307</v>
      </c>
    </row>
    <row r="1076" spans="1:5">
      <c r="A1076">
        <f t="shared" si="65"/>
        <v>-0.2</v>
      </c>
      <c r="B1076">
        <f t="shared" si="66"/>
        <v>2677.6215065069619</v>
      </c>
      <c r="C1076">
        <f t="shared" si="67"/>
        <v>657.27068851642468</v>
      </c>
      <c r="D1076">
        <f t="shared" si="68"/>
        <v>1209.2143519498034</v>
      </c>
      <c r="E1076">
        <f t="shared" si="69"/>
        <v>1181.6244054437507</v>
      </c>
    </row>
    <row r="1077" spans="1:5">
      <c r="A1077">
        <f t="shared" si="65"/>
        <v>-0.192</v>
      </c>
      <c r="B1077">
        <f t="shared" si="66"/>
        <v>2677.4201427373237</v>
      </c>
      <c r="C1077">
        <f t="shared" si="67"/>
        <v>635.42608587189397</v>
      </c>
      <c r="D1077">
        <f t="shared" si="68"/>
        <v>1160.7398106982935</v>
      </c>
      <c r="E1077">
        <f t="shared" si="69"/>
        <v>1133.2680310356866</v>
      </c>
    </row>
    <row r="1078" spans="1:5">
      <c r="A1078">
        <f t="shared" si="65"/>
        <v>-0.183</v>
      </c>
      <c r="B1078">
        <f t="shared" si="66"/>
        <v>2677.2034202705154</v>
      </c>
      <c r="C1078">
        <f t="shared" si="67"/>
        <v>611.18062071366592</v>
      </c>
      <c r="D1078">
        <f t="shared" si="68"/>
        <v>1106.7799512839299</v>
      </c>
      <c r="E1078">
        <f t="shared" si="69"/>
        <v>1079.4124988914414</v>
      </c>
    </row>
    <row r="1079" spans="1:5">
      <c r="A1079">
        <f t="shared" si="65"/>
        <v>-0.17499999999999999</v>
      </c>
      <c r="B1079">
        <f t="shared" si="66"/>
        <v>2677.019501093122</v>
      </c>
      <c r="C1079">
        <f t="shared" si="67"/>
        <v>589.93930874913281</v>
      </c>
      <c r="D1079">
        <f t="shared" si="68"/>
        <v>1059.3278163208254</v>
      </c>
      <c r="E1079">
        <f t="shared" si="69"/>
        <v>1032.0225937697833</v>
      </c>
    </row>
    <row r="1080" spans="1:5">
      <c r="A1080">
        <f t="shared" si="65"/>
        <v>-0.16700000000000001</v>
      </c>
      <c r="B1080">
        <f t="shared" si="66"/>
        <v>2676.843793107199</v>
      </c>
      <c r="C1080">
        <f t="shared" si="67"/>
        <v>569.00880810029753</v>
      </c>
      <c r="D1080">
        <f t="shared" si="68"/>
        <v>1012.362240937457</v>
      </c>
      <c r="E1080">
        <f t="shared" si="69"/>
        <v>985.08502580385175</v>
      </c>
    </row>
    <row r="1081" spans="1:5">
      <c r="A1081">
        <f t="shared" si="65"/>
        <v>-0.158</v>
      </c>
      <c r="B1081">
        <f t="shared" si="66"/>
        <v>2676.6559380375311</v>
      </c>
      <c r="C1081">
        <f t="shared" si="67"/>
        <v>545.85993350873184</v>
      </c>
      <c r="D1081">
        <f t="shared" si="68"/>
        <v>960.11703342820601</v>
      </c>
      <c r="E1081">
        <f t="shared" si="69"/>
        <v>932.82274514534868</v>
      </c>
    </row>
    <row r="1082" spans="1:5">
      <c r="A1082">
        <f t="shared" si="65"/>
        <v>-0.15</v>
      </c>
      <c r="B1082">
        <f t="shared" si="66"/>
        <v>2676.4976827030932</v>
      </c>
      <c r="C1082">
        <f t="shared" si="67"/>
        <v>525.66427144455326</v>
      </c>
      <c r="D1082">
        <f t="shared" si="68"/>
        <v>914.21509447541018</v>
      </c>
      <c r="E1082">
        <f t="shared" si="69"/>
        <v>886.85449472026994</v>
      </c>
    </row>
    <row r="1083" spans="1:5">
      <c r="A1083">
        <f t="shared" si="65"/>
        <v>-0.14199999999999999</v>
      </c>
      <c r="B1083">
        <f t="shared" si="66"/>
        <v>2676.3476420836173</v>
      </c>
      <c r="C1083">
        <f t="shared" si="67"/>
        <v>505.85734229616077</v>
      </c>
      <c r="D1083">
        <f t="shared" si="68"/>
        <v>868.83708028220633</v>
      </c>
      <c r="E1083">
        <f t="shared" si="69"/>
        <v>841.35327888293671</v>
      </c>
    </row>
    <row r="1084" spans="1:5">
      <c r="A1084">
        <f t="shared" si="65"/>
        <v>-0.13300000000000001</v>
      </c>
      <c r="B1084">
        <f t="shared" si="66"/>
        <v>2676.1886667981512</v>
      </c>
      <c r="C1084">
        <f t="shared" si="67"/>
        <v>484.08118424505756</v>
      </c>
      <c r="D1084">
        <f t="shared" si="68"/>
        <v>818.44200766992435</v>
      </c>
      <c r="E1084">
        <f t="shared" si="69"/>
        <v>790.73922174294944</v>
      </c>
    </row>
    <row r="1085" spans="1:5">
      <c r="A1085">
        <f t="shared" si="65"/>
        <v>-0.125</v>
      </c>
      <c r="B1085">
        <f t="shared" si="66"/>
        <v>2676.0560857448104</v>
      </c>
      <c r="C1085">
        <f t="shared" si="67"/>
        <v>465.21831918360385</v>
      </c>
      <c r="D1085">
        <f t="shared" si="68"/>
        <v>774.26357736360831</v>
      </c>
      <c r="E1085">
        <f t="shared" si="69"/>
        <v>746.28169026439843</v>
      </c>
    </row>
    <row r="1086" spans="1:5">
      <c r="A1086">
        <f t="shared" si="65"/>
        <v>-0.11700000000000001</v>
      </c>
      <c r="B1086">
        <f t="shared" si="66"/>
        <v>2675.93172239053</v>
      </c>
      <c r="C1086">
        <f t="shared" si="67"/>
        <v>446.86749403358624</v>
      </c>
      <c r="D1086">
        <f t="shared" si="68"/>
        <v>730.70973255620993</v>
      </c>
      <c r="E1086">
        <f t="shared" si="69"/>
        <v>702.35477860817696</v>
      </c>
    </row>
    <row r="1087" spans="1:5">
      <c r="A1087">
        <f t="shared" si="65"/>
        <v>-0.108</v>
      </c>
      <c r="B1087">
        <f t="shared" si="66"/>
        <v>2675.801637380072</v>
      </c>
      <c r="C1087">
        <f t="shared" si="67"/>
        <v>426.90066876687405</v>
      </c>
      <c r="D1087">
        <f t="shared" si="68"/>
        <v>682.52802138756863</v>
      </c>
      <c r="E1087">
        <f t="shared" si="69"/>
        <v>653.62041243254544</v>
      </c>
    </row>
    <row r="1088" spans="1:5">
      <c r="A1088">
        <f t="shared" si="65"/>
        <v>-0.1</v>
      </c>
      <c r="B1088">
        <f t="shared" si="66"/>
        <v>2675.6947393589066</v>
      </c>
      <c r="C1088">
        <f t="shared" si="67"/>
        <v>409.82236463418178</v>
      </c>
      <c r="D1088">
        <f t="shared" si="68"/>
        <v>640.5073835750494</v>
      </c>
      <c r="E1088">
        <f t="shared" si="69"/>
        <v>610.9686237412925</v>
      </c>
    </row>
    <row r="1089" spans="1:5">
      <c r="A1089">
        <f t="shared" si="65"/>
        <v>-9.1999999999999998E-2</v>
      </c>
      <c r="B1089">
        <f t="shared" si="66"/>
        <v>2675.5960614801529</v>
      </c>
      <c r="C1089">
        <f t="shared" si="67"/>
        <v>393.44746490213646</v>
      </c>
      <c r="D1089">
        <f t="shared" si="68"/>
        <v>599.34841039901539</v>
      </c>
      <c r="E1089">
        <f t="shared" si="69"/>
        <v>569.02276868174431</v>
      </c>
    </row>
    <row r="1090" spans="1:5">
      <c r="A1090">
        <f t="shared" si="65"/>
        <v>-8.3000000000000004E-2</v>
      </c>
      <c r="B1090">
        <f t="shared" si="66"/>
        <v>2675.4948753344852</v>
      </c>
      <c r="C1090">
        <f t="shared" si="67"/>
        <v>375.96606957909472</v>
      </c>
      <c r="D1090">
        <f t="shared" si="68"/>
        <v>554.23623167510391</v>
      </c>
      <c r="E1090">
        <f t="shared" si="69"/>
        <v>522.8056693168993</v>
      </c>
    </row>
    <row r="1091" spans="1:5">
      <c r="A1091">
        <f t="shared" si="65"/>
        <v>-7.4999999999999997E-2</v>
      </c>
      <c r="B1091">
        <f t="shared" si="66"/>
        <v>2675.4136674055262</v>
      </c>
      <c r="C1091">
        <f t="shared" si="67"/>
        <v>361.36283308427818</v>
      </c>
      <c r="D1091">
        <f t="shared" si="68"/>
        <v>515.38593594731606</v>
      </c>
      <c r="E1091">
        <f t="shared" si="69"/>
        <v>482.74430884328382</v>
      </c>
    </row>
    <row r="1092" spans="1:5">
      <c r="A1092">
        <f t="shared" si="65"/>
        <v>-6.7000000000000004E-2</v>
      </c>
      <c r="B1092">
        <f t="shared" si="66"/>
        <v>2675.3406815205371</v>
      </c>
      <c r="C1092">
        <f t="shared" si="67"/>
        <v>347.74512770791858</v>
      </c>
      <c r="D1092">
        <f t="shared" si="68"/>
        <v>477.94862974966588</v>
      </c>
      <c r="E1092">
        <f t="shared" si="69"/>
        <v>443.8466445893456</v>
      </c>
    </row>
    <row r="1093" spans="1:5">
      <c r="A1093">
        <f t="shared" si="65"/>
        <v>-5.8000000000000003E-2</v>
      </c>
      <c r="B1093">
        <f t="shared" si="66"/>
        <v>2675.2684009246454</v>
      </c>
      <c r="C1093">
        <f t="shared" si="67"/>
        <v>333.7408733876195</v>
      </c>
      <c r="D1093">
        <f t="shared" si="68"/>
        <v>437.89929731903487</v>
      </c>
      <c r="E1093">
        <f t="shared" si="69"/>
        <v>401.81820551497754</v>
      </c>
    </row>
    <row r="1094" spans="1:5">
      <c r="A1094">
        <f t="shared" si="65"/>
        <v>-0.05</v>
      </c>
      <c r="B1094">
        <f t="shared" si="66"/>
        <v>2675.2128884537788</v>
      </c>
      <c r="C1094">
        <f t="shared" si="67"/>
        <v>322.5932252064959</v>
      </c>
      <c r="D1094">
        <f t="shared" si="68"/>
        <v>404.58204465567519</v>
      </c>
      <c r="E1094">
        <f t="shared" si="69"/>
        <v>366.42028097133147</v>
      </c>
    </row>
    <row r="1095" spans="1:5">
      <c r="A1095">
        <f t="shared" si="65"/>
        <v>-4.2000000000000003E-2</v>
      </c>
      <c r="B1095">
        <f t="shared" si="66"/>
        <v>2675.1655993857221</v>
      </c>
      <c r="C1095">
        <f t="shared" si="67"/>
        <v>312.79808444872799</v>
      </c>
      <c r="D1095">
        <f t="shared" si="68"/>
        <v>373.95808704286753</v>
      </c>
      <c r="E1095">
        <f t="shared" si="69"/>
        <v>333.41947696346216</v>
      </c>
    </row>
    <row r="1096" spans="1:5">
      <c r="A1096">
        <f t="shared" si="65"/>
        <v>-3.3000000000000002E-2</v>
      </c>
      <c r="B1096">
        <f t="shared" si="66"/>
        <v>2675.1222291167342</v>
      </c>
      <c r="C1096">
        <f t="shared" si="67"/>
        <v>303.54886988121996</v>
      </c>
      <c r="D1096">
        <f t="shared" si="68"/>
        <v>343.5612623013572</v>
      </c>
      <c r="E1096">
        <f t="shared" si="69"/>
        <v>300.07341715264386</v>
      </c>
    </row>
    <row r="1097" spans="1:5">
      <c r="A1097">
        <f t="shared" si="65"/>
        <v>-2.5000000000000001E-2</v>
      </c>
      <c r="B1097">
        <f t="shared" si="66"/>
        <v>2675.0924157732229</v>
      </c>
      <c r="C1097">
        <f t="shared" si="67"/>
        <v>297.03061836832649</v>
      </c>
      <c r="D1097">
        <f t="shared" si="68"/>
        <v>321.04928767386309</v>
      </c>
      <c r="E1097">
        <f t="shared" si="69"/>
        <v>274.87151736535009</v>
      </c>
    </row>
    <row r="1098" spans="1:5">
      <c r="A1098">
        <f t="shared" si="65"/>
        <v>-1.7000000000000001E-2</v>
      </c>
      <c r="B1098">
        <f t="shared" si="66"/>
        <v>2675.0708266480583</v>
      </c>
      <c r="C1098">
        <f t="shared" si="67"/>
        <v>292.22322937692019</v>
      </c>
      <c r="D1098">
        <f t="shared" si="68"/>
        <v>303.73346224026676</v>
      </c>
      <c r="E1098">
        <f t="shared" si="69"/>
        <v>255.10349072494134</v>
      </c>
    </row>
    <row r="1099" spans="1:5">
      <c r="A1099">
        <f t="shared" si="65"/>
        <v>-8.0000000000000002E-3</v>
      </c>
      <c r="B1099">
        <f t="shared" si="66"/>
        <v>2675.0563695731153</v>
      </c>
      <c r="C1099">
        <f t="shared" si="67"/>
        <v>288.96093772220826</v>
      </c>
      <c r="D1099">
        <f t="shared" si="68"/>
        <v>291.57635730626026</v>
      </c>
      <c r="E1099">
        <f t="shared" si="69"/>
        <v>240.97664531965657</v>
      </c>
    </row>
    <row r="1100" spans="1:5">
      <c r="A1100">
        <f t="shared" si="65"/>
        <v>0</v>
      </c>
      <c r="B1100">
        <f t="shared" si="66"/>
        <v>2675.0522573279914</v>
      </c>
      <c r="C1100">
        <f t="shared" si="67"/>
        <v>288.02648974651419</v>
      </c>
      <c r="D1100">
        <f t="shared" si="68"/>
        <v>288.02648974651419</v>
      </c>
      <c r="E1100">
        <f t="shared" si="69"/>
        <v>236.80676373491008</v>
      </c>
    </row>
    <row r="1101" spans="1:5">
      <c r="A1101">
        <f t="shared" si="65"/>
        <v>8.0000000000000002E-3</v>
      </c>
      <c r="B1101">
        <f t="shared" si="66"/>
        <v>2675.0563695731153</v>
      </c>
      <c r="C1101">
        <f t="shared" si="67"/>
        <v>288.96093772220826</v>
      </c>
      <c r="D1101">
        <f t="shared" si="68"/>
        <v>291.57635730626026</v>
      </c>
      <c r="E1101">
        <f t="shared" si="69"/>
        <v>240.97664531965657</v>
      </c>
    </row>
    <row r="1102" spans="1:5">
      <c r="A1102">
        <f t="shared" si="65"/>
        <v>1.7000000000000001E-2</v>
      </c>
      <c r="B1102">
        <f t="shared" si="66"/>
        <v>2675.0708266480583</v>
      </c>
      <c r="C1102">
        <f t="shared" si="67"/>
        <v>292.22322937692019</v>
      </c>
      <c r="D1102">
        <f t="shared" si="68"/>
        <v>303.73346224026676</v>
      </c>
      <c r="E1102">
        <f t="shared" si="69"/>
        <v>255.10349072494134</v>
      </c>
    </row>
    <row r="1103" spans="1:5">
      <c r="A1103">
        <f t="shared" si="65"/>
        <v>2.5000000000000001E-2</v>
      </c>
      <c r="B1103">
        <f t="shared" si="66"/>
        <v>2675.0924157732229</v>
      </c>
      <c r="C1103">
        <f t="shared" si="67"/>
        <v>297.03061836832649</v>
      </c>
      <c r="D1103">
        <f t="shared" si="68"/>
        <v>321.04928767386309</v>
      </c>
      <c r="E1103">
        <f t="shared" si="69"/>
        <v>274.87151736535009</v>
      </c>
    </row>
    <row r="1104" spans="1:5">
      <c r="A1104">
        <f t="shared" si="65"/>
        <v>3.3000000000000002E-2</v>
      </c>
      <c r="B1104">
        <f t="shared" si="66"/>
        <v>2675.1222291167342</v>
      </c>
      <c r="C1104">
        <f t="shared" si="67"/>
        <v>303.54886988121996</v>
      </c>
      <c r="D1104">
        <f t="shared" si="68"/>
        <v>343.5612623013572</v>
      </c>
      <c r="E1104">
        <f t="shared" si="69"/>
        <v>300.07341715264386</v>
      </c>
    </row>
    <row r="1105" spans="1:5">
      <c r="A1105">
        <f t="shared" si="65"/>
        <v>4.2000000000000003E-2</v>
      </c>
      <c r="B1105">
        <f t="shared" si="66"/>
        <v>2675.1655993857221</v>
      </c>
      <c r="C1105">
        <f t="shared" si="67"/>
        <v>312.79808444872799</v>
      </c>
      <c r="D1105">
        <f t="shared" si="68"/>
        <v>373.95808704286753</v>
      </c>
      <c r="E1105">
        <f t="shared" si="69"/>
        <v>333.41947696346216</v>
      </c>
    </row>
    <row r="1106" spans="1:5">
      <c r="A1106">
        <f t="shared" si="65"/>
        <v>0.05</v>
      </c>
      <c r="B1106">
        <f t="shared" si="66"/>
        <v>2675.2128884537788</v>
      </c>
      <c r="C1106">
        <f t="shared" si="67"/>
        <v>322.5932252064959</v>
      </c>
      <c r="D1106">
        <f t="shared" si="68"/>
        <v>404.58204465567519</v>
      </c>
      <c r="E1106">
        <f t="shared" si="69"/>
        <v>366.42028097133147</v>
      </c>
    </row>
    <row r="1107" spans="1:5">
      <c r="A1107">
        <f t="shared" si="65"/>
        <v>5.8000000000000003E-2</v>
      </c>
      <c r="B1107">
        <f t="shared" si="66"/>
        <v>2675.2684009246454</v>
      </c>
      <c r="C1107">
        <f t="shared" si="67"/>
        <v>333.7408733876195</v>
      </c>
      <c r="D1107">
        <f t="shared" si="68"/>
        <v>437.89929731903487</v>
      </c>
      <c r="E1107">
        <f t="shared" si="69"/>
        <v>401.81820551497754</v>
      </c>
    </row>
    <row r="1108" spans="1:5">
      <c r="A1108">
        <f t="shared" ref="A1108:A1171" si="70">I130</f>
        <v>6.7000000000000004E-2</v>
      </c>
      <c r="B1108">
        <f t="shared" ref="B1108:B1171" si="71">AH130</f>
        <v>2675.3406815205371</v>
      </c>
      <c r="C1108">
        <f t="shared" ref="C1108:C1171" si="72">AJ130</f>
        <v>347.74512770791858</v>
      </c>
      <c r="D1108">
        <f t="shared" ref="D1108:D1171" si="73">AL130</f>
        <v>477.94862974966588</v>
      </c>
      <c r="E1108">
        <f t="shared" ref="E1108:E1171" si="74">AN130</f>
        <v>443.8466445893456</v>
      </c>
    </row>
    <row r="1109" spans="1:5">
      <c r="A1109">
        <f t="shared" si="70"/>
        <v>7.4999999999999997E-2</v>
      </c>
      <c r="B1109">
        <f t="shared" si="71"/>
        <v>2675.4136674055262</v>
      </c>
      <c r="C1109">
        <f t="shared" si="72"/>
        <v>361.36283308427818</v>
      </c>
      <c r="D1109">
        <f t="shared" si="73"/>
        <v>515.38593594731606</v>
      </c>
      <c r="E1109">
        <f t="shared" si="74"/>
        <v>482.74430884328382</v>
      </c>
    </row>
    <row r="1110" spans="1:5">
      <c r="A1110">
        <f t="shared" si="70"/>
        <v>8.3000000000000004E-2</v>
      </c>
      <c r="B1110">
        <f t="shared" si="71"/>
        <v>2675.4948753344852</v>
      </c>
      <c r="C1110">
        <f t="shared" si="72"/>
        <v>375.96606957909472</v>
      </c>
      <c r="D1110">
        <f t="shared" si="73"/>
        <v>554.23623167510391</v>
      </c>
      <c r="E1110">
        <f t="shared" si="74"/>
        <v>522.8056693168993</v>
      </c>
    </row>
    <row r="1111" spans="1:5">
      <c r="A1111">
        <f t="shared" si="70"/>
        <v>9.1999999999999998E-2</v>
      </c>
      <c r="B1111">
        <f t="shared" si="71"/>
        <v>2675.5960614801529</v>
      </c>
      <c r="C1111">
        <f t="shared" si="72"/>
        <v>393.44746490213646</v>
      </c>
      <c r="D1111">
        <f t="shared" si="73"/>
        <v>599.34841039901539</v>
      </c>
      <c r="E1111">
        <f t="shared" si="74"/>
        <v>569.02276868174431</v>
      </c>
    </row>
    <row r="1112" spans="1:5">
      <c r="A1112">
        <f t="shared" si="70"/>
        <v>0.1</v>
      </c>
      <c r="B1112">
        <f t="shared" si="71"/>
        <v>2675.6947393589066</v>
      </c>
      <c r="C1112">
        <f t="shared" si="72"/>
        <v>409.82236463418178</v>
      </c>
      <c r="D1112">
        <f t="shared" si="73"/>
        <v>640.5073835750494</v>
      </c>
      <c r="E1112">
        <f t="shared" si="74"/>
        <v>610.9686237412925</v>
      </c>
    </row>
    <row r="1113" spans="1:5">
      <c r="A1113">
        <f t="shared" si="70"/>
        <v>0.108</v>
      </c>
      <c r="B1113">
        <f t="shared" si="71"/>
        <v>2675.801637380072</v>
      </c>
      <c r="C1113">
        <f t="shared" si="72"/>
        <v>426.90066876687405</v>
      </c>
      <c r="D1113">
        <f t="shared" si="73"/>
        <v>682.52802138756863</v>
      </c>
      <c r="E1113">
        <f t="shared" si="74"/>
        <v>653.62041243254544</v>
      </c>
    </row>
    <row r="1114" spans="1:5">
      <c r="A1114">
        <f t="shared" si="70"/>
        <v>0.11700000000000001</v>
      </c>
      <c r="B1114">
        <f t="shared" si="71"/>
        <v>2675.93172239053</v>
      </c>
      <c r="C1114">
        <f t="shared" si="72"/>
        <v>446.86749403358624</v>
      </c>
      <c r="D1114">
        <f t="shared" si="73"/>
        <v>730.70973255620993</v>
      </c>
      <c r="E1114">
        <f t="shared" si="74"/>
        <v>702.35477860817696</v>
      </c>
    </row>
    <row r="1115" spans="1:5">
      <c r="A1115">
        <f t="shared" si="70"/>
        <v>0.125</v>
      </c>
      <c r="B1115">
        <f t="shared" si="71"/>
        <v>2676.0560857448104</v>
      </c>
      <c r="C1115">
        <f t="shared" si="72"/>
        <v>465.21831918360385</v>
      </c>
      <c r="D1115">
        <f t="shared" si="73"/>
        <v>774.26357736360831</v>
      </c>
      <c r="E1115">
        <f t="shared" si="74"/>
        <v>746.28169026439843</v>
      </c>
    </row>
    <row r="1116" spans="1:5">
      <c r="A1116">
        <f t="shared" si="70"/>
        <v>0.13300000000000001</v>
      </c>
      <c r="B1116">
        <f t="shared" si="71"/>
        <v>2676.1886667981512</v>
      </c>
      <c r="C1116">
        <f t="shared" si="72"/>
        <v>484.08118424505756</v>
      </c>
      <c r="D1116">
        <f t="shared" si="73"/>
        <v>818.44200766992435</v>
      </c>
      <c r="E1116">
        <f t="shared" si="74"/>
        <v>790.73922174294944</v>
      </c>
    </row>
    <row r="1117" spans="1:5">
      <c r="A1117">
        <f t="shared" si="70"/>
        <v>0.14199999999999999</v>
      </c>
      <c r="B1117">
        <f t="shared" si="71"/>
        <v>2676.3476420836173</v>
      </c>
      <c r="C1117">
        <f t="shared" si="72"/>
        <v>505.85734229616077</v>
      </c>
      <c r="D1117">
        <f t="shared" si="73"/>
        <v>868.83708028218246</v>
      </c>
      <c r="E1117">
        <f t="shared" si="74"/>
        <v>841.35327888296126</v>
      </c>
    </row>
    <row r="1118" spans="1:5">
      <c r="A1118">
        <f t="shared" si="70"/>
        <v>0.15</v>
      </c>
      <c r="B1118">
        <f t="shared" si="71"/>
        <v>2676.4976827030932</v>
      </c>
      <c r="C1118">
        <f t="shared" si="72"/>
        <v>525.66427144455326</v>
      </c>
      <c r="D1118">
        <f t="shared" si="73"/>
        <v>914.21509447536471</v>
      </c>
      <c r="E1118">
        <f t="shared" si="74"/>
        <v>886.85449472026994</v>
      </c>
    </row>
    <row r="1119" spans="1:5">
      <c r="A1119">
        <f t="shared" si="70"/>
        <v>0.158</v>
      </c>
      <c r="B1119">
        <f t="shared" si="71"/>
        <v>2676.6559380375311</v>
      </c>
      <c r="C1119">
        <f t="shared" si="72"/>
        <v>545.85993350873184</v>
      </c>
      <c r="D1119">
        <f t="shared" si="73"/>
        <v>960.11703342820601</v>
      </c>
      <c r="E1119">
        <f t="shared" si="74"/>
        <v>932.82274514534868</v>
      </c>
    </row>
    <row r="1120" spans="1:5">
      <c r="A1120">
        <f t="shared" si="70"/>
        <v>0.16700000000000001</v>
      </c>
      <c r="B1120">
        <f t="shared" si="71"/>
        <v>2676.843793107199</v>
      </c>
      <c r="C1120">
        <f t="shared" si="72"/>
        <v>569.00880810029753</v>
      </c>
      <c r="D1120">
        <f t="shared" si="73"/>
        <v>1012.362240937457</v>
      </c>
      <c r="E1120">
        <f t="shared" si="74"/>
        <v>985.08502580385175</v>
      </c>
    </row>
    <row r="1121" spans="1:5">
      <c r="A1121">
        <f t="shared" si="70"/>
        <v>0.17499999999999999</v>
      </c>
      <c r="B1121">
        <f t="shared" si="71"/>
        <v>2677.019501093122</v>
      </c>
      <c r="C1121">
        <f t="shared" si="72"/>
        <v>589.93930874913281</v>
      </c>
      <c r="D1121">
        <f t="shared" si="73"/>
        <v>1059.3278163208254</v>
      </c>
      <c r="E1121">
        <f t="shared" si="74"/>
        <v>1032.0225937697833</v>
      </c>
    </row>
    <row r="1122" spans="1:5">
      <c r="A1122">
        <f t="shared" si="70"/>
        <v>0.183</v>
      </c>
      <c r="B1122">
        <f t="shared" si="71"/>
        <v>2677.2034202705154</v>
      </c>
      <c r="C1122">
        <f t="shared" si="72"/>
        <v>611.18062071366592</v>
      </c>
      <c r="D1122">
        <f t="shared" si="73"/>
        <v>1106.7799512839299</v>
      </c>
      <c r="E1122">
        <f t="shared" si="74"/>
        <v>1079.4124988914414</v>
      </c>
    </row>
    <row r="1123" spans="1:5">
      <c r="A1123">
        <f t="shared" si="70"/>
        <v>0.192</v>
      </c>
      <c r="B1123">
        <f t="shared" si="71"/>
        <v>2677.4201427373237</v>
      </c>
      <c r="C1123">
        <f t="shared" si="72"/>
        <v>635.42608587189397</v>
      </c>
      <c r="D1123">
        <f t="shared" si="73"/>
        <v>1160.7398106982935</v>
      </c>
      <c r="E1123">
        <f t="shared" si="74"/>
        <v>1133.2680310356866</v>
      </c>
    </row>
    <row r="1124" spans="1:5">
      <c r="A1124">
        <f t="shared" si="70"/>
        <v>0.2</v>
      </c>
      <c r="B1124">
        <f t="shared" si="71"/>
        <v>2677.6215065069619</v>
      </c>
      <c r="C1124">
        <f t="shared" si="72"/>
        <v>657.27068851642468</v>
      </c>
      <c r="D1124">
        <f t="shared" si="73"/>
        <v>1209.2143519498034</v>
      </c>
      <c r="E1124">
        <f t="shared" si="74"/>
        <v>1181.6244054437507</v>
      </c>
    </row>
    <row r="1125" spans="1:5">
      <c r="A1125">
        <f t="shared" si="70"/>
        <v>0.20799999999999999</v>
      </c>
      <c r="B1125">
        <f t="shared" si="71"/>
        <v>2677.8310774067595</v>
      </c>
      <c r="C1125">
        <f t="shared" si="72"/>
        <v>679.37735188566262</v>
      </c>
      <c r="D1125">
        <f t="shared" si="73"/>
        <v>1258.1693986938863</v>
      </c>
      <c r="E1125">
        <f t="shared" si="74"/>
        <v>1230.4415066288307</v>
      </c>
    </row>
    <row r="1126" spans="1:5">
      <c r="A1126">
        <f t="shared" si="70"/>
        <v>0.217</v>
      </c>
      <c r="B1126">
        <f t="shared" si="71"/>
        <v>2678.0766529929315</v>
      </c>
      <c r="C1126">
        <f t="shared" si="72"/>
        <v>704.54661686923862</v>
      </c>
      <c r="D1126">
        <f t="shared" si="73"/>
        <v>1313.820661862484</v>
      </c>
      <c r="E1126">
        <f t="shared" si="74"/>
        <v>1285.9182668026356</v>
      </c>
    </row>
    <row r="1127" spans="1:5">
      <c r="A1127">
        <f t="shared" si="70"/>
        <v>0.22500000000000001</v>
      </c>
      <c r="B1127">
        <f t="shared" si="71"/>
        <v>2678.3036592847507</v>
      </c>
      <c r="C1127">
        <f t="shared" si="72"/>
        <v>727.17474536725172</v>
      </c>
      <c r="D1127">
        <f t="shared" si="73"/>
        <v>1363.8048794660731</v>
      </c>
      <c r="E1127">
        <f t="shared" si="74"/>
        <v>1335.7335814317601</v>
      </c>
    </row>
    <row r="1128" spans="1:5">
      <c r="A1128">
        <f t="shared" si="70"/>
        <v>0.23300000000000001</v>
      </c>
      <c r="B1128">
        <f t="shared" si="71"/>
        <v>2678.53886810944</v>
      </c>
      <c r="C1128">
        <f t="shared" si="72"/>
        <v>750.03486285335612</v>
      </c>
      <c r="D1128">
        <f t="shared" si="73"/>
        <v>1414.2797453815531</v>
      </c>
      <c r="E1128">
        <f t="shared" si="74"/>
        <v>1386.0293710733336</v>
      </c>
    </row>
    <row r="1129" spans="1:5">
      <c r="A1129">
        <f t="shared" si="70"/>
        <v>0.24199999999999999</v>
      </c>
      <c r="B1129">
        <f t="shared" si="71"/>
        <v>2678.8132806528729</v>
      </c>
      <c r="C1129">
        <f t="shared" si="72"/>
        <v>776.02132681113301</v>
      </c>
      <c r="D1129">
        <f t="shared" si="73"/>
        <v>1471.657065923119</v>
      </c>
      <c r="E1129">
        <f t="shared" si="74"/>
        <v>1443.1960281662846</v>
      </c>
    </row>
    <row r="1130" spans="1:5">
      <c r="A1130">
        <f t="shared" si="70"/>
        <v>0.25</v>
      </c>
      <c r="B1130">
        <f t="shared" si="71"/>
        <v>2679.0659145324939</v>
      </c>
      <c r="C1130">
        <f t="shared" si="72"/>
        <v>799.35304652578816</v>
      </c>
      <c r="D1130">
        <f t="shared" si="73"/>
        <v>1523.1929864371127</v>
      </c>
      <c r="E1130">
        <f t="shared" si="74"/>
        <v>1494.538848738704</v>
      </c>
    </row>
    <row r="1131" spans="1:5">
      <c r="A1131">
        <f t="shared" si="70"/>
        <v>0.25800000000000001</v>
      </c>
      <c r="B1131">
        <f t="shared" si="71"/>
        <v>2679.3267458137466</v>
      </c>
      <c r="C1131">
        <f t="shared" si="72"/>
        <v>822.89876155971092</v>
      </c>
      <c r="D1131">
        <f t="shared" si="73"/>
        <v>1575.2382195812656</v>
      </c>
      <c r="E1131">
        <f t="shared" si="74"/>
        <v>1546.3874430517001</v>
      </c>
    </row>
    <row r="1132" spans="1:5">
      <c r="A1132">
        <f t="shared" si="70"/>
        <v>0.26700000000000002</v>
      </c>
      <c r="B1132">
        <f t="shared" si="71"/>
        <v>2679.6299772752322</v>
      </c>
      <c r="C1132">
        <f t="shared" si="72"/>
        <v>849.63861157700319</v>
      </c>
      <c r="D1132">
        <f t="shared" si="73"/>
        <v>1634.406668398929</v>
      </c>
      <c r="E1132">
        <f t="shared" si="74"/>
        <v>1605.3325327342354</v>
      </c>
    </row>
    <row r="1133" spans="1:5">
      <c r="A1133">
        <f t="shared" si="70"/>
        <v>0.27500000000000002</v>
      </c>
      <c r="B1133">
        <f t="shared" si="71"/>
        <v>2679.9082221420913</v>
      </c>
      <c r="C1133">
        <f t="shared" si="72"/>
        <v>873.6268737519348</v>
      </c>
      <c r="D1133">
        <f t="shared" si="73"/>
        <v>1687.5579776583929</v>
      </c>
      <c r="E1133">
        <f t="shared" si="74"/>
        <v>1658.2850643618456</v>
      </c>
    </row>
    <row r="1134" spans="1:5">
      <c r="A1134">
        <f t="shared" si="70"/>
        <v>0.28299999999999997</v>
      </c>
      <c r="B1134">
        <f t="shared" si="71"/>
        <v>2680.1946587476814</v>
      </c>
      <c r="C1134">
        <f t="shared" si="72"/>
        <v>897.81905962626126</v>
      </c>
      <c r="D1134">
        <f t="shared" si="73"/>
        <v>1741.2416393615815</v>
      </c>
      <c r="E1134">
        <f t="shared" si="74"/>
        <v>1711.7711368171172</v>
      </c>
    </row>
    <row r="1135" spans="1:5">
      <c r="A1135">
        <f t="shared" si="70"/>
        <v>0.29199999999999998</v>
      </c>
      <c r="B1135">
        <f t="shared" si="71"/>
        <v>2680.526689218967</v>
      </c>
      <c r="C1135">
        <f t="shared" si="72"/>
        <v>925.27653395464438</v>
      </c>
      <c r="D1135">
        <f t="shared" si="73"/>
        <v>1802.2819043727418</v>
      </c>
      <c r="E1135">
        <f t="shared" si="74"/>
        <v>1772.5920499108024</v>
      </c>
    </row>
    <row r="1136" spans="1:5">
      <c r="A1136">
        <f t="shared" si="70"/>
        <v>0.3</v>
      </c>
      <c r="B1136">
        <f t="shared" si="71"/>
        <v>2680.8305268137187</v>
      </c>
      <c r="C1136">
        <f t="shared" si="72"/>
        <v>949.89595685143365</v>
      </c>
      <c r="D1136">
        <f t="shared" si="73"/>
        <v>1857.1231620816707</v>
      </c>
      <c r="E1136">
        <f t="shared" si="74"/>
        <v>1827.2421550832848</v>
      </c>
    </row>
    <row r="1137" spans="1:5">
      <c r="A1137">
        <f t="shared" si="70"/>
        <v>0.308</v>
      </c>
      <c r="B1137">
        <f t="shared" si="71"/>
        <v>2681.1425499551765</v>
      </c>
      <c r="C1137">
        <f t="shared" si="72"/>
        <v>974.71450211271815</v>
      </c>
      <c r="D1137">
        <f t="shared" si="73"/>
        <v>1912.5218325119242</v>
      </c>
      <c r="E1137">
        <f t="shared" si="74"/>
        <v>1882.4543117385992</v>
      </c>
    </row>
    <row r="1138" spans="1:5">
      <c r="A1138">
        <f t="shared" si="70"/>
        <v>0.317</v>
      </c>
      <c r="B1138">
        <f t="shared" si="71"/>
        <v>2681.5033576678143</v>
      </c>
      <c r="C1138">
        <f t="shared" si="72"/>
        <v>1002.8724909144175</v>
      </c>
      <c r="D1138">
        <f t="shared" si="73"/>
        <v>1975.5218318440923</v>
      </c>
      <c r="E1138">
        <f t="shared" si="74"/>
        <v>1945.2511482815198</v>
      </c>
    </row>
    <row r="1139" spans="1:5">
      <c r="A1139">
        <f t="shared" si="70"/>
        <v>0.32500000000000001</v>
      </c>
      <c r="B1139">
        <f t="shared" si="71"/>
        <v>2681.8327680804646</v>
      </c>
      <c r="C1139">
        <f t="shared" si="72"/>
        <v>1028.1121624339564</v>
      </c>
      <c r="D1139">
        <f t="shared" si="73"/>
        <v>2032.1322695231349</v>
      </c>
      <c r="E1139">
        <f t="shared" si="74"/>
        <v>2001.6878257232431</v>
      </c>
    </row>
    <row r="1140" spans="1:5">
      <c r="A1140">
        <f t="shared" si="70"/>
        <v>0.33300000000000002</v>
      </c>
      <c r="B1140">
        <f t="shared" si="71"/>
        <v>2682.1703573214322</v>
      </c>
      <c r="C1140">
        <f t="shared" si="72"/>
        <v>1053.5497018470367</v>
      </c>
      <c r="D1140">
        <f t="shared" si="73"/>
        <v>2089.3258107719435</v>
      </c>
      <c r="E1140">
        <f t="shared" si="74"/>
        <v>2058.7148075309083</v>
      </c>
    </row>
    <row r="1141" spans="1:5">
      <c r="A1141">
        <f t="shared" si="70"/>
        <v>0.34200000000000003</v>
      </c>
      <c r="B1141">
        <f t="shared" si="71"/>
        <v>2682.5599186564959</v>
      </c>
      <c r="C1141">
        <f t="shared" si="72"/>
        <v>1082.4036420950645</v>
      </c>
      <c r="D1141">
        <f t="shared" si="73"/>
        <v>2154.3757519290621</v>
      </c>
      <c r="E1141">
        <f t="shared" si="74"/>
        <v>2123.5868153942665</v>
      </c>
    </row>
    <row r="1142" spans="1:5">
      <c r="A1142">
        <f t="shared" si="70"/>
        <v>0.35</v>
      </c>
      <c r="B1142">
        <f t="shared" si="71"/>
        <v>2682.9148803352541</v>
      </c>
      <c r="C1142">
        <f t="shared" si="72"/>
        <v>1108.2624133501783</v>
      </c>
      <c r="D1142">
        <f t="shared" si="73"/>
        <v>2212.8355811384035</v>
      </c>
      <c r="E1142">
        <f t="shared" si="74"/>
        <v>2181.8975570992638</v>
      </c>
    </row>
    <row r="1143" spans="1:5">
      <c r="A1143">
        <f t="shared" si="70"/>
        <v>0.35799999999999998</v>
      </c>
      <c r="B1143">
        <f t="shared" si="71"/>
        <v>2683.2780136005345</v>
      </c>
      <c r="C1143">
        <f t="shared" si="72"/>
        <v>1134.3202022333339</v>
      </c>
      <c r="D1143">
        <f t="shared" si="73"/>
        <v>2271.9039940577863</v>
      </c>
      <c r="E1143">
        <f t="shared" si="74"/>
        <v>2240.8260060943512</v>
      </c>
    </row>
    <row r="1144" spans="1:5">
      <c r="A1144">
        <f t="shared" si="70"/>
        <v>0.36699999999999999</v>
      </c>
      <c r="B1144">
        <f t="shared" si="71"/>
        <v>2683.6963030990701</v>
      </c>
      <c r="C1144">
        <f t="shared" si="72"/>
        <v>1163.8740325347601</v>
      </c>
      <c r="D1144">
        <f t="shared" si="73"/>
        <v>2339.0933871403463</v>
      </c>
      <c r="E1144">
        <f t="shared" si="74"/>
        <v>2307.8694773259299</v>
      </c>
    </row>
    <row r="1145" spans="1:5">
      <c r="A1145">
        <f t="shared" si="70"/>
        <v>0.375</v>
      </c>
      <c r="B1145">
        <f t="shared" si="71"/>
        <v>2684.0767928598584</v>
      </c>
      <c r="C1145">
        <f t="shared" si="72"/>
        <v>1190.3573781400514</v>
      </c>
      <c r="D1145">
        <f t="shared" si="73"/>
        <v>2399.4815554213374</v>
      </c>
      <c r="E1145">
        <f t="shared" si="74"/>
        <v>2368.1387047809635</v>
      </c>
    </row>
    <row r="1146" spans="1:5">
      <c r="A1146">
        <f t="shared" si="70"/>
        <v>0.38300000000000001</v>
      </c>
      <c r="B1146">
        <f t="shared" si="71"/>
        <v>2684.4654464452342</v>
      </c>
      <c r="C1146">
        <f t="shared" si="72"/>
        <v>1217.0425226665805</v>
      </c>
      <c r="D1146">
        <f t="shared" si="73"/>
        <v>2460.5030623996822</v>
      </c>
      <c r="E1146">
        <f t="shared" si="74"/>
        <v>2429.0518438601889</v>
      </c>
    </row>
    <row r="1147" spans="1:5">
      <c r="A1147">
        <f t="shared" si="70"/>
        <v>0.39200000000000002</v>
      </c>
      <c r="B1147">
        <f t="shared" si="71"/>
        <v>2684.9124368195003</v>
      </c>
      <c r="C1147">
        <f t="shared" si="72"/>
        <v>1247.305949695761</v>
      </c>
      <c r="D1147">
        <f t="shared" si="73"/>
        <v>2529.9188951271449</v>
      </c>
      <c r="E1147">
        <f t="shared" si="74"/>
        <v>2498.3588768603126</v>
      </c>
    </row>
    <row r="1148" spans="1:5">
      <c r="A1148">
        <f t="shared" si="70"/>
        <v>0.4</v>
      </c>
      <c r="B1148">
        <f t="shared" si="71"/>
        <v>2685.318429856306</v>
      </c>
      <c r="C1148">
        <f t="shared" si="72"/>
        <v>1274.4238323326915</v>
      </c>
      <c r="D1148">
        <f t="shared" si="73"/>
        <v>2592.3117154336151</v>
      </c>
      <c r="E1148">
        <f t="shared" si="74"/>
        <v>2560.6670284536167</v>
      </c>
    </row>
    <row r="1149" spans="1:5">
      <c r="A1149">
        <f t="shared" si="70"/>
        <v>0.40799999999999997</v>
      </c>
      <c r="B1149">
        <f t="shared" si="71"/>
        <v>2685.7325784389564</v>
      </c>
      <c r="C1149">
        <f t="shared" si="72"/>
        <v>1301.7473946103885</v>
      </c>
      <c r="D1149">
        <f t="shared" si="73"/>
        <v>2655.3615925812765</v>
      </c>
      <c r="E1149">
        <f t="shared" si="74"/>
        <v>2623.6439001292542</v>
      </c>
    </row>
    <row r="1150" spans="1:5">
      <c r="A1150">
        <f t="shared" si="70"/>
        <v>0.41699999999999998</v>
      </c>
      <c r="B1150">
        <f t="shared" si="71"/>
        <v>2686.2082405845767</v>
      </c>
      <c r="C1150">
        <f t="shared" si="72"/>
        <v>1332.7340115462373</v>
      </c>
      <c r="D1150">
        <f t="shared" si="73"/>
        <v>2727.0872248769224</v>
      </c>
      <c r="E1150">
        <f t="shared" si="74"/>
        <v>2695.3016989076004</v>
      </c>
    </row>
    <row r="1151" spans="1:5">
      <c r="A1151">
        <f t="shared" si="70"/>
        <v>0.42499999999999999</v>
      </c>
      <c r="B1151">
        <f t="shared" si="71"/>
        <v>2686.6397104802963</v>
      </c>
      <c r="C1151">
        <f t="shared" si="72"/>
        <v>1360.4994034490926</v>
      </c>
      <c r="D1151">
        <f t="shared" si="73"/>
        <v>2791.5575527526471</v>
      </c>
      <c r="E1151">
        <f t="shared" si="74"/>
        <v>2759.7247264813568</v>
      </c>
    </row>
    <row r="1152" spans="1:5">
      <c r="A1152">
        <f t="shared" si="70"/>
        <v>0.433</v>
      </c>
      <c r="B1152">
        <f t="shared" si="71"/>
        <v>2687.0793271300054</v>
      </c>
      <c r="C1152">
        <f t="shared" si="72"/>
        <v>1388.4750825653464</v>
      </c>
      <c r="D1152">
        <f t="shared" si="73"/>
        <v>2856.707437171217</v>
      </c>
      <c r="E1152">
        <f t="shared" si="74"/>
        <v>2824.8397867428093</v>
      </c>
    </row>
    <row r="1153" spans="1:5">
      <c r="A1153">
        <f t="shared" si="70"/>
        <v>0.442</v>
      </c>
      <c r="B1153">
        <f t="shared" si="71"/>
        <v>2687.5836301386457</v>
      </c>
      <c r="C1153">
        <f t="shared" si="72"/>
        <v>1420.2010523856848</v>
      </c>
      <c r="D1153">
        <f t="shared" si="73"/>
        <v>2930.8219568286472</v>
      </c>
      <c r="E1153">
        <f t="shared" si="74"/>
        <v>2898.9303050244098</v>
      </c>
    </row>
    <row r="1154" spans="1:5">
      <c r="A1154">
        <f t="shared" si="70"/>
        <v>0.45</v>
      </c>
      <c r="B1154">
        <f t="shared" si="71"/>
        <v>2688.0405488767533</v>
      </c>
      <c r="C1154">
        <f t="shared" si="72"/>
        <v>1448.6288953618625</v>
      </c>
      <c r="D1154">
        <f t="shared" si="73"/>
        <v>2997.4387220817075</v>
      </c>
      <c r="E1154">
        <f t="shared" si="74"/>
        <v>2965.5394356653028</v>
      </c>
    </row>
    <row r="1155" spans="1:5">
      <c r="A1155">
        <f t="shared" si="70"/>
        <v>0.45800000000000002</v>
      </c>
      <c r="B1155">
        <f t="shared" si="71"/>
        <v>2688.505605067754</v>
      </c>
      <c r="C1155">
        <f t="shared" si="72"/>
        <v>1477.272095393459</v>
      </c>
      <c r="D1155">
        <f t="shared" si="73"/>
        <v>3064.7562292393281</v>
      </c>
      <c r="E1155">
        <f t="shared" si="74"/>
        <v>3032.8623798858607</v>
      </c>
    </row>
    <row r="1156" spans="1:5">
      <c r="A1156">
        <f t="shared" si="70"/>
        <v>0.46700000000000003</v>
      </c>
      <c r="B1156">
        <f t="shared" si="71"/>
        <v>2689.038516240782</v>
      </c>
      <c r="C1156">
        <f t="shared" si="72"/>
        <v>1509.7552162254726</v>
      </c>
      <c r="D1156">
        <f t="shared" si="73"/>
        <v>3141.3341110240226</v>
      </c>
      <c r="E1156">
        <f t="shared" si="74"/>
        <v>3109.4621922008068</v>
      </c>
    </row>
    <row r="1157" spans="1:5">
      <c r="A1157">
        <f t="shared" si="70"/>
        <v>0.47499999999999998</v>
      </c>
      <c r="B1157">
        <f t="shared" si="71"/>
        <v>2689.520854217586</v>
      </c>
      <c r="C1157">
        <f t="shared" si="72"/>
        <v>1538.8616802693725</v>
      </c>
      <c r="D1157">
        <f t="shared" si="73"/>
        <v>3210.1620844044405</v>
      </c>
      <c r="E1157">
        <f t="shared" si="74"/>
        <v>3178.3238656808849</v>
      </c>
    </row>
    <row r="1158" spans="1:5">
      <c r="A1158">
        <f t="shared" si="70"/>
        <v>0.48299999999999998</v>
      </c>
      <c r="B1158">
        <f t="shared" si="71"/>
        <v>2690.0113198410036</v>
      </c>
      <c r="C1158">
        <f t="shared" si="72"/>
        <v>1568.1888433957661</v>
      </c>
      <c r="D1158">
        <f t="shared" si="73"/>
        <v>3279.710632319749</v>
      </c>
      <c r="E1158">
        <f t="shared" si="74"/>
        <v>3247.91960889348</v>
      </c>
    </row>
    <row r="1159" spans="1:5">
      <c r="A1159">
        <f t="shared" si="70"/>
        <v>0.49199999999999999</v>
      </c>
      <c r="B1159">
        <f t="shared" si="71"/>
        <v>2690.5728047037751</v>
      </c>
      <c r="C1159">
        <f t="shared" si="72"/>
        <v>1601.4478772869256</v>
      </c>
      <c r="D1159">
        <f t="shared" si="73"/>
        <v>3358.8216005216295</v>
      </c>
      <c r="E1159">
        <f t="shared" si="74"/>
        <v>3327.0999332019915</v>
      </c>
    </row>
    <row r="1160" spans="1:5">
      <c r="A1160">
        <f t="shared" si="70"/>
        <v>0.5</v>
      </c>
      <c r="B1160">
        <f t="shared" si="71"/>
        <v>2691.0805307414003</v>
      </c>
      <c r="C1160">
        <f t="shared" si="72"/>
        <v>1631.2498263703887</v>
      </c>
      <c r="D1160">
        <f t="shared" si="73"/>
        <v>3429.9213186632924</v>
      </c>
      <c r="E1160">
        <f t="shared" si="74"/>
        <v>3398.275856941299</v>
      </c>
    </row>
    <row r="1161" spans="1:5">
      <c r="A1161">
        <f t="shared" si="70"/>
        <v>0.50800000000000001</v>
      </c>
      <c r="B1161">
        <f t="shared" si="71"/>
        <v>2691.5963741184592</v>
      </c>
      <c r="C1161">
        <f t="shared" si="72"/>
        <v>1661.27795099574</v>
      </c>
      <c r="D1161">
        <f t="shared" si="73"/>
        <v>3501.760091807711</v>
      </c>
      <c r="E1161">
        <f t="shared" si="74"/>
        <v>3470.2046174700704</v>
      </c>
    </row>
    <row r="1162" spans="1:5">
      <c r="A1162">
        <f t="shared" si="70"/>
        <v>0.51700000000000002</v>
      </c>
      <c r="B1162">
        <f t="shared" si="71"/>
        <v>2692.1863964353583</v>
      </c>
      <c r="C1162">
        <f t="shared" si="72"/>
        <v>1695.3321376263839</v>
      </c>
      <c r="D1162">
        <f t="shared" si="73"/>
        <v>3583.4691205577215</v>
      </c>
      <c r="E1162">
        <f t="shared" si="74"/>
        <v>3552.0314391676843</v>
      </c>
    </row>
    <row r="1163" spans="1:5">
      <c r="A1163">
        <f t="shared" si="70"/>
        <v>0.52500000000000002</v>
      </c>
      <c r="B1163">
        <f t="shared" si="71"/>
        <v>2692.7194777953123</v>
      </c>
      <c r="C1163">
        <f t="shared" si="72"/>
        <v>1725.8467418024873</v>
      </c>
      <c r="D1163">
        <f t="shared" si="73"/>
        <v>3656.8969182108149</v>
      </c>
      <c r="E1163">
        <f t="shared" si="74"/>
        <v>3625.5787216297722</v>
      </c>
    </row>
    <row r="1164" spans="1:5">
      <c r="A1164">
        <f t="shared" si="70"/>
        <v>0.53300000000000003</v>
      </c>
      <c r="B1164">
        <f t="shared" si="71"/>
        <v>2693.2606656910839</v>
      </c>
      <c r="C1164">
        <f t="shared" si="72"/>
        <v>1756.5930320423138</v>
      </c>
      <c r="D1164">
        <f t="shared" si="73"/>
        <v>3731.0809261239924</v>
      </c>
      <c r="E1164">
        <f t="shared" si="74"/>
        <v>3699.896173425861</v>
      </c>
    </row>
    <row r="1165" spans="1:5">
      <c r="A1165">
        <f t="shared" si="70"/>
        <v>0.54200000000000004</v>
      </c>
      <c r="B1165">
        <f t="shared" si="71"/>
        <v>2693.8791874812646</v>
      </c>
      <c r="C1165">
        <f t="shared" si="72"/>
        <v>1791.4617344869769</v>
      </c>
      <c r="D1165">
        <f t="shared" si="73"/>
        <v>3815.4483329742607</v>
      </c>
      <c r="E1165">
        <f t="shared" si="74"/>
        <v>3784.4304363200208</v>
      </c>
    </row>
    <row r="1166" spans="1:5">
      <c r="A1166">
        <f t="shared" si="70"/>
        <v>0.55000000000000004</v>
      </c>
      <c r="B1166">
        <f t="shared" si="71"/>
        <v>2694.4375898786375</v>
      </c>
      <c r="C1166">
        <f t="shared" si="72"/>
        <v>1822.7061870307282</v>
      </c>
      <c r="D1166">
        <f t="shared" si="73"/>
        <v>3891.256447672386</v>
      </c>
      <c r="E1166">
        <f t="shared" si="74"/>
        <v>3860.4017717773222</v>
      </c>
    </row>
    <row r="1167" spans="1:5">
      <c r="A1167">
        <f t="shared" si="70"/>
        <v>0.55800000000000005</v>
      </c>
      <c r="B1167">
        <f t="shared" si="71"/>
        <v>2695.0040875164605</v>
      </c>
      <c r="C1167">
        <f t="shared" si="72"/>
        <v>1854.1877969704217</v>
      </c>
      <c r="D1167">
        <f t="shared" si="73"/>
        <v>3967.8366472645534</v>
      </c>
      <c r="E1167">
        <f t="shared" si="74"/>
        <v>3937.159241278996</v>
      </c>
    </row>
    <row r="1168" spans="1:5">
      <c r="A1168">
        <f t="shared" si="70"/>
        <v>0.56699999999999995</v>
      </c>
      <c r="B1168">
        <f t="shared" si="71"/>
        <v>2695.6510690703108</v>
      </c>
      <c r="C1168">
        <f t="shared" si="72"/>
        <v>1889.8902432096763</v>
      </c>
      <c r="D1168">
        <f t="shared" si="73"/>
        <v>4054.9182491071751</v>
      </c>
      <c r="E1168">
        <f t="shared" si="74"/>
        <v>4024.4570813468608</v>
      </c>
    </row>
    <row r="1169" spans="1:5">
      <c r="A1169">
        <f t="shared" si="70"/>
        <v>0.57499999999999996</v>
      </c>
      <c r="B1169">
        <f t="shared" si="71"/>
        <v>2696.2347566886478</v>
      </c>
      <c r="C1169">
        <f t="shared" si="72"/>
        <v>1921.8815542974669</v>
      </c>
      <c r="D1169">
        <f t="shared" si="73"/>
        <v>4133.1549738663607</v>
      </c>
      <c r="E1169">
        <f t="shared" si="74"/>
        <v>4102.9009668625113</v>
      </c>
    </row>
    <row r="1170" spans="1:5">
      <c r="A1170">
        <f t="shared" si="70"/>
        <v>0.58299999999999996</v>
      </c>
      <c r="B1170">
        <f t="shared" si="71"/>
        <v>2696.8265277651735</v>
      </c>
      <c r="C1170">
        <f t="shared" si="72"/>
        <v>1954.1154016181265</v>
      </c>
      <c r="D1170">
        <f t="shared" si="73"/>
        <v>4212.1784335476086</v>
      </c>
      <c r="E1170">
        <f t="shared" si="74"/>
        <v>4182.1456571735444</v>
      </c>
    </row>
    <row r="1171" spans="1:5">
      <c r="A1171">
        <f t="shared" si="70"/>
        <v>0.59199999999999997</v>
      </c>
      <c r="B1171">
        <f t="shared" si="71"/>
        <v>2697.5019276614603</v>
      </c>
      <c r="C1171">
        <f t="shared" si="72"/>
        <v>1990.6704964522148</v>
      </c>
      <c r="D1171">
        <f t="shared" si="73"/>
        <v>4302.0257429515896</v>
      </c>
      <c r="E1171">
        <f t="shared" si="74"/>
        <v>4272.258661802538</v>
      </c>
    </row>
    <row r="1172" spans="1:5">
      <c r="A1172">
        <f t="shared" ref="A1172:A1220" si="75">I194</f>
        <v>0.6</v>
      </c>
      <c r="B1172">
        <f t="shared" ref="B1172:B1220" si="76">AH194</f>
        <v>2698.1108631681168</v>
      </c>
      <c r="C1172">
        <f t="shared" ref="C1172:C1220" si="77">AJ194</f>
        <v>2023.4253433638573</v>
      </c>
      <c r="D1172">
        <f t="shared" ref="D1172:D1220" si="78">AL194</f>
        <v>4382.7356096105759</v>
      </c>
      <c r="E1172">
        <f t="shared" ref="E1172:E1220" si="79">AN194</f>
        <v>4353.2196326758594</v>
      </c>
    </row>
    <row r="1173" spans="1:5">
      <c r="A1173">
        <f t="shared" si="75"/>
        <v>0.60799999999999998</v>
      </c>
      <c r="B1173">
        <f t="shared" si="76"/>
        <v>2698.7278698689106</v>
      </c>
      <c r="C1173">
        <f t="shared" si="77"/>
        <v>2056.4279743959246</v>
      </c>
      <c r="D1173">
        <f t="shared" si="78"/>
        <v>4464.2456995999191</v>
      </c>
      <c r="E1173">
        <f t="shared" si="79"/>
        <v>4434.9948626697578</v>
      </c>
    </row>
    <row r="1174" spans="1:5">
      <c r="A1174">
        <f t="shared" si="75"/>
        <v>0.61699999999999999</v>
      </c>
      <c r="B1174">
        <f t="shared" si="76"/>
        <v>2699.43164499259</v>
      </c>
      <c r="C1174">
        <f t="shared" si="77"/>
        <v>2093.8541637602912</v>
      </c>
      <c r="D1174">
        <f t="shared" si="78"/>
        <v>4556.9061458124152</v>
      </c>
      <c r="E1174">
        <f t="shared" si="79"/>
        <v>4527.9703428920966</v>
      </c>
    </row>
    <row r="1175" spans="1:5">
      <c r="A1175">
        <f t="shared" si="75"/>
        <v>0.625</v>
      </c>
      <c r="B1175">
        <f t="shared" si="76"/>
        <v>2700.0657895548352</v>
      </c>
      <c r="C1175">
        <f t="shared" si="77"/>
        <v>2127.3887833117165</v>
      </c>
      <c r="D1175">
        <f t="shared" si="78"/>
        <v>4640.1301264745007</v>
      </c>
      <c r="E1175">
        <f t="shared" si="79"/>
        <v>4611.4892166235932</v>
      </c>
    </row>
    <row r="1176" spans="1:5">
      <c r="A1176">
        <f t="shared" si="75"/>
        <v>0.63300000000000001</v>
      </c>
      <c r="B1176">
        <f t="shared" si="76"/>
        <v>2700.7079925706203</v>
      </c>
      <c r="C1176">
        <f t="shared" si="77"/>
        <v>2161.1762766414804</v>
      </c>
      <c r="D1176">
        <f t="shared" si="78"/>
        <v>4724.1667239784065</v>
      </c>
      <c r="E1176">
        <f t="shared" si="79"/>
        <v>4695.8346660074885</v>
      </c>
    </row>
    <row r="1177" spans="1:5">
      <c r="A1177">
        <f t="shared" si="75"/>
        <v>0.64200000000000002</v>
      </c>
      <c r="B1177">
        <f t="shared" si="76"/>
        <v>2701.4400981312092</v>
      </c>
      <c r="C1177">
        <f t="shared" si="77"/>
        <v>2199.4914513372773</v>
      </c>
      <c r="D1177">
        <f t="shared" si="78"/>
        <v>4819.6838871821474</v>
      </c>
      <c r="E1177">
        <f t="shared" si="79"/>
        <v>4791.715932694854</v>
      </c>
    </row>
    <row r="1178" spans="1:5">
      <c r="A1178">
        <f t="shared" si="75"/>
        <v>0.65</v>
      </c>
      <c r="B1178">
        <f t="shared" si="76"/>
        <v>2702.0994114328023</v>
      </c>
      <c r="C1178">
        <f t="shared" si="77"/>
        <v>2233.8215641775168</v>
      </c>
      <c r="D1178">
        <f t="shared" si="78"/>
        <v>4905.4596046667839</v>
      </c>
      <c r="E1178">
        <f t="shared" si="79"/>
        <v>4877.8300542852958</v>
      </c>
    </row>
    <row r="1179" spans="1:5">
      <c r="A1179">
        <f t="shared" si="75"/>
        <v>0.65800000000000003</v>
      </c>
      <c r="B1179">
        <f t="shared" si="76"/>
        <v>2702.7667699761951</v>
      </c>
      <c r="C1179">
        <f t="shared" si="77"/>
        <v>2268.4094634231324</v>
      </c>
      <c r="D1179">
        <f t="shared" si="78"/>
        <v>4992.0593057230435</v>
      </c>
      <c r="E1179">
        <f t="shared" si="79"/>
        <v>4964.7820081571645</v>
      </c>
    </row>
    <row r="1180" spans="1:5">
      <c r="A1180">
        <f t="shared" si="75"/>
        <v>0.66700000000000004</v>
      </c>
      <c r="B1180">
        <f t="shared" si="76"/>
        <v>2703.527159526966</v>
      </c>
      <c r="C1180">
        <f t="shared" si="77"/>
        <v>2307.6308927499517</v>
      </c>
      <c r="D1180">
        <f t="shared" si="78"/>
        <v>5090.4731562763036</v>
      </c>
      <c r="E1180">
        <f t="shared" si="79"/>
        <v>5063.6086456793228</v>
      </c>
    </row>
    <row r="1181" spans="1:5">
      <c r="A1181">
        <f t="shared" si="75"/>
        <v>0.67500000000000004</v>
      </c>
      <c r="B1181">
        <f t="shared" si="76"/>
        <v>2704.2115997852675</v>
      </c>
      <c r="C1181">
        <f t="shared" si="77"/>
        <v>2342.7716518918514</v>
      </c>
      <c r="D1181">
        <f t="shared" si="78"/>
        <v>5178.835096993912</v>
      </c>
      <c r="E1181">
        <f t="shared" si="79"/>
        <v>5152.352129116699</v>
      </c>
    </row>
    <row r="1182" spans="1:5">
      <c r="A1182">
        <f t="shared" si="75"/>
        <v>0.68300000000000005</v>
      </c>
      <c r="B1182">
        <f t="shared" si="76"/>
        <v>2704.9040716081277</v>
      </c>
      <c r="C1182">
        <f t="shared" si="77"/>
        <v>2378.1749207105045</v>
      </c>
      <c r="D1182">
        <f t="shared" si="78"/>
        <v>5268.0314290477454</v>
      </c>
      <c r="E1182">
        <f t="shared" si="79"/>
        <v>5241.943717406506</v>
      </c>
    </row>
    <row r="1183" spans="1:5">
      <c r="A1183">
        <f t="shared" si="75"/>
        <v>0.69199999999999995</v>
      </c>
      <c r="B1183">
        <f t="shared" si="76"/>
        <v>2705.6926970657478</v>
      </c>
      <c r="C1183">
        <f t="shared" si="77"/>
        <v>2418.3192089337513</v>
      </c>
      <c r="D1183">
        <f t="shared" si="78"/>
        <v>5369.3785657395565</v>
      </c>
      <c r="E1183">
        <f t="shared" si="79"/>
        <v>5343.7518501523427</v>
      </c>
    </row>
    <row r="1184" spans="1:5">
      <c r="A1184">
        <f t="shared" si="75"/>
        <v>0.7</v>
      </c>
      <c r="B1184">
        <f t="shared" si="76"/>
        <v>2706.4022210494791</v>
      </c>
      <c r="C1184">
        <f t="shared" si="77"/>
        <v>2454.2851668233561</v>
      </c>
      <c r="D1184">
        <f t="shared" si="78"/>
        <v>5460.3582902555545</v>
      </c>
      <c r="E1184">
        <f t="shared" si="79"/>
        <v>5435.1558124688245</v>
      </c>
    </row>
    <row r="1185" spans="1:5">
      <c r="A1185">
        <f t="shared" si="75"/>
        <v>0.70799999999999996</v>
      </c>
      <c r="B1185">
        <f t="shared" si="76"/>
        <v>2707.1197624607562</v>
      </c>
      <c r="C1185">
        <f t="shared" si="77"/>
        <v>2490.5181609486822</v>
      </c>
      <c r="D1185">
        <f t="shared" si="78"/>
        <v>5552.1819212211276</v>
      </c>
      <c r="E1185">
        <f t="shared" si="79"/>
        <v>5527.4172410510055</v>
      </c>
    </row>
    <row r="1186" spans="1:5">
      <c r="A1186">
        <f t="shared" si="75"/>
        <v>0.71699999999999997</v>
      </c>
      <c r="B1186">
        <f t="shared" si="76"/>
        <v>2707.9365741255974</v>
      </c>
      <c r="C1186">
        <f t="shared" si="77"/>
        <v>2531.6012212817732</v>
      </c>
      <c r="D1186">
        <f t="shared" si="78"/>
        <v>5656.4958042939516</v>
      </c>
      <c r="E1186">
        <f t="shared" si="79"/>
        <v>5632.2397896392322</v>
      </c>
    </row>
    <row r="1187" spans="1:5">
      <c r="A1187">
        <f t="shared" si="75"/>
        <v>0.72499999999999998</v>
      </c>
      <c r="B1187">
        <f t="shared" si="76"/>
        <v>2708.6711371730257</v>
      </c>
      <c r="C1187">
        <f t="shared" si="77"/>
        <v>2568.4063111009086</v>
      </c>
      <c r="D1187">
        <f t="shared" si="78"/>
        <v>5750.1221522344285</v>
      </c>
      <c r="E1187">
        <f t="shared" si="79"/>
        <v>5726.332575075653</v>
      </c>
    </row>
    <row r="1188" spans="1:5">
      <c r="A1188">
        <f t="shared" si="75"/>
        <v>0.73299999999999998</v>
      </c>
      <c r="B1188">
        <f t="shared" si="76"/>
        <v>2709.4137030571701</v>
      </c>
      <c r="C1188">
        <f t="shared" si="77"/>
        <v>2605.4827634648645</v>
      </c>
      <c r="D1188">
        <f t="shared" si="78"/>
        <v>5844.6010930614657</v>
      </c>
      <c r="E1188">
        <f t="shared" si="79"/>
        <v>5821.2913463973637</v>
      </c>
    </row>
    <row r="1189" spans="1:5">
      <c r="A1189">
        <f t="shared" si="75"/>
        <v>0.74199999999999999</v>
      </c>
      <c r="B1189">
        <f t="shared" si="76"/>
        <v>2710.2586496341951</v>
      </c>
      <c r="C1189">
        <f t="shared" si="77"/>
        <v>2647.519805513155</v>
      </c>
      <c r="D1189">
        <f t="shared" si="78"/>
        <v>5951.9122690476443</v>
      </c>
      <c r="E1189">
        <f t="shared" si="79"/>
        <v>5929.1582714862625</v>
      </c>
    </row>
    <row r="1190" spans="1:5">
      <c r="A1190">
        <f t="shared" si="75"/>
        <v>0.75</v>
      </c>
      <c r="B1190">
        <f t="shared" si="76"/>
        <v>2711.0182056718681</v>
      </c>
      <c r="C1190">
        <f t="shared" si="77"/>
        <v>2685.1773334232421</v>
      </c>
      <c r="D1190">
        <f t="shared" si="78"/>
        <v>6048.2115560449747</v>
      </c>
      <c r="E1190">
        <f t="shared" si="79"/>
        <v>6025.9656641770644</v>
      </c>
    </row>
    <row r="1191" spans="1:5">
      <c r="A1191">
        <f t="shared" si="75"/>
        <v>0.75800000000000001</v>
      </c>
      <c r="B1191">
        <f t="shared" si="76"/>
        <v>2711.7857495077187</v>
      </c>
      <c r="C1191">
        <f t="shared" si="77"/>
        <v>2723.1103493336241</v>
      </c>
      <c r="D1191">
        <f t="shared" si="78"/>
        <v>6145.3713547660127</v>
      </c>
      <c r="E1191">
        <f t="shared" si="79"/>
        <v>6123.6467860475295</v>
      </c>
    </row>
    <row r="1192" spans="1:5">
      <c r="A1192">
        <f t="shared" si="75"/>
        <v>0.76700000000000002</v>
      </c>
      <c r="B1192">
        <f t="shared" si="76"/>
        <v>2712.6587781279418</v>
      </c>
      <c r="C1192">
        <f t="shared" si="77"/>
        <v>2766.1158768793084</v>
      </c>
      <c r="D1192">
        <f t="shared" si="78"/>
        <v>6255.7076711632635</v>
      </c>
      <c r="E1192">
        <f t="shared" si="79"/>
        <v>6234.5853184731659</v>
      </c>
    </row>
    <row r="1193" spans="1:5">
      <c r="A1193">
        <f t="shared" si="75"/>
        <v>0.77500000000000002</v>
      </c>
      <c r="B1193">
        <f t="shared" si="76"/>
        <v>2713.4432796899005</v>
      </c>
      <c r="C1193">
        <f t="shared" si="77"/>
        <v>2804.6385226625612</v>
      </c>
      <c r="D1193">
        <f t="shared" si="78"/>
        <v>6354.703876330992</v>
      </c>
      <c r="E1193">
        <f t="shared" si="79"/>
        <v>6334.130742726853</v>
      </c>
    </row>
    <row r="1194" spans="1:5">
      <c r="A1194">
        <f t="shared" si="75"/>
        <v>0.78300000000000003</v>
      </c>
      <c r="B1194">
        <f t="shared" si="76"/>
        <v>2714.235753570058</v>
      </c>
      <c r="C1194">
        <f t="shared" si="77"/>
        <v>2843.4405826900188</v>
      </c>
      <c r="D1194">
        <f t="shared" si="78"/>
        <v>6454.5678022887641</v>
      </c>
      <c r="E1194">
        <f t="shared" si="79"/>
        <v>6434.5569245182351</v>
      </c>
    </row>
    <row r="1195" spans="1:5">
      <c r="A1195">
        <f t="shared" si="75"/>
        <v>0.79200000000000004</v>
      </c>
      <c r="B1195">
        <f t="shared" si="76"/>
        <v>2715.1368098124726</v>
      </c>
      <c r="C1195">
        <f t="shared" si="77"/>
        <v>2887.428399392069</v>
      </c>
      <c r="D1195">
        <f t="shared" si="78"/>
        <v>6567.9546108397826</v>
      </c>
      <c r="E1195">
        <f t="shared" si="79"/>
        <v>6548.5917811077343</v>
      </c>
    </row>
    <row r="1196" spans="1:5">
      <c r="A1196">
        <f t="shared" si="75"/>
        <v>0.8</v>
      </c>
      <c r="B1196">
        <f t="shared" si="76"/>
        <v>2715.9462080599938</v>
      </c>
      <c r="C1196">
        <f t="shared" si="77"/>
        <v>2926.8282235073743</v>
      </c>
      <c r="D1196">
        <f t="shared" si="78"/>
        <v>6669.6695538641015</v>
      </c>
      <c r="E1196">
        <f t="shared" si="79"/>
        <v>6650.8964888556302</v>
      </c>
    </row>
    <row r="1197" spans="1:5">
      <c r="A1197">
        <f t="shared" si="75"/>
        <v>0.80800000000000005</v>
      </c>
      <c r="B1197">
        <f t="shared" si="76"/>
        <v>2716.7635627106388</v>
      </c>
      <c r="C1197">
        <f t="shared" si="77"/>
        <v>2966.5111922476426</v>
      </c>
      <c r="D1197">
        <f t="shared" si="78"/>
        <v>6772.2587713643579</v>
      </c>
      <c r="E1197">
        <f t="shared" si="79"/>
        <v>6754.0883248186901</v>
      </c>
    </row>
    <row r="1198" spans="1:5">
      <c r="A1198">
        <f t="shared" si="75"/>
        <v>0.81699999999999995</v>
      </c>
      <c r="B1198">
        <f t="shared" si="76"/>
        <v>2717.6925906248262</v>
      </c>
      <c r="C1198">
        <f t="shared" si="77"/>
        <v>3011.4944133564245</v>
      </c>
      <c r="D1198">
        <f t="shared" si="78"/>
        <v>6888.7191192634255</v>
      </c>
      <c r="E1198">
        <f t="shared" si="79"/>
        <v>6871.2419096860749</v>
      </c>
    </row>
    <row r="1199" spans="1:5">
      <c r="A1199">
        <f t="shared" si="75"/>
        <v>0.82499999999999996</v>
      </c>
      <c r="B1199">
        <f t="shared" si="76"/>
        <v>2718.5268353664997</v>
      </c>
      <c r="C1199">
        <f t="shared" si="77"/>
        <v>3051.7828688525797</v>
      </c>
      <c r="D1199">
        <f t="shared" si="78"/>
        <v>6993.1726266478481</v>
      </c>
      <c r="E1199">
        <f t="shared" si="79"/>
        <v>6976.325155041407</v>
      </c>
    </row>
    <row r="1200" spans="1:5">
      <c r="A1200">
        <f t="shared" si="75"/>
        <v>0.83299999999999996</v>
      </c>
      <c r="B1200">
        <f t="shared" si="76"/>
        <v>2719.3690201677696</v>
      </c>
      <c r="C1200">
        <f t="shared" si="77"/>
        <v>3092.3580081209293</v>
      </c>
      <c r="D1200">
        <f t="shared" si="78"/>
        <v>7098.5063576925695</v>
      </c>
      <c r="E1200">
        <f t="shared" si="79"/>
        <v>7082.3012947740099</v>
      </c>
    </row>
    <row r="1201" spans="1:5">
      <c r="A1201">
        <f t="shared" si="75"/>
        <v>0.84199999999999997</v>
      </c>
      <c r="B1201">
        <f t="shared" si="76"/>
        <v>2720.3259622967576</v>
      </c>
      <c r="C1201">
        <f t="shared" si="77"/>
        <v>3138.34907670858</v>
      </c>
      <c r="D1201">
        <f t="shared" si="78"/>
        <v>7218.0611664589442</v>
      </c>
      <c r="E1201">
        <f t="shared" si="79"/>
        <v>7202.5938862445973</v>
      </c>
    </row>
    <row r="1202" spans="1:5">
      <c r="A1202">
        <f t="shared" si="75"/>
        <v>0.85</v>
      </c>
      <c r="B1202">
        <f t="shared" si="76"/>
        <v>2721.1850020092143</v>
      </c>
      <c r="C1202">
        <f t="shared" si="77"/>
        <v>3179.5370247648771</v>
      </c>
      <c r="D1202">
        <f t="shared" si="78"/>
        <v>7325.2712267935003</v>
      </c>
      <c r="E1202">
        <f t="shared" si="79"/>
        <v>7310.4730873835651</v>
      </c>
    </row>
    <row r="1203" spans="1:5">
      <c r="A1203">
        <f t="shared" si="75"/>
        <v>0.85799999999999998</v>
      </c>
      <c r="B1203">
        <f t="shared" si="76"/>
        <v>2722.0519650158485</v>
      </c>
      <c r="C1203">
        <f t="shared" si="77"/>
        <v>3221.0150100806709</v>
      </c>
      <c r="D1203">
        <f t="shared" si="78"/>
        <v>7433.3669028529466</v>
      </c>
      <c r="E1203">
        <f t="shared" si="79"/>
        <v>7419.2503937327128</v>
      </c>
    </row>
    <row r="1204" spans="1:5">
      <c r="A1204">
        <f t="shared" si="75"/>
        <v>0.86699999999999999</v>
      </c>
      <c r="B1204">
        <f t="shared" si="76"/>
        <v>2723.0367624197406</v>
      </c>
      <c r="C1204">
        <f t="shared" si="77"/>
        <v>3268.0257165997627</v>
      </c>
      <c r="D1204">
        <f t="shared" si="78"/>
        <v>7556.0351349179427</v>
      </c>
      <c r="E1204">
        <f t="shared" si="79"/>
        <v>7542.700317284668</v>
      </c>
    </row>
    <row r="1205" spans="1:5">
      <c r="A1205">
        <f t="shared" si="75"/>
        <v>0.875</v>
      </c>
      <c r="B1205">
        <f t="shared" si="76"/>
        <v>2723.920544268542</v>
      </c>
      <c r="C1205">
        <f t="shared" si="77"/>
        <v>3310.1234447175161</v>
      </c>
      <c r="D1205">
        <f t="shared" si="78"/>
        <v>7666.0180432897014</v>
      </c>
      <c r="E1205">
        <f t="shared" si="79"/>
        <v>7653.3912060529701</v>
      </c>
    </row>
    <row r="1206" spans="1:5">
      <c r="A1206">
        <f t="shared" si="75"/>
        <v>0.88300000000000001</v>
      </c>
      <c r="B1206">
        <f t="shared" si="76"/>
        <v>2724.8122322311165</v>
      </c>
      <c r="C1206">
        <f t="shared" si="77"/>
        <v>3352.5143841718163</v>
      </c>
      <c r="D1206">
        <f t="shared" si="78"/>
        <v>7776.8914462931562</v>
      </c>
      <c r="E1206">
        <f t="shared" si="79"/>
        <v>7764.9849009013706</v>
      </c>
    </row>
    <row r="1207" spans="1:5">
      <c r="A1207">
        <f t="shared" si="75"/>
        <v>0.89200000000000002</v>
      </c>
      <c r="B1207">
        <f t="shared" si="76"/>
        <v>2725.8248245109639</v>
      </c>
      <c r="C1207">
        <f t="shared" si="77"/>
        <v>3400.5558883978983</v>
      </c>
      <c r="D1207">
        <f t="shared" si="78"/>
        <v>7902.6902595707261</v>
      </c>
      <c r="E1207">
        <f t="shared" si="79"/>
        <v>7891.6086886825724</v>
      </c>
    </row>
    <row r="1208" spans="1:5">
      <c r="A1208">
        <f t="shared" si="75"/>
        <v>0.9</v>
      </c>
      <c r="B1208">
        <f t="shared" si="76"/>
        <v>2726.7332943721008</v>
      </c>
      <c r="C1208">
        <f t="shared" si="77"/>
        <v>3443.5731304663896</v>
      </c>
      <c r="D1208">
        <f t="shared" si="78"/>
        <v>8015.4607514084237</v>
      </c>
      <c r="E1208">
        <f t="shared" si="79"/>
        <v>8005.1254484618212</v>
      </c>
    </row>
    <row r="1209" spans="1:5">
      <c r="A1209">
        <f t="shared" si="75"/>
        <v>0.90800000000000003</v>
      </c>
      <c r="B1209">
        <f t="shared" si="76"/>
        <v>2727.6496527585241</v>
      </c>
      <c r="C1209">
        <f t="shared" si="77"/>
        <v>3486.8865852502836</v>
      </c>
      <c r="D1209">
        <f t="shared" si="78"/>
        <v>8129.1261442908699</v>
      </c>
      <c r="E1209">
        <f t="shared" si="79"/>
        <v>8119.5492469653946</v>
      </c>
    </row>
    <row r="1210" spans="1:5">
      <c r="A1210">
        <f t="shared" si="75"/>
        <v>0.91700000000000004</v>
      </c>
      <c r="B1210">
        <f t="shared" si="76"/>
        <v>2728.6899780807412</v>
      </c>
      <c r="C1210">
        <f t="shared" si="77"/>
        <v>3535.9694398561164</v>
      </c>
      <c r="D1210">
        <f t="shared" si="78"/>
        <v>8258.0710351577345</v>
      </c>
      <c r="E1210">
        <f t="shared" si="79"/>
        <v>8249.3617845544723</v>
      </c>
    </row>
    <row r="1211" spans="1:5">
      <c r="A1211">
        <f t="shared" si="75"/>
        <v>0.92500000000000004</v>
      </c>
      <c r="B1211">
        <f t="shared" si="76"/>
        <v>2729.6230805624396</v>
      </c>
      <c r="C1211">
        <f t="shared" si="77"/>
        <v>3579.915397473851</v>
      </c>
      <c r="D1211">
        <f t="shared" si="78"/>
        <v>8373.6424099258602</v>
      </c>
      <c r="E1211">
        <f t="shared" si="79"/>
        <v>8365.7171770078276</v>
      </c>
    </row>
    <row r="1212" spans="1:5">
      <c r="A1212">
        <f t="shared" si="75"/>
        <v>0.93300000000000005</v>
      </c>
      <c r="B1212">
        <f t="shared" si="76"/>
        <v>2730.5640535799016</v>
      </c>
      <c r="C1212">
        <f t="shared" si="77"/>
        <v>3624.1604034921179</v>
      </c>
      <c r="D1212">
        <f t="shared" si="78"/>
        <v>8490.1126571758014</v>
      </c>
      <c r="E1212">
        <f t="shared" si="79"/>
        <v>8482.9834109222265</v>
      </c>
    </row>
    <row r="1213" spans="1:5">
      <c r="A1213">
        <f t="shared" si="75"/>
        <v>0.94199999999999995</v>
      </c>
      <c r="B1213">
        <f t="shared" si="76"/>
        <v>2731.6320487010912</v>
      </c>
      <c r="C1213">
        <f t="shared" si="77"/>
        <v>3674.2945786544519</v>
      </c>
      <c r="D1213">
        <f t="shared" si="78"/>
        <v>8622.2175923928862</v>
      </c>
      <c r="E1213">
        <f t="shared" si="79"/>
        <v>8615.9980720706571</v>
      </c>
    </row>
    <row r="1214" spans="1:5">
      <c r="A1214">
        <f t="shared" si="75"/>
        <v>0.95</v>
      </c>
      <c r="B1214">
        <f t="shared" si="76"/>
        <v>2732.5897271659751</v>
      </c>
      <c r="C1214">
        <f t="shared" si="77"/>
        <v>3719.1779432130656</v>
      </c>
      <c r="D1214">
        <f t="shared" si="78"/>
        <v>8740.6018276314735</v>
      </c>
      <c r="E1214">
        <f t="shared" si="79"/>
        <v>8735.2035534356819</v>
      </c>
    </row>
    <row r="1215" spans="1:5">
      <c r="A1215">
        <f t="shared" si="75"/>
        <v>0.95799999999999996</v>
      </c>
      <c r="B1215">
        <f t="shared" si="76"/>
        <v>2733.5552577832691</v>
      </c>
      <c r="C1215">
        <f t="shared" si="77"/>
        <v>3764.3630333251954</v>
      </c>
      <c r="D1215">
        <f t="shared" si="78"/>
        <v>8859.8885063548314</v>
      </c>
      <c r="E1215">
        <f t="shared" si="79"/>
        <v>8855.3232842094876</v>
      </c>
    </row>
    <row r="1216" spans="1:5">
      <c r="A1216">
        <f t="shared" si="75"/>
        <v>0.96699999999999997</v>
      </c>
      <c r="B1216">
        <f t="shared" si="76"/>
        <v>2734.6508580754062</v>
      </c>
      <c r="C1216">
        <f t="shared" si="77"/>
        <v>3815.5579418876782</v>
      </c>
      <c r="D1216">
        <f t="shared" si="78"/>
        <v>8995.1660445283196</v>
      </c>
      <c r="E1216">
        <f t="shared" si="79"/>
        <v>8991.5520543354942</v>
      </c>
    </row>
    <row r="1217" spans="1:5">
      <c r="A1217">
        <f t="shared" si="75"/>
        <v>0.97499999999999998</v>
      </c>
      <c r="B1217">
        <f t="shared" si="76"/>
        <v>2735.6330546630293</v>
      </c>
      <c r="C1217">
        <f t="shared" si="77"/>
        <v>3861.3869170271155</v>
      </c>
      <c r="D1217">
        <f t="shared" si="78"/>
        <v>9116.3739007837139</v>
      </c>
      <c r="E1217">
        <f t="shared" si="79"/>
        <v>9113.617881954191</v>
      </c>
    </row>
    <row r="1218" spans="1:5">
      <c r="A1218">
        <f t="shared" si="75"/>
        <v>0.98299999999999998</v>
      </c>
      <c r="B1218">
        <f t="shared" si="76"/>
        <v>2736.6230846331491</v>
      </c>
      <c r="C1218">
        <f t="shared" si="77"/>
        <v>3907.5201435523309</v>
      </c>
      <c r="D1218">
        <f t="shared" si="78"/>
        <v>9238.487402839648</v>
      </c>
      <c r="E1218">
        <f t="shared" si="79"/>
        <v>9236.6010042814341</v>
      </c>
    </row>
    <row r="1219" spans="1:5">
      <c r="A1219">
        <f t="shared" si="75"/>
        <v>0.99199999999999999</v>
      </c>
      <c r="B1219">
        <f t="shared" si="76"/>
        <v>2737.7462241092339</v>
      </c>
      <c r="C1219">
        <f t="shared" si="77"/>
        <v>3959.7846663670321</v>
      </c>
      <c r="D1219">
        <f t="shared" si="78"/>
        <v>9376.948806056138</v>
      </c>
      <c r="E1219">
        <f t="shared" si="79"/>
        <v>9376.0545934952825</v>
      </c>
    </row>
    <row r="1220" spans="1:5">
      <c r="A1220">
        <f t="shared" si="75"/>
        <v>1</v>
      </c>
      <c r="B1220">
        <f t="shared" si="76"/>
        <v>2738.7528797589603</v>
      </c>
      <c r="C1220">
        <f t="shared" si="77"/>
        <v>4006.5669904921833</v>
      </c>
      <c r="D1220">
        <f t="shared" si="78"/>
        <v>9500.9899232733605</v>
      </c>
      <c r="E1220">
        <f t="shared" si="79"/>
        <v>9500.9899232733605</v>
      </c>
    </row>
    <row r="1225" spans="1:5">
      <c r="A1225">
        <f t="shared" ref="A1225:A1288" si="80">I2</f>
        <v>-1</v>
      </c>
      <c r="B1225">
        <f t="shared" ref="B1225:B1288" si="81">AQ2</f>
        <v>2737.9721339616262</v>
      </c>
      <c r="C1225">
        <f t="shared" ref="C1225:C1288" si="82">AS2</f>
        <v>4006.1845220388846</v>
      </c>
      <c r="D1225">
        <f t="shared" ref="D1225:D1288" si="83">AU2</f>
        <v>9500.5563713434549</v>
      </c>
      <c r="E1225">
        <f t="shared" ref="E1225:E1288" si="84">AW2</f>
        <v>9500.5563713434549</v>
      </c>
    </row>
    <row r="1226" spans="1:5">
      <c r="A1226">
        <f t="shared" si="80"/>
        <v>-0.99199999999999999</v>
      </c>
      <c r="B1226">
        <f t="shared" si="81"/>
        <v>2736.9528201395592</v>
      </c>
      <c r="C1226">
        <f t="shared" si="82"/>
        <v>3959.1477374020114</v>
      </c>
      <c r="D1226">
        <f t="shared" si="83"/>
        <v>9376.6806348938517</v>
      </c>
      <c r="E1226">
        <f t="shared" si="84"/>
        <v>9375.7864531212308</v>
      </c>
    </row>
    <row r="1227" spans="1:5">
      <c r="A1227">
        <f t="shared" si="80"/>
        <v>-0.98299999999999998</v>
      </c>
      <c r="B1227">
        <f t="shared" si="81"/>
        <v>2735.8693928822458</v>
      </c>
      <c r="C1227">
        <f t="shared" si="82"/>
        <v>3906.6899803154161</v>
      </c>
      <c r="D1227">
        <f t="shared" si="83"/>
        <v>9237.8669365752503</v>
      </c>
      <c r="E1227">
        <f t="shared" si="84"/>
        <v>9235.9806918794056</v>
      </c>
    </row>
    <row r="1228" spans="1:5">
      <c r="A1228">
        <f t="shared" si="80"/>
        <v>-0.97499999999999998</v>
      </c>
      <c r="B1228">
        <f t="shared" si="81"/>
        <v>2734.7537852754253</v>
      </c>
      <c r="C1228">
        <f t="shared" si="82"/>
        <v>3860.6694546054136</v>
      </c>
      <c r="D1228">
        <f t="shared" si="83"/>
        <v>9116.2154348858567</v>
      </c>
      <c r="E1228">
        <f t="shared" si="84"/>
        <v>9113.459474677602</v>
      </c>
    </row>
    <row r="1229" spans="1:5">
      <c r="A1229">
        <f t="shared" si="80"/>
        <v>-0.96699999999999997</v>
      </c>
      <c r="B1229">
        <f t="shared" si="81"/>
        <v>2733.8712853195143</v>
      </c>
      <c r="C1229">
        <f t="shared" si="82"/>
        <v>3815.0773000226741</v>
      </c>
      <c r="D1229">
        <f t="shared" si="83"/>
        <v>8994.6970197989122</v>
      </c>
      <c r="E1229">
        <f t="shared" si="84"/>
        <v>8991.083262053251</v>
      </c>
    </row>
    <row r="1230" spans="1:5">
      <c r="A1230">
        <f t="shared" si="80"/>
        <v>-0.95799999999999996</v>
      </c>
      <c r="B1230">
        <f t="shared" si="81"/>
        <v>2732.687149406082</v>
      </c>
      <c r="C1230">
        <f t="shared" si="82"/>
        <v>3764.0154250777559</v>
      </c>
      <c r="D1230">
        <f t="shared" si="83"/>
        <v>8859.3401609879784</v>
      </c>
      <c r="E1230">
        <f t="shared" si="84"/>
        <v>8854.7752905537527</v>
      </c>
    </row>
    <row r="1231" spans="1:5">
      <c r="A1231">
        <f t="shared" si="80"/>
        <v>-0.95</v>
      </c>
      <c r="B1231">
        <f t="shared" si="81"/>
        <v>2731.6895767899719</v>
      </c>
      <c r="C1231">
        <f t="shared" si="82"/>
        <v>3718.7207527081573</v>
      </c>
      <c r="D1231">
        <f t="shared" si="83"/>
        <v>8740.3317888613292</v>
      </c>
      <c r="E1231">
        <f t="shared" si="84"/>
        <v>8734.9337239521119</v>
      </c>
    </row>
    <row r="1232" spans="1:5">
      <c r="A1232">
        <f t="shared" si="80"/>
        <v>-0.94199999999999995</v>
      </c>
      <c r="B1232">
        <f t="shared" si="81"/>
        <v>2730.7088318781148</v>
      </c>
      <c r="C1232">
        <f t="shared" si="82"/>
        <v>3673.7176119881537</v>
      </c>
      <c r="D1232">
        <f t="shared" si="83"/>
        <v>8621.5307574745584</v>
      </c>
      <c r="E1232">
        <f t="shared" si="84"/>
        <v>8615.311864200492</v>
      </c>
    </row>
    <row r="1233" spans="1:5">
      <c r="A1233">
        <f t="shared" si="80"/>
        <v>-0.93300000000000005</v>
      </c>
      <c r="B1233">
        <f t="shared" si="81"/>
        <v>2729.5241867812651</v>
      </c>
      <c r="C1233">
        <f t="shared" si="82"/>
        <v>3623.5784569317379</v>
      </c>
      <c r="D1233">
        <f t="shared" si="83"/>
        <v>8489.7380215571848</v>
      </c>
      <c r="E1233">
        <f t="shared" si="84"/>
        <v>8482.6091772207692</v>
      </c>
    </row>
    <row r="1234" spans="1:5">
      <c r="A1234">
        <f t="shared" si="80"/>
        <v>-0.92500000000000004</v>
      </c>
      <c r="B1234">
        <f t="shared" si="81"/>
        <v>2728.5707503638432</v>
      </c>
      <c r="C1234">
        <f t="shared" si="82"/>
        <v>3579.3219687815858</v>
      </c>
      <c r="D1234">
        <f t="shared" si="83"/>
        <v>8373.1619172502797</v>
      </c>
      <c r="E1234">
        <f t="shared" si="84"/>
        <v>8365.2372704199115</v>
      </c>
    </row>
    <row r="1235" spans="1:5">
      <c r="A1235">
        <f t="shared" si="80"/>
        <v>-0.91700000000000004</v>
      </c>
      <c r="B1235">
        <f t="shared" si="81"/>
        <v>2727.45681982305</v>
      </c>
      <c r="C1235">
        <f t="shared" si="82"/>
        <v>3535.5397391924798</v>
      </c>
      <c r="D1235">
        <f t="shared" si="83"/>
        <v>8257.4964797093962</v>
      </c>
      <c r="E1235">
        <f t="shared" si="84"/>
        <v>8248.7880169790551</v>
      </c>
    </row>
    <row r="1236" spans="1:5">
      <c r="A1236">
        <f t="shared" si="80"/>
        <v>-0.90800000000000003</v>
      </c>
      <c r="B1236">
        <f t="shared" si="81"/>
        <v>2726.3354650184833</v>
      </c>
      <c r="C1236">
        <f t="shared" si="82"/>
        <v>3486.6311054490343</v>
      </c>
      <c r="D1236">
        <f t="shared" si="83"/>
        <v>8128.7951309951241</v>
      </c>
      <c r="E1236">
        <f t="shared" si="84"/>
        <v>8119.2187457949549</v>
      </c>
    </row>
    <row r="1237" spans="1:5">
      <c r="A1237">
        <f t="shared" si="80"/>
        <v>-0.9</v>
      </c>
      <c r="B1237">
        <f t="shared" si="81"/>
        <v>2725.4452542994177</v>
      </c>
      <c r="C1237">
        <f t="shared" si="82"/>
        <v>3443.2133979979462</v>
      </c>
      <c r="D1237">
        <f t="shared" si="83"/>
        <v>8015.0991696438123</v>
      </c>
      <c r="E1237">
        <f t="shared" si="84"/>
        <v>8004.7644846026124</v>
      </c>
    </row>
    <row r="1238" spans="1:5">
      <c r="A1238">
        <f t="shared" si="80"/>
        <v>-0.89200000000000002</v>
      </c>
      <c r="B1238">
        <f t="shared" si="81"/>
        <v>2724.3586238461326</v>
      </c>
      <c r="C1238">
        <f t="shared" si="82"/>
        <v>3399.8955380999778</v>
      </c>
      <c r="D1238">
        <f t="shared" si="83"/>
        <v>7902.1303992220219</v>
      </c>
      <c r="E1238">
        <f t="shared" si="84"/>
        <v>7891.0498786081262</v>
      </c>
    </row>
    <row r="1239" spans="1:5">
      <c r="A1239">
        <f t="shared" si="80"/>
        <v>-0.88300000000000001</v>
      </c>
      <c r="B1239">
        <f t="shared" si="81"/>
        <v>2723.2627061687181</v>
      </c>
      <c r="C1239">
        <f t="shared" si="82"/>
        <v>3351.8342589880513</v>
      </c>
      <c r="D1239">
        <f t="shared" si="83"/>
        <v>7776.6419921566758</v>
      </c>
      <c r="E1239">
        <f t="shared" si="84"/>
        <v>7764.7359630806814</v>
      </c>
    </row>
    <row r="1240" spans="1:5">
      <c r="A1240">
        <f t="shared" si="80"/>
        <v>-0.875</v>
      </c>
      <c r="B1240">
        <f t="shared" si="81"/>
        <v>2722.4209257280004</v>
      </c>
      <c r="C1240">
        <f t="shared" si="82"/>
        <v>3309.70809101759</v>
      </c>
      <c r="D1240">
        <f t="shared" si="83"/>
        <v>7665.4810009588955</v>
      </c>
      <c r="E1240">
        <f t="shared" si="84"/>
        <v>7652.8553713180618</v>
      </c>
    </row>
    <row r="1241" spans="1:5">
      <c r="A1241">
        <f t="shared" si="80"/>
        <v>-0.86699999999999999</v>
      </c>
      <c r="B1241">
        <f t="shared" si="81"/>
        <v>2721.453798788491</v>
      </c>
      <c r="C1241">
        <f t="shared" si="82"/>
        <v>3267.7091245426209</v>
      </c>
      <c r="D1241">
        <f t="shared" si="83"/>
        <v>7555.4396771768133</v>
      </c>
      <c r="E1241">
        <f t="shared" si="84"/>
        <v>7542.1063082979317</v>
      </c>
    </row>
    <row r="1242" spans="1:5">
      <c r="A1242">
        <f t="shared" si="80"/>
        <v>-0.85799999999999998</v>
      </c>
      <c r="B1242">
        <f t="shared" si="81"/>
        <v>2720.3789439041557</v>
      </c>
      <c r="C1242">
        <f t="shared" si="82"/>
        <v>3220.525348840778</v>
      </c>
      <c r="D1242">
        <f t="shared" si="83"/>
        <v>7433.0998810073406</v>
      </c>
      <c r="E1242">
        <f t="shared" si="84"/>
        <v>7418.9840787376506</v>
      </c>
    </row>
    <row r="1243" spans="1:5">
      <c r="A1243">
        <f t="shared" si="80"/>
        <v>-0.85</v>
      </c>
      <c r="B1243">
        <f t="shared" si="81"/>
        <v>2719.5300576923719</v>
      </c>
      <c r="C1243">
        <f t="shared" si="82"/>
        <v>3178.9032534055073</v>
      </c>
      <c r="D1243">
        <f t="shared" si="83"/>
        <v>7324.5461683556623</v>
      </c>
      <c r="E1243">
        <f t="shared" si="84"/>
        <v>7309.7500919691383</v>
      </c>
    </row>
    <row r="1244" spans="1:5">
      <c r="A1244">
        <f t="shared" si="80"/>
        <v>-0.84199999999999997</v>
      </c>
      <c r="B1244">
        <f t="shared" si="81"/>
        <v>2718.6801987581757</v>
      </c>
      <c r="C1244">
        <f t="shared" si="82"/>
        <v>3137.6276900805829</v>
      </c>
      <c r="D1244">
        <f t="shared" si="83"/>
        <v>7217.7111257460656</v>
      </c>
      <c r="E1244">
        <f t="shared" si="84"/>
        <v>7202.2449127278005</v>
      </c>
    </row>
    <row r="1245" spans="1:5">
      <c r="A1245">
        <f t="shared" si="80"/>
        <v>-0.83299999999999996</v>
      </c>
      <c r="B1245">
        <f t="shared" si="81"/>
        <v>2717.6974345549215</v>
      </c>
      <c r="C1245">
        <f t="shared" si="82"/>
        <v>3091.6849371722919</v>
      </c>
      <c r="D1245">
        <f t="shared" si="83"/>
        <v>7098.019488341909</v>
      </c>
      <c r="E1245">
        <f t="shared" si="84"/>
        <v>7081.8160256542114</v>
      </c>
    </row>
    <row r="1246" spans="1:5">
      <c r="A1246">
        <f t="shared" si="80"/>
        <v>-0.82499999999999996</v>
      </c>
      <c r="B1246">
        <f t="shared" si="81"/>
        <v>2716.8250307204657</v>
      </c>
      <c r="C1246">
        <f t="shared" si="82"/>
        <v>3051.4674905866668</v>
      </c>
      <c r="D1246">
        <f t="shared" si="83"/>
        <v>6992.6479613045003</v>
      </c>
      <c r="E1246">
        <f t="shared" si="84"/>
        <v>6975.8023290740502</v>
      </c>
    </row>
    <row r="1247" spans="1:5">
      <c r="A1247">
        <f t="shared" si="80"/>
        <v>-0.81699999999999995</v>
      </c>
      <c r="B1247">
        <f t="shared" si="81"/>
        <v>2716.0170983071607</v>
      </c>
      <c r="C1247">
        <f t="shared" si="82"/>
        <v>3011.205038375484</v>
      </c>
      <c r="D1247">
        <f t="shared" si="83"/>
        <v>6888.445538379483</v>
      </c>
      <c r="E1247">
        <f t="shared" si="84"/>
        <v>6870.9693497228955</v>
      </c>
    </row>
    <row r="1248" spans="1:5">
      <c r="A1248">
        <f t="shared" si="80"/>
        <v>-0.80800000000000005</v>
      </c>
      <c r="B1248">
        <f t="shared" si="81"/>
        <v>2715.0613483936577</v>
      </c>
      <c r="C1248">
        <f t="shared" si="82"/>
        <v>2965.8915391952009</v>
      </c>
      <c r="D1248">
        <f t="shared" si="83"/>
        <v>6771.7898508147382</v>
      </c>
      <c r="E1248">
        <f t="shared" si="84"/>
        <v>6753.6212781446657</v>
      </c>
    </row>
    <row r="1249" spans="1:5">
      <c r="A1249">
        <f t="shared" si="80"/>
        <v>-0.8</v>
      </c>
      <c r="B1249">
        <f t="shared" si="81"/>
        <v>2714.2779556726477</v>
      </c>
      <c r="C1249">
        <f t="shared" si="82"/>
        <v>2926.020997254117</v>
      </c>
      <c r="D1249">
        <f t="shared" si="83"/>
        <v>6669.2420000628108</v>
      </c>
      <c r="E1249">
        <f t="shared" si="84"/>
        <v>6650.4707476140602</v>
      </c>
    </row>
    <row r="1250" spans="1:5">
      <c r="A1250">
        <f t="shared" si="80"/>
        <v>-0.79200000000000004</v>
      </c>
      <c r="B1250">
        <f t="shared" si="81"/>
        <v>2713.5291977559514</v>
      </c>
      <c r="C1250">
        <f t="shared" si="82"/>
        <v>2886.8217574751084</v>
      </c>
      <c r="D1250">
        <f t="shared" si="83"/>
        <v>6567.6171221874147</v>
      </c>
      <c r="E1250">
        <f t="shared" si="84"/>
        <v>6548.2558080936396</v>
      </c>
    </row>
    <row r="1251" spans="1:5">
      <c r="A1251">
        <f t="shared" si="80"/>
        <v>-0.78300000000000003</v>
      </c>
      <c r="B1251">
        <f t="shared" si="81"/>
        <v>2712.5601656074723</v>
      </c>
      <c r="C1251">
        <f t="shared" si="82"/>
        <v>2843.1030562454516</v>
      </c>
      <c r="D1251">
        <f t="shared" si="83"/>
        <v>6453.9467364016009</v>
      </c>
      <c r="E1251">
        <f t="shared" si="84"/>
        <v>6433.9388308039552</v>
      </c>
    </row>
    <row r="1252" spans="1:5">
      <c r="A1252">
        <f t="shared" si="80"/>
        <v>-0.77500000000000002</v>
      </c>
      <c r="B1252">
        <f t="shared" si="81"/>
        <v>2711.7731730634732</v>
      </c>
      <c r="C1252">
        <f t="shared" si="82"/>
        <v>2804.3248063441019</v>
      </c>
      <c r="D1252">
        <f t="shared" si="83"/>
        <v>6354.1486283599243</v>
      </c>
      <c r="E1252">
        <f t="shared" si="84"/>
        <v>6333.5783023463191</v>
      </c>
    </row>
    <row r="1253" spans="1:5">
      <c r="A1253">
        <f t="shared" si="80"/>
        <v>-0.76700000000000002</v>
      </c>
      <c r="B1253">
        <f t="shared" si="81"/>
        <v>2711.1609992569461</v>
      </c>
      <c r="C1253">
        <f t="shared" si="82"/>
        <v>2765.6399481746071</v>
      </c>
      <c r="D1253">
        <f t="shared" si="83"/>
        <v>6255.3661723368041</v>
      </c>
      <c r="E1253">
        <f t="shared" si="84"/>
        <v>6234.2456420387598</v>
      </c>
    </row>
    <row r="1254" spans="1:5">
      <c r="A1254">
        <f t="shared" si="80"/>
        <v>-0.75800000000000001</v>
      </c>
      <c r="B1254">
        <f t="shared" si="81"/>
        <v>2710.338289310354</v>
      </c>
      <c r="C1254">
        <f t="shared" si="82"/>
        <v>2722.5308660022711</v>
      </c>
      <c r="D1254">
        <f t="shared" si="83"/>
        <v>6144.6351333130369</v>
      </c>
      <c r="E1254">
        <f t="shared" si="84"/>
        <v>6122.9147357874672</v>
      </c>
    </row>
    <row r="1255" spans="1:5">
      <c r="A1255">
        <f t="shared" si="80"/>
        <v>-0.75</v>
      </c>
      <c r="B1255">
        <f t="shared" si="81"/>
        <v>2709.6428929865006</v>
      </c>
      <c r="C1255">
        <f t="shared" si="82"/>
        <v>2684.5852689818762</v>
      </c>
      <c r="D1255">
        <f t="shared" si="83"/>
        <v>6047.9709491570866</v>
      </c>
      <c r="E1255">
        <f t="shared" si="84"/>
        <v>6025.7264928486038</v>
      </c>
    </row>
    <row r="1256" spans="1:5">
      <c r="A1256">
        <f t="shared" si="80"/>
        <v>-0.74199999999999999</v>
      </c>
      <c r="B1256">
        <f t="shared" si="81"/>
        <v>2708.85476109416</v>
      </c>
      <c r="C1256">
        <f t="shared" si="82"/>
        <v>2647.0848704043919</v>
      </c>
      <c r="D1256">
        <f t="shared" si="83"/>
        <v>5951.3995132318396</v>
      </c>
      <c r="E1256">
        <f t="shared" si="84"/>
        <v>5928.6487363287824</v>
      </c>
    </row>
    <row r="1257" spans="1:5">
      <c r="A1257">
        <f t="shared" si="80"/>
        <v>-0.73299999999999998</v>
      </c>
      <c r="B1257">
        <f t="shared" si="81"/>
        <v>2708.0463093967692</v>
      </c>
      <c r="C1257">
        <f t="shared" si="82"/>
        <v>2605.1463027637274</v>
      </c>
      <c r="D1257">
        <f t="shared" si="83"/>
        <v>5844.0721638618543</v>
      </c>
      <c r="E1257">
        <f t="shared" si="84"/>
        <v>5820.7659333649044</v>
      </c>
    </row>
    <row r="1258" spans="1:5">
      <c r="A1258">
        <f t="shared" si="80"/>
        <v>-0.72499999999999998</v>
      </c>
      <c r="B1258">
        <f t="shared" si="81"/>
        <v>2707.2816005599116</v>
      </c>
      <c r="C1258">
        <f t="shared" si="82"/>
        <v>2568.0199583114172</v>
      </c>
      <c r="D1258">
        <f t="shared" si="83"/>
        <v>5749.953698963689</v>
      </c>
      <c r="E1258">
        <f t="shared" si="84"/>
        <v>5726.1652983833264</v>
      </c>
    </row>
    <row r="1259" spans="1:5">
      <c r="A1259">
        <f t="shared" si="80"/>
        <v>-0.71699999999999997</v>
      </c>
      <c r="B1259">
        <f t="shared" si="81"/>
        <v>2706.6595368359267</v>
      </c>
      <c r="C1259">
        <f t="shared" si="82"/>
        <v>2531.0671004076148</v>
      </c>
      <c r="D1259">
        <f t="shared" si="83"/>
        <v>5655.9040450008442</v>
      </c>
      <c r="E1259">
        <f t="shared" si="84"/>
        <v>5631.6523725758498</v>
      </c>
    </row>
    <row r="1260" spans="1:5">
      <c r="A1260">
        <f t="shared" si="80"/>
        <v>-0.70799999999999996</v>
      </c>
      <c r="B1260">
        <f t="shared" si="81"/>
        <v>2705.8693463886002</v>
      </c>
      <c r="C1260">
        <f t="shared" si="82"/>
        <v>2489.8874815984691</v>
      </c>
      <c r="D1260">
        <f t="shared" si="83"/>
        <v>5551.8507587493432</v>
      </c>
      <c r="E1260">
        <f t="shared" si="84"/>
        <v>5527.0886441711264</v>
      </c>
    </row>
    <row r="1261" spans="1:5">
      <c r="A1261">
        <f t="shared" si="80"/>
        <v>-0.7</v>
      </c>
      <c r="B1261">
        <f t="shared" si="81"/>
        <v>2705.2770547538398</v>
      </c>
      <c r="C1261">
        <f t="shared" si="82"/>
        <v>2453.7296576050267</v>
      </c>
      <c r="D1261">
        <f t="shared" si="83"/>
        <v>5459.9978954557082</v>
      </c>
      <c r="E1261">
        <f t="shared" si="84"/>
        <v>5434.7983466366604</v>
      </c>
    </row>
    <row r="1262" spans="1:5">
      <c r="A1262">
        <f t="shared" si="80"/>
        <v>-0.69199999999999995</v>
      </c>
      <c r="B1262">
        <f t="shared" si="81"/>
        <v>2704.5693253611653</v>
      </c>
      <c r="C1262">
        <f t="shared" si="82"/>
        <v>2417.9520871285163</v>
      </c>
      <c r="D1262">
        <f t="shared" si="83"/>
        <v>5368.7858670736305</v>
      </c>
      <c r="E1262">
        <f t="shared" si="84"/>
        <v>5343.1642028627093</v>
      </c>
    </row>
    <row r="1263" spans="1:5">
      <c r="A1263">
        <f t="shared" si="80"/>
        <v>-0.68300000000000005</v>
      </c>
      <c r="B1263">
        <f t="shared" si="81"/>
        <v>2703.6905678073786</v>
      </c>
      <c r="C1263">
        <f t="shared" si="82"/>
        <v>2377.7187158263891</v>
      </c>
      <c r="D1263">
        <f t="shared" si="83"/>
        <v>5267.6229939401692</v>
      </c>
      <c r="E1263">
        <f t="shared" si="84"/>
        <v>5241.5389512381753</v>
      </c>
    </row>
    <row r="1264" spans="1:5">
      <c r="A1264">
        <f t="shared" si="80"/>
        <v>-0.67500000000000004</v>
      </c>
      <c r="B1264">
        <f t="shared" si="81"/>
        <v>2702.949725274078</v>
      </c>
      <c r="C1264">
        <f t="shared" si="82"/>
        <v>2342.2688468973838</v>
      </c>
      <c r="D1264">
        <f t="shared" si="83"/>
        <v>5178.4098507792496</v>
      </c>
      <c r="E1264">
        <f t="shared" si="84"/>
        <v>5151.930884437782</v>
      </c>
    </row>
    <row r="1265" spans="1:5">
      <c r="A1265">
        <f t="shared" si="80"/>
        <v>-0.66700000000000004</v>
      </c>
      <c r="B1265">
        <f t="shared" si="81"/>
        <v>2702.3426391343892</v>
      </c>
      <c r="C1265">
        <f t="shared" si="82"/>
        <v>2306.9945829969192</v>
      </c>
      <c r="D1265">
        <f t="shared" si="83"/>
        <v>5089.8373760297081</v>
      </c>
      <c r="E1265">
        <f t="shared" si="84"/>
        <v>5062.979131012552</v>
      </c>
    </row>
    <row r="1266" spans="1:5">
      <c r="A1266">
        <f t="shared" si="80"/>
        <v>-0.65800000000000003</v>
      </c>
      <c r="B1266">
        <f t="shared" si="81"/>
        <v>2701.587502760221</v>
      </c>
      <c r="C1266">
        <f t="shared" si="82"/>
        <v>2267.7158327632287</v>
      </c>
      <c r="D1266">
        <f t="shared" si="83"/>
        <v>4991.7556848343556</v>
      </c>
      <c r="E1266">
        <f t="shared" si="84"/>
        <v>4964.4815363743965</v>
      </c>
    </row>
    <row r="1267" spans="1:5">
      <c r="A1267">
        <f t="shared" si="80"/>
        <v>-0.65</v>
      </c>
      <c r="B1267">
        <f t="shared" si="81"/>
        <v>2700.8810640310994</v>
      </c>
      <c r="C1267">
        <f t="shared" si="82"/>
        <v>2233.2466648870986</v>
      </c>
      <c r="D1267">
        <f t="shared" si="83"/>
        <v>4904.9522223155282</v>
      </c>
      <c r="E1267">
        <f t="shared" si="84"/>
        <v>4877.3281793595488</v>
      </c>
    </row>
    <row r="1268" spans="1:5">
      <c r="A1268">
        <f t="shared" si="80"/>
        <v>-0.64200000000000002</v>
      </c>
      <c r="B1268">
        <f t="shared" si="81"/>
        <v>2700.0703913209777</v>
      </c>
      <c r="C1268">
        <f t="shared" si="82"/>
        <v>2199.1466378667237</v>
      </c>
      <c r="D1268">
        <f t="shared" si="83"/>
        <v>4819.1911730470674</v>
      </c>
      <c r="E1268">
        <f t="shared" si="84"/>
        <v>4791.2288130859006</v>
      </c>
    </row>
    <row r="1269" spans="1:5">
      <c r="A1269">
        <f t="shared" si="80"/>
        <v>-0.63300000000000001</v>
      </c>
      <c r="B1269">
        <f t="shared" si="81"/>
        <v>2699.2430908261645</v>
      </c>
      <c r="C1269">
        <f t="shared" si="82"/>
        <v>2160.8515796643778</v>
      </c>
      <c r="D1269">
        <f t="shared" si="83"/>
        <v>4723.9805013496798</v>
      </c>
      <c r="E1269">
        <f t="shared" si="84"/>
        <v>4695.6506664601484</v>
      </c>
    </row>
    <row r="1270" spans="1:5">
      <c r="A1270">
        <f t="shared" si="80"/>
        <v>-0.625</v>
      </c>
      <c r="B1270">
        <f t="shared" si="81"/>
        <v>2698.4858261088816</v>
      </c>
      <c r="C1270">
        <f t="shared" si="82"/>
        <v>2126.7530364399495</v>
      </c>
      <c r="D1270">
        <f t="shared" si="83"/>
        <v>4639.4759832505997</v>
      </c>
      <c r="E1270">
        <f t="shared" si="84"/>
        <v>4610.8432409878296</v>
      </c>
    </row>
    <row r="1271" spans="1:5">
      <c r="A1271">
        <f t="shared" si="80"/>
        <v>-0.61699999999999999</v>
      </c>
      <c r="B1271">
        <f t="shared" si="81"/>
        <v>2697.912683127855</v>
      </c>
      <c r="C1271">
        <f t="shared" si="82"/>
        <v>2093.1696294265362</v>
      </c>
      <c r="D1271">
        <f t="shared" si="83"/>
        <v>4556.6085833356701</v>
      </c>
      <c r="E1271">
        <f t="shared" si="84"/>
        <v>4527.6766627690777</v>
      </c>
    </row>
    <row r="1272" spans="1:5">
      <c r="A1272">
        <f t="shared" si="80"/>
        <v>-0.60799999999999998</v>
      </c>
      <c r="B1272">
        <f t="shared" si="81"/>
        <v>2697.0681163678028</v>
      </c>
      <c r="C1272">
        <f t="shared" si="82"/>
        <v>2056.0497159682136</v>
      </c>
      <c r="D1272">
        <f t="shared" si="83"/>
        <v>4463.7842600742597</v>
      </c>
      <c r="E1272">
        <f t="shared" si="84"/>
        <v>4434.5397505577357</v>
      </c>
    </row>
    <row r="1273" spans="1:5">
      <c r="A1273">
        <f t="shared" si="80"/>
        <v>-0.6</v>
      </c>
      <c r="B1273">
        <f t="shared" si="81"/>
        <v>2696.3049663672955</v>
      </c>
      <c r="C1273">
        <f t="shared" si="82"/>
        <v>2023.202170567554</v>
      </c>
      <c r="D1273">
        <f t="shared" si="83"/>
        <v>4382.1612160771374</v>
      </c>
      <c r="E1273">
        <f t="shared" si="84"/>
        <v>4352.6534696058097</v>
      </c>
    </row>
    <row r="1274" spans="1:5">
      <c r="A1274">
        <f t="shared" si="80"/>
        <v>-0.59199999999999997</v>
      </c>
      <c r="B1274">
        <f t="shared" si="81"/>
        <v>2695.6592976495863</v>
      </c>
      <c r="C1274">
        <f t="shared" si="82"/>
        <v>1990.4033581092428</v>
      </c>
      <c r="D1274">
        <f t="shared" si="83"/>
        <v>4301.6858681205158</v>
      </c>
      <c r="E1274">
        <f t="shared" si="84"/>
        <v>4271.9238735944728</v>
      </c>
    </row>
    <row r="1275" spans="1:5">
      <c r="A1275">
        <f t="shared" si="80"/>
        <v>-0.58299999999999996</v>
      </c>
      <c r="B1275">
        <f t="shared" si="81"/>
        <v>2694.8999569640541</v>
      </c>
      <c r="C1275">
        <f t="shared" si="82"/>
        <v>1953.6477907064188</v>
      </c>
      <c r="D1275">
        <f t="shared" si="83"/>
        <v>4211.6044697693824</v>
      </c>
      <c r="E1275">
        <f t="shared" si="84"/>
        <v>4181.5807170764128</v>
      </c>
    </row>
    <row r="1276" spans="1:5">
      <c r="A1276">
        <f t="shared" si="80"/>
        <v>-0.57499999999999996</v>
      </c>
      <c r="B1276">
        <f t="shared" si="81"/>
        <v>2694.1431538106372</v>
      </c>
      <c r="C1276">
        <f t="shared" si="82"/>
        <v>1921.275488770779</v>
      </c>
      <c r="D1276">
        <f t="shared" si="83"/>
        <v>4132.6729700126252</v>
      </c>
      <c r="E1276">
        <f t="shared" si="84"/>
        <v>4102.4268767595477</v>
      </c>
    </row>
    <row r="1277" spans="1:5">
      <c r="A1277">
        <f t="shared" si="80"/>
        <v>-0.56699999999999995</v>
      </c>
      <c r="B1277">
        <f t="shared" si="81"/>
        <v>2693.5887701095885</v>
      </c>
      <c r="C1277">
        <f t="shared" si="82"/>
        <v>1889.3707989649024</v>
      </c>
      <c r="D1277">
        <f t="shared" si="83"/>
        <v>4054.6161492634942</v>
      </c>
      <c r="E1277">
        <f t="shared" si="84"/>
        <v>4024.1601603091813</v>
      </c>
    </row>
    <row r="1278" spans="1:5">
      <c r="A1278">
        <f t="shared" si="80"/>
        <v>-0.55800000000000005</v>
      </c>
      <c r="B1278">
        <f t="shared" si="81"/>
        <v>2692.7579631655858</v>
      </c>
      <c r="C1278">
        <f t="shared" si="82"/>
        <v>1853.9523697485693</v>
      </c>
      <c r="D1278">
        <f t="shared" si="83"/>
        <v>3967.3646091084047</v>
      </c>
      <c r="E1278">
        <f t="shared" si="84"/>
        <v>3936.6957000760913</v>
      </c>
    </row>
    <row r="1279" spans="1:5">
      <c r="A1279">
        <f t="shared" si="80"/>
        <v>-0.55000000000000004</v>
      </c>
      <c r="B1279">
        <f t="shared" si="81"/>
        <v>2692.1746655892334</v>
      </c>
      <c r="C1279">
        <f t="shared" si="82"/>
        <v>1822.521136552667</v>
      </c>
      <c r="D1279">
        <f t="shared" si="83"/>
        <v>3890.8212117810226</v>
      </c>
      <c r="E1279">
        <f t="shared" si="84"/>
        <v>3859.9747157263751</v>
      </c>
    </row>
    <row r="1280" spans="1:5">
      <c r="A1280">
        <f t="shared" si="80"/>
        <v>-0.54200000000000004</v>
      </c>
      <c r="B1280">
        <f t="shared" si="81"/>
        <v>2691.668504525569</v>
      </c>
      <c r="C1280">
        <f t="shared" si="82"/>
        <v>1791.0443942278735</v>
      </c>
      <c r="D1280">
        <f t="shared" si="83"/>
        <v>3815.2605376380343</v>
      </c>
      <c r="E1280">
        <f t="shared" si="84"/>
        <v>3784.2463249330663</v>
      </c>
    </row>
    <row r="1281" spans="1:5">
      <c r="A1281">
        <f t="shared" si="80"/>
        <v>-0.53300000000000003</v>
      </c>
      <c r="B1281">
        <f t="shared" si="81"/>
        <v>2690.9024159206665</v>
      </c>
      <c r="C1281">
        <f t="shared" si="82"/>
        <v>1756.0232098844801</v>
      </c>
      <c r="D1281">
        <f t="shared" si="83"/>
        <v>3730.4741694394993</v>
      </c>
      <c r="E1281">
        <f t="shared" si="84"/>
        <v>3699.30191597568</v>
      </c>
    </row>
    <row r="1282" spans="1:5">
      <c r="A1282">
        <f t="shared" si="80"/>
        <v>-0.52500000000000002</v>
      </c>
      <c r="B1282">
        <f t="shared" si="81"/>
        <v>2690.3688239418552</v>
      </c>
      <c r="C1282">
        <f t="shared" si="82"/>
        <v>1725.3056164649161</v>
      </c>
      <c r="D1282">
        <f t="shared" si="83"/>
        <v>3656.6573503957438</v>
      </c>
      <c r="E1282">
        <f t="shared" si="84"/>
        <v>3625.3443038047226</v>
      </c>
    </row>
    <row r="1283" spans="1:5">
      <c r="A1283">
        <f t="shared" si="80"/>
        <v>-0.51700000000000002</v>
      </c>
      <c r="B1283">
        <f t="shared" si="81"/>
        <v>2689.8799811873109</v>
      </c>
      <c r="C1283">
        <f t="shared" si="82"/>
        <v>1694.9715481778403</v>
      </c>
      <c r="D1283">
        <f t="shared" si="83"/>
        <v>3583.0250741165628</v>
      </c>
      <c r="E1283">
        <f t="shared" si="84"/>
        <v>3551.5973602312506</v>
      </c>
    </row>
    <row r="1284" spans="1:5">
      <c r="A1284">
        <f t="shared" si="80"/>
        <v>-0.50800000000000001</v>
      </c>
      <c r="B1284">
        <f t="shared" si="81"/>
        <v>2689.3682686667476</v>
      </c>
      <c r="C1284">
        <f t="shared" si="82"/>
        <v>1660.9821859294339</v>
      </c>
      <c r="D1284">
        <f t="shared" si="83"/>
        <v>3501.2289891404321</v>
      </c>
      <c r="E1284">
        <f t="shared" si="84"/>
        <v>3469.686028659542</v>
      </c>
    </row>
    <row r="1285" spans="1:5">
      <c r="A1285">
        <f t="shared" si="80"/>
        <v>-0.5</v>
      </c>
      <c r="B1285">
        <f t="shared" si="81"/>
        <v>2688.8491812316879</v>
      </c>
      <c r="C1285">
        <f t="shared" si="82"/>
        <v>1630.7962996352992</v>
      </c>
      <c r="D1285">
        <f t="shared" si="83"/>
        <v>3429.6338635999455</v>
      </c>
      <c r="E1285">
        <f t="shared" si="84"/>
        <v>3397.9954704146958</v>
      </c>
    </row>
    <row r="1286" spans="1:5">
      <c r="A1286">
        <f t="shared" si="80"/>
        <v>-0.49199999999999999</v>
      </c>
      <c r="B1286">
        <f t="shared" si="81"/>
        <v>2688.4185300402251</v>
      </c>
      <c r="C1286">
        <f t="shared" si="82"/>
        <v>1600.8913289068564</v>
      </c>
      <c r="D1286">
        <f t="shared" si="83"/>
        <v>3358.2164161547216</v>
      </c>
      <c r="E1286">
        <f t="shared" si="84"/>
        <v>3326.5102905939862</v>
      </c>
    </row>
    <row r="1287" spans="1:5">
      <c r="A1287">
        <f t="shared" si="80"/>
        <v>-0.48299999999999998</v>
      </c>
      <c r="B1287">
        <f t="shared" si="81"/>
        <v>2687.9354849524943</v>
      </c>
      <c r="C1287">
        <f t="shared" si="82"/>
        <v>1567.6371166506372</v>
      </c>
      <c r="D1287">
        <f t="shared" si="83"/>
        <v>3279.3795744452109</v>
      </c>
      <c r="E1287">
        <f t="shared" si="84"/>
        <v>3247.5974715741572</v>
      </c>
    </row>
    <row r="1288" spans="1:5">
      <c r="A1288">
        <f t="shared" si="80"/>
        <v>-0.47499999999999998</v>
      </c>
      <c r="B1288">
        <f t="shared" si="81"/>
        <v>2687.4656545086355</v>
      </c>
      <c r="C1288">
        <f t="shared" si="82"/>
        <v>1538.2795008459386</v>
      </c>
      <c r="D1288">
        <f t="shared" si="83"/>
        <v>3209.8191909006891</v>
      </c>
      <c r="E1288">
        <f t="shared" si="84"/>
        <v>3177.9906184151841</v>
      </c>
    </row>
    <row r="1289" spans="1:5">
      <c r="A1289">
        <f t="shared" ref="A1289:A1352" si="85">I66</f>
        <v>-0.46700000000000003</v>
      </c>
      <c r="B1289">
        <f t="shared" ref="B1289:B1352" si="86">AQ66</f>
        <v>2686.9865062165222</v>
      </c>
      <c r="C1289">
        <f t="shared" ref="C1289:C1352" si="87">AS66</f>
        <v>1509.2748460225423</v>
      </c>
      <c r="D1289">
        <f t="shared" ref="D1289:D1352" si="88">AU66</f>
        <v>3140.8681177150429</v>
      </c>
      <c r="E1289">
        <f t="shared" ref="E1289:E1352" si="89">AW66</f>
        <v>3109.0098879375118</v>
      </c>
    </row>
    <row r="1290" spans="1:5">
      <c r="A1290">
        <f t="shared" si="85"/>
        <v>-0.45800000000000002</v>
      </c>
      <c r="B1290">
        <f t="shared" si="86"/>
        <v>2686.5763667331762</v>
      </c>
      <c r="C1290">
        <f t="shared" si="87"/>
        <v>1477.0077782495264</v>
      </c>
      <c r="D1290">
        <f t="shared" si="88"/>
        <v>3064.4631201672241</v>
      </c>
      <c r="E1290">
        <f t="shared" si="89"/>
        <v>3032.5783074211417</v>
      </c>
    </row>
    <row r="1291" spans="1:5">
      <c r="A1291">
        <f t="shared" si="85"/>
        <v>-0.45</v>
      </c>
      <c r="B1291">
        <f t="shared" si="86"/>
        <v>2686.1230281089606</v>
      </c>
      <c r="C1291">
        <f t="shared" si="87"/>
        <v>1448.2038804819972</v>
      </c>
      <c r="D1291">
        <f t="shared" si="88"/>
        <v>2997.1693225152612</v>
      </c>
      <c r="E1291">
        <f t="shared" si="89"/>
        <v>2965.2787082449991</v>
      </c>
    </row>
    <row r="1292" spans="1:5">
      <c r="A1292">
        <f t="shared" si="85"/>
        <v>-0.442</v>
      </c>
      <c r="B1292">
        <f t="shared" si="86"/>
        <v>2685.7641048695896</v>
      </c>
      <c r="C1292">
        <f t="shared" si="87"/>
        <v>1419.5639331716729</v>
      </c>
      <c r="D1292">
        <f t="shared" si="88"/>
        <v>2930.2908632621511</v>
      </c>
      <c r="E1292">
        <f t="shared" si="89"/>
        <v>2898.4170708379361</v>
      </c>
    </row>
    <row r="1293" spans="1:5">
      <c r="A1293">
        <f t="shared" si="85"/>
        <v>-0.433</v>
      </c>
      <c r="B1293">
        <f t="shared" si="86"/>
        <v>2685.2667592520247</v>
      </c>
      <c r="C1293">
        <f t="shared" si="87"/>
        <v>1387.9562667314381</v>
      </c>
      <c r="D1293">
        <f t="shared" si="88"/>
        <v>2856.4586636516369</v>
      </c>
      <c r="E1293">
        <f t="shared" si="89"/>
        <v>2824.5997932549617</v>
      </c>
    </row>
    <row r="1294" spans="1:5">
      <c r="A1294">
        <f t="shared" si="85"/>
        <v>-0.42499999999999999</v>
      </c>
      <c r="B1294">
        <f t="shared" si="86"/>
        <v>2684.8382682822116</v>
      </c>
      <c r="C1294">
        <f t="shared" si="87"/>
        <v>1360.1592081481224</v>
      </c>
      <c r="D1294">
        <f t="shared" si="88"/>
        <v>2791.0833339882856</v>
      </c>
      <c r="E1294">
        <f t="shared" si="89"/>
        <v>2759.2679936296245</v>
      </c>
    </row>
    <row r="1295" spans="1:5">
      <c r="A1295">
        <f t="shared" si="85"/>
        <v>-0.41699999999999998</v>
      </c>
      <c r="B1295">
        <f t="shared" si="86"/>
        <v>2684.3442588116868</v>
      </c>
      <c r="C1295">
        <f t="shared" si="87"/>
        <v>1332.4930771425575</v>
      </c>
      <c r="D1295">
        <f t="shared" si="88"/>
        <v>2726.5981963853515</v>
      </c>
      <c r="E1295">
        <f t="shared" si="89"/>
        <v>2694.8315049743364</v>
      </c>
    </row>
    <row r="1296" spans="1:5">
      <c r="A1296">
        <f t="shared" si="85"/>
        <v>-0.40799999999999997</v>
      </c>
      <c r="B1296">
        <f t="shared" si="86"/>
        <v>2684.0091118985915</v>
      </c>
      <c r="C1296">
        <f t="shared" si="87"/>
        <v>1301.4430776136699</v>
      </c>
      <c r="D1296">
        <f t="shared" si="88"/>
        <v>2655.1337085230689</v>
      </c>
      <c r="E1296">
        <f t="shared" si="89"/>
        <v>2623.425230126642</v>
      </c>
    </row>
    <row r="1297" spans="1:5">
      <c r="A1297">
        <f t="shared" si="85"/>
        <v>-0.4</v>
      </c>
      <c r="B1297">
        <f t="shared" si="86"/>
        <v>2683.537186227637</v>
      </c>
      <c r="C1297">
        <f t="shared" si="87"/>
        <v>1274.0147754263153</v>
      </c>
      <c r="D1297">
        <f t="shared" si="88"/>
        <v>2591.7076432416902</v>
      </c>
      <c r="E1297">
        <f t="shared" si="89"/>
        <v>2560.0884884495222</v>
      </c>
    </row>
    <row r="1298" spans="1:5">
      <c r="A1298">
        <f t="shared" si="85"/>
        <v>-0.39200000000000002</v>
      </c>
      <c r="B1298">
        <f t="shared" si="86"/>
        <v>2682.9593998812611</v>
      </c>
      <c r="C1298">
        <f t="shared" si="87"/>
        <v>1246.7289435174778</v>
      </c>
      <c r="D1298">
        <f t="shared" si="88"/>
        <v>2529.6567125397137</v>
      </c>
      <c r="E1298">
        <f t="shared" si="89"/>
        <v>2498.1082649566547</v>
      </c>
    </row>
    <row r="1299" spans="1:5">
      <c r="A1299">
        <f t="shared" si="85"/>
        <v>-0.38300000000000001</v>
      </c>
      <c r="B1299">
        <f t="shared" si="86"/>
        <v>2682.5936759748174</v>
      </c>
      <c r="C1299">
        <f t="shared" si="87"/>
        <v>1216.5900679551614</v>
      </c>
      <c r="D1299">
        <f t="shared" si="88"/>
        <v>2460.1080312741733</v>
      </c>
      <c r="E1299">
        <f t="shared" si="89"/>
        <v>2428.6751332041599</v>
      </c>
    </row>
    <row r="1300" spans="1:5">
      <c r="A1300">
        <f t="shared" si="85"/>
        <v>-0.375</v>
      </c>
      <c r="B1300">
        <f t="shared" si="86"/>
        <v>2682.1747296808348</v>
      </c>
      <c r="C1300">
        <f t="shared" si="87"/>
        <v>1190.1745889310876</v>
      </c>
      <c r="D1300">
        <f t="shared" si="88"/>
        <v>2399.0378578441891</v>
      </c>
      <c r="E1300">
        <f t="shared" si="89"/>
        <v>2367.7165122313922</v>
      </c>
    </row>
    <row r="1301" spans="1:5">
      <c r="A1301">
        <f t="shared" si="85"/>
        <v>-0.36699999999999999</v>
      </c>
      <c r="B1301">
        <f t="shared" si="86"/>
        <v>2681.633377970777</v>
      </c>
      <c r="C1301">
        <f t="shared" si="87"/>
        <v>1163.6467818706994</v>
      </c>
      <c r="D1301">
        <f t="shared" si="88"/>
        <v>2338.8485456735179</v>
      </c>
      <c r="E1301">
        <f t="shared" si="89"/>
        <v>2307.6370328025259</v>
      </c>
    </row>
    <row r="1302" spans="1:5">
      <c r="A1302">
        <f t="shared" si="85"/>
        <v>-0.35799999999999998</v>
      </c>
      <c r="B1302">
        <f t="shared" si="86"/>
        <v>2681.0742778958761</v>
      </c>
      <c r="C1302">
        <f t="shared" si="87"/>
        <v>1133.8107705131229</v>
      </c>
      <c r="D1302">
        <f t="shared" si="88"/>
        <v>2271.4757396841865</v>
      </c>
      <c r="E1302">
        <f t="shared" si="89"/>
        <v>2240.4205489602696</v>
      </c>
    </row>
    <row r="1303" spans="1:5">
      <c r="A1303">
        <f t="shared" si="85"/>
        <v>-0.35</v>
      </c>
      <c r="B1303">
        <f t="shared" si="86"/>
        <v>2680.8050317196712</v>
      </c>
      <c r="C1303">
        <f t="shared" si="87"/>
        <v>1107.6634767328169</v>
      </c>
      <c r="D1303">
        <f t="shared" si="88"/>
        <v>2212.418081073065</v>
      </c>
      <c r="E1303">
        <f t="shared" si="89"/>
        <v>2181.5032877091103</v>
      </c>
    </row>
    <row r="1304" spans="1:5">
      <c r="A1304">
        <f t="shared" si="85"/>
        <v>-0.34200000000000003</v>
      </c>
      <c r="B1304">
        <f t="shared" si="86"/>
        <v>2680.3072133612891</v>
      </c>
      <c r="C1304">
        <f t="shared" si="87"/>
        <v>1081.9289025291496</v>
      </c>
      <c r="D1304">
        <f t="shared" si="88"/>
        <v>2154.0690645390168</v>
      </c>
      <c r="E1304">
        <f t="shared" si="89"/>
        <v>2123.2979627605791</v>
      </c>
    </row>
    <row r="1305" spans="1:5">
      <c r="A1305">
        <f t="shared" si="85"/>
        <v>-0.33300000000000002</v>
      </c>
      <c r="B1305">
        <f t="shared" si="86"/>
        <v>2679.9104357341862</v>
      </c>
      <c r="C1305">
        <f t="shared" si="87"/>
        <v>1053.2379157384207</v>
      </c>
      <c r="D1305">
        <f t="shared" si="88"/>
        <v>2088.8534893517472</v>
      </c>
      <c r="E1305">
        <f t="shared" si="89"/>
        <v>2058.2713726578759</v>
      </c>
    </row>
    <row r="1306" spans="1:5">
      <c r="A1306">
        <f t="shared" si="85"/>
        <v>-0.32500000000000001</v>
      </c>
      <c r="B1306">
        <f t="shared" si="86"/>
        <v>2679.4176164876385</v>
      </c>
      <c r="C1306">
        <f t="shared" si="87"/>
        <v>1027.767895171937</v>
      </c>
      <c r="D1306">
        <f t="shared" si="88"/>
        <v>2031.6981626888248</v>
      </c>
      <c r="E1306">
        <f t="shared" si="89"/>
        <v>2001.2814752782569</v>
      </c>
    </row>
    <row r="1307" spans="1:5">
      <c r="A1307">
        <f t="shared" si="85"/>
        <v>-0.317</v>
      </c>
      <c r="B1307">
        <f t="shared" si="86"/>
        <v>2679.1011383607356</v>
      </c>
      <c r="C1307">
        <f t="shared" si="87"/>
        <v>1002.3635175983735</v>
      </c>
      <c r="D1307">
        <f t="shared" si="88"/>
        <v>1975.2592929672044</v>
      </c>
      <c r="E1307">
        <f t="shared" si="89"/>
        <v>1945.0061543286497</v>
      </c>
    </row>
    <row r="1308" spans="1:5">
      <c r="A1308">
        <f t="shared" si="85"/>
        <v>-0.308</v>
      </c>
      <c r="B1308">
        <f t="shared" si="86"/>
        <v>2678.620330554761</v>
      </c>
      <c r="C1308">
        <f t="shared" si="87"/>
        <v>974.1534456502709</v>
      </c>
      <c r="D1308">
        <f t="shared" si="88"/>
        <v>1911.982365755576</v>
      </c>
      <c r="E1308">
        <f t="shared" si="89"/>
        <v>1881.9527809601716</v>
      </c>
    </row>
    <row r="1309" spans="1:5">
      <c r="A1309">
        <f t="shared" si="85"/>
        <v>-0.3</v>
      </c>
      <c r="B1309">
        <f t="shared" si="86"/>
        <v>2678.2274086948387</v>
      </c>
      <c r="C1309">
        <f t="shared" si="87"/>
        <v>949.34392635173151</v>
      </c>
      <c r="D1309">
        <f t="shared" si="88"/>
        <v>1856.953435568455</v>
      </c>
      <c r="E1309">
        <f t="shared" si="89"/>
        <v>1827.0848976277341</v>
      </c>
    </row>
    <row r="1310" spans="1:5">
      <c r="A1310">
        <f t="shared" si="85"/>
        <v>-0.29199999999999998</v>
      </c>
      <c r="B1310">
        <f t="shared" si="86"/>
        <v>2677.9011023671369</v>
      </c>
      <c r="C1310">
        <f t="shared" si="87"/>
        <v>924.78663030799089</v>
      </c>
      <c r="D1310">
        <f t="shared" si="88"/>
        <v>1801.9356748527755</v>
      </c>
      <c r="E1310">
        <f t="shared" si="89"/>
        <v>1772.2724325966283</v>
      </c>
    </row>
    <row r="1311" spans="1:5">
      <c r="A1311">
        <f t="shared" si="85"/>
        <v>-0.28299999999999997</v>
      </c>
      <c r="B1311">
        <f t="shared" si="86"/>
        <v>2677.5923280337583</v>
      </c>
      <c r="C1311">
        <f t="shared" si="87"/>
        <v>897.50242392505288</v>
      </c>
      <c r="D1311">
        <f t="shared" si="88"/>
        <v>1740.8922865861819</v>
      </c>
      <c r="E1311">
        <f t="shared" si="89"/>
        <v>1711.4500227839458</v>
      </c>
    </row>
    <row r="1312" spans="1:5">
      <c r="A1312">
        <f t="shared" si="85"/>
        <v>-0.27500000000000002</v>
      </c>
      <c r="B1312">
        <f t="shared" si="86"/>
        <v>2677.3368515879529</v>
      </c>
      <c r="C1312">
        <f t="shared" si="87"/>
        <v>873.27080004631364</v>
      </c>
      <c r="D1312">
        <f t="shared" si="88"/>
        <v>1687.4158648553757</v>
      </c>
      <c r="E1312">
        <f t="shared" si="89"/>
        <v>1658.1549567841441</v>
      </c>
    </row>
    <row r="1313" spans="1:5">
      <c r="A1313">
        <f t="shared" si="85"/>
        <v>-0.26700000000000002</v>
      </c>
      <c r="B1313">
        <f t="shared" si="86"/>
        <v>2676.8935781249206</v>
      </c>
      <c r="C1313">
        <f t="shared" si="87"/>
        <v>849.12984187462246</v>
      </c>
      <c r="D1313">
        <f t="shared" si="88"/>
        <v>1633.9682240085044</v>
      </c>
      <c r="E1313">
        <f t="shared" si="89"/>
        <v>1604.9328537633521</v>
      </c>
    </row>
    <row r="1314" spans="1:5">
      <c r="A1314">
        <f t="shared" si="85"/>
        <v>-0.25800000000000001</v>
      </c>
      <c r="B1314">
        <f t="shared" si="86"/>
        <v>2676.6826725277347</v>
      </c>
      <c r="C1314">
        <f t="shared" si="87"/>
        <v>822.34501602136879</v>
      </c>
      <c r="D1314">
        <f t="shared" si="88"/>
        <v>1574.9472856715226</v>
      </c>
      <c r="E1314">
        <f t="shared" si="89"/>
        <v>1546.1235434612527</v>
      </c>
    </row>
    <row r="1315" spans="1:5">
      <c r="A1315">
        <f t="shared" si="85"/>
        <v>-0.25</v>
      </c>
      <c r="B1315">
        <f t="shared" si="86"/>
        <v>2676.2980549112249</v>
      </c>
      <c r="C1315">
        <f t="shared" si="87"/>
        <v>798.90009501225063</v>
      </c>
      <c r="D1315">
        <f t="shared" si="88"/>
        <v>1522.8401884505734</v>
      </c>
      <c r="E1315">
        <f t="shared" si="89"/>
        <v>1494.2203317731464</v>
      </c>
    </row>
    <row r="1316" spans="1:5">
      <c r="A1316">
        <f t="shared" si="85"/>
        <v>-0.24199999999999999</v>
      </c>
      <c r="B1316">
        <f t="shared" si="86"/>
        <v>2676.0772755395565</v>
      </c>
      <c r="C1316">
        <f t="shared" si="87"/>
        <v>775.77566578672599</v>
      </c>
      <c r="D1316">
        <f t="shared" si="88"/>
        <v>1471.2359482529555</v>
      </c>
      <c r="E1316">
        <f t="shared" si="89"/>
        <v>1442.8176951311209</v>
      </c>
    </row>
    <row r="1317" spans="1:5">
      <c r="A1317">
        <f t="shared" si="85"/>
        <v>-0.23300000000000001</v>
      </c>
      <c r="B1317">
        <f t="shared" si="86"/>
        <v>2675.7482372623963</v>
      </c>
      <c r="C1317">
        <f t="shared" si="87"/>
        <v>749.72198990354002</v>
      </c>
      <c r="D1317">
        <f t="shared" si="88"/>
        <v>1413.9478129220597</v>
      </c>
      <c r="E1317">
        <f t="shared" si="89"/>
        <v>1385.7328673887378</v>
      </c>
    </row>
    <row r="1318" spans="1:5">
      <c r="A1318">
        <f t="shared" si="85"/>
        <v>-0.22500000000000001</v>
      </c>
      <c r="B1318">
        <f t="shared" si="86"/>
        <v>2675.5210025946371</v>
      </c>
      <c r="C1318">
        <f t="shared" si="87"/>
        <v>726.84076843162893</v>
      </c>
      <c r="D1318">
        <f t="shared" si="88"/>
        <v>1363.4686402752654</v>
      </c>
      <c r="E1318">
        <f t="shared" si="89"/>
        <v>1335.4348399634109</v>
      </c>
    </row>
    <row r="1319" spans="1:5">
      <c r="A1319">
        <f t="shared" si="85"/>
        <v>-0.217</v>
      </c>
      <c r="B1319">
        <f t="shared" si="86"/>
        <v>2675.2435096732338</v>
      </c>
      <c r="C1319">
        <f t="shared" si="87"/>
        <v>704.11343477229673</v>
      </c>
      <c r="D1319">
        <f t="shared" si="88"/>
        <v>1313.3523256405263</v>
      </c>
      <c r="E1319">
        <f t="shared" si="89"/>
        <v>1285.5045115158039</v>
      </c>
    </row>
    <row r="1320" spans="1:5">
      <c r="A1320">
        <f t="shared" si="85"/>
        <v>-0.20799999999999999</v>
      </c>
      <c r="B1320">
        <f t="shared" si="86"/>
        <v>2674.8308245474545</v>
      </c>
      <c r="C1320">
        <f t="shared" si="87"/>
        <v>678.77072367215521</v>
      </c>
      <c r="D1320">
        <f t="shared" si="88"/>
        <v>1257.9527051449093</v>
      </c>
      <c r="E1320">
        <f t="shared" si="89"/>
        <v>1230.2512960142781</v>
      </c>
    </row>
    <row r="1321" spans="1:5">
      <c r="A1321">
        <f t="shared" si="85"/>
        <v>-0.2</v>
      </c>
      <c r="B1321">
        <f t="shared" si="86"/>
        <v>2674.7105794245053</v>
      </c>
      <c r="C1321">
        <f t="shared" si="87"/>
        <v>656.77019713308391</v>
      </c>
      <c r="D1321">
        <f t="shared" si="88"/>
        <v>1208.8837969605011</v>
      </c>
      <c r="E1321">
        <f t="shared" si="89"/>
        <v>1181.3360267787766</v>
      </c>
    </row>
    <row r="1322" spans="1:5">
      <c r="A1322">
        <f t="shared" si="85"/>
        <v>-0.192</v>
      </c>
      <c r="B1322">
        <f t="shared" si="86"/>
        <v>2674.359012410629</v>
      </c>
      <c r="C1322">
        <f t="shared" si="87"/>
        <v>635.15479923340808</v>
      </c>
      <c r="D1322">
        <f t="shared" si="88"/>
        <v>1160.3541102258998</v>
      </c>
      <c r="E1322">
        <f t="shared" si="89"/>
        <v>1132.9336684812708</v>
      </c>
    </row>
    <row r="1323" spans="1:5">
      <c r="A1323">
        <f t="shared" si="85"/>
        <v>-0.183</v>
      </c>
      <c r="B1323">
        <f t="shared" si="86"/>
        <v>2674.1900165683978</v>
      </c>
      <c r="C1323">
        <f t="shared" si="87"/>
        <v>610.85101130020757</v>
      </c>
      <c r="D1323">
        <f t="shared" si="88"/>
        <v>1106.5635226541449</v>
      </c>
      <c r="E1323">
        <f t="shared" si="89"/>
        <v>1079.2262262421423</v>
      </c>
    </row>
    <row r="1324" spans="1:5">
      <c r="A1324">
        <f t="shared" si="85"/>
        <v>-0.17499999999999999</v>
      </c>
      <c r="B1324">
        <f t="shared" si="86"/>
        <v>2673.894654942711</v>
      </c>
      <c r="C1324">
        <f t="shared" si="87"/>
        <v>589.28130689759246</v>
      </c>
      <c r="D1324">
        <f t="shared" si="88"/>
        <v>1058.8311599750984</v>
      </c>
      <c r="E1324">
        <f t="shared" si="89"/>
        <v>1031.5980886484233</v>
      </c>
    </row>
    <row r="1325" spans="1:5">
      <c r="A1325">
        <f t="shared" si="85"/>
        <v>-0.16700000000000001</v>
      </c>
      <c r="B1325">
        <f t="shared" si="86"/>
        <v>2673.7596972090009</v>
      </c>
      <c r="C1325">
        <f t="shared" si="87"/>
        <v>568.26718007725287</v>
      </c>
      <c r="D1325">
        <f t="shared" si="88"/>
        <v>1012.0645953546137</v>
      </c>
      <c r="E1325">
        <f t="shared" si="89"/>
        <v>984.83232316756278</v>
      </c>
    </row>
    <row r="1326" spans="1:5">
      <c r="A1326">
        <f t="shared" si="85"/>
        <v>-0.158</v>
      </c>
      <c r="B1326">
        <f t="shared" si="86"/>
        <v>2673.572737760398</v>
      </c>
      <c r="C1326">
        <f t="shared" si="87"/>
        <v>545.32357532591755</v>
      </c>
      <c r="D1326">
        <f t="shared" si="88"/>
        <v>959.69924903664662</v>
      </c>
      <c r="E1326">
        <f t="shared" si="89"/>
        <v>932.47086417565833</v>
      </c>
    </row>
    <row r="1327" spans="1:5">
      <c r="A1327">
        <f t="shared" si="85"/>
        <v>-0.15</v>
      </c>
      <c r="B1327">
        <f t="shared" si="86"/>
        <v>2673.3024730717379</v>
      </c>
      <c r="C1327">
        <f t="shared" si="87"/>
        <v>525.24182983237324</v>
      </c>
      <c r="D1327">
        <f t="shared" si="88"/>
        <v>913.74304655812273</v>
      </c>
      <c r="E1327">
        <f t="shared" si="89"/>
        <v>886.4597372531108</v>
      </c>
    </row>
    <row r="1328" spans="1:5">
      <c r="A1328">
        <f t="shared" si="85"/>
        <v>-0.14199999999999999</v>
      </c>
      <c r="B1328">
        <f t="shared" si="86"/>
        <v>2673.2073752697829</v>
      </c>
      <c r="C1328">
        <f t="shared" si="87"/>
        <v>505.33032450173971</v>
      </c>
      <c r="D1328">
        <f t="shared" si="88"/>
        <v>868.53954910038283</v>
      </c>
      <c r="E1328">
        <f t="shared" si="89"/>
        <v>841.10617866958785</v>
      </c>
    </row>
    <row r="1329" spans="1:5">
      <c r="A1329">
        <f t="shared" si="85"/>
        <v>-0.13300000000000001</v>
      </c>
      <c r="B1329">
        <f t="shared" si="86"/>
        <v>2673.1725556374686</v>
      </c>
      <c r="C1329">
        <f t="shared" si="87"/>
        <v>483.24555653411164</v>
      </c>
      <c r="D1329">
        <f t="shared" si="88"/>
        <v>817.96886498585218</v>
      </c>
      <c r="E1329">
        <f t="shared" si="89"/>
        <v>790.34943900575047</v>
      </c>
    </row>
    <row r="1330" spans="1:5">
      <c r="A1330">
        <f t="shared" si="85"/>
        <v>-0.125</v>
      </c>
      <c r="B1330">
        <f t="shared" si="86"/>
        <v>2672.9293325644585</v>
      </c>
      <c r="C1330">
        <f t="shared" si="87"/>
        <v>464.18181230773371</v>
      </c>
      <c r="D1330">
        <f t="shared" si="88"/>
        <v>773.86253249710478</v>
      </c>
      <c r="E1330">
        <f t="shared" si="89"/>
        <v>745.95352702240598</v>
      </c>
    </row>
    <row r="1331" spans="1:5">
      <c r="A1331">
        <f t="shared" si="85"/>
        <v>-0.11700000000000001</v>
      </c>
      <c r="B1331">
        <f t="shared" si="86"/>
        <v>2672.8882972109009</v>
      </c>
      <c r="C1331">
        <f t="shared" si="87"/>
        <v>445.93034998876044</v>
      </c>
      <c r="D1331">
        <f t="shared" si="88"/>
        <v>730.45064756576733</v>
      </c>
      <c r="E1331">
        <f t="shared" si="89"/>
        <v>702.14412105454505</v>
      </c>
    </row>
    <row r="1332" spans="1:5">
      <c r="A1332">
        <f t="shared" si="85"/>
        <v>-0.108</v>
      </c>
      <c r="B1332">
        <f t="shared" si="86"/>
        <v>2672.8488768179254</v>
      </c>
      <c r="C1332">
        <f t="shared" si="87"/>
        <v>426.13145439102254</v>
      </c>
      <c r="D1332">
        <f t="shared" si="88"/>
        <v>682.09606558096584</v>
      </c>
      <c r="E1332">
        <f t="shared" si="89"/>
        <v>653.27165402849096</v>
      </c>
    </row>
    <row r="1333" spans="1:5">
      <c r="A1333">
        <f t="shared" si="85"/>
        <v>-0.1</v>
      </c>
      <c r="B1333">
        <f t="shared" si="86"/>
        <v>2672.7173618544525</v>
      </c>
      <c r="C1333">
        <f t="shared" si="87"/>
        <v>409.00969233753852</v>
      </c>
      <c r="D1333">
        <f t="shared" si="88"/>
        <v>640.0475870733427</v>
      </c>
      <c r="E1333">
        <f t="shared" si="89"/>
        <v>610.59938371274075</v>
      </c>
    </row>
    <row r="1334" spans="1:5">
      <c r="A1334">
        <f t="shared" si="85"/>
        <v>-9.1999999999999998E-2</v>
      </c>
      <c r="B1334">
        <f t="shared" si="86"/>
        <v>2672.7770442223359</v>
      </c>
      <c r="C1334">
        <f t="shared" si="87"/>
        <v>392.42990322520836</v>
      </c>
      <c r="D1334">
        <f t="shared" si="88"/>
        <v>599.06617619374094</v>
      </c>
      <c r="E1334">
        <f t="shared" si="89"/>
        <v>568.79707280670505</v>
      </c>
    </row>
    <row r="1335" spans="1:5">
      <c r="A1335">
        <f t="shared" si="85"/>
        <v>-8.3000000000000004E-2</v>
      </c>
      <c r="B1335">
        <f t="shared" si="86"/>
        <v>2672.7206538052651</v>
      </c>
      <c r="C1335">
        <f t="shared" si="87"/>
        <v>374.53187538648746</v>
      </c>
      <c r="D1335">
        <f t="shared" si="88"/>
        <v>553.49789644653742</v>
      </c>
      <c r="E1335">
        <f t="shared" si="89"/>
        <v>522.21773646365784</v>
      </c>
    </row>
    <row r="1336" spans="1:5">
      <c r="A1336">
        <f t="shared" si="85"/>
        <v>-7.4999999999999997E-2</v>
      </c>
      <c r="B1336">
        <f t="shared" si="86"/>
        <v>2672.5986396111089</v>
      </c>
      <c r="C1336">
        <f t="shared" si="87"/>
        <v>359.84961427998934</v>
      </c>
      <c r="D1336">
        <f t="shared" si="88"/>
        <v>514.98377625998137</v>
      </c>
      <c r="E1336">
        <f t="shared" si="89"/>
        <v>482.42440731042831</v>
      </c>
    </row>
    <row r="1337" spans="1:5">
      <c r="A1337">
        <f t="shared" si="85"/>
        <v>-6.7000000000000004E-2</v>
      </c>
      <c r="B1337">
        <f t="shared" si="86"/>
        <v>2672.6169862341058</v>
      </c>
      <c r="C1337">
        <f t="shared" si="87"/>
        <v>346.3884478023773</v>
      </c>
      <c r="D1337">
        <f t="shared" si="88"/>
        <v>477.16353031854209</v>
      </c>
      <c r="E1337">
        <f t="shared" si="89"/>
        <v>443.22219695033067</v>
      </c>
    </row>
    <row r="1338" spans="1:5">
      <c r="A1338">
        <f t="shared" si="85"/>
        <v>-5.8000000000000003E-2</v>
      </c>
      <c r="B1338">
        <f t="shared" si="86"/>
        <v>2672.4600191223049</v>
      </c>
      <c r="C1338">
        <f t="shared" si="87"/>
        <v>332.31359909858111</v>
      </c>
      <c r="D1338">
        <f t="shared" si="88"/>
        <v>437.01578228380879</v>
      </c>
      <c r="E1338">
        <f t="shared" si="89"/>
        <v>401.11313686352298</v>
      </c>
    </row>
    <row r="1339" spans="1:5">
      <c r="A1339">
        <f t="shared" si="85"/>
        <v>-0.05</v>
      </c>
      <c r="B1339">
        <f t="shared" si="86"/>
        <v>2672.4187092220673</v>
      </c>
      <c r="C1339">
        <f t="shared" si="87"/>
        <v>320.93709247237001</v>
      </c>
      <c r="D1339">
        <f t="shared" si="88"/>
        <v>403.78577502854455</v>
      </c>
      <c r="E1339">
        <f t="shared" si="89"/>
        <v>365.78076718889946</v>
      </c>
    </row>
    <row r="1340" spans="1:5">
      <c r="A1340">
        <f t="shared" si="85"/>
        <v>-4.2000000000000003E-2</v>
      </c>
      <c r="B1340">
        <f t="shared" si="86"/>
        <v>2672.3765444545224</v>
      </c>
      <c r="C1340">
        <f t="shared" si="87"/>
        <v>310.87780289071844</v>
      </c>
      <c r="D1340">
        <f t="shared" si="88"/>
        <v>372.5309517744891</v>
      </c>
      <c r="E1340">
        <f t="shared" si="89"/>
        <v>332.263191455232</v>
      </c>
    </row>
    <row r="1341" spans="1:5">
      <c r="A1341">
        <f t="shared" si="85"/>
        <v>-3.3000000000000002E-2</v>
      </c>
      <c r="B1341">
        <f t="shared" si="86"/>
        <v>2672.2849887663119</v>
      </c>
      <c r="C1341">
        <f t="shared" si="87"/>
        <v>301.35715791919762</v>
      </c>
      <c r="D1341">
        <f t="shared" si="88"/>
        <v>342.25446091655817</v>
      </c>
      <c r="E1341">
        <f t="shared" si="89"/>
        <v>298.99852445548879</v>
      </c>
    </row>
    <row r="1342" spans="1:5">
      <c r="A1342">
        <f t="shared" si="85"/>
        <v>-2.5000000000000001E-2</v>
      </c>
      <c r="B1342">
        <f t="shared" si="86"/>
        <v>2672.2252634034899</v>
      </c>
      <c r="C1342">
        <f t="shared" si="87"/>
        <v>294.56495100603121</v>
      </c>
      <c r="D1342">
        <f t="shared" si="88"/>
        <v>319.39972411688655</v>
      </c>
      <c r="E1342">
        <f t="shared" si="89"/>
        <v>273.49339989879672</v>
      </c>
    </row>
    <row r="1343" spans="1:5">
      <c r="A1343">
        <f t="shared" si="85"/>
        <v>-1.7000000000000001E-2</v>
      </c>
      <c r="B1343">
        <f t="shared" si="86"/>
        <v>2672.0265961152877</v>
      </c>
      <c r="C1343">
        <f t="shared" si="87"/>
        <v>289.82836487521752</v>
      </c>
      <c r="D1343">
        <f t="shared" si="88"/>
        <v>301.59997247160845</v>
      </c>
      <c r="E1343">
        <f t="shared" si="89"/>
        <v>253.29273098341292</v>
      </c>
    </row>
    <row r="1344" spans="1:5">
      <c r="A1344">
        <f t="shared" si="85"/>
        <v>-8.0000000000000002E-3</v>
      </c>
      <c r="B1344">
        <f t="shared" si="86"/>
        <v>2671.9704462755117</v>
      </c>
      <c r="C1344">
        <f t="shared" si="87"/>
        <v>286.67680825861191</v>
      </c>
      <c r="D1344">
        <f t="shared" si="88"/>
        <v>289.24127915271742</v>
      </c>
      <c r="E1344">
        <f t="shared" si="89"/>
        <v>238.96678499620617</v>
      </c>
    </row>
    <row r="1345" spans="1:5">
      <c r="A1345">
        <f t="shared" si="85"/>
        <v>0</v>
      </c>
      <c r="B1345">
        <f t="shared" si="86"/>
        <v>2671.8569109380314</v>
      </c>
      <c r="C1345">
        <f t="shared" si="87"/>
        <v>285.44962589236945</v>
      </c>
      <c r="D1345">
        <f t="shared" si="88"/>
        <v>285.44962589236945</v>
      </c>
      <c r="E1345">
        <f t="shared" si="89"/>
        <v>234.57893136334926</v>
      </c>
    </row>
    <row r="1346" spans="1:5">
      <c r="A1346">
        <f t="shared" si="85"/>
        <v>8.0000000000000002E-3</v>
      </c>
      <c r="B1346">
        <f t="shared" si="86"/>
        <v>2671.7347624653162</v>
      </c>
      <c r="C1346">
        <f t="shared" si="87"/>
        <v>285.94379017860734</v>
      </c>
      <c r="D1346">
        <f t="shared" si="88"/>
        <v>288.79557683680258</v>
      </c>
      <c r="E1346">
        <f t="shared" si="89"/>
        <v>238.58427038631453</v>
      </c>
    </row>
    <row r="1347" spans="1:5">
      <c r="A1347">
        <f t="shared" si="85"/>
        <v>1.7000000000000001E-2</v>
      </c>
      <c r="B1347">
        <f t="shared" si="86"/>
        <v>2671.6247904009706</v>
      </c>
      <c r="C1347">
        <f t="shared" si="87"/>
        <v>289.50463278641934</v>
      </c>
      <c r="D1347">
        <f t="shared" si="88"/>
        <v>301.6329876220608</v>
      </c>
      <c r="E1347">
        <f t="shared" si="89"/>
        <v>253.32068605780916</v>
      </c>
    </row>
    <row r="1348" spans="1:5">
      <c r="A1348">
        <f t="shared" si="85"/>
        <v>2.5000000000000001E-2</v>
      </c>
      <c r="B1348">
        <f t="shared" si="86"/>
        <v>2671.6549134965071</v>
      </c>
      <c r="C1348">
        <f t="shared" si="87"/>
        <v>294.65525229787505</v>
      </c>
      <c r="D1348">
        <f t="shared" si="88"/>
        <v>318.90919270787663</v>
      </c>
      <c r="E1348">
        <f t="shared" si="89"/>
        <v>273.08464898019122</v>
      </c>
    </row>
    <row r="1349" spans="1:5">
      <c r="A1349">
        <f t="shared" si="85"/>
        <v>3.3000000000000002E-2</v>
      </c>
      <c r="B1349">
        <f t="shared" si="86"/>
        <v>2671.5544812824301</v>
      </c>
      <c r="C1349">
        <f t="shared" si="87"/>
        <v>301.38085055997664</v>
      </c>
      <c r="D1349">
        <f t="shared" si="88"/>
        <v>341.87709206203817</v>
      </c>
      <c r="E1349">
        <f t="shared" si="89"/>
        <v>298.68879997180886</v>
      </c>
    </row>
    <row r="1350" spans="1:5">
      <c r="A1350">
        <f t="shared" si="85"/>
        <v>4.2000000000000003E-2</v>
      </c>
      <c r="B1350">
        <f t="shared" si="86"/>
        <v>2671.5552629166964</v>
      </c>
      <c r="C1350">
        <f t="shared" si="87"/>
        <v>310.74079426450356</v>
      </c>
      <c r="D1350">
        <f t="shared" si="88"/>
        <v>372.99975846273446</v>
      </c>
      <c r="E1350">
        <f t="shared" si="89"/>
        <v>332.64252675411603</v>
      </c>
    </row>
    <row r="1351" spans="1:5">
      <c r="A1351">
        <f t="shared" si="85"/>
        <v>0.05</v>
      </c>
      <c r="B1351">
        <f t="shared" si="86"/>
        <v>2671.6426309227986</v>
      </c>
      <c r="C1351">
        <f t="shared" si="87"/>
        <v>320.44458185581664</v>
      </c>
      <c r="D1351">
        <f t="shared" si="88"/>
        <v>403.35525783550514</v>
      </c>
      <c r="E1351">
        <f t="shared" si="89"/>
        <v>365.43560445237125</v>
      </c>
    </row>
    <row r="1352" spans="1:5">
      <c r="A1352">
        <f t="shared" si="85"/>
        <v>5.8000000000000003E-2</v>
      </c>
      <c r="B1352">
        <f t="shared" si="86"/>
        <v>2671.5287542409565</v>
      </c>
      <c r="C1352">
        <f t="shared" si="87"/>
        <v>331.64586416596222</v>
      </c>
      <c r="D1352">
        <f t="shared" si="88"/>
        <v>437.34229608591249</v>
      </c>
      <c r="E1352">
        <f t="shared" si="89"/>
        <v>401.37349365440116</v>
      </c>
    </row>
    <row r="1353" spans="1:5">
      <c r="A1353">
        <f t="shared" ref="A1353:A1416" si="90">I130</f>
        <v>6.7000000000000004E-2</v>
      </c>
      <c r="B1353">
        <f t="shared" ref="B1353:B1416" si="91">AQ130</f>
        <v>2671.7164768981124</v>
      </c>
      <c r="C1353">
        <f t="shared" ref="C1353:C1416" si="92">AS130</f>
        <v>346.12592546911691</v>
      </c>
      <c r="D1353">
        <f t="shared" ref="D1353:D1416" si="93">AU130</f>
        <v>477.3110002130046</v>
      </c>
      <c r="E1353">
        <f t="shared" ref="E1353:E1416" si="94">AW130</f>
        <v>443.33938132861306</v>
      </c>
    </row>
    <row r="1354" spans="1:5">
      <c r="A1354">
        <f t="shared" si="90"/>
        <v>7.4999999999999997E-2</v>
      </c>
      <c r="B1354">
        <f t="shared" si="91"/>
        <v>2671.6321310975477</v>
      </c>
      <c r="C1354">
        <f t="shared" si="92"/>
        <v>360.20186691744988</v>
      </c>
      <c r="D1354">
        <f t="shared" si="93"/>
        <v>514.78233737355038</v>
      </c>
      <c r="E1354">
        <f t="shared" si="94"/>
        <v>482.26431149858644</v>
      </c>
    </row>
    <row r="1355" spans="1:5">
      <c r="A1355">
        <f t="shared" si="90"/>
        <v>8.3000000000000004E-2</v>
      </c>
      <c r="B1355">
        <f t="shared" si="91"/>
        <v>2671.7859679590338</v>
      </c>
      <c r="C1355">
        <f t="shared" si="92"/>
        <v>374.97917413201401</v>
      </c>
      <c r="D1355">
        <f t="shared" si="93"/>
        <v>553.90060553675846</v>
      </c>
      <c r="E1355">
        <f t="shared" si="94"/>
        <v>522.53825722477666</v>
      </c>
    </row>
    <row r="1356" spans="1:5">
      <c r="A1356">
        <f t="shared" si="90"/>
        <v>9.1999999999999998E-2</v>
      </c>
      <c r="B1356">
        <f t="shared" si="91"/>
        <v>2672.0025883219796</v>
      </c>
      <c r="C1356">
        <f t="shared" si="92"/>
        <v>392.27768292643788</v>
      </c>
      <c r="D1356">
        <f t="shared" si="93"/>
        <v>598.77676623660375</v>
      </c>
      <c r="E1356">
        <f t="shared" si="94"/>
        <v>568.56582355287799</v>
      </c>
    </row>
    <row r="1357" spans="1:5">
      <c r="A1357">
        <f t="shared" si="90"/>
        <v>0.1</v>
      </c>
      <c r="B1357">
        <f t="shared" si="91"/>
        <v>2672.1459076177921</v>
      </c>
      <c r="C1357">
        <f t="shared" si="92"/>
        <v>408.57024154816395</v>
      </c>
      <c r="D1357">
        <f t="shared" si="93"/>
        <v>640.03792855503775</v>
      </c>
      <c r="E1357">
        <f t="shared" si="94"/>
        <v>610.59163236774418</v>
      </c>
    </row>
    <row r="1358" spans="1:5">
      <c r="A1358">
        <f t="shared" si="90"/>
        <v>0.108</v>
      </c>
      <c r="B1358">
        <f t="shared" si="91"/>
        <v>2672.2620883765708</v>
      </c>
      <c r="C1358">
        <f t="shared" si="92"/>
        <v>425.93971816821346</v>
      </c>
      <c r="D1358">
        <f t="shared" si="93"/>
        <v>682.16473456554218</v>
      </c>
      <c r="E1358">
        <f t="shared" si="94"/>
        <v>653.32707067539548</v>
      </c>
    </row>
    <row r="1359" spans="1:5">
      <c r="A1359">
        <f t="shared" si="90"/>
        <v>0.11700000000000001</v>
      </c>
      <c r="B1359">
        <f t="shared" si="91"/>
        <v>2672.4787069540553</v>
      </c>
      <c r="C1359">
        <f t="shared" si="92"/>
        <v>446.34212138232749</v>
      </c>
      <c r="D1359">
        <f t="shared" si="93"/>
        <v>730.16792776960813</v>
      </c>
      <c r="E1359">
        <f t="shared" si="94"/>
        <v>701.91440074358138</v>
      </c>
    </row>
    <row r="1360" spans="1:5">
      <c r="A1360">
        <f t="shared" si="90"/>
        <v>0.125</v>
      </c>
      <c r="B1360">
        <f t="shared" si="91"/>
        <v>2672.7084579796765</v>
      </c>
      <c r="C1360">
        <f t="shared" si="92"/>
        <v>464.78135252033411</v>
      </c>
      <c r="D1360">
        <f t="shared" si="93"/>
        <v>773.87378998537463</v>
      </c>
      <c r="E1360">
        <f t="shared" si="94"/>
        <v>745.96273446882867</v>
      </c>
    </row>
    <row r="1361" spans="1:5">
      <c r="A1361">
        <f t="shared" si="90"/>
        <v>0.13300000000000001</v>
      </c>
      <c r="B1361">
        <f t="shared" si="91"/>
        <v>2672.8111298337622</v>
      </c>
      <c r="C1361">
        <f t="shared" si="92"/>
        <v>483.43610586362189</v>
      </c>
      <c r="D1361">
        <f t="shared" si="93"/>
        <v>818.23194447410526</v>
      </c>
      <c r="E1361">
        <f t="shared" si="94"/>
        <v>790.56611762367856</v>
      </c>
    </row>
    <row r="1362" spans="1:5">
      <c r="A1362">
        <f t="shared" si="90"/>
        <v>0.14199999999999999</v>
      </c>
      <c r="B1362">
        <f t="shared" si="91"/>
        <v>2673.0186412762982</v>
      </c>
      <c r="C1362">
        <f t="shared" si="92"/>
        <v>505.17284028347888</v>
      </c>
      <c r="D1362">
        <f t="shared" si="93"/>
        <v>868.3304441097539</v>
      </c>
      <c r="E1362">
        <f t="shared" si="94"/>
        <v>840.93260789643091</v>
      </c>
    </row>
    <row r="1363" spans="1:5">
      <c r="A1363">
        <f t="shared" si="90"/>
        <v>0.15</v>
      </c>
      <c r="B1363">
        <f t="shared" si="91"/>
        <v>2673.298433729452</v>
      </c>
      <c r="C1363">
        <f t="shared" si="92"/>
        <v>525.03019565514762</v>
      </c>
      <c r="D1363">
        <f t="shared" si="93"/>
        <v>914.04280073711163</v>
      </c>
      <c r="E1363">
        <f t="shared" si="94"/>
        <v>886.71036944254934</v>
      </c>
    </row>
    <row r="1364" spans="1:5">
      <c r="A1364">
        <f t="shared" si="90"/>
        <v>0.158</v>
      </c>
      <c r="B1364">
        <f t="shared" si="91"/>
        <v>2673.5257336157001</v>
      </c>
      <c r="C1364">
        <f t="shared" si="92"/>
        <v>545.29452697986096</v>
      </c>
      <c r="D1364">
        <f t="shared" si="93"/>
        <v>959.76811067927008</v>
      </c>
      <c r="E1364">
        <f t="shared" si="94"/>
        <v>932.52884488052541</v>
      </c>
    </row>
    <row r="1365" spans="1:5">
      <c r="A1365">
        <f t="shared" si="90"/>
        <v>0.16700000000000001</v>
      </c>
      <c r="B1365">
        <f t="shared" si="91"/>
        <v>2673.8821196789372</v>
      </c>
      <c r="C1365">
        <f t="shared" si="92"/>
        <v>568.61600000218164</v>
      </c>
      <c r="D1365">
        <f t="shared" si="93"/>
        <v>1011.9614443866486</v>
      </c>
      <c r="E1365">
        <f t="shared" si="94"/>
        <v>984.74477679457118</v>
      </c>
    </row>
    <row r="1366" spans="1:5">
      <c r="A1366">
        <f t="shared" si="90"/>
        <v>0.17499999999999999</v>
      </c>
      <c r="B1366">
        <f t="shared" si="91"/>
        <v>2674.108450593098</v>
      </c>
      <c r="C1366">
        <f t="shared" si="92"/>
        <v>589.59507301286499</v>
      </c>
      <c r="D1366">
        <f t="shared" si="93"/>
        <v>1059.1278356854446</v>
      </c>
      <c r="E1366">
        <f t="shared" si="94"/>
        <v>1031.8516257890719</v>
      </c>
    </row>
    <row r="1367" spans="1:5">
      <c r="A1367">
        <f t="shared" si="90"/>
        <v>0.183</v>
      </c>
      <c r="B1367">
        <f t="shared" si="91"/>
        <v>2674.2842198249568</v>
      </c>
      <c r="C1367">
        <f t="shared" si="92"/>
        <v>610.62327523191266</v>
      </c>
      <c r="D1367">
        <f t="shared" si="93"/>
        <v>1106.2320111687281</v>
      </c>
      <c r="E1367">
        <f t="shared" si="94"/>
        <v>1078.941017998533</v>
      </c>
    </row>
    <row r="1368" spans="1:5">
      <c r="A1368">
        <f t="shared" si="90"/>
        <v>0.192</v>
      </c>
      <c r="B1368">
        <f t="shared" si="91"/>
        <v>2674.6197712683879</v>
      </c>
      <c r="C1368">
        <f t="shared" si="92"/>
        <v>634.71424303829974</v>
      </c>
      <c r="D1368">
        <f t="shared" si="93"/>
        <v>1160.4295298230816</v>
      </c>
      <c r="E1368">
        <f t="shared" si="94"/>
        <v>1132.999036177561</v>
      </c>
    </row>
    <row r="1369" spans="1:5">
      <c r="A1369">
        <f t="shared" si="90"/>
        <v>0.2</v>
      </c>
      <c r="B1369">
        <f t="shared" si="91"/>
        <v>2674.8112882001351</v>
      </c>
      <c r="C1369">
        <f t="shared" si="92"/>
        <v>656.75968145235436</v>
      </c>
      <c r="D1369">
        <f t="shared" si="93"/>
        <v>1208.8255450612025</v>
      </c>
      <c r="E1369">
        <f t="shared" si="94"/>
        <v>1181.28521935239</v>
      </c>
    </row>
    <row r="1370" spans="1:5">
      <c r="A1370">
        <f t="shared" si="90"/>
        <v>0.20799999999999999</v>
      </c>
      <c r="B1370">
        <f t="shared" si="91"/>
        <v>2675.0957780917061</v>
      </c>
      <c r="C1370">
        <f t="shared" si="92"/>
        <v>678.93437857841104</v>
      </c>
      <c r="D1370">
        <f t="shared" si="93"/>
        <v>1257.6964388963677</v>
      </c>
      <c r="E1370">
        <f t="shared" si="94"/>
        <v>1230.026408396081</v>
      </c>
    </row>
    <row r="1371" spans="1:5">
      <c r="A1371">
        <f t="shared" si="90"/>
        <v>0.217</v>
      </c>
      <c r="B1371">
        <f t="shared" si="91"/>
        <v>2675.2952657628025</v>
      </c>
      <c r="C1371">
        <f t="shared" si="92"/>
        <v>704.14498363623863</v>
      </c>
      <c r="D1371">
        <f t="shared" si="93"/>
        <v>1313.5384373341913</v>
      </c>
      <c r="E1371">
        <f t="shared" si="94"/>
        <v>1285.6689097446642</v>
      </c>
    </row>
    <row r="1372" spans="1:5">
      <c r="A1372">
        <f t="shared" si="90"/>
        <v>0.22500000000000001</v>
      </c>
      <c r="B1372">
        <f t="shared" si="91"/>
        <v>2675.5869444872728</v>
      </c>
      <c r="C1372">
        <f t="shared" si="92"/>
        <v>726.68128533067841</v>
      </c>
      <c r="D1372">
        <f t="shared" si="93"/>
        <v>1363.4922501356443</v>
      </c>
      <c r="E1372">
        <f t="shared" si="94"/>
        <v>1335.4558137640058</v>
      </c>
    </row>
    <row r="1373" spans="1:5">
      <c r="A1373">
        <f t="shared" si="90"/>
        <v>0.23300000000000001</v>
      </c>
      <c r="B1373">
        <f t="shared" si="91"/>
        <v>2675.7284415975018</v>
      </c>
      <c r="C1373">
        <f t="shared" si="92"/>
        <v>749.50151193452609</v>
      </c>
      <c r="D1373">
        <f t="shared" si="93"/>
        <v>1413.8780595568705</v>
      </c>
      <c r="E1373">
        <f t="shared" si="94"/>
        <v>1385.6705698984597</v>
      </c>
    </row>
    <row r="1374" spans="1:5">
      <c r="A1374">
        <f t="shared" si="90"/>
        <v>0.24199999999999999</v>
      </c>
      <c r="B1374">
        <f t="shared" si="91"/>
        <v>2676.0397845083698</v>
      </c>
      <c r="C1374">
        <f t="shared" si="92"/>
        <v>775.4018440048759</v>
      </c>
      <c r="D1374">
        <f t="shared" si="93"/>
        <v>1471.4549088802494</v>
      </c>
      <c r="E1374">
        <f t="shared" si="94"/>
        <v>1443.0143943069845</v>
      </c>
    </row>
    <row r="1375" spans="1:5">
      <c r="A1375">
        <f t="shared" si="90"/>
        <v>0.25</v>
      </c>
      <c r="B1375">
        <f t="shared" si="91"/>
        <v>2676.4128817659403</v>
      </c>
      <c r="C1375">
        <f t="shared" si="92"/>
        <v>798.91281268474222</v>
      </c>
      <c r="D1375">
        <f t="shared" si="93"/>
        <v>1522.8148844349405</v>
      </c>
      <c r="E1375">
        <f t="shared" si="94"/>
        <v>1494.1974896231029</v>
      </c>
    </row>
    <row r="1376" spans="1:5">
      <c r="A1376">
        <f t="shared" si="90"/>
        <v>0.25800000000000001</v>
      </c>
      <c r="B1376">
        <f t="shared" si="91"/>
        <v>2676.7007790282851</v>
      </c>
      <c r="C1376">
        <f t="shared" si="92"/>
        <v>822.69139202090196</v>
      </c>
      <c r="D1376">
        <f t="shared" si="93"/>
        <v>1574.8772268654202</v>
      </c>
      <c r="E1376">
        <f t="shared" si="94"/>
        <v>1546.060002257067</v>
      </c>
    </row>
    <row r="1377" spans="1:5">
      <c r="A1377">
        <f t="shared" si="90"/>
        <v>0.26700000000000002</v>
      </c>
      <c r="B1377">
        <f t="shared" si="91"/>
        <v>2676.9553204763829</v>
      </c>
      <c r="C1377">
        <f t="shared" si="92"/>
        <v>849.29963946003977</v>
      </c>
      <c r="D1377">
        <f t="shared" si="93"/>
        <v>1634.2100712797871</v>
      </c>
      <c r="E1377">
        <f t="shared" si="94"/>
        <v>1605.1533049308823</v>
      </c>
    </row>
    <row r="1378" spans="1:5">
      <c r="A1378">
        <f t="shared" si="90"/>
        <v>0.27500000000000002</v>
      </c>
      <c r="B1378">
        <f t="shared" si="91"/>
        <v>2677.210266088246</v>
      </c>
      <c r="C1378">
        <f t="shared" si="92"/>
        <v>873.10949786357935</v>
      </c>
      <c r="D1378">
        <f t="shared" si="93"/>
        <v>1686.9799883696526</v>
      </c>
      <c r="E1378">
        <f t="shared" si="94"/>
        <v>1657.7559651879415</v>
      </c>
    </row>
    <row r="1379" spans="1:5">
      <c r="A1379">
        <f t="shared" si="90"/>
        <v>0.28299999999999997</v>
      </c>
      <c r="B1379">
        <f t="shared" si="91"/>
        <v>2677.5398892825219</v>
      </c>
      <c r="C1379">
        <f t="shared" si="92"/>
        <v>897.26652126135866</v>
      </c>
      <c r="D1379">
        <f t="shared" si="93"/>
        <v>1740.9784489069013</v>
      </c>
      <c r="E1379">
        <f t="shared" si="94"/>
        <v>1711.5292151987778</v>
      </c>
    </row>
    <row r="1380" spans="1:5">
      <c r="A1380">
        <f t="shared" si="90"/>
        <v>0.29199999999999998</v>
      </c>
      <c r="B1380">
        <f t="shared" si="91"/>
        <v>2677.7716485761302</v>
      </c>
      <c r="C1380">
        <f t="shared" si="92"/>
        <v>924.86414819099969</v>
      </c>
      <c r="D1380">
        <f t="shared" si="93"/>
        <v>1801.8730716501491</v>
      </c>
      <c r="E1380">
        <f t="shared" si="94"/>
        <v>1772.2146466917202</v>
      </c>
    </row>
    <row r="1381" spans="1:5">
      <c r="A1381">
        <f t="shared" si="90"/>
        <v>0.3</v>
      </c>
      <c r="B1381">
        <f t="shared" si="91"/>
        <v>2678.0591123143704</v>
      </c>
      <c r="C1381">
        <f t="shared" si="92"/>
        <v>949.69451540625494</v>
      </c>
      <c r="D1381">
        <f t="shared" si="93"/>
        <v>1856.7086148968674</v>
      </c>
      <c r="E1381">
        <f t="shared" si="94"/>
        <v>1826.858082720953</v>
      </c>
    </row>
    <row r="1382" spans="1:5">
      <c r="A1382">
        <f t="shared" si="90"/>
        <v>0.308</v>
      </c>
      <c r="B1382">
        <f t="shared" si="91"/>
        <v>2678.3248962424841</v>
      </c>
      <c r="C1382">
        <f t="shared" si="92"/>
        <v>974.48553419291693</v>
      </c>
      <c r="D1382">
        <f t="shared" si="93"/>
        <v>1912.259873742373</v>
      </c>
      <c r="E1382">
        <f t="shared" si="94"/>
        <v>1882.2107610897619</v>
      </c>
    </row>
    <row r="1383" spans="1:5">
      <c r="A1383">
        <f t="shared" si="90"/>
        <v>0.317</v>
      </c>
      <c r="B1383">
        <f t="shared" si="91"/>
        <v>2678.7603431942562</v>
      </c>
      <c r="C1383">
        <f t="shared" si="92"/>
        <v>1002.4378207984545</v>
      </c>
      <c r="D1383">
        <f t="shared" si="93"/>
        <v>1975.1014147397316</v>
      </c>
      <c r="E1383">
        <f t="shared" si="94"/>
        <v>1944.858837742305</v>
      </c>
    </row>
    <row r="1384" spans="1:5">
      <c r="A1384">
        <f t="shared" si="90"/>
        <v>0.32500000000000001</v>
      </c>
      <c r="B1384">
        <f t="shared" si="91"/>
        <v>2678.934012540692</v>
      </c>
      <c r="C1384">
        <f t="shared" si="92"/>
        <v>1027.5870587413654</v>
      </c>
      <c r="D1384">
        <f t="shared" si="93"/>
        <v>2031.7985558053063</v>
      </c>
      <c r="E1384">
        <f t="shared" si="94"/>
        <v>2001.3754442363258</v>
      </c>
    </row>
    <row r="1385" spans="1:5">
      <c r="A1385">
        <f t="shared" si="90"/>
        <v>0.33300000000000002</v>
      </c>
      <c r="B1385">
        <f t="shared" si="91"/>
        <v>2679.2731517739471</v>
      </c>
      <c r="C1385">
        <f t="shared" si="92"/>
        <v>1053.0619961686964</v>
      </c>
      <c r="D1385">
        <f t="shared" si="93"/>
        <v>2089.0735031949753</v>
      </c>
      <c r="E1385">
        <f t="shared" si="94"/>
        <v>2058.4779229179353</v>
      </c>
    </row>
    <row r="1386" spans="1:5">
      <c r="A1386">
        <f t="shared" si="90"/>
        <v>0.34200000000000003</v>
      </c>
      <c r="B1386">
        <f t="shared" si="91"/>
        <v>2679.6384849074366</v>
      </c>
      <c r="C1386">
        <f t="shared" si="92"/>
        <v>1082.1146416403806</v>
      </c>
      <c r="D1386">
        <f t="shared" si="93"/>
        <v>2153.9516480745888</v>
      </c>
      <c r="E1386">
        <f t="shared" si="94"/>
        <v>2123.187380831977</v>
      </c>
    </row>
    <row r="1387" spans="1:5">
      <c r="A1387">
        <f t="shared" si="90"/>
        <v>0.35</v>
      </c>
      <c r="B1387">
        <f t="shared" si="91"/>
        <v>2679.9865256495527</v>
      </c>
      <c r="C1387">
        <f t="shared" si="92"/>
        <v>1108.0213073047621</v>
      </c>
      <c r="D1387">
        <f t="shared" si="93"/>
        <v>2212.4908066079583</v>
      </c>
      <c r="E1387">
        <f t="shared" si="94"/>
        <v>2181.5719636316157</v>
      </c>
    </row>
    <row r="1388" spans="1:5">
      <c r="A1388">
        <f t="shared" si="90"/>
        <v>0.35799999999999998</v>
      </c>
      <c r="B1388">
        <f t="shared" si="91"/>
        <v>2680.3628439768113</v>
      </c>
      <c r="C1388">
        <f t="shared" si="92"/>
        <v>1133.8978649739838</v>
      </c>
      <c r="D1388">
        <f t="shared" si="93"/>
        <v>2271.6279066061034</v>
      </c>
      <c r="E1388">
        <f t="shared" si="94"/>
        <v>2240.5646109482909</v>
      </c>
    </row>
    <row r="1389" spans="1:5">
      <c r="A1389">
        <f t="shared" si="90"/>
        <v>0.36699999999999999</v>
      </c>
      <c r="B1389">
        <f t="shared" si="91"/>
        <v>2680.656874477047</v>
      </c>
      <c r="C1389">
        <f t="shared" si="92"/>
        <v>1163.2045223369321</v>
      </c>
      <c r="D1389">
        <f t="shared" si="93"/>
        <v>2338.4592438207114</v>
      </c>
      <c r="E1389">
        <f t="shared" si="94"/>
        <v>2307.2674673048655</v>
      </c>
    </row>
    <row r="1390" spans="1:5">
      <c r="A1390">
        <f t="shared" si="90"/>
        <v>0.375</v>
      </c>
      <c r="B1390">
        <f t="shared" si="91"/>
        <v>2681.1410389461162</v>
      </c>
      <c r="C1390">
        <f t="shared" si="92"/>
        <v>1189.7387412010428</v>
      </c>
      <c r="D1390">
        <f t="shared" si="93"/>
        <v>2399.2316666520933</v>
      </c>
      <c r="E1390">
        <f t="shared" si="94"/>
        <v>2367.9009230173892</v>
      </c>
    </row>
    <row r="1391" spans="1:5">
      <c r="A1391">
        <f t="shared" si="90"/>
        <v>0.38300000000000001</v>
      </c>
      <c r="B1391">
        <f t="shared" si="91"/>
        <v>2681.4410343801505</v>
      </c>
      <c r="C1391">
        <f t="shared" si="92"/>
        <v>1216.6467476359549</v>
      </c>
      <c r="D1391">
        <f t="shared" si="93"/>
        <v>2460.0404173793613</v>
      </c>
      <c r="E1391">
        <f t="shared" si="94"/>
        <v>2428.6106577782589</v>
      </c>
    </row>
    <row r="1392" spans="1:5">
      <c r="A1392">
        <f t="shared" si="90"/>
        <v>0.39200000000000002</v>
      </c>
      <c r="B1392">
        <f t="shared" si="91"/>
        <v>2681.9939788953425</v>
      </c>
      <c r="C1392">
        <f t="shared" si="92"/>
        <v>1246.8959337465285</v>
      </c>
      <c r="D1392">
        <f t="shared" si="93"/>
        <v>2529.4862966892333</v>
      </c>
      <c r="E1392">
        <f t="shared" si="94"/>
        <v>2497.9453758114569</v>
      </c>
    </row>
    <row r="1393" spans="1:5">
      <c r="A1393">
        <f t="shared" si="90"/>
        <v>0.4</v>
      </c>
      <c r="B1393">
        <f t="shared" si="91"/>
        <v>2682.3919407186913</v>
      </c>
      <c r="C1393">
        <f t="shared" si="92"/>
        <v>1273.9426663277293</v>
      </c>
      <c r="D1393">
        <f t="shared" si="93"/>
        <v>2592.146348508657</v>
      </c>
      <c r="E1393">
        <f t="shared" si="94"/>
        <v>2560.508645682442</v>
      </c>
    </row>
    <row r="1394" spans="1:5">
      <c r="A1394">
        <f t="shared" si="90"/>
        <v>0.40799999999999997</v>
      </c>
      <c r="B1394">
        <f t="shared" si="91"/>
        <v>2682.9158806588962</v>
      </c>
      <c r="C1394">
        <f t="shared" si="92"/>
        <v>1301.2535415684738</v>
      </c>
      <c r="D1394">
        <f t="shared" si="93"/>
        <v>2654.8892109327271</v>
      </c>
      <c r="E1394">
        <f t="shared" si="94"/>
        <v>2623.1906262677849</v>
      </c>
    </row>
    <row r="1395" spans="1:5">
      <c r="A1395">
        <f t="shared" si="90"/>
        <v>0.41699999999999998</v>
      </c>
      <c r="B1395">
        <f t="shared" si="91"/>
        <v>2683.4438459390726</v>
      </c>
      <c r="C1395">
        <f t="shared" si="92"/>
        <v>1332.2058701793264</v>
      </c>
      <c r="D1395">
        <f t="shared" si="93"/>
        <v>2726.8255061130581</v>
      </c>
      <c r="E1395">
        <f t="shared" si="94"/>
        <v>2695.0500562784723</v>
      </c>
    </row>
    <row r="1396" spans="1:5">
      <c r="A1396">
        <f t="shared" si="90"/>
        <v>0.42499999999999999</v>
      </c>
      <c r="B1396">
        <f t="shared" si="91"/>
        <v>2684.0530894635986</v>
      </c>
      <c r="C1396">
        <f t="shared" si="92"/>
        <v>1359.9452187192626</v>
      </c>
      <c r="D1396">
        <f t="shared" si="93"/>
        <v>2791.2253149758362</v>
      </c>
      <c r="E1396">
        <f t="shared" si="94"/>
        <v>2759.4047365661204</v>
      </c>
    </row>
    <row r="1397" spans="1:5">
      <c r="A1397">
        <f t="shared" si="90"/>
        <v>0.433</v>
      </c>
      <c r="B1397">
        <f t="shared" si="91"/>
        <v>2684.4264672966287</v>
      </c>
      <c r="C1397">
        <f t="shared" si="92"/>
        <v>1388.0981650857836</v>
      </c>
      <c r="D1397">
        <f t="shared" si="93"/>
        <v>2856.2260336940121</v>
      </c>
      <c r="E1397">
        <f t="shared" si="94"/>
        <v>2824.3753796888477</v>
      </c>
    </row>
    <row r="1398" spans="1:5">
      <c r="A1398">
        <f t="shared" si="90"/>
        <v>0.442</v>
      </c>
      <c r="B1398">
        <f t="shared" si="91"/>
        <v>2685.2021480085291</v>
      </c>
      <c r="C1398">
        <f t="shared" si="92"/>
        <v>1419.9573139350396</v>
      </c>
      <c r="D1398">
        <f t="shared" si="93"/>
        <v>2930.4635049360486</v>
      </c>
      <c r="E1398">
        <f t="shared" si="94"/>
        <v>2898.5839038762074</v>
      </c>
    </row>
    <row r="1399" spans="1:5">
      <c r="A1399">
        <f t="shared" si="90"/>
        <v>0.45</v>
      </c>
      <c r="B1399">
        <f t="shared" si="91"/>
        <v>2685.7460339181407</v>
      </c>
      <c r="C1399">
        <f t="shared" si="92"/>
        <v>1448.2337315103855</v>
      </c>
      <c r="D1399">
        <f t="shared" si="93"/>
        <v>2997.0388676298153</v>
      </c>
      <c r="E1399">
        <f t="shared" si="94"/>
        <v>2965.1524552312057</v>
      </c>
    </row>
    <row r="1400" spans="1:5">
      <c r="A1400">
        <f t="shared" si="90"/>
        <v>0.45800000000000002</v>
      </c>
      <c r="B1400">
        <f t="shared" si="91"/>
        <v>2686.2420281089157</v>
      </c>
      <c r="C1400">
        <f t="shared" si="92"/>
        <v>1476.6661603886619</v>
      </c>
      <c r="D1400">
        <f t="shared" si="93"/>
        <v>3064.1595178111925</v>
      </c>
      <c r="E1400">
        <f t="shared" si="94"/>
        <v>3032.2840730905732</v>
      </c>
    </row>
    <row r="1401" spans="1:5">
      <c r="A1401">
        <f t="shared" si="90"/>
        <v>0.46700000000000003</v>
      </c>
      <c r="B1401">
        <f t="shared" si="91"/>
        <v>2686.848274404113</v>
      </c>
      <c r="C1401">
        <f t="shared" si="92"/>
        <v>1509.2529786221271</v>
      </c>
      <c r="D1401">
        <f t="shared" si="93"/>
        <v>3141.0226701663896</v>
      </c>
      <c r="E1401">
        <f t="shared" si="94"/>
        <v>3109.1598983076765</v>
      </c>
    </row>
    <row r="1402" spans="1:5">
      <c r="A1402">
        <f t="shared" si="90"/>
        <v>0.47499999999999998</v>
      </c>
      <c r="B1402">
        <f t="shared" si="91"/>
        <v>2687.4641738490877</v>
      </c>
      <c r="C1402">
        <f t="shared" si="92"/>
        <v>1538.4831289843698</v>
      </c>
      <c r="D1402">
        <f t="shared" si="93"/>
        <v>3209.6363774109341</v>
      </c>
      <c r="E1402">
        <f t="shared" si="94"/>
        <v>3177.812951422256</v>
      </c>
    </row>
    <row r="1403" spans="1:5">
      <c r="A1403">
        <f t="shared" si="90"/>
        <v>0.48299999999999998</v>
      </c>
      <c r="B1403">
        <f t="shared" si="91"/>
        <v>2688.1876250722621</v>
      </c>
      <c r="C1403">
        <f t="shared" si="92"/>
        <v>1567.9590204754618</v>
      </c>
      <c r="D1403">
        <f t="shared" si="93"/>
        <v>3279.2329425589828</v>
      </c>
      <c r="E1403">
        <f t="shared" si="94"/>
        <v>3247.4547932261544</v>
      </c>
    </row>
    <row r="1404" spans="1:5">
      <c r="A1404">
        <f t="shared" si="90"/>
        <v>0.49199999999999999</v>
      </c>
      <c r="B1404">
        <f t="shared" si="91"/>
        <v>2688.7222176431492</v>
      </c>
      <c r="C1404">
        <f t="shared" si="92"/>
        <v>1601.1205159498156</v>
      </c>
      <c r="D1404">
        <f t="shared" si="93"/>
        <v>3358.5960476551613</v>
      </c>
      <c r="E1404">
        <f t="shared" si="94"/>
        <v>3326.8801699923215</v>
      </c>
    </row>
    <row r="1405" spans="1:5">
      <c r="A1405">
        <f t="shared" si="90"/>
        <v>0.5</v>
      </c>
      <c r="B1405">
        <f t="shared" si="91"/>
        <v>2689.3696122533497</v>
      </c>
      <c r="C1405">
        <f t="shared" si="92"/>
        <v>1630.7637614719622</v>
      </c>
      <c r="D1405">
        <f t="shared" si="93"/>
        <v>3429.3588510465356</v>
      </c>
      <c r="E1405">
        <f t="shared" si="94"/>
        <v>3397.7272251123341</v>
      </c>
    </row>
    <row r="1406" spans="1:5">
      <c r="A1406">
        <f t="shared" si="90"/>
        <v>0.50800000000000001</v>
      </c>
      <c r="B1406">
        <f t="shared" si="91"/>
        <v>2689.9524090049945</v>
      </c>
      <c r="C1406">
        <f t="shared" si="92"/>
        <v>1660.6990177446987</v>
      </c>
      <c r="D1406">
        <f t="shared" si="93"/>
        <v>3501.549494764668</v>
      </c>
      <c r="E1406">
        <f t="shared" si="94"/>
        <v>3469.9989806158633</v>
      </c>
    </row>
    <row r="1407" spans="1:5">
      <c r="A1407">
        <f t="shared" si="90"/>
        <v>0.51700000000000002</v>
      </c>
      <c r="B1407">
        <f t="shared" si="91"/>
        <v>2690.5667082175996</v>
      </c>
      <c r="C1407">
        <f t="shared" si="92"/>
        <v>1694.8225866146461</v>
      </c>
      <c r="D1407">
        <f t="shared" si="93"/>
        <v>3583.0738605817146</v>
      </c>
      <c r="E1407">
        <f t="shared" si="94"/>
        <v>3551.645051083141</v>
      </c>
    </row>
    <row r="1408" spans="1:5">
      <c r="A1408">
        <f t="shared" si="90"/>
        <v>0.52500000000000002</v>
      </c>
      <c r="B1408">
        <f t="shared" si="91"/>
        <v>2691.2861129347111</v>
      </c>
      <c r="C1408">
        <f t="shared" si="92"/>
        <v>1725.5482605386435</v>
      </c>
      <c r="D1408">
        <f t="shared" si="93"/>
        <v>3656.4070068229498</v>
      </c>
      <c r="E1408">
        <f t="shared" si="94"/>
        <v>3625.0993448641489</v>
      </c>
    </row>
    <row r="1409" spans="1:5">
      <c r="A1409">
        <f t="shared" si="90"/>
        <v>0.53300000000000003</v>
      </c>
      <c r="B1409">
        <f t="shared" si="91"/>
        <v>2691.7084514155754</v>
      </c>
      <c r="C1409">
        <f t="shared" si="92"/>
        <v>1756.3205691070345</v>
      </c>
      <c r="D1409">
        <f t="shared" si="93"/>
        <v>3730.7434368680811</v>
      </c>
      <c r="E1409">
        <f t="shared" si="94"/>
        <v>3699.5656343989554</v>
      </c>
    </row>
    <row r="1410" spans="1:5">
      <c r="A1410">
        <f t="shared" si="90"/>
        <v>0.54200000000000004</v>
      </c>
      <c r="B1410">
        <f t="shared" si="91"/>
        <v>2692.3320799684448</v>
      </c>
      <c r="C1410">
        <f t="shared" si="92"/>
        <v>1790.9188228799637</v>
      </c>
      <c r="D1410">
        <f t="shared" si="93"/>
        <v>3814.9219703228828</v>
      </c>
      <c r="E1410">
        <f t="shared" si="94"/>
        <v>3783.9144030090297</v>
      </c>
    </row>
    <row r="1411" spans="1:5">
      <c r="A1411">
        <f t="shared" si="90"/>
        <v>0.55000000000000004</v>
      </c>
      <c r="B1411">
        <f t="shared" si="91"/>
        <v>2692.9418963583466</v>
      </c>
      <c r="C1411">
        <f t="shared" si="92"/>
        <v>1821.9533285761061</v>
      </c>
      <c r="D1411">
        <f t="shared" si="93"/>
        <v>3890.7671657116257</v>
      </c>
      <c r="E1411">
        <f t="shared" si="94"/>
        <v>3859.9216859248836</v>
      </c>
    </row>
    <row r="1412" spans="1:5">
      <c r="A1412">
        <f t="shared" si="90"/>
        <v>0.55800000000000005</v>
      </c>
      <c r="B1412">
        <f t="shared" si="91"/>
        <v>2693.5471794573295</v>
      </c>
      <c r="C1412">
        <f t="shared" si="92"/>
        <v>1853.5962489578701</v>
      </c>
      <c r="D1412">
        <f t="shared" si="93"/>
        <v>3967.4807487458083</v>
      </c>
      <c r="E1412">
        <f t="shared" si="94"/>
        <v>3936.8097483681718</v>
      </c>
    </row>
    <row r="1413" spans="1:5">
      <c r="A1413">
        <f t="shared" si="90"/>
        <v>0.56699999999999995</v>
      </c>
      <c r="B1413">
        <f t="shared" si="91"/>
        <v>2694.1066115218923</v>
      </c>
      <c r="C1413">
        <f t="shared" si="92"/>
        <v>1889.5699053140133</v>
      </c>
      <c r="D1413">
        <f t="shared" si="93"/>
        <v>4054.3706512176195</v>
      </c>
      <c r="E1413">
        <f t="shared" si="94"/>
        <v>4023.9188730757278</v>
      </c>
    </row>
    <row r="1414" spans="1:5">
      <c r="A1414">
        <f t="shared" si="90"/>
        <v>0.57499999999999996</v>
      </c>
      <c r="B1414">
        <f t="shared" si="91"/>
        <v>2694.5893132697602</v>
      </c>
      <c r="C1414">
        <f t="shared" si="92"/>
        <v>1921.4798302362296</v>
      </c>
      <c r="D1414">
        <f t="shared" si="93"/>
        <v>4132.7477325196587</v>
      </c>
      <c r="E1414">
        <f t="shared" si="94"/>
        <v>4102.5004112922288</v>
      </c>
    </row>
    <row r="1415" spans="1:5">
      <c r="A1415">
        <f t="shared" si="90"/>
        <v>0.58299999999999996</v>
      </c>
      <c r="B1415">
        <f t="shared" si="91"/>
        <v>2695.2278389412959</v>
      </c>
      <c r="C1415">
        <f t="shared" si="92"/>
        <v>1953.5879483646522</v>
      </c>
      <c r="D1415">
        <f t="shared" si="93"/>
        <v>4211.9413090353128</v>
      </c>
      <c r="E1415">
        <f t="shared" si="94"/>
        <v>4181.9122594539649</v>
      </c>
    </row>
    <row r="1416" spans="1:5">
      <c r="A1416">
        <f t="shared" si="90"/>
        <v>0.59199999999999997</v>
      </c>
      <c r="B1416">
        <f t="shared" si="91"/>
        <v>2695.8930735840954</v>
      </c>
      <c r="C1416">
        <f t="shared" si="92"/>
        <v>1990.0401318933384</v>
      </c>
      <c r="D1416">
        <f t="shared" si="93"/>
        <v>4301.4635118338947</v>
      </c>
      <c r="E1416">
        <f t="shared" si="94"/>
        <v>4271.7048468823714</v>
      </c>
    </row>
    <row r="1417" spans="1:5">
      <c r="A1417">
        <f t="shared" ref="A1417:A1465" si="95">I194</f>
        <v>0.6</v>
      </c>
      <c r="B1417">
        <f t="shared" ref="B1417:B1465" si="96">AQ194</f>
        <v>2696.4463864364902</v>
      </c>
      <c r="C1417">
        <f t="shared" ref="C1417:C1465" si="97">AS194</f>
        <v>2022.8801679683361</v>
      </c>
      <c r="D1417">
        <f t="shared" ref="D1417:D1465" si="98">AU194</f>
        <v>4382.539155040683</v>
      </c>
      <c r="E1417">
        <f t="shared" ref="E1417:E1465" si="99">AW194</f>
        <v>4353.0259921204488</v>
      </c>
    </row>
    <row r="1418" spans="1:5">
      <c r="A1418">
        <f t="shared" si="95"/>
        <v>0.60799999999999998</v>
      </c>
      <c r="B1418">
        <f t="shared" si="96"/>
        <v>2696.9847033524652</v>
      </c>
      <c r="C1418">
        <f t="shared" si="97"/>
        <v>2055.9167011409659</v>
      </c>
      <c r="D1418">
        <f t="shared" si="98"/>
        <v>4463.7348531875177</v>
      </c>
      <c r="E1418">
        <f t="shared" si="99"/>
        <v>4434.4910214656966</v>
      </c>
    </row>
    <row r="1419" spans="1:5">
      <c r="A1419">
        <f t="shared" si="95"/>
        <v>0.61699999999999999</v>
      </c>
      <c r="B1419">
        <f t="shared" si="96"/>
        <v>2697.5027559631326</v>
      </c>
      <c r="C1419">
        <f t="shared" si="97"/>
        <v>2093.535999451713</v>
      </c>
      <c r="D1419">
        <f t="shared" si="98"/>
        <v>4556.3885695193476</v>
      </c>
      <c r="E1419">
        <f t="shared" si="99"/>
        <v>4527.4595208184792</v>
      </c>
    </row>
    <row r="1420" spans="1:5">
      <c r="A1420">
        <f t="shared" si="95"/>
        <v>0.625</v>
      </c>
      <c r="B1420">
        <f t="shared" si="96"/>
        <v>2698.211716438776</v>
      </c>
      <c r="C1420">
        <f t="shared" si="97"/>
        <v>2127.0890152273869</v>
      </c>
      <c r="D1420">
        <f t="shared" si="98"/>
        <v>4639.8085071502774</v>
      </c>
      <c r="E1420">
        <f t="shared" si="99"/>
        <v>4611.1716118682671</v>
      </c>
    </row>
    <row r="1421" spans="1:5">
      <c r="A1421">
        <f t="shared" si="95"/>
        <v>0.63300000000000001</v>
      </c>
      <c r="B1421">
        <f t="shared" si="96"/>
        <v>2698.7445748679534</v>
      </c>
      <c r="C1421">
        <f t="shared" si="97"/>
        <v>2160.6819275242242</v>
      </c>
      <c r="D1421">
        <f t="shared" si="98"/>
        <v>4723.4754348042952</v>
      </c>
      <c r="E1421">
        <f t="shared" si="99"/>
        <v>4695.1516327932304</v>
      </c>
    </row>
    <row r="1422" spans="1:5">
      <c r="A1422">
        <f t="shared" si="95"/>
        <v>0.64200000000000002</v>
      </c>
      <c r="B1422">
        <f t="shared" si="96"/>
        <v>2699.5507501819761</v>
      </c>
      <c r="C1422">
        <f t="shared" si="97"/>
        <v>2198.8670009595298</v>
      </c>
      <c r="D1422">
        <f t="shared" si="98"/>
        <v>4819.2543627230234</v>
      </c>
      <c r="E1422">
        <f t="shared" si="99"/>
        <v>4791.2912850201192</v>
      </c>
    </row>
    <row r="1423" spans="1:5">
      <c r="A1423">
        <f t="shared" si="95"/>
        <v>0.65</v>
      </c>
      <c r="B1423">
        <f t="shared" si="96"/>
        <v>2700.1000665260294</v>
      </c>
      <c r="C1423">
        <f t="shared" si="97"/>
        <v>2233.3796452003226</v>
      </c>
      <c r="D1423">
        <f t="shared" si="98"/>
        <v>4905.0062605782241</v>
      </c>
      <c r="E1423">
        <f t="shared" si="99"/>
        <v>4877.3816308441801</v>
      </c>
    </row>
    <row r="1424" spans="1:5">
      <c r="A1424">
        <f t="shared" si="95"/>
        <v>0.65800000000000003</v>
      </c>
      <c r="B1424">
        <f t="shared" si="96"/>
        <v>2700.798934050626</v>
      </c>
      <c r="C1424">
        <f t="shared" si="97"/>
        <v>2268.093572924754</v>
      </c>
      <c r="D1424">
        <f t="shared" si="98"/>
        <v>4991.4893814494799</v>
      </c>
      <c r="E1424">
        <f t="shared" si="99"/>
        <v>4964.2179962937817</v>
      </c>
    </row>
    <row r="1425" spans="1:5">
      <c r="A1425">
        <f t="shared" si="95"/>
        <v>0.66700000000000004</v>
      </c>
      <c r="B1425">
        <f t="shared" si="96"/>
        <v>2701.6135071673953</v>
      </c>
      <c r="C1425">
        <f t="shared" si="97"/>
        <v>2307.269279658743</v>
      </c>
      <c r="D1425">
        <f t="shared" si="98"/>
        <v>5090.1470497930613</v>
      </c>
      <c r="E1425">
        <f t="shared" si="99"/>
        <v>5063.2857521844699</v>
      </c>
    </row>
    <row r="1426" spans="1:5">
      <c r="A1426">
        <f t="shared" si="95"/>
        <v>0.67500000000000004</v>
      </c>
      <c r="B1426">
        <f t="shared" si="96"/>
        <v>2702.2275564022739</v>
      </c>
      <c r="C1426">
        <f t="shared" si="97"/>
        <v>2342.3978367116929</v>
      </c>
      <c r="D1426">
        <f t="shared" si="98"/>
        <v>5178.5082795811222</v>
      </c>
      <c r="E1426">
        <f t="shared" si="99"/>
        <v>5152.0283868009174</v>
      </c>
    </row>
    <row r="1427" spans="1:5">
      <c r="A1427">
        <f t="shared" si="95"/>
        <v>0.68300000000000005</v>
      </c>
      <c r="B1427">
        <f t="shared" si="96"/>
        <v>2702.9347012405674</v>
      </c>
      <c r="C1427">
        <f t="shared" si="97"/>
        <v>2377.586319197082</v>
      </c>
      <c r="D1427">
        <f t="shared" si="98"/>
        <v>5267.4812917949212</v>
      </c>
      <c r="E1427">
        <f t="shared" si="99"/>
        <v>5241.3985225164788</v>
      </c>
    </row>
    <row r="1428" spans="1:5">
      <c r="A1428">
        <f t="shared" si="95"/>
        <v>0.69199999999999995</v>
      </c>
      <c r="B1428">
        <f t="shared" si="96"/>
        <v>2703.8102548708271</v>
      </c>
      <c r="C1428">
        <f t="shared" si="97"/>
        <v>2417.6598864735997</v>
      </c>
      <c r="D1428">
        <f t="shared" si="98"/>
        <v>5369.1561202217617</v>
      </c>
      <c r="E1428">
        <f t="shared" si="99"/>
        <v>5343.5312999492644</v>
      </c>
    </row>
    <row r="1429" spans="1:5">
      <c r="A1429">
        <f t="shared" si="95"/>
        <v>0.7</v>
      </c>
      <c r="B1429">
        <f t="shared" si="96"/>
        <v>2704.614349908813</v>
      </c>
      <c r="C1429">
        <f t="shared" si="97"/>
        <v>2453.8264418630224</v>
      </c>
      <c r="D1429">
        <f t="shared" si="98"/>
        <v>5459.8605829956996</v>
      </c>
      <c r="E1429">
        <f t="shared" si="99"/>
        <v>5434.6621505308067</v>
      </c>
    </row>
    <row r="1430" spans="1:5">
      <c r="A1430">
        <f t="shared" si="95"/>
        <v>0.70799999999999996</v>
      </c>
      <c r="B1430">
        <f t="shared" si="96"/>
        <v>2705.3495311488232</v>
      </c>
      <c r="C1430">
        <f t="shared" si="97"/>
        <v>2490.2166397829856</v>
      </c>
      <c r="D1430">
        <f t="shared" si="98"/>
        <v>5551.6388512875928</v>
      </c>
      <c r="E1430">
        <f t="shared" si="99"/>
        <v>5526.8783790378302</v>
      </c>
    </row>
    <row r="1431" spans="1:5">
      <c r="A1431">
        <f t="shared" si="95"/>
        <v>0.71699999999999997</v>
      </c>
      <c r="B1431">
        <f t="shared" si="96"/>
        <v>2706.4288747660044</v>
      </c>
      <c r="C1431">
        <f t="shared" si="97"/>
        <v>2531.154808755311</v>
      </c>
      <c r="D1431">
        <f t="shared" si="98"/>
        <v>5656.2511890795613</v>
      </c>
      <c r="E1431">
        <f t="shared" si="99"/>
        <v>5631.9969689362852</v>
      </c>
    </row>
    <row r="1432" spans="1:5">
      <c r="A1432">
        <f t="shared" si="95"/>
        <v>0.72499999999999998</v>
      </c>
      <c r="B1432">
        <f t="shared" si="96"/>
        <v>2707.1859976785427</v>
      </c>
      <c r="C1432">
        <f t="shared" si="97"/>
        <v>2567.7411755466196</v>
      </c>
      <c r="D1432">
        <f t="shared" si="98"/>
        <v>5749.3574043712242</v>
      </c>
      <c r="E1432">
        <f t="shared" si="99"/>
        <v>5725.5731708500762</v>
      </c>
    </row>
    <row r="1433" spans="1:5">
      <c r="A1433">
        <f t="shared" si="95"/>
        <v>0.73299999999999998</v>
      </c>
      <c r="B1433">
        <f t="shared" si="96"/>
        <v>2708.0535136916324</v>
      </c>
      <c r="C1433">
        <f t="shared" si="97"/>
        <v>2604.7028372749974</v>
      </c>
      <c r="D1433">
        <f t="shared" si="98"/>
        <v>5844.2746200925321</v>
      </c>
      <c r="E1433">
        <f t="shared" si="99"/>
        <v>5820.9670434296495</v>
      </c>
    </row>
    <row r="1434" spans="1:5">
      <c r="A1434">
        <f t="shared" si="95"/>
        <v>0.74199999999999999</v>
      </c>
      <c r="B1434">
        <f t="shared" si="96"/>
        <v>2708.9759331232062</v>
      </c>
      <c r="C1434">
        <f t="shared" si="97"/>
        <v>2646.9794339407081</v>
      </c>
      <c r="D1434">
        <f t="shared" si="98"/>
        <v>5951.4289657749514</v>
      </c>
      <c r="E1434">
        <f t="shared" si="99"/>
        <v>5928.6780038190936</v>
      </c>
    </row>
    <row r="1435" spans="1:5">
      <c r="A1435">
        <f t="shared" si="95"/>
        <v>0.75</v>
      </c>
      <c r="B1435">
        <f t="shared" si="96"/>
        <v>2709.9297554985205</v>
      </c>
      <c r="C1435">
        <f t="shared" si="97"/>
        <v>2684.8439175922672</v>
      </c>
      <c r="D1435">
        <f t="shared" si="98"/>
        <v>6047.7020502811029</v>
      </c>
      <c r="E1435">
        <f t="shared" si="99"/>
        <v>6025.4591988659058</v>
      </c>
    </row>
    <row r="1436" spans="1:5">
      <c r="A1436">
        <f t="shared" si="95"/>
        <v>0.75800000000000001</v>
      </c>
      <c r="B1436">
        <f t="shared" si="96"/>
        <v>2710.7767597783932</v>
      </c>
      <c r="C1436">
        <f t="shared" si="97"/>
        <v>2722.7356281270404</v>
      </c>
      <c r="D1436">
        <f t="shared" si="98"/>
        <v>6145.1113384527371</v>
      </c>
      <c r="E1436">
        <f t="shared" si="99"/>
        <v>6123.388242453002</v>
      </c>
    </row>
    <row r="1437" spans="1:5">
      <c r="A1437">
        <f t="shared" si="95"/>
        <v>0.76700000000000002</v>
      </c>
      <c r="B1437">
        <f t="shared" si="96"/>
        <v>2711.6756857341511</v>
      </c>
      <c r="C1437">
        <f t="shared" si="97"/>
        <v>2765.5141301691888</v>
      </c>
      <c r="D1437">
        <f t="shared" si="98"/>
        <v>6255.2175947007745</v>
      </c>
      <c r="E1437">
        <f t="shared" si="99"/>
        <v>6234.0978575250019</v>
      </c>
    </row>
    <row r="1438" spans="1:5">
      <c r="A1438">
        <f t="shared" si="95"/>
        <v>0.77500000000000002</v>
      </c>
      <c r="B1438">
        <f t="shared" si="96"/>
        <v>2712.6188196120961</v>
      </c>
      <c r="C1438">
        <f t="shared" si="97"/>
        <v>2803.9763312366531</v>
      </c>
      <c r="D1438">
        <f t="shared" si="98"/>
        <v>6354.2808257531133</v>
      </c>
      <c r="E1438">
        <f t="shared" si="99"/>
        <v>6333.7098311128047</v>
      </c>
    </row>
    <row r="1439" spans="1:5">
      <c r="A1439">
        <f t="shared" si="95"/>
        <v>0.78300000000000003</v>
      </c>
      <c r="B1439">
        <f t="shared" si="96"/>
        <v>2713.4032506309049</v>
      </c>
      <c r="C1439">
        <f t="shared" si="97"/>
        <v>2842.8304615876677</v>
      </c>
      <c r="D1439">
        <f t="shared" si="98"/>
        <v>6454.255793929251</v>
      </c>
      <c r="E1439">
        <f t="shared" si="99"/>
        <v>6434.2464090236699</v>
      </c>
    </row>
    <row r="1440" spans="1:5">
      <c r="A1440">
        <f t="shared" si="95"/>
        <v>0.79200000000000004</v>
      </c>
      <c r="B1440">
        <f t="shared" si="96"/>
        <v>2714.4305325830087</v>
      </c>
      <c r="C1440">
        <f t="shared" si="97"/>
        <v>2886.984046410364</v>
      </c>
      <c r="D1440">
        <f t="shared" si="98"/>
        <v>6567.3472902900339</v>
      </c>
      <c r="E1440">
        <f t="shared" si="99"/>
        <v>6547.9871884356353</v>
      </c>
    </row>
    <row r="1441" spans="1:5">
      <c r="A1441">
        <f t="shared" si="95"/>
        <v>0.8</v>
      </c>
      <c r="B1441">
        <f t="shared" si="96"/>
        <v>2715.1240578360221</v>
      </c>
      <c r="C1441">
        <f t="shared" si="97"/>
        <v>2926.6072868304295</v>
      </c>
      <c r="D1441">
        <f t="shared" si="98"/>
        <v>6669.1577665974264</v>
      </c>
      <c r="E1441">
        <f t="shared" si="99"/>
        <v>6650.386871354116</v>
      </c>
    </row>
    <row r="1442" spans="1:5">
      <c r="A1442">
        <f t="shared" si="95"/>
        <v>0.80800000000000005</v>
      </c>
      <c r="B1442">
        <f t="shared" si="96"/>
        <v>2716.0288479017681</v>
      </c>
      <c r="C1442">
        <f t="shared" si="97"/>
        <v>2966.1118770408548</v>
      </c>
      <c r="D1442">
        <f t="shared" si="98"/>
        <v>6771.9546878484725</v>
      </c>
      <c r="E1442">
        <f t="shared" si="99"/>
        <v>6753.7854563481624</v>
      </c>
    </row>
    <row r="1443" spans="1:5">
      <c r="A1443">
        <f t="shared" si="95"/>
        <v>0.81699999999999995</v>
      </c>
      <c r="B1443">
        <f t="shared" si="96"/>
        <v>2717.0017454216668</v>
      </c>
      <c r="C1443">
        <f t="shared" si="97"/>
        <v>3010.7839804780428</v>
      </c>
      <c r="D1443">
        <f t="shared" si="98"/>
        <v>6888.0214262066011</v>
      </c>
      <c r="E1443">
        <f t="shared" si="99"/>
        <v>6870.5468208439188</v>
      </c>
    </row>
    <row r="1444" spans="1:5">
      <c r="A1444">
        <f t="shared" si="95"/>
        <v>0.82499999999999996</v>
      </c>
      <c r="B1444">
        <f t="shared" si="96"/>
        <v>2717.7655816374827</v>
      </c>
      <c r="C1444">
        <f t="shared" si="97"/>
        <v>3051.1779591603058</v>
      </c>
      <c r="D1444">
        <f t="shared" si="98"/>
        <v>6992.888996566192</v>
      </c>
      <c r="E1444">
        <f t="shared" si="99"/>
        <v>6976.0425191762042</v>
      </c>
    </row>
    <row r="1445" spans="1:5">
      <c r="A1445">
        <f t="shared" si="95"/>
        <v>0.83299999999999996</v>
      </c>
      <c r="B1445">
        <f t="shared" si="96"/>
        <v>2718.5624236411568</v>
      </c>
      <c r="C1445">
        <f t="shared" si="97"/>
        <v>3091.9929842947872</v>
      </c>
      <c r="D1445">
        <f t="shared" si="98"/>
        <v>7098.013869852497</v>
      </c>
      <c r="E1445">
        <f t="shared" si="99"/>
        <v>7081.8104256366196</v>
      </c>
    </row>
    <row r="1446" spans="1:5">
      <c r="A1446">
        <f t="shared" si="95"/>
        <v>0.84199999999999997</v>
      </c>
      <c r="B1446">
        <f t="shared" si="96"/>
        <v>2719.4600228979743</v>
      </c>
      <c r="C1446">
        <f t="shared" si="97"/>
        <v>3137.9971314740387</v>
      </c>
      <c r="D1446">
        <f t="shared" si="98"/>
        <v>7217.5464800794807</v>
      </c>
      <c r="E1446">
        <f t="shared" si="99"/>
        <v>7202.0807691718983</v>
      </c>
    </row>
    <row r="1447" spans="1:5">
      <c r="A1447">
        <f t="shared" si="95"/>
        <v>0.85</v>
      </c>
      <c r="B1447">
        <f t="shared" si="96"/>
        <v>2720.284625130148</v>
      </c>
      <c r="C1447">
        <f t="shared" si="97"/>
        <v>3179.0930306359223</v>
      </c>
      <c r="D1447">
        <f t="shared" si="98"/>
        <v>7325.1092721845771</v>
      </c>
      <c r="E1447">
        <f t="shared" si="99"/>
        <v>7310.3115934458438</v>
      </c>
    </row>
    <row r="1448" spans="1:5">
      <c r="A1448">
        <f t="shared" si="95"/>
        <v>0.85799999999999998</v>
      </c>
      <c r="B1448">
        <f t="shared" si="96"/>
        <v>2721.136694205718</v>
      </c>
      <c r="C1448">
        <f t="shared" si="97"/>
        <v>3220.474419904112</v>
      </c>
      <c r="D1448">
        <f t="shared" si="98"/>
        <v>7432.7823912122676</v>
      </c>
      <c r="E1448">
        <f t="shared" si="99"/>
        <v>7418.6674296546635</v>
      </c>
    </row>
    <row r="1449" spans="1:5">
      <c r="A1449">
        <f t="shared" si="95"/>
        <v>0.86699999999999999</v>
      </c>
      <c r="B1449">
        <f t="shared" si="96"/>
        <v>2722.0161317735797</v>
      </c>
      <c r="C1449">
        <f t="shared" si="97"/>
        <v>3267.3868480184751</v>
      </c>
      <c r="D1449">
        <f t="shared" si="98"/>
        <v>7555.73320099179</v>
      </c>
      <c r="E1449">
        <f t="shared" si="99"/>
        <v>7542.3991178521374</v>
      </c>
    </row>
    <row r="1450" spans="1:5">
      <c r="A1450">
        <f t="shared" si="95"/>
        <v>0.875</v>
      </c>
      <c r="B1450">
        <f t="shared" si="96"/>
        <v>2722.8437124522143</v>
      </c>
      <c r="C1450">
        <f t="shared" si="97"/>
        <v>3309.459484632871</v>
      </c>
      <c r="D1450">
        <f t="shared" si="98"/>
        <v>7665.6363551419226</v>
      </c>
      <c r="E1450">
        <f t="shared" si="99"/>
        <v>7653.0103761009914</v>
      </c>
    </row>
    <row r="1451" spans="1:5">
      <c r="A1451">
        <f t="shared" si="95"/>
        <v>0.88300000000000001</v>
      </c>
      <c r="B1451">
        <f t="shared" si="96"/>
        <v>2723.7535103247137</v>
      </c>
      <c r="C1451">
        <f t="shared" si="97"/>
        <v>3352.0649024359104</v>
      </c>
      <c r="D1451">
        <f t="shared" si="98"/>
        <v>7776.3134840233197</v>
      </c>
      <c r="E1451">
        <f t="shared" si="99"/>
        <v>7764.4081350914239</v>
      </c>
    </row>
    <row r="1452" spans="1:5">
      <c r="A1452">
        <f t="shared" si="95"/>
        <v>0.89200000000000002</v>
      </c>
      <c r="B1452">
        <f t="shared" si="96"/>
        <v>2724.6194788259563</v>
      </c>
      <c r="C1452">
        <f t="shared" si="97"/>
        <v>3400.2165495983063</v>
      </c>
      <c r="D1452">
        <f t="shared" si="98"/>
        <v>7902.2341100275926</v>
      </c>
      <c r="E1452">
        <f t="shared" si="99"/>
        <v>7891.1533948112265</v>
      </c>
    </row>
    <row r="1453" spans="1:5">
      <c r="A1453">
        <f t="shared" si="95"/>
        <v>0.9</v>
      </c>
      <c r="B1453">
        <f t="shared" si="96"/>
        <v>2725.5426746113139</v>
      </c>
      <c r="C1453">
        <f t="shared" si="97"/>
        <v>3443.0391736592751</v>
      </c>
      <c r="D1453">
        <f t="shared" si="98"/>
        <v>8014.9694328813939</v>
      </c>
      <c r="E1453">
        <f t="shared" si="99"/>
        <v>8004.6349696018278</v>
      </c>
    </row>
    <row r="1454" spans="1:5">
      <c r="A1454">
        <f t="shared" si="95"/>
        <v>0.90800000000000003</v>
      </c>
      <c r="B1454">
        <f t="shared" si="96"/>
        <v>2726.4905339389343</v>
      </c>
      <c r="C1454">
        <f t="shared" si="97"/>
        <v>3486.1231127043511</v>
      </c>
      <c r="D1454">
        <f t="shared" si="98"/>
        <v>8128.406130195016</v>
      </c>
      <c r="E1454">
        <f t="shared" si="99"/>
        <v>8118.8303470518795</v>
      </c>
    </row>
    <row r="1455" spans="1:5">
      <c r="A1455">
        <f t="shared" si="95"/>
        <v>0.91700000000000004</v>
      </c>
      <c r="B1455">
        <f t="shared" si="96"/>
        <v>2727.3660689754033</v>
      </c>
      <c r="C1455">
        <f t="shared" si="97"/>
        <v>3535.2172163611772</v>
      </c>
      <c r="D1455">
        <f t="shared" si="98"/>
        <v>8257.7629002644753</v>
      </c>
      <c r="E1455">
        <f t="shared" si="99"/>
        <v>8249.0540721429843</v>
      </c>
    </row>
    <row r="1456" spans="1:5">
      <c r="A1456">
        <f t="shared" si="95"/>
        <v>0.92500000000000004</v>
      </c>
      <c r="B1456">
        <f t="shared" si="96"/>
        <v>2728.4267562236205</v>
      </c>
      <c r="C1456">
        <f t="shared" si="97"/>
        <v>3579.3846173845591</v>
      </c>
      <c r="D1456">
        <f t="shared" si="98"/>
        <v>8373.1377315914651</v>
      </c>
      <c r="E1456">
        <f t="shared" si="99"/>
        <v>8365.2131142691615</v>
      </c>
    </row>
    <row r="1457" spans="1:5">
      <c r="A1457">
        <f t="shared" si="95"/>
        <v>0.93300000000000005</v>
      </c>
      <c r="B1457">
        <f t="shared" si="96"/>
        <v>2729.3458026865251</v>
      </c>
      <c r="C1457">
        <f t="shared" si="97"/>
        <v>3623.8013398415765</v>
      </c>
      <c r="D1457">
        <f t="shared" si="98"/>
        <v>8489.6063171329315</v>
      </c>
      <c r="E1457">
        <f t="shared" si="99"/>
        <v>8482.4776141264228</v>
      </c>
    </row>
    <row r="1458" spans="1:5">
      <c r="A1458">
        <f t="shared" si="95"/>
        <v>0.94199999999999995</v>
      </c>
      <c r="B1458">
        <f t="shared" si="96"/>
        <v>2730.3273772876369</v>
      </c>
      <c r="C1458">
        <f t="shared" si="97"/>
        <v>3673.7926080967623</v>
      </c>
      <c r="D1458">
        <f t="shared" si="98"/>
        <v>8622.0242394248799</v>
      </c>
      <c r="E1458">
        <f t="shared" si="99"/>
        <v>8615.8048955832892</v>
      </c>
    </row>
    <row r="1459" spans="1:5">
      <c r="A1459">
        <f t="shared" si="95"/>
        <v>0.95</v>
      </c>
      <c r="B1459">
        <f t="shared" si="96"/>
        <v>2731.2756154062386</v>
      </c>
      <c r="C1459">
        <f t="shared" si="97"/>
        <v>3718.4769576241201</v>
      </c>
      <c r="D1459">
        <f t="shared" si="98"/>
        <v>8739.9137668744534</v>
      </c>
      <c r="E1459">
        <f t="shared" si="99"/>
        <v>8734.5160260477151</v>
      </c>
    </row>
    <row r="1460" spans="1:5">
      <c r="A1460">
        <f t="shared" si="95"/>
        <v>0.95799999999999996</v>
      </c>
      <c r="B1460">
        <f t="shared" si="96"/>
        <v>2732.4109903611452</v>
      </c>
      <c r="C1460">
        <f t="shared" si="97"/>
        <v>3763.5617882218221</v>
      </c>
      <c r="D1460">
        <f t="shared" si="98"/>
        <v>8859.6036444884012</v>
      </c>
      <c r="E1460">
        <f t="shared" si="99"/>
        <v>8855.0386050321868</v>
      </c>
    </row>
    <row r="1461" spans="1:5">
      <c r="A1461">
        <f t="shared" si="95"/>
        <v>0.96699999999999997</v>
      </c>
      <c r="B1461">
        <f t="shared" si="96"/>
        <v>2733.3737112683802</v>
      </c>
      <c r="C1461">
        <f t="shared" si="97"/>
        <v>3814.9348272569846</v>
      </c>
      <c r="D1461">
        <f t="shared" si="98"/>
        <v>8994.6520223731113</v>
      </c>
      <c r="E1461">
        <f t="shared" si="99"/>
        <v>8991.0382869333407</v>
      </c>
    </row>
    <row r="1462" spans="1:5">
      <c r="A1462">
        <f t="shared" si="95"/>
        <v>0.97499999999999998</v>
      </c>
      <c r="B1462">
        <f t="shared" si="96"/>
        <v>2734.400824079456</v>
      </c>
      <c r="C1462">
        <f t="shared" si="97"/>
        <v>3861.0175580175628</v>
      </c>
      <c r="D1462">
        <f t="shared" si="98"/>
        <v>9115.7810299135654</v>
      </c>
      <c r="E1462">
        <f t="shared" si="99"/>
        <v>9113.0252304483129</v>
      </c>
    </row>
    <row r="1463" spans="1:5">
      <c r="A1463">
        <f t="shared" si="95"/>
        <v>0.98299999999999998</v>
      </c>
      <c r="B1463">
        <f t="shared" si="96"/>
        <v>2735.4474657815513</v>
      </c>
      <c r="C1463">
        <f t="shared" si="97"/>
        <v>3907.2721084737309</v>
      </c>
      <c r="D1463">
        <f t="shared" si="98"/>
        <v>9238.143445583908</v>
      </c>
      <c r="E1463">
        <f t="shared" si="99"/>
        <v>9236.2571323090415</v>
      </c>
    </row>
    <row r="1464" spans="1:5">
      <c r="A1464">
        <f t="shared" si="95"/>
        <v>0.99199999999999999</v>
      </c>
      <c r="B1464">
        <f t="shared" si="96"/>
        <v>2736.577363887402</v>
      </c>
      <c r="C1464">
        <f t="shared" si="97"/>
        <v>3959.1875965265444</v>
      </c>
      <c r="D1464">
        <f t="shared" si="98"/>
        <v>9376.3675213349452</v>
      </c>
      <c r="E1464">
        <f t="shared" si="99"/>
        <v>9375.4733755196976</v>
      </c>
    </row>
    <row r="1465" spans="1:5">
      <c r="A1465">
        <f t="shared" si="95"/>
        <v>1</v>
      </c>
      <c r="B1465">
        <f t="shared" si="96"/>
        <v>2737.580395373951</v>
      </c>
      <c r="C1465">
        <f t="shared" si="97"/>
        <v>4005.8185439109393</v>
      </c>
      <c r="D1465">
        <f t="shared" si="98"/>
        <v>9500.4590031016614</v>
      </c>
      <c r="E1465">
        <f t="shared" si="99"/>
        <v>9500.4590031016614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958"/>
  <sheetViews>
    <sheetView workbookViewId="0"/>
  </sheetViews>
  <sheetFormatPr defaultRowHeight="13.8"/>
  <cols>
    <col min="1" max="8" width="18" customWidth="1"/>
  </cols>
  <sheetData>
    <row r="1" spans="1:6">
      <c r="A1" t="s">
        <v>1056</v>
      </c>
    </row>
    <row r="2" spans="1:6">
      <c r="A2" t="s">
        <v>1057</v>
      </c>
      <c r="B2" t="s">
        <v>1058</v>
      </c>
      <c r="C2" t="s">
        <v>1059</v>
      </c>
      <c r="D2" t="s">
        <v>1060</v>
      </c>
      <c r="E2" t="s">
        <v>1061</v>
      </c>
      <c r="F2" t="s">
        <v>1062</v>
      </c>
    </row>
    <row r="3" spans="1:6">
      <c r="A3">
        <f>Dashboard_Live_Data!D2</f>
        <v>-60</v>
      </c>
      <c r="B3">
        <f>Dashboard_Live_Data!E2</f>
        <v>119.42638570504096</v>
      </c>
      <c r="C3">
        <f>Dashboard_Live_Data!D2</f>
        <v>-60</v>
      </c>
      <c r="D3">
        <f>Dashboard_Live_Data!F2</f>
        <v>119.42638570504096</v>
      </c>
      <c r="E3">
        <f>Dashboard_Live_Data!D2</f>
        <v>-60</v>
      </c>
      <c r="F3">
        <f>Dashboard_Live_Data!G2</f>
        <v>2.7642790376893132</v>
      </c>
    </row>
    <row r="4" spans="1:6">
      <c r="A4">
        <f>Dashboard_Live_Data!D3</f>
        <v>-59.5</v>
      </c>
      <c r="B4">
        <f>Dashboard_Live_Data!E3</f>
        <v>110.69606493723512</v>
      </c>
      <c r="C4">
        <f>Dashboard_Live_Data!D3</f>
        <v>-59.5</v>
      </c>
      <c r="D4">
        <f>Dashboard_Live_Data!F3</f>
        <v>110.69606493723512</v>
      </c>
      <c r="E4">
        <f>Dashboard_Live_Data!D3</f>
        <v>-59.5</v>
      </c>
      <c r="F4">
        <f>Dashboard_Live_Data!G3</f>
        <v>19.645117006409471</v>
      </c>
    </row>
    <row r="5" spans="1:6">
      <c r="A5">
        <f>Dashboard_Live_Data!D4</f>
        <v>-59</v>
      </c>
      <c r="B5">
        <f>Dashboard_Live_Data!E4</f>
        <v>112.99219424849355</v>
      </c>
      <c r="C5">
        <f>Dashboard_Live_Data!D4</f>
        <v>-59</v>
      </c>
      <c r="D5">
        <f>Dashboard_Live_Data!F4</f>
        <v>112.99219424849355</v>
      </c>
      <c r="E5">
        <f>Dashboard_Live_Data!D4</f>
        <v>-59</v>
      </c>
      <c r="F5">
        <f>Dashboard_Live_Data!G4</f>
        <v>7.9704483537677238</v>
      </c>
    </row>
    <row r="6" spans="1:6">
      <c r="A6">
        <f>Dashboard_Live_Data!D5</f>
        <v>-58.5</v>
      </c>
      <c r="B6">
        <f>Dashboard_Live_Data!E5</f>
        <v>134.38583105711319</v>
      </c>
      <c r="C6">
        <f>Dashboard_Live_Data!D5</f>
        <v>-58.5</v>
      </c>
      <c r="D6">
        <f>Dashboard_Live_Data!F5</f>
        <v>134.38583105711319</v>
      </c>
      <c r="E6">
        <f>Dashboard_Live_Data!D5</f>
        <v>-58.5</v>
      </c>
      <c r="F6">
        <f>Dashboard_Live_Data!G5</f>
        <v>21.747313566648423</v>
      </c>
    </row>
    <row r="7" spans="1:6">
      <c r="A7">
        <f>Dashboard_Live_Data!D6</f>
        <v>-58</v>
      </c>
      <c r="B7">
        <f>Dashboard_Live_Data!E6</f>
        <v>120.06952906780961</v>
      </c>
      <c r="C7">
        <f>Dashboard_Live_Data!D6</f>
        <v>-58</v>
      </c>
      <c r="D7">
        <f>Dashboard_Live_Data!F6</f>
        <v>120.06952906780961</v>
      </c>
      <c r="E7">
        <f>Dashboard_Live_Data!D6</f>
        <v>-58</v>
      </c>
      <c r="F7">
        <f>Dashboard_Live_Data!G6</f>
        <v>31.866913549015347</v>
      </c>
    </row>
    <row r="8" spans="1:6">
      <c r="A8">
        <f>Dashboard_Live_Data!D7</f>
        <v>-57.5</v>
      </c>
      <c r="B8">
        <f>Dashboard_Live_Data!E7</f>
        <v>138.90151425445745</v>
      </c>
      <c r="C8">
        <f>Dashboard_Live_Data!D7</f>
        <v>-57.5</v>
      </c>
      <c r="D8">
        <f>Dashboard_Live_Data!F7</f>
        <v>138.90151425445745</v>
      </c>
      <c r="E8">
        <f>Dashboard_Live_Data!D7</f>
        <v>-57.5</v>
      </c>
      <c r="F8">
        <f>Dashboard_Live_Data!G7</f>
        <v>34.586347487973264</v>
      </c>
    </row>
    <row r="9" spans="1:6">
      <c r="A9">
        <f>Dashboard_Live_Data!D8</f>
        <v>-57</v>
      </c>
      <c r="B9">
        <f>Dashboard_Live_Data!E8</f>
        <v>137.46604725484156</v>
      </c>
      <c r="C9">
        <f>Dashboard_Live_Data!D8</f>
        <v>-57</v>
      </c>
      <c r="D9">
        <f>Dashboard_Live_Data!F8</f>
        <v>137.46604725484156</v>
      </c>
      <c r="E9">
        <f>Dashboard_Live_Data!D8</f>
        <v>-57</v>
      </c>
      <c r="F9">
        <f>Dashboard_Live_Data!G8</f>
        <v>55.440883037993757</v>
      </c>
    </row>
    <row r="10" spans="1:6">
      <c r="A10">
        <f>Dashboard_Live_Data!D9</f>
        <v>-56.5</v>
      </c>
      <c r="B10">
        <f>Dashboard_Live_Data!E9</f>
        <v>141.45582449409375</v>
      </c>
      <c r="C10">
        <f>Dashboard_Live_Data!D9</f>
        <v>-56.5</v>
      </c>
      <c r="D10">
        <f>Dashboard_Live_Data!F9</f>
        <v>141.45582449409375</v>
      </c>
      <c r="E10">
        <f>Dashboard_Live_Data!D9</f>
        <v>-56.5</v>
      </c>
      <c r="F10">
        <f>Dashboard_Live_Data!G9</f>
        <v>57.325647278919931</v>
      </c>
    </row>
    <row r="11" spans="1:6">
      <c r="A11">
        <f>Dashboard_Live_Data!D10</f>
        <v>-56</v>
      </c>
      <c r="B11">
        <f>Dashboard_Live_Data!E10</f>
        <v>167.11523893481203</v>
      </c>
      <c r="C11">
        <f>Dashboard_Live_Data!D10</f>
        <v>-56</v>
      </c>
      <c r="D11">
        <f>Dashboard_Live_Data!F10</f>
        <v>167.11523893481203</v>
      </c>
      <c r="E11">
        <f>Dashboard_Live_Data!D10</f>
        <v>-56</v>
      </c>
      <c r="F11">
        <f>Dashboard_Live_Data!G10</f>
        <v>61.559568351968792</v>
      </c>
    </row>
    <row r="12" spans="1:6">
      <c r="A12">
        <f>Dashboard_Live_Data!D11</f>
        <v>-55.5</v>
      </c>
      <c r="B12">
        <f>Dashboard_Live_Data!E11</f>
        <v>160.57943103446084</v>
      </c>
      <c r="C12">
        <f>Dashboard_Live_Data!D11</f>
        <v>-55.5</v>
      </c>
      <c r="D12">
        <f>Dashboard_Live_Data!F11</f>
        <v>160.57943103446084</v>
      </c>
      <c r="E12">
        <f>Dashboard_Live_Data!D11</f>
        <v>-55.5</v>
      </c>
      <c r="F12">
        <f>Dashboard_Live_Data!G11</f>
        <v>38.496582165951239</v>
      </c>
    </row>
    <row r="13" spans="1:6">
      <c r="A13">
        <f>Dashboard_Live_Data!D12</f>
        <v>-55</v>
      </c>
      <c r="B13">
        <f>Dashboard_Live_Data!E12</f>
        <v>176.10976359434375</v>
      </c>
      <c r="C13">
        <f>Dashboard_Live_Data!D12</f>
        <v>-55</v>
      </c>
      <c r="D13">
        <f>Dashboard_Live_Data!F12</f>
        <v>176.10976359434375</v>
      </c>
      <c r="E13">
        <f>Dashboard_Live_Data!D12</f>
        <v>-55</v>
      </c>
      <c r="F13">
        <f>Dashboard_Live_Data!G12</f>
        <v>46.511955931760568</v>
      </c>
    </row>
    <row r="14" spans="1:6">
      <c r="A14">
        <f>Dashboard_Live_Data!D13</f>
        <v>-54.5</v>
      </c>
      <c r="B14">
        <f>Dashboard_Live_Data!E13</f>
        <v>194.40953580826846</v>
      </c>
      <c r="C14">
        <f>Dashboard_Live_Data!D13</f>
        <v>-54.5</v>
      </c>
      <c r="D14">
        <f>Dashboard_Live_Data!F13</f>
        <v>194.40953580826846</v>
      </c>
      <c r="E14">
        <f>Dashboard_Live_Data!D13</f>
        <v>-54.5</v>
      </c>
      <c r="F14">
        <f>Dashboard_Live_Data!G13</f>
        <v>49.774693415091853</v>
      </c>
    </row>
    <row r="15" spans="1:6">
      <c r="A15">
        <f>Dashboard_Live_Data!D14</f>
        <v>-54</v>
      </c>
      <c r="B15">
        <f>Dashboard_Live_Data!E14</f>
        <v>196.39629745562698</v>
      </c>
      <c r="C15">
        <f>Dashboard_Live_Data!D14</f>
        <v>-54</v>
      </c>
      <c r="D15">
        <f>Dashboard_Live_Data!F14</f>
        <v>196.39629745562698</v>
      </c>
      <c r="E15">
        <f>Dashboard_Live_Data!D14</f>
        <v>-54</v>
      </c>
      <c r="F15">
        <f>Dashboard_Live_Data!G14</f>
        <v>37.915684067232107</v>
      </c>
    </row>
    <row r="16" spans="1:6">
      <c r="A16">
        <f>Dashboard_Live_Data!D15</f>
        <v>-53.5</v>
      </c>
      <c r="B16">
        <f>Dashboard_Live_Data!E15</f>
        <v>215.04504497494062</v>
      </c>
      <c r="C16">
        <f>Dashboard_Live_Data!D15</f>
        <v>-53.5</v>
      </c>
      <c r="D16">
        <f>Dashboard_Live_Data!F15</f>
        <v>215.04504497494062</v>
      </c>
      <c r="E16">
        <f>Dashboard_Live_Data!D15</f>
        <v>-53.5</v>
      </c>
      <c r="F16">
        <f>Dashboard_Live_Data!G15</f>
        <v>49.305692333608725</v>
      </c>
    </row>
    <row r="17" spans="1:6">
      <c r="A17">
        <f>Dashboard_Live_Data!D16</f>
        <v>-53</v>
      </c>
      <c r="B17">
        <f>Dashboard_Live_Data!E16</f>
        <v>220.27863667842527</v>
      </c>
      <c r="C17">
        <f>Dashboard_Live_Data!D16</f>
        <v>-53</v>
      </c>
      <c r="D17">
        <f>Dashboard_Live_Data!F16</f>
        <v>220.27863667842527</v>
      </c>
      <c r="E17">
        <f>Dashboard_Live_Data!D16</f>
        <v>-53</v>
      </c>
      <c r="F17">
        <f>Dashboard_Live_Data!G16</f>
        <v>54.961826683264675</v>
      </c>
    </row>
    <row r="18" spans="1:6">
      <c r="A18">
        <f>Dashboard_Live_Data!D17</f>
        <v>-52.5</v>
      </c>
      <c r="B18">
        <f>Dashboard_Live_Data!E17</f>
        <v>228.48571186718385</v>
      </c>
      <c r="C18">
        <f>Dashboard_Live_Data!D17</f>
        <v>-52.5</v>
      </c>
      <c r="D18">
        <f>Dashboard_Live_Data!F17</f>
        <v>228.48571186718385</v>
      </c>
      <c r="E18">
        <f>Dashboard_Live_Data!D17</f>
        <v>-52.5</v>
      </c>
      <c r="F18">
        <f>Dashboard_Live_Data!G17</f>
        <v>41.913539426844665</v>
      </c>
    </row>
    <row r="19" spans="1:6">
      <c r="A19">
        <f>Dashboard_Live_Data!D18</f>
        <v>-52</v>
      </c>
      <c r="B19">
        <f>Dashboard_Live_Data!E18</f>
        <v>241.24392327938918</v>
      </c>
      <c r="C19">
        <f>Dashboard_Live_Data!D18</f>
        <v>-52</v>
      </c>
      <c r="D19">
        <f>Dashboard_Live_Data!F18</f>
        <v>241.24392327938918</v>
      </c>
      <c r="E19">
        <f>Dashboard_Live_Data!D18</f>
        <v>-52</v>
      </c>
      <c r="F19">
        <f>Dashboard_Live_Data!G18</f>
        <v>44.009244046504797</v>
      </c>
    </row>
    <row r="20" spans="1:6">
      <c r="A20">
        <f>Dashboard_Live_Data!D19</f>
        <v>-51.5</v>
      </c>
      <c r="B20">
        <f>Dashboard_Live_Data!E19</f>
        <v>261.3961473371179</v>
      </c>
      <c r="C20">
        <f>Dashboard_Live_Data!D19</f>
        <v>-51.5</v>
      </c>
      <c r="D20">
        <f>Dashboard_Live_Data!F19</f>
        <v>261.3961473371179</v>
      </c>
      <c r="E20">
        <f>Dashboard_Live_Data!D19</f>
        <v>-51.5</v>
      </c>
      <c r="F20">
        <f>Dashboard_Live_Data!G19</f>
        <v>32.491619283106324</v>
      </c>
    </row>
    <row r="21" spans="1:6">
      <c r="A21">
        <f>Dashboard_Live_Data!D20</f>
        <v>-51</v>
      </c>
      <c r="B21">
        <f>Dashboard_Live_Data!E20</f>
        <v>251.96732827517536</v>
      </c>
      <c r="C21">
        <f>Dashboard_Live_Data!D20</f>
        <v>-51</v>
      </c>
      <c r="D21">
        <f>Dashboard_Live_Data!F20</f>
        <v>251.96732827517536</v>
      </c>
      <c r="E21">
        <f>Dashboard_Live_Data!D20</f>
        <v>-51</v>
      </c>
      <c r="F21">
        <f>Dashboard_Live_Data!G20</f>
        <v>39.108816586772562</v>
      </c>
    </row>
    <row r="22" spans="1:6">
      <c r="A22">
        <f>Dashboard_Live_Data!D21</f>
        <v>-50.5</v>
      </c>
      <c r="B22">
        <f>Dashboard_Live_Data!E21</f>
        <v>249.72786812719846</v>
      </c>
      <c r="C22">
        <f>Dashboard_Live_Data!D21</f>
        <v>-50.5</v>
      </c>
      <c r="D22">
        <f>Dashboard_Live_Data!F21</f>
        <v>249.72786812719846</v>
      </c>
      <c r="E22">
        <f>Dashboard_Live_Data!D21</f>
        <v>-50.5</v>
      </c>
      <c r="F22">
        <f>Dashboard_Live_Data!G21</f>
        <v>47.995831702209429</v>
      </c>
    </row>
    <row r="23" spans="1:6">
      <c r="A23">
        <f>Dashboard_Live_Data!D22</f>
        <v>-50</v>
      </c>
      <c r="B23">
        <f>Dashboard_Live_Data!E22</f>
        <v>273.71504099052385</v>
      </c>
      <c r="C23">
        <f>Dashboard_Live_Data!D22</f>
        <v>-50</v>
      </c>
      <c r="D23">
        <f>Dashboard_Live_Data!F22</f>
        <v>273.71504099052385</v>
      </c>
      <c r="E23">
        <f>Dashboard_Live_Data!D22</f>
        <v>-50</v>
      </c>
      <c r="F23">
        <f>Dashboard_Live_Data!G22</f>
        <v>29.034419664389077</v>
      </c>
    </row>
    <row r="24" spans="1:6">
      <c r="A24">
        <f>Dashboard_Live_Data!D23</f>
        <v>-49.5</v>
      </c>
      <c r="B24">
        <f>Dashboard_Live_Data!E23</f>
        <v>258.91748425640003</v>
      </c>
      <c r="C24">
        <f>Dashboard_Live_Data!D23</f>
        <v>-49.5</v>
      </c>
      <c r="D24">
        <f>Dashboard_Live_Data!F23</f>
        <v>258.91748425640003</v>
      </c>
      <c r="E24">
        <f>Dashboard_Live_Data!D23</f>
        <v>-49.5</v>
      </c>
      <c r="F24">
        <f>Dashboard_Live_Data!G23</f>
        <v>51.904617288379008</v>
      </c>
    </row>
    <row r="25" spans="1:6">
      <c r="A25">
        <f>Dashboard_Live_Data!D24</f>
        <v>-49</v>
      </c>
      <c r="B25">
        <f>Dashboard_Live_Data!E24</f>
        <v>268.79279662092654</v>
      </c>
      <c r="C25">
        <f>Dashboard_Live_Data!D24</f>
        <v>-49</v>
      </c>
      <c r="D25">
        <f>Dashboard_Live_Data!F24</f>
        <v>268.79279662092654</v>
      </c>
      <c r="E25">
        <f>Dashboard_Live_Data!D24</f>
        <v>-49</v>
      </c>
      <c r="F25">
        <f>Dashboard_Live_Data!G24</f>
        <v>39.643003044215533</v>
      </c>
    </row>
    <row r="26" spans="1:6">
      <c r="A26">
        <f>Dashboard_Live_Data!D25</f>
        <v>-48.5</v>
      </c>
      <c r="B26">
        <f>Dashboard_Live_Data!E25</f>
        <v>265.4824606971452</v>
      </c>
      <c r="C26">
        <f>Dashboard_Live_Data!D25</f>
        <v>-48.5</v>
      </c>
      <c r="D26">
        <f>Dashboard_Live_Data!F25</f>
        <v>265.4824606971452</v>
      </c>
      <c r="E26">
        <f>Dashboard_Live_Data!D25</f>
        <v>-48.5</v>
      </c>
      <c r="F26">
        <f>Dashboard_Live_Data!G25</f>
        <v>40.329360187280464</v>
      </c>
    </row>
    <row r="27" spans="1:6">
      <c r="A27">
        <f>Dashboard_Live_Data!D26</f>
        <v>-48</v>
      </c>
      <c r="B27">
        <f>Dashboard_Live_Data!E26</f>
        <v>253.63702275276361</v>
      </c>
      <c r="C27">
        <f>Dashboard_Live_Data!D26</f>
        <v>-48</v>
      </c>
      <c r="D27">
        <f>Dashboard_Live_Data!F26</f>
        <v>253.63702275276361</v>
      </c>
      <c r="E27">
        <f>Dashboard_Live_Data!D26</f>
        <v>-48</v>
      </c>
      <c r="F27">
        <f>Dashboard_Live_Data!G26</f>
        <v>55.677054005633387</v>
      </c>
    </row>
    <row r="28" spans="1:6">
      <c r="A28">
        <f>Dashboard_Live_Data!D27</f>
        <v>-47.5</v>
      </c>
      <c r="B28">
        <f>Dashboard_Live_Data!E27</f>
        <v>262.75484348528926</v>
      </c>
      <c r="C28">
        <f>Dashboard_Live_Data!D27</f>
        <v>-47.5</v>
      </c>
      <c r="D28">
        <f>Dashboard_Live_Data!F27</f>
        <v>262.75484348528926</v>
      </c>
      <c r="E28">
        <f>Dashboard_Live_Data!D27</f>
        <v>-47.5</v>
      </c>
      <c r="F28">
        <f>Dashboard_Live_Data!G27</f>
        <v>53.974959185609514</v>
      </c>
    </row>
    <row r="29" spans="1:6">
      <c r="A29">
        <f>Dashboard_Live_Data!D28</f>
        <v>-47</v>
      </c>
      <c r="B29">
        <f>Dashboard_Live_Data!E28</f>
        <v>253.91481019754531</v>
      </c>
      <c r="C29">
        <f>Dashboard_Live_Data!D28</f>
        <v>-47</v>
      </c>
      <c r="D29">
        <f>Dashboard_Live_Data!F28</f>
        <v>253.91481019754531</v>
      </c>
      <c r="E29">
        <f>Dashboard_Live_Data!D28</f>
        <v>-47</v>
      </c>
      <c r="F29">
        <f>Dashboard_Live_Data!G28</f>
        <v>61.213442747759345</v>
      </c>
    </row>
    <row r="30" spans="1:6">
      <c r="A30">
        <f>Dashboard_Live_Data!D29</f>
        <v>-46.5</v>
      </c>
      <c r="B30">
        <f>Dashboard_Live_Data!E29</f>
        <v>253.748238320312</v>
      </c>
      <c r="C30">
        <f>Dashboard_Live_Data!D29</f>
        <v>-46.5</v>
      </c>
      <c r="D30">
        <f>Dashboard_Live_Data!F29</f>
        <v>253.748238320312</v>
      </c>
      <c r="E30">
        <f>Dashboard_Live_Data!D29</f>
        <v>-46.5</v>
      </c>
      <c r="F30">
        <f>Dashboard_Live_Data!G29</f>
        <v>57.529820703344001</v>
      </c>
    </row>
    <row r="31" spans="1:6">
      <c r="A31">
        <f>Dashboard_Live_Data!D30</f>
        <v>-46</v>
      </c>
      <c r="B31">
        <f>Dashboard_Live_Data!E30</f>
        <v>237.40469511010875</v>
      </c>
      <c r="C31">
        <f>Dashboard_Live_Data!D30</f>
        <v>-46</v>
      </c>
      <c r="D31">
        <f>Dashboard_Live_Data!F30</f>
        <v>237.40469511010875</v>
      </c>
      <c r="E31">
        <f>Dashboard_Live_Data!D30</f>
        <v>-46</v>
      </c>
      <c r="F31">
        <f>Dashboard_Live_Data!G30</f>
        <v>49.539620652832568</v>
      </c>
    </row>
    <row r="32" spans="1:6">
      <c r="A32">
        <f>Dashboard_Live_Data!D31</f>
        <v>-45.5</v>
      </c>
      <c r="B32">
        <f>Dashboard_Live_Data!E31</f>
        <v>230.03534200748854</v>
      </c>
      <c r="C32">
        <f>Dashboard_Live_Data!D31</f>
        <v>-45.5</v>
      </c>
      <c r="D32">
        <f>Dashboard_Live_Data!F31</f>
        <v>230.03534200748854</v>
      </c>
      <c r="E32">
        <f>Dashboard_Live_Data!D31</f>
        <v>-45.5</v>
      </c>
      <c r="F32">
        <f>Dashboard_Live_Data!G31</f>
        <v>36.882918508215923</v>
      </c>
    </row>
    <row r="33" spans="1:6">
      <c r="A33">
        <f>Dashboard_Live_Data!D32</f>
        <v>-45</v>
      </c>
      <c r="B33">
        <f>Dashboard_Live_Data!E32</f>
        <v>208.8220272535724</v>
      </c>
      <c r="C33">
        <f>Dashboard_Live_Data!D32</f>
        <v>-45</v>
      </c>
      <c r="D33">
        <f>Dashboard_Live_Data!F32</f>
        <v>208.8220272535724</v>
      </c>
      <c r="E33">
        <f>Dashboard_Live_Data!D32</f>
        <v>-45</v>
      </c>
      <c r="F33">
        <f>Dashboard_Live_Data!G32</f>
        <v>46.599178353528217</v>
      </c>
    </row>
    <row r="34" spans="1:6">
      <c r="A34">
        <f>Dashboard_Live_Data!D33</f>
        <v>-44.5</v>
      </c>
      <c r="B34">
        <f>Dashboard_Live_Data!E33</f>
        <v>201.66422960156285</v>
      </c>
      <c r="C34">
        <f>Dashboard_Live_Data!D33</f>
        <v>-44.5</v>
      </c>
      <c r="D34">
        <f>Dashboard_Live_Data!F33</f>
        <v>201.66422960156285</v>
      </c>
      <c r="E34">
        <f>Dashboard_Live_Data!D33</f>
        <v>-44.5</v>
      </c>
      <c r="F34">
        <f>Dashboard_Live_Data!G33</f>
        <v>27.915318214934121</v>
      </c>
    </row>
    <row r="35" spans="1:6">
      <c r="A35">
        <f>Dashboard_Live_Data!D34</f>
        <v>-44</v>
      </c>
      <c r="B35">
        <f>Dashboard_Live_Data!E34</f>
        <v>200.11672258234324</v>
      </c>
      <c r="C35">
        <f>Dashboard_Live_Data!D34</f>
        <v>-44</v>
      </c>
      <c r="D35">
        <f>Dashboard_Live_Data!F34</f>
        <v>200.11672258234324</v>
      </c>
      <c r="E35">
        <f>Dashboard_Live_Data!D34</f>
        <v>-44</v>
      </c>
      <c r="F35">
        <f>Dashboard_Live_Data!G34</f>
        <v>18.825392010190029</v>
      </c>
    </row>
    <row r="36" spans="1:6">
      <c r="A36">
        <f>Dashboard_Live_Data!D35</f>
        <v>-43.5</v>
      </c>
      <c r="B36">
        <f>Dashboard_Live_Data!E35</f>
        <v>210.84839534160349</v>
      </c>
      <c r="C36">
        <f>Dashboard_Live_Data!D35</f>
        <v>-43.5</v>
      </c>
      <c r="D36">
        <f>Dashboard_Live_Data!F35</f>
        <v>210.84839534160349</v>
      </c>
      <c r="E36">
        <f>Dashboard_Live_Data!D35</f>
        <v>-43.5</v>
      </c>
      <c r="F36">
        <f>Dashboard_Live_Data!G35</f>
        <v>22.55480739682735</v>
      </c>
    </row>
    <row r="37" spans="1:6">
      <c r="A37">
        <f>Dashboard_Live_Data!D36</f>
        <v>-43</v>
      </c>
      <c r="B37">
        <f>Dashboard_Live_Data!E36</f>
        <v>180.5581841932563</v>
      </c>
      <c r="C37">
        <f>Dashboard_Live_Data!D36</f>
        <v>-43</v>
      </c>
      <c r="D37">
        <f>Dashboard_Live_Data!F36</f>
        <v>180.5581841932563</v>
      </c>
      <c r="E37">
        <f>Dashboard_Live_Data!D36</f>
        <v>-43</v>
      </c>
      <c r="F37">
        <f>Dashboard_Live_Data!G36</f>
        <v>3.69479063881065</v>
      </c>
    </row>
    <row r="38" spans="1:6">
      <c r="A38">
        <f>Dashboard_Live_Data!D37</f>
        <v>-42.5</v>
      </c>
      <c r="B38">
        <f>Dashboard_Live_Data!E37</f>
        <v>181.72917551772019</v>
      </c>
      <c r="C38">
        <f>Dashboard_Live_Data!D37</f>
        <v>-42.5</v>
      </c>
      <c r="D38">
        <f>Dashboard_Live_Data!F37</f>
        <v>181.72917551772019</v>
      </c>
      <c r="E38">
        <f>Dashboard_Live_Data!D37</f>
        <v>-42.5</v>
      </c>
      <c r="F38">
        <f>Dashboard_Live_Data!G37</f>
        <v>9.4775494942885228</v>
      </c>
    </row>
    <row r="39" spans="1:6">
      <c r="A39">
        <f>Dashboard_Live_Data!D38</f>
        <v>-42</v>
      </c>
      <c r="B39">
        <f>Dashboard_Live_Data!E38</f>
        <v>170.62817299702391</v>
      </c>
      <c r="C39">
        <f>Dashboard_Live_Data!D38</f>
        <v>-42</v>
      </c>
      <c r="D39">
        <f>Dashboard_Live_Data!F38</f>
        <v>170.62817299702391</v>
      </c>
      <c r="E39">
        <f>Dashboard_Live_Data!D38</f>
        <v>-42</v>
      </c>
      <c r="F39">
        <f>Dashboard_Live_Data!G38</f>
        <v>-8.6913035259942717</v>
      </c>
    </row>
    <row r="40" spans="1:6">
      <c r="A40">
        <f>Dashboard_Live_Data!D39</f>
        <v>-41.5</v>
      </c>
      <c r="B40">
        <f>Dashboard_Live_Data!E39</f>
        <v>171.38557913738282</v>
      </c>
      <c r="C40">
        <f>Dashboard_Live_Data!D39</f>
        <v>-41.5</v>
      </c>
      <c r="D40">
        <f>Dashboard_Live_Data!F39</f>
        <v>171.38557913738282</v>
      </c>
      <c r="E40">
        <f>Dashboard_Live_Data!D39</f>
        <v>-41.5</v>
      </c>
      <c r="F40">
        <f>Dashboard_Live_Data!G39</f>
        <v>-15.792555414769886</v>
      </c>
    </row>
    <row r="41" spans="1:6">
      <c r="A41">
        <f>Dashboard_Live_Data!D40</f>
        <v>-41</v>
      </c>
      <c r="B41">
        <f>Dashboard_Live_Data!E40</f>
        <v>176.66624192778235</v>
      </c>
      <c r="C41">
        <f>Dashboard_Live_Data!D40</f>
        <v>-41</v>
      </c>
      <c r="D41">
        <f>Dashboard_Live_Data!F40</f>
        <v>176.66624192778235</v>
      </c>
      <c r="E41">
        <f>Dashboard_Live_Data!D40</f>
        <v>-41</v>
      </c>
      <c r="F41">
        <f>Dashboard_Live_Data!G40</f>
        <v>-17.886266996681616</v>
      </c>
    </row>
    <row r="42" spans="1:6">
      <c r="A42">
        <f>Dashboard_Live_Data!D41</f>
        <v>-40.5</v>
      </c>
      <c r="B42">
        <f>Dashboard_Live_Data!E41</f>
        <v>191.24651788741608</v>
      </c>
      <c r="C42">
        <f>Dashboard_Live_Data!D41</f>
        <v>-40.5</v>
      </c>
      <c r="D42">
        <f>Dashboard_Live_Data!F41</f>
        <v>191.24651788741608</v>
      </c>
      <c r="E42">
        <f>Dashboard_Live_Data!D41</f>
        <v>-40.5</v>
      </c>
      <c r="F42">
        <f>Dashboard_Live_Data!G41</f>
        <v>-15.042977474303433</v>
      </c>
    </row>
    <row r="43" spans="1:6">
      <c r="A43">
        <f>Dashboard_Live_Data!D42</f>
        <v>-40</v>
      </c>
      <c r="B43">
        <f>Dashboard_Live_Data!E42</f>
        <v>197.66557297517377</v>
      </c>
      <c r="C43">
        <f>Dashboard_Live_Data!D42</f>
        <v>-40</v>
      </c>
      <c r="D43">
        <f>Dashboard_Live_Data!F42</f>
        <v>197.66557297517377</v>
      </c>
      <c r="E43">
        <f>Dashboard_Live_Data!D42</f>
        <v>-40</v>
      </c>
      <c r="F43">
        <f>Dashboard_Live_Data!G42</f>
        <v>-31.231711064274894</v>
      </c>
    </row>
    <row r="44" spans="1:6">
      <c r="A44">
        <f>Dashboard_Live_Data!D43</f>
        <v>-39.5</v>
      </c>
      <c r="B44">
        <f>Dashboard_Live_Data!E43</f>
        <v>200.98178735327417</v>
      </c>
      <c r="C44">
        <f>Dashboard_Live_Data!D43</f>
        <v>-39.5</v>
      </c>
      <c r="D44">
        <f>Dashboard_Live_Data!F43</f>
        <v>200.98178735327417</v>
      </c>
      <c r="E44">
        <f>Dashboard_Live_Data!D43</f>
        <v>-39.5</v>
      </c>
      <c r="F44">
        <f>Dashboard_Live_Data!G43</f>
        <v>-33.241151326098546</v>
      </c>
    </row>
    <row r="45" spans="1:6">
      <c r="A45">
        <f>Dashboard_Live_Data!D44</f>
        <v>-39</v>
      </c>
      <c r="B45">
        <f>Dashboard_Live_Data!E44</f>
        <v>184.54420924136062</v>
      </c>
      <c r="C45">
        <f>Dashboard_Live_Data!D44</f>
        <v>-39</v>
      </c>
      <c r="D45">
        <f>Dashboard_Live_Data!F44</f>
        <v>184.54420924136062</v>
      </c>
      <c r="E45">
        <f>Dashboard_Live_Data!D44</f>
        <v>-39</v>
      </c>
      <c r="F45">
        <f>Dashboard_Live_Data!G44</f>
        <v>-32.020201365077646</v>
      </c>
    </row>
    <row r="46" spans="1:6">
      <c r="A46">
        <f>Dashboard_Live_Data!D45</f>
        <v>-38.5</v>
      </c>
      <c r="B46">
        <f>Dashboard_Live_Data!E45</f>
        <v>211.63430992610967</v>
      </c>
      <c r="C46">
        <f>Dashboard_Live_Data!D45</f>
        <v>-38.5</v>
      </c>
      <c r="D46">
        <f>Dashboard_Live_Data!F45</f>
        <v>211.63430992610967</v>
      </c>
      <c r="E46">
        <f>Dashboard_Live_Data!D45</f>
        <v>-38.5</v>
      </c>
      <c r="F46">
        <f>Dashboard_Live_Data!G45</f>
        <v>-34.295384147954024</v>
      </c>
    </row>
    <row r="47" spans="1:6">
      <c r="A47">
        <f>Dashboard_Live_Data!D46</f>
        <v>-38</v>
      </c>
      <c r="B47">
        <f>Dashboard_Live_Data!E46</f>
        <v>202.93658014849487</v>
      </c>
      <c r="C47">
        <f>Dashboard_Live_Data!D46</f>
        <v>-38</v>
      </c>
      <c r="D47">
        <f>Dashboard_Live_Data!F46</f>
        <v>202.93658014849487</v>
      </c>
      <c r="E47">
        <f>Dashboard_Live_Data!D46</f>
        <v>-38</v>
      </c>
      <c r="F47">
        <f>Dashboard_Live_Data!G46</f>
        <v>-21.157379061522128</v>
      </c>
    </row>
    <row r="48" spans="1:6">
      <c r="A48">
        <f>Dashboard_Live_Data!D47</f>
        <v>-37.5</v>
      </c>
      <c r="B48">
        <f>Dashboard_Live_Data!E47</f>
        <v>239.18714852881689</v>
      </c>
      <c r="C48">
        <f>Dashboard_Live_Data!D47</f>
        <v>-37.5</v>
      </c>
      <c r="D48">
        <f>Dashboard_Live_Data!F47</f>
        <v>239.18714852881689</v>
      </c>
      <c r="E48">
        <f>Dashboard_Live_Data!D47</f>
        <v>-37.5</v>
      </c>
      <c r="F48">
        <f>Dashboard_Live_Data!G47</f>
        <v>-18.69341167436205</v>
      </c>
    </row>
    <row r="49" spans="1:6">
      <c r="A49">
        <f>Dashboard_Live_Data!D48</f>
        <v>-37</v>
      </c>
      <c r="B49">
        <f>Dashboard_Live_Data!E48</f>
        <v>236.18872035541293</v>
      </c>
      <c r="C49">
        <f>Dashboard_Live_Data!D48</f>
        <v>-37</v>
      </c>
      <c r="D49">
        <f>Dashboard_Live_Data!F48</f>
        <v>236.18872035541293</v>
      </c>
      <c r="E49">
        <f>Dashboard_Live_Data!D48</f>
        <v>-37</v>
      </c>
      <c r="F49">
        <f>Dashboard_Live_Data!G48</f>
        <v>-25.837662785318539</v>
      </c>
    </row>
    <row r="50" spans="1:6">
      <c r="A50">
        <f>Dashboard_Live_Data!D49</f>
        <v>-36.5</v>
      </c>
      <c r="B50">
        <f>Dashboard_Live_Data!E49</f>
        <v>264.8535608975177</v>
      </c>
      <c r="C50">
        <f>Dashboard_Live_Data!D49</f>
        <v>-36.5</v>
      </c>
      <c r="D50">
        <f>Dashboard_Live_Data!F49</f>
        <v>264.8535608975177</v>
      </c>
      <c r="E50">
        <f>Dashboard_Live_Data!D49</f>
        <v>-36.5</v>
      </c>
      <c r="F50">
        <f>Dashboard_Live_Data!G49</f>
        <v>-21.548035323184823</v>
      </c>
    </row>
    <row r="51" spans="1:6">
      <c r="A51">
        <f>Dashboard_Live_Data!D50</f>
        <v>-36</v>
      </c>
      <c r="B51">
        <f>Dashboard_Live_Data!E50</f>
        <v>273.24610443212225</v>
      </c>
      <c r="C51">
        <f>Dashboard_Live_Data!D50</f>
        <v>-36</v>
      </c>
      <c r="D51">
        <f>Dashboard_Live_Data!F50</f>
        <v>273.24610443212225</v>
      </c>
      <c r="E51">
        <f>Dashboard_Live_Data!D50</f>
        <v>-36</v>
      </c>
      <c r="F51">
        <f>Dashboard_Live_Data!G50</f>
        <v>-2.2866622063925579</v>
      </c>
    </row>
    <row r="52" spans="1:6">
      <c r="A52">
        <f>Dashboard_Live_Data!D51</f>
        <v>-35.5</v>
      </c>
      <c r="B52">
        <f>Dashboard_Live_Data!E51</f>
        <v>284.9525044866856</v>
      </c>
      <c r="C52">
        <f>Dashboard_Live_Data!D51</f>
        <v>-35.5</v>
      </c>
      <c r="D52">
        <f>Dashboard_Live_Data!F51</f>
        <v>284.9525044866856</v>
      </c>
      <c r="E52">
        <f>Dashboard_Live_Data!D51</f>
        <v>-35.5</v>
      </c>
      <c r="F52">
        <f>Dashboard_Live_Data!G51</f>
        <v>-0.63397186114618087</v>
      </c>
    </row>
    <row r="53" spans="1:6">
      <c r="A53">
        <f>Dashboard_Live_Data!D52</f>
        <v>-35</v>
      </c>
      <c r="B53">
        <f>Dashboard_Live_Data!E52</f>
        <v>280.71344003936963</v>
      </c>
      <c r="C53">
        <f>Dashboard_Live_Data!D52</f>
        <v>-35</v>
      </c>
      <c r="D53">
        <f>Dashboard_Live_Data!F52</f>
        <v>280.71344003936963</v>
      </c>
      <c r="E53">
        <f>Dashboard_Live_Data!D52</f>
        <v>-35</v>
      </c>
      <c r="F53">
        <f>Dashboard_Live_Data!G52</f>
        <v>-9.7085297317811534</v>
      </c>
    </row>
    <row r="54" spans="1:6">
      <c r="A54">
        <f>Dashboard_Live_Data!D53</f>
        <v>-34.5</v>
      </c>
      <c r="B54">
        <f>Dashboard_Live_Data!E53</f>
        <v>316.31487804948046</v>
      </c>
      <c r="C54">
        <f>Dashboard_Live_Data!D53</f>
        <v>-34.5</v>
      </c>
      <c r="D54">
        <f>Dashboard_Live_Data!F53</f>
        <v>316.31487804948046</v>
      </c>
      <c r="E54">
        <f>Dashboard_Live_Data!D53</f>
        <v>-34.5</v>
      </c>
      <c r="F54">
        <f>Dashboard_Live_Data!G53</f>
        <v>-9.8596508268729295</v>
      </c>
    </row>
    <row r="55" spans="1:6">
      <c r="A55">
        <f>Dashboard_Live_Data!D54</f>
        <v>-34</v>
      </c>
      <c r="B55">
        <f>Dashboard_Live_Data!E54</f>
        <v>319.41525492664545</v>
      </c>
      <c r="C55">
        <f>Dashboard_Live_Data!D54</f>
        <v>-34</v>
      </c>
      <c r="D55">
        <f>Dashboard_Live_Data!F54</f>
        <v>319.41525492664545</v>
      </c>
      <c r="E55">
        <f>Dashboard_Live_Data!D54</f>
        <v>-34</v>
      </c>
      <c r="F55">
        <f>Dashboard_Live_Data!G54</f>
        <v>0.233219012771956</v>
      </c>
    </row>
    <row r="56" spans="1:6">
      <c r="A56">
        <f>Dashboard_Live_Data!D55</f>
        <v>-33.5</v>
      </c>
      <c r="B56">
        <f>Dashboard_Live_Data!E55</f>
        <v>328.44480575089858</v>
      </c>
      <c r="C56">
        <f>Dashboard_Live_Data!D55</f>
        <v>-33.5</v>
      </c>
      <c r="D56">
        <f>Dashboard_Live_Data!F55</f>
        <v>328.44480575089858</v>
      </c>
      <c r="E56">
        <f>Dashboard_Live_Data!D55</f>
        <v>-33.5</v>
      </c>
      <c r="F56">
        <f>Dashboard_Live_Data!G55</f>
        <v>8.5001955674394374</v>
      </c>
    </row>
    <row r="57" spans="1:6">
      <c r="A57">
        <f>Dashboard_Live_Data!D56</f>
        <v>-33</v>
      </c>
      <c r="B57">
        <f>Dashboard_Live_Data!E56</f>
        <v>342.05712046848419</v>
      </c>
      <c r="C57">
        <f>Dashboard_Live_Data!D56</f>
        <v>-33</v>
      </c>
      <c r="D57">
        <f>Dashboard_Live_Data!F56</f>
        <v>342.05712046848419</v>
      </c>
      <c r="E57">
        <f>Dashboard_Live_Data!D56</f>
        <v>-33</v>
      </c>
      <c r="F57">
        <f>Dashboard_Live_Data!G56</f>
        <v>12.884972617306985</v>
      </c>
    </row>
    <row r="58" spans="1:6">
      <c r="A58">
        <f>Dashboard_Live_Data!D57</f>
        <v>-32.5</v>
      </c>
      <c r="B58">
        <f>Dashboard_Live_Data!E57</f>
        <v>350.91834122472949</v>
      </c>
      <c r="C58">
        <f>Dashboard_Live_Data!D57</f>
        <v>-32.5</v>
      </c>
      <c r="D58">
        <f>Dashboard_Live_Data!F57</f>
        <v>350.91834122472949</v>
      </c>
      <c r="E58">
        <f>Dashboard_Live_Data!D57</f>
        <v>-32.5</v>
      </c>
      <c r="F58">
        <f>Dashboard_Live_Data!G57</f>
        <v>14.196906765365963</v>
      </c>
    </row>
    <row r="59" spans="1:6">
      <c r="A59">
        <f>Dashboard_Live_Data!D58</f>
        <v>-32</v>
      </c>
      <c r="B59">
        <f>Dashboard_Live_Data!E58</f>
        <v>340.91681406553505</v>
      </c>
      <c r="C59">
        <f>Dashboard_Live_Data!D58</f>
        <v>-32</v>
      </c>
      <c r="D59">
        <f>Dashboard_Live_Data!F58</f>
        <v>340.91681406553505</v>
      </c>
      <c r="E59">
        <f>Dashboard_Live_Data!D58</f>
        <v>-32</v>
      </c>
      <c r="F59">
        <f>Dashboard_Live_Data!G58</f>
        <v>5.7308266461344264</v>
      </c>
    </row>
    <row r="60" spans="1:6">
      <c r="A60">
        <f>Dashboard_Live_Data!D59</f>
        <v>-31.5</v>
      </c>
      <c r="B60">
        <f>Dashboard_Live_Data!E59</f>
        <v>355.15219987006986</v>
      </c>
      <c r="C60">
        <f>Dashboard_Live_Data!D59</f>
        <v>-31.5</v>
      </c>
      <c r="D60">
        <f>Dashboard_Live_Data!F59</f>
        <v>355.15219987006986</v>
      </c>
      <c r="E60">
        <f>Dashboard_Live_Data!D59</f>
        <v>-31.5</v>
      </c>
      <c r="F60">
        <f>Dashboard_Live_Data!G59</f>
        <v>9.2958171156023646</v>
      </c>
    </row>
    <row r="61" spans="1:6">
      <c r="A61">
        <f>Dashboard_Live_Data!D60</f>
        <v>-31</v>
      </c>
      <c r="B61">
        <f>Dashboard_Live_Data!E60</f>
        <v>353.26100932469092</v>
      </c>
      <c r="C61">
        <f>Dashboard_Live_Data!D60</f>
        <v>-31</v>
      </c>
      <c r="D61">
        <f>Dashboard_Live_Data!F60</f>
        <v>353.26100932469092</v>
      </c>
      <c r="E61">
        <f>Dashboard_Live_Data!D60</f>
        <v>-31</v>
      </c>
      <c r="F61">
        <f>Dashboard_Live_Data!G60</f>
        <v>-13.18958267522941</v>
      </c>
    </row>
    <row r="62" spans="1:6">
      <c r="A62">
        <f>Dashboard_Live_Data!D61</f>
        <v>-30.5</v>
      </c>
      <c r="B62">
        <f>Dashboard_Live_Data!E61</f>
        <v>338.65715440925169</v>
      </c>
      <c r="C62">
        <f>Dashboard_Live_Data!D61</f>
        <v>-30.5</v>
      </c>
      <c r="D62">
        <f>Dashboard_Live_Data!F61</f>
        <v>338.65715440925169</v>
      </c>
      <c r="E62">
        <f>Dashboard_Live_Data!D61</f>
        <v>-30.5</v>
      </c>
      <c r="F62">
        <f>Dashboard_Live_Data!G61</f>
        <v>-7.4673180377006023</v>
      </c>
    </row>
    <row r="63" spans="1:6">
      <c r="A63">
        <f>Dashboard_Live_Data!D62</f>
        <v>-30</v>
      </c>
      <c r="B63">
        <f>Dashboard_Live_Data!E62</f>
        <v>336.97644838088075</v>
      </c>
      <c r="C63">
        <f>Dashboard_Live_Data!D62</f>
        <v>-30</v>
      </c>
      <c r="D63">
        <f>Dashboard_Live_Data!F62</f>
        <v>336.97644838088075</v>
      </c>
      <c r="E63">
        <f>Dashboard_Live_Data!D62</f>
        <v>-30</v>
      </c>
      <c r="F63">
        <f>Dashboard_Live_Data!G62</f>
        <v>-17.518013833672008</v>
      </c>
    </row>
    <row r="64" spans="1:6">
      <c r="A64">
        <f>Dashboard_Live_Data!D63</f>
        <v>-29.5</v>
      </c>
      <c r="B64">
        <f>Dashboard_Live_Data!E63</f>
        <v>326.24732503276135</v>
      </c>
      <c r="C64">
        <f>Dashboard_Live_Data!D63</f>
        <v>-29.5</v>
      </c>
      <c r="D64">
        <f>Dashboard_Live_Data!F63</f>
        <v>326.24732503276135</v>
      </c>
      <c r="E64">
        <f>Dashboard_Live_Data!D63</f>
        <v>-29.5</v>
      </c>
      <c r="F64">
        <f>Dashboard_Live_Data!G63</f>
        <v>-36.167878297776255</v>
      </c>
    </row>
    <row r="65" spans="1:6">
      <c r="A65">
        <f>Dashboard_Live_Data!D64</f>
        <v>-29</v>
      </c>
      <c r="B65">
        <f>Dashboard_Live_Data!E64</f>
        <v>331.87736012346193</v>
      </c>
      <c r="C65">
        <f>Dashboard_Live_Data!D64</f>
        <v>-29</v>
      </c>
      <c r="D65">
        <f>Dashboard_Live_Data!F64</f>
        <v>331.87736012346193</v>
      </c>
      <c r="E65">
        <f>Dashboard_Live_Data!D64</f>
        <v>-29</v>
      </c>
      <c r="F65">
        <f>Dashboard_Live_Data!G64</f>
        <v>-22.863821755996071</v>
      </c>
    </row>
    <row r="66" spans="1:6">
      <c r="A66">
        <f>Dashboard_Live_Data!D65</f>
        <v>-28.5</v>
      </c>
      <c r="B66">
        <f>Dashboard_Live_Data!E65</f>
        <v>310.24247262167495</v>
      </c>
      <c r="C66">
        <f>Dashboard_Live_Data!D65</f>
        <v>-28.5</v>
      </c>
      <c r="D66">
        <f>Dashboard_Live_Data!F65</f>
        <v>310.24247262167495</v>
      </c>
      <c r="E66">
        <f>Dashboard_Live_Data!D65</f>
        <v>-28.5</v>
      </c>
      <c r="F66">
        <f>Dashboard_Live_Data!G65</f>
        <v>-29.731374520275047</v>
      </c>
    </row>
    <row r="67" spans="1:6">
      <c r="A67">
        <f>Dashboard_Live_Data!D66</f>
        <v>-28</v>
      </c>
      <c r="B67">
        <f>Dashboard_Live_Data!E66</f>
        <v>313.28317842657691</v>
      </c>
      <c r="C67">
        <f>Dashboard_Live_Data!D66</f>
        <v>-28</v>
      </c>
      <c r="D67">
        <f>Dashboard_Live_Data!F66</f>
        <v>313.28317842657691</v>
      </c>
      <c r="E67">
        <f>Dashboard_Live_Data!D66</f>
        <v>-28</v>
      </c>
      <c r="F67">
        <f>Dashboard_Live_Data!G66</f>
        <v>-53.017518277040161</v>
      </c>
    </row>
    <row r="68" spans="1:6">
      <c r="A68">
        <f>Dashboard_Live_Data!D67</f>
        <v>-27.5</v>
      </c>
      <c r="B68">
        <f>Dashboard_Live_Data!E67</f>
        <v>296.84376125916674</v>
      </c>
      <c r="C68">
        <f>Dashboard_Live_Data!D67</f>
        <v>-27.5</v>
      </c>
      <c r="D68">
        <f>Dashboard_Live_Data!F67</f>
        <v>296.84376125916674</v>
      </c>
      <c r="E68">
        <f>Dashboard_Live_Data!D67</f>
        <v>-27.5</v>
      </c>
      <c r="F68">
        <f>Dashboard_Live_Data!G67</f>
        <v>-63.021085948892313</v>
      </c>
    </row>
    <row r="69" spans="1:6">
      <c r="A69">
        <f>Dashboard_Live_Data!D68</f>
        <v>-27</v>
      </c>
      <c r="B69">
        <f>Dashboard_Live_Data!E68</f>
        <v>289.34226854100302</v>
      </c>
      <c r="C69">
        <f>Dashboard_Live_Data!D68</f>
        <v>-27</v>
      </c>
      <c r="D69">
        <f>Dashboard_Live_Data!F68</f>
        <v>289.34226854100302</v>
      </c>
      <c r="E69">
        <f>Dashboard_Live_Data!D68</f>
        <v>-27</v>
      </c>
      <c r="F69">
        <f>Dashboard_Live_Data!G68</f>
        <v>-69.671539284115184</v>
      </c>
    </row>
    <row r="70" spans="1:6">
      <c r="A70">
        <f>Dashboard_Live_Data!D69</f>
        <v>-26.5</v>
      </c>
      <c r="B70">
        <f>Dashboard_Live_Data!E69</f>
        <v>290.55977847511139</v>
      </c>
      <c r="C70">
        <f>Dashboard_Live_Data!D69</f>
        <v>-26.5</v>
      </c>
      <c r="D70">
        <f>Dashboard_Live_Data!F69</f>
        <v>290.55977847511139</v>
      </c>
      <c r="E70">
        <f>Dashboard_Live_Data!D69</f>
        <v>-26.5</v>
      </c>
      <c r="F70">
        <f>Dashboard_Live_Data!G69</f>
        <v>-78.119420028637307</v>
      </c>
    </row>
    <row r="71" spans="1:6">
      <c r="A71">
        <f>Dashboard_Live_Data!D70</f>
        <v>-26</v>
      </c>
      <c r="B71">
        <f>Dashboard_Live_Data!E70</f>
        <v>271.74352983421755</v>
      </c>
      <c r="C71">
        <f>Dashboard_Live_Data!D70</f>
        <v>-26</v>
      </c>
      <c r="D71">
        <f>Dashboard_Live_Data!F70</f>
        <v>271.74352983421755</v>
      </c>
      <c r="E71">
        <f>Dashboard_Live_Data!D70</f>
        <v>-26</v>
      </c>
      <c r="F71">
        <f>Dashboard_Live_Data!G70</f>
        <v>-82.173494419788938</v>
      </c>
    </row>
    <row r="72" spans="1:6">
      <c r="A72">
        <f>Dashboard_Live_Data!D71</f>
        <v>-25.5</v>
      </c>
      <c r="B72">
        <f>Dashboard_Live_Data!E71</f>
        <v>271.72277085419893</v>
      </c>
      <c r="C72">
        <f>Dashboard_Live_Data!D71</f>
        <v>-25.5</v>
      </c>
      <c r="D72">
        <f>Dashboard_Live_Data!F71</f>
        <v>271.72277085419893</v>
      </c>
      <c r="E72">
        <f>Dashboard_Live_Data!D71</f>
        <v>-25.5</v>
      </c>
      <c r="F72">
        <f>Dashboard_Live_Data!G71</f>
        <v>-104.31813701930129</v>
      </c>
    </row>
    <row r="73" spans="1:6">
      <c r="A73">
        <f>Dashboard_Live_Data!D72</f>
        <v>-25</v>
      </c>
      <c r="B73">
        <f>Dashboard_Live_Data!E72</f>
        <v>260.27138413189709</v>
      </c>
      <c r="C73">
        <f>Dashboard_Live_Data!D72</f>
        <v>-25</v>
      </c>
      <c r="D73">
        <f>Dashboard_Live_Data!F72</f>
        <v>260.27138413189709</v>
      </c>
      <c r="E73">
        <f>Dashboard_Live_Data!D72</f>
        <v>-25</v>
      </c>
      <c r="F73">
        <f>Dashboard_Live_Data!G72</f>
        <v>-97.552975883581098</v>
      </c>
    </row>
    <row r="74" spans="1:6">
      <c r="A74">
        <f>Dashboard_Live_Data!D73</f>
        <v>-24.5</v>
      </c>
      <c r="B74">
        <f>Dashboard_Live_Data!E73</f>
        <v>276.49363528969542</v>
      </c>
      <c r="C74">
        <f>Dashboard_Live_Data!D73</f>
        <v>-24.5</v>
      </c>
      <c r="D74">
        <f>Dashboard_Live_Data!F73</f>
        <v>276.49363528969542</v>
      </c>
      <c r="E74">
        <f>Dashboard_Live_Data!D73</f>
        <v>-24.5</v>
      </c>
      <c r="F74">
        <f>Dashboard_Live_Data!G73</f>
        <v>-113.61582851930044</v>
      </c>
    </row>
    <row r="75" spans="1:6">
      <c r="A75">
        <f>Dashboard_Live_Data!D74</f>
        <v>-24</v>
      </c>
      <c r="B75">
        <f>Dashboard_Live_Data!E74</f>
        <v>268.57917598156757</v>
      </c>
      <c r="C75">
        <f>Dashboard_Live_Data!D74</f>
        <v>-24</v>
      </c>
      <c r="D75">
        <f>Dashboard_Live_Data!F74</f>
        <v>268.57917598156757</v>
      </c>
      <c r="E75">
        <f>Dashboard_Live_Data!D74</f>
        <v>-24</v>
      </c>
      <c r="F75">
        <f>Dashboard_Live_Data!G74</f>
        <v>-111.48853690711687</v>
      </c>
    </row>
    <row r="76" spans="1:6">
      <c r="A76">
        <f>Dashboard_Live_Data!D75</f>
        <v>-23.5</v>
      </c>
      <c r="B76">
        <f>Dashboard_Live_Data!E75</f>
        <v>273.93459884711217</v>
      </c>
      <c r="C76">
        <f>Dashboard_Live_Data!D75</f>
        <v>-23.5</v>
      </c>
      <c r="D76">
        <f>Dashboard_Live_Data!F75</f>
        <v>273.93459884711217</v>
      </c>
      <c r="E76">
        <f>Dashboard_Live_Data!D75</f>
        <v>-23.5</v>
      </c>
      <c r="F76">
        <f>Dashboard_Live_Data!G75</f>
        <v>-125.65162794647964</v>
      </c>
    </row>
    <row r="77" spans="1:6">
      <c r="A77">
        <f>Dashboard_Live_Data!D76</f>
        <v>-23</v>
      </c>
      <c r="B77">
        <f>Dashboard_Live_Data!E76</f>
        <v>279.55588840772998</v>
      </c>
      <c r="C77">
        <f>Dashboard_Live_Data!D76</f>
        <v>-23</v>
      </c>
      <c r="D77">
        <f>Dashboard_Live_Data!F76</f>
        <v>279.55588840772998</v>
      </c>
      <c r="E77">
        <f>Dashboard_Live_Data!D76</f>
        <v>-23</v>
      </c>
      <c r="F77">
        <f>Dashboard_Live_Data!G76</f>
        <v>-132.54578984267809</v>
      </c>
    </row>
    <row r="78" spans="1:6">
      <c r="A78">
        <f>Dashboard_Live_Data!D77</f>
        <v>-22.5</v>
      </c>
      <c r="B78">
        <f>Dashboard_Live_Data!E77</f>
        <v>286.69936407981004</v>
      </c>
      <c r="C78">
        <f>Dashboard_Live_Data!D77</f>
        <v>-22.5</v>
      </c>
      <c r="D78">
        <f>Dashboard_Live_Data!F77</f>
        <v>286.69936407981004</v>
      </c>
      <c r="E78">
        <f>Dashboard_Live_Data!D77</f>
        <v>-22.5</v>
      </c>
      <c r="F78">
        <f>Dashboard_Live_Data!G77</f>
        <v>-138.29494668428998</v>
      </c>
    </row>
    <row r="79" spans="1:6">
      <c r="A79">
        <f>Dashboard_Live_Data!D78</f>
        <v>-22</v>
      </c>
      <c r="B79">
        <f>Dashboard_Live_Data!E78</f>
        <v>316.60820817766938</v>
      </c>
      <c r="C79">
        <f>Dashboard_Live_Data!D78</f>
        <v>-22</v>
      </c>
      <c r="D79">
        <f>Dashboard_Live_Data!F78</f>
        <v>316.60820817766938</v>
      </c>
      <c r="E79">
        <f>Dashboard_Live_Data!D78</f>
        <v>-22</v>
      </c>
      <c r="F79">
        <f>Dashboard_Live_Data!G78</f>
        <v>-144.0992283446906</v>
      </c>
    </row>
    <row r="80" spans="1:6">
      <c r="A80">
        <f>Dashboard_Live_Data!D79</f>
        <v>-21.5</v>
      </c>
      <c r="B80">
        <f>Dashboard_Live_Data!E79</f>
        <v>332.44947759769417</v>
      </c>
      <c r="C80">
        <f>Dashboard_Live_Data!D79</f>
        <v>-21.5</v>
      </c>
      <c r="D80">
        <f>Dashboard_Live_Data!F79</f>
        <v>332.44947759769417</v>
      </c>
      <c r="E80">
        <f>Dashboard_Live_Data!D79</f>
        <v>-21.5</v>
      </c>
      <c r="F80">
        <f>Dashboard_Live_Data!G79</f>
        <v>-156.9345481530768</v>
      </c>
    </row>
    <row r="81" spans="1:6">
      <c r="A81">
        <f>Dashboard_Live_Data!D80</f>
        <v>-21</v>
      </c>
      <c r="B81">
        <f>Dashboard_Live_Data!E80</f>
        <v>317.91812880175183</v>
      </c>
      <c r="C81">
        <f>Dashboard_Live_Data!D80</f>
        <v>-21</v>
      </c>
      <c r="D81">
        <f>Dashboard_Live_Data!F80</f>
        <v>317.91812880175183</v>
      </c>
      <c r="E81">
        <f>Dashboard_Live_Data!D80</f>
        <v>-21</v>
      </c>
      <c r="F81">
        <f>Dashboard_Live_Data!G80</f>
        <v>-142.37794992196604</v>
      </c>
    </row>
    <row r="82" spans="1:6">
      <c r="A82">
        <f>Dashboard_Live_Data!D81</f>
        <v>-20.5</v>
      </c>
      <c r="B82">
        <f>Dashboard_Live_Data!E81</f>
        <v>343.37986587370784</v>
      </c>
      <c r="C82">
        <f>Dashboard_Live_Data!D81</f>
        <v>-20.5</v>
      </c>
      <c r="D82">
        <f>Dashboard_Live_Data!F81</f>
        <v>343.37986587370784</v>
      </c>
      <c r="E82">
        <f>Dashboard_Live_Data!D81</f>
        <v>-20.5</v>
      </c>
      <c r="F82">
        <f>Dashboard_Live_Data!G81</f>
        <v>-140.55086511584989</v>
      </c>
    </row>
    <row r="83" spans="1:6">
      <c r="A83">
        <f>Dashboard_Live_Data!D82</f>
        <v>-20</v>
      </c>
      <c r="B83">
        <f>Dashboard_Live_Data!E82</f>
        <v>338.15830709982725</v>
      </c>
      <c r="C83">
        <f>Dashboard_Live_Data!D82</f>
        <v>-20</v>
      </c>
      <c r="D83">
        <f>Dashboard_Live_Data!F82</f>
        <v>338.15830709982725</v>
      </c>
      <c r="E83">
        <f>Dashboard_Live_Data!D82</f>
        <v>-20</v>
      </c>
      <c r="F83">
        <f>Dashboard_Live_Data!G82</f>
        <v>-146.32822187126578</v>
      </c>
    </row>
    <row r="84" spans="1:6">
      <c r="A84">
        <f>Dashboard_Live_Data!D83</f>
        <v>-19.5</v>
      </c>
      <c r="B84">
        <f>Dashboard_Live_Data!E83</f>
        <v>363.81454233492502</v>
      </c>
      <c r="C84">
        <f>Dashboard_Live_Data!D83</f>
        <v>-19.5</v>
      </c>
      <c r="D84">
        <f>Dashboard_Live_Data!F83</f>
        <v>363.81454233492502</v>
      </c>
      <c r="E84">
        <f>Dashboard_Live_Data!D83</f>
        <v>-19.5</v>
      </c>
      <c r="F84">
        <f>Dashboard_Live_Data!G83</f>
        <v>-140.04833812864371</v>
      </c>
    </row>
    <row r="85" spans="1:6">
      <c r="A85">
        <f>Dashboard_Live_Data!D84</f>
        <v>-19</v>
      </c>
      <c r="B85">
        <f>Dashboard_Live_Data!E84</f>
        <v>371.18641988342398</v>
      </c>
      <c r="C85">
        <f>Dashboard_Live_Data!D84</f>
        <v>-19</v>
      </c>
      <c r="D85">
        <f>Dashboard_Live_Data!F84</f>
        <v>371.18641988342398</v>
      </c>
      <c r="E85">
        <f>Dashboard_Live_Data!D84</f>
        <v>-19</v>
      </c>
      <c r="F85">
        <f>Dashboard_Live_Data!G84</f>
        <v>-144.88352309984418</v>
      </c>
    </row>
    <row r="86" spans="1:6">
      <c r="A86">
        <f>Dashboard_Live_Data!D85</f>
        <v>-18.5</v>
      </c>
      <c r="B86">
        <f>Dashboard_Live_Data!E85</f>
        <v>365.6884368087795</v>
      </c>
      <c r="C86">
        <f>Dashboard_Live_Data!D85</f>
        <v>-18.5</v>
      </c>
      <c r="D86">
        <f>Dashboard_Live_Data!F85</f>
        <v>365.6884368087795</v>
      </c>
      <c r="E86">
        <f>Dashboard_Live_Data!D85</f>
        <v>-18.5</v>
      </c>
      <c r="F86">
        <f>Dashboard_Live_Data!G85</f>
        <v>-136.66366560462208</v>
      </c>
    </row>
    <row r="87" spans="1:6">
      <c r="A87">
        <f>Dashboard_Live_Data!D86</f>
        <v>-18</v>
      </c>
      <c r="B87">
        <f>Dashboard_Live_Data!E86</f>
        <v>392.02205415360987</v>
      </c>
      <c r="C87">
        <f>Dashboard_Live_Data!D86</f>
        <v>-18</v>
      </c>
      <c r="D87">
        <f>Dashboard_Live_Data!F86</f>
        <v>392.02205415360987</v>
      </c>
      <c r="E87">
        <f>Dashboard_Live_Data!D86</f>
        <v>-18</v>
      </c>
      <c r="F87">
        <f>Dashboard_Live_Data!G86</f>
        <v>-149.12259877495586</v>
      </c>
    </row>
    <row r="88" spans="1:6">
      <c r="A88">
        <f>Dashboard_Live_Data!D87</f>
        <v>-17.5</v>
      </c>
      <c r="B88">
        <f>Dashboard_Live_Data!E87</f>
        <v>397.07097057156574</v>
      </c>
      <c r="C88">
        <f>Dashboard_Live_Data!D87</f>
        <v>-17.5</v>
      </c>
      <c r="D88">
        <f>Dashboard_Live_Data!F87</f>
        <v>397.07097057156574</v>
      </c>
      <c r="E88">
        <f>Dashboard_Live_Data!D87</f>
        <v>-17.5</v>
      </c>
      <c r="F88">
        <f>Dashboard_Live_Data!G87</f>
        <v>-139.0731304771746</v>
      </c>
    </row>
    <row r="89" spans="1:6">
      <c r="A89">
        <f>Dashboard_Live_Data!D88</f>
        <v>-17</v>
      </c>
      <c r="B89">
        <f>Dashboard_Live_Data!E88</f>
        <v>381.37310246850825</v>
      </c>
      <c r="C89">
        <f>Dashboard_Live_Data!D88</f>
        <v>-17</v>
      </c>
      <c r="D89">
        <f>Dashboard_Live_Data!F88</f>
        <v>381.37310246850825</v>
      </c>
      <c r="E89">
        <f>Dashboard_Live_Data!D88</f>
        <v>-17</v>
      </c>
      <c r="F89">
        <f>Dashboard_Live_Data!G88</f>
        <v>-125.70874899839603</v>
      </c>
    </row>
    <row r="90" spans="1:6">
      <c r="A90">
        <f>Dashboard_Live_Data!D89</f>
        <v>-16.5</v>
      </c>
      <c r="B90">
        <f>Dashboard_Live_Data!E89</f>
        <v>387.14310586746348</v>
      </c>
      <c r="C90">
        <f>Dashboard_Live_Data!D89</f>
        <v>-16.5</v>
      </c>
      <c r="D90">
        <f>Dashboard_Live_Data!F89</f>
        <v>387.14310586746348</v>
      </c>
      <c r="E90">
        <f>Dashboard_Live_Data!D89</f>
        <v>-16.5</v>
      </c>
      <c r="F90">
        <f>Dashboard_Live_Data!G89</f>
        <v>-123.86861357235706</v>
      </c>
    </row>
    <row r="91" spans="1:6">
      <c r="A91">
        <f>Dashboard_Live_Data!D90</f>
        <v>-16</v>
      </c>
      <c r="B91">
        <f>Dashboard_Live_Data!E90</f>
        <v>413.29561486427639</v>
      </c>
      <c r="C91">
        <f>Dashboard_Live_Data!D90</f>
        <v>-16</v>
      </c>
      <c r="D91">
        <f>Dashboard_Live_Data!F90</f>
        <v>413.29561486427639</v>
      </c>
      <c r="E91">
        <f>Dashboard_Live_Data!D90</f>
        <v>-16</v>
      </c>
      <c r="F91">
        <f>Dashboard_Live_Data!G90</f>
        <v>-97.48037396441562</v>
      </c>
    </row>
    <row r="92" spans="1:6">
      <c r="A92">
        <f>Dashboard_Live_Data!D91</f>
        <v>-15.5</v>
      </c>
      <c r="B92">
        <f>Dashboard_Live_Data!E91</f>
        <v>405.17934846817269</v>
      </c>
      <c r="C92">
        <f>Dashboard_Live_Data!D91</f>
        <v>-15.5</v>
      </c>
      <c r="D92">
        <f>Dashboard_Live_Data!F91</f>
        <v>405.17934846817269</v>
      </c>
      <c r="E92">
        <f>Dashboard_Live_Data!D91</f>
        <v>-15.5</v>
      </c>
      <c r="F92">
        <f>Dashboard_Live_Data!G91</f>
        <v>-109.31712972071381</v>
      </c>
    </row>
    <row r="93" spans="1:6">
      <c r="A93">
        <f>Dashboard_Live_Data!D92</f>
        <v>-15</v>
      </c>
      <c r="B93">
        <f>Dashboard_Live_Data!E92</f>
        <v>416.63024006091615</v>
      </c>
      <c r="C93">
        <f>Dashboard_Live_Data!D92</f>
        <v>-15</v>
      </c>
      <c r="D93">
        <f>Dashboard_Live_Data!F92</f>
        <v>416.63024006091615</v>
      </c>
      <c r="E93">
        <f>Dashboard_Live_Data!D92</f>
        <v>-15</v>
      </c>
      <c r="F93">
        <f>Dashboard_Live_Data!G92</f>
        <v>-90.495309029444954</v>
      </c>
    </row>
    <row r="94" spans="1:6">
      <c r="A94">
        <f>Dashboard_Live_Data!D93</f>
        <v>-14.5</v>
      </c>
      <c r="B94">
        <f>Dashboard_Live_Data!E93</f>
        <v>425.31373753688456</v>
      </c>
      <c r="C94">
        <f>Dashboard_Live_Data!D93</f>
        <v>-14.5</v>
      </c>
      <c r="D94">
        <f>Dashboard_Live_Data!F93</f>
        <v>425.31373753688456</v>
      </c>
      <c r="E94">
        <f>Dashboard_Live_Data!D93</f>
        <v>-14.5</v>
      </c>
      <c r="F94">
        <f>Dashboard_Live_Data!G93</f>
        <v>-86.652484826799366</v>
      </c>
    </row>
    <row r="95" spans="1:6">
      <c r="A95">
        <f>Dashboard_Live_Data!D94</f>
        <v>-14</v>
      </c>
      <c r="B95">
        <f>Dashboard_Live_Data!E94</f>
        <v>420.95759288927439</v>
      </c>
      <c r="C95">
        <f>Dashboard_Live_Data!D94</f>
        <v>-14</v>
      </c>
      <c r="D95">
        <f>Dashboard_Live_Data!F94</f>
        <v>420.95759288927439</v>
      </c>
      <c r="E95">
        <f>Dashboard_Live_Data!D94</f>
        <v>-14</v>
      </c>
      <c r="F95">
        <f>Dashboard_Live_Data!G94</f>
        <v>-84.365972581405018</v>
      </c>
    </row>
    <row r="96" spans="1:6">
      <c r="A96">
        <f>Dashboard_Live_Data!D95</f>
        <v>-13.5</v>
      </c>
      <c r="B96">
        <f>Dashboard_Live_Data!E95</f>
        <v>418.77001789703809</v>
      </c>
      <c r="C96">
        <f>Dashboard_Live_Data!D95</f>
        <v>-13.5</v>
      </c>
      <c r="D96">
        <f>Dashboard_Live_Data!F95</f>
        <v>418.77001789703809</v>
      </c>
      <c r="E96">
        <f>Dashboard_Live_Data!D95</f>
        <v>-13.5</v>
      </c>
      <c r="F96">
        <f>Dashboard_Live_Data!G95</f>
        <v>-61.032054933534482</v>
      </c>
    </row>
    <row r="97" spans="1:6">
      <c r="A97">
        <f>Dashboard_Live_Data!D96</f>
        <v>-13</v>
      </c>
      <c r="B97">
        <f>Dashboard_Live_Data!E96</f>
        <v>432.88444582509743</v>
      </c>
      <c r="C97">
        <f>Dashboard_Live_Data!D96</f>
        <v>-13</v>
      </c>
      <c r="D97">
        <f>Dashboard_Live_Data!F96</f>
        <v>432.88444582509743</v>
      </c>
      <c r="E97">
        <f>Dashboard_Live_Data!D96</f>
        <v>-13</v>
      </c>
      <c r="F97">
        <f>Dashboard_Live_Data!G96</f>
        <v>-64.092434824295424</v>
      </c>
    </row>
    <row r="98" spans="1:6">
      <c r="A98">
        <f>Dashboard_Live_Data!D97</f>
        <v>-12.5</v>
      </c>
      <c r="B98">
        <f>Dashboard_Live_Data!E97</f>
        <v>448.86831612559951</v>
      </c>
      <c r="C98">
        <f>Dashboard_Live_Data!D97</f>
        <v>-12.5</v>
      </c>
      <c r="D98">
        <f>Dashboard_Live_Data!F97</f>
        <v>448.86831612559951</v>
      </c>
      <c r="E98">
        <f>Dashboard_Live_Data!D97</f>
        <v>-12.5</v>
      </c>
      <c r="F98">
        <f>Dashboard_Live_Data!G97</f>
        <v>-70.183922281311382</v>
      </c>
    </row>
    <row r="99" spans="1:6">
      <c r="A99">
        <f>Dashboard_Live_Data!D98</f>
        <v>-12</v>
      </c>
      <c r="B99">
        <f>Dashboard_Live_Data!E98</f>
        <v>437.99189931001791</v>
      </c>
      <c r="C99">
        <f>Dashboard_Live_Data!D98</f>
        <v>-12</v>
      </c>
      <c r="D99">
        <f>Dashboard_Live_Data!F98</f>
        <v>437.99189931001791</v>
      </c>
      <c r="E99">
        <f>Dashboard_Live_Data!D98</f>
        <v>-12</v>
      </c>
      <c r="F99">
        <f>Dashboard_Live_Data!G98</f>
        <v>-47.557945529629748</v>
      </c>
    </row>
    <row r="100" spans="1:6">
      <c r="A100">
        <f>Dashboard_Live_Data!D99</f>
        <v>-11.5</v>
      </c>
      <c r="B100">
        <f>Dashboard_Live_Data!E99</f>
        <v>458.91089147275255</v>
      </c>
      <c r="C100">
        <f>Dashboard_Live_Data!D99</f>
        <v>-11.5</v>
      </c>
      <c r="D100">
        <f>Dashboard_Live_Data!F99</f>
        <v>458.91089147275255</v>
      </c>
      <c r="E100">
        <f>Dashboard_Live_Data!D99</f>
        <v>-11.5</v>
      </c>
      <c r="F100">
        <f>Dashboard_Live_Data!G99</f>
        <v>-48.067808115448663</v>
      </c>
    </row>
    <row r="101" spans="1:6">
      <c r="A101">
        <f>Dashboard_Live_Data!D100</f>
        <v>-11</v>
      </c>
      <c r="B101">
        <f>Dashboard_Live_Data!E100</f>
        <v>462.54124928234683</v>
      </c>
      <c r="C101">
        <f>Dashboard_Live_Data!D100</f>
        <v>-11</v>
      </c>
      <c r="D101">
        <f>Dashboard_Live_Data!F100</f>
        <v>462.54124928234683</v>
      </c>
      <c r="E101">
        <f>Dashboard_Live_Data!D100</f>
        <v>-11</v>
      </c>
      <c r="F101">
        <f>Dashboard_Live_Data!G100</f>
        <v>-43.289835573332148</v>
      </c>
    </row>
    <row r="102" spans="1:6">
      <c r="A102">
        <f>Dashboard_Live_Data!D101</f>
        <v>-10.5</v>
      </c>
      <c r="B102">
        <f>Dashboard_Live_Data!E101</f>
        <v>470.10163194835405</v>
      </c>
      <c r="C102">
        <f>Dashboard_Live_Data!D101</f>
        <v>-10.5</v>
      </c>
      <c r="D102">
        <f>Dashboard_Live_Data!F101</f>
        <v>470.10163194835405</v>
      </c>
      <c r="E102">
        <f>Dashboard_Live_Data!D101</f>
        <v>-10.5</v>
      </c>
      <c r="F102">
        <f>Dashboard_Live_Data!G101</f>
        <v>-52.096314636551988</v>
      </c>
    </row>
    <row r="103" spans="1:6">
      <c r="A103">
        <f>Dashboard_Live_Data!D102</f>
        <v>-10</v>
      </c>
      <c r="B103">
        <f>Dashboard_Live_Data!E102</f>
        <v>471.51448488312155</v>
      </c>
      <c r="C103">
        <f>Dashboard_Live_Data!D102</f>
        <v>-10</v>
      </c>
      <c r="D103">
        <f>Dashboard_Live_Data!F102</f>
        <v>471.51448488312155</v>
      </c>
      <c r="E103">
        <f>Dashboard_Live_Data!D102</f>
        <v>-10</v>
      </c>
      <c r="F103">
        <f>Dashboard_Live_Data!G102</f>
        <v>-49.423131521111884</v>
      </c>
    </row>
    <row r="104" spans="1:6">
      <c r="A104">
        <f>Dashboard_Live_Data!D103</f>
        <v>-9.5</v>
      </c>
      <c r="B104">
        <f>Dashboard_Live_Data!E103</f>
        <v>470.58157381705621</v>
      </c>
      <c r="C104">
        <f>Dashboard_Live_Data!D103</f>
        <v>-9.5</v>
      </c>
      <c r="D104">
        <f>Dashboard_Live_Data!F103</f>
        <v>470.58157381705621</v>
      </c>
      <c r="E104">
        <f>Dashboard_Live_Data!D103</f>
        <v>-9.5</v>
      </c>
      <c r="F104">
        <f>Dashboard_Live_Data!G103</f>
        <v>-32.277557975083496</v>
      </c>
    </row>
    <row r="105" spans="1:6">
      <c r="A105">
        <f>Dashboard_Live_Data!D104</f>
        <v>-9</v>
      </c>
      <c r="B105">
        <f>Dashboard_Live_Data!E104</f>
        <v>480.61828567521798</v>
      </c>
      <c r="C105">
        <f>Dashboard_Live_Data!D104</f>
        <v>-9</v>
      </c>
      <c r="D105">
        <f>Dashboard_Live_Data!F104</f>
        <v>480.61828567521798</v>
      </c>
      <c r="E105">
        <f>Dashboard_Live_Data!D104</f>
        <v>-9</v>
      </c>
      <c r="F105">
        <f>Dashboard_Live_Data!G104</f>
        <v>-47.421474838397501</v>
      </c>
    </row>
    <row r="106" spans="1:6">
      <c r="A106">
        <f>Dashboard_Live_Data!D105</f>
        <v>-8.5</v>
      </c>
      <c r="B106">
        <f>Dashboard_Live_Data!E105</f>
        <v>460.62061079043809</v>
      </c>
      <c r="C106">
        <f>Dashboard_Live_Data!D105</f>
        <v>-8.5</v>
      </c>
      <c r="D106">
        <f>Dashboard_Live_Data!F105</f>
        <v>460.62061079043809</v>
      </c>
      <c r="E106">
        <f>Dashboard_Live_Data!D105</f>
        <v>-8.5</v>
      </c>
      <c r="F106">
        <f>Dashboard_Live_Data!G105</f>
        <v>-61.848322891668573</v>
      </c>
    </row>
    <row r="107" spans="1:6">
      <c r="A107">
        <f>Dashboard_Live_Data!D106</f>
        <v>-8</v>
      </c>
      <c r="B107">
        <f>Dashboard_Live_Data!E106</f>
        <v>475.66592239631382</v>
      </c>
      <c r="C107">
        <f>Dashboard_Live_Data!D106</f>
        <v>-8</v>
      </c>
      <c r="D107">
        <f>Dashboard_Live_Data!F106</f>
        <v>475.66592239631382</v>
      </c>
      <c r="E107">
        <f>Dashboard_Live_Data!D106</f>
        <v>-8</v>
      </c>
      <c r="F107">
        <f>Dashboard_Live_Data!G106</f>
        <v>-39.340995770370029</v>
      </c>
    </row>
    <row r="108" spans="1:6">
      <c r="A108">
        <f>Dashboard_Live_Data!D107</f>
        <v>-7.5</v>
      </c>
      <c r="B108">
        <f>Dashboard_Live_Data!E107</f>
        <v>470.26409514391321</v>
      </c>
      <c r="C108">
        <f>Dashboard_Live_Data!D107</f>
        <v>-7.5</v>
      </c>
      <c r="D108">
        <f>Dashboard_Live_Data!F107</f>
        <v>470.26409514391321</v>
      </c>
      <c r="E108">
        <f>Dashboard_Live_Data!D107</f>
        <v>-7.5</v>
      </c>
      <c r="F108">
        <f>Dashboard_Live_Data!G107</f>
        <v>-43.223811451652651</v>
      </c>
    </row>
    <row r="109" spans="1:6">
      <c r="A109">
        <f>Dashboard_Live_Data!D108</f>
        <v>-7</v>
      </c>
      <c r="B109">
        <f>Dashboard_Live_Data!E108</f>
        <v>442.95708145426426</v>
      </c>
      <c r="C109">
        <f>Dashboard_Live_Data!D108</f>
        <v>-7</v>
      </c>
      <c r="D109">
        <f>Dashboard_Live_Data!F108</f>
        <v>442.95708145426426</v>
      </c>
      <c r="E109">
        <f>Dashboard_Live_Data!D108</f>
        <v>-7</v>
      </c>
      <c r="F109">
        <f>Dashboard_Live_Data!G108</f>
        <v>-48.04634011268098</v>
      </c>
    </row>
    <row r="110" spans="1:6">
      <c r="A110">
        <f>Dashboard_Live_Data!D109</f>
        <v>-6.5</v>
      </c>
      <c r="B110">
        <f>Dashboard_Live_Data!E109</f>
        <v>455.81004784744528</v>
      </c>
      <c r="C110">
        <f>Dashboard_Live_Data!D109</f>
        <v>-6.5</v>
      </c>
      <c r="D110">
        <f>Dashboard_Live_Data!F109</f>
        <v>455.81004784744528</v>
      </c>
      <c r="E110">
        <f>Dashboard_Live_Data!D109</f>
        <v>-6.5</v>
      </c>
      <c r="F110">
        <f>Dashboard_Live_Data!G109</f>
        <v>-59.466303655605586</v>
      </c>
    </row>
    <row r="111" spans="1:6">
      <c r="A111">
        <f>Dashboard_Live_Data!D110</f>
        <v>-6</v>
      </c>
      <c r="B111">
        <f>Dashboard_Live_Data!E110</f>
        <v>447.75344272198197</v>
      </c>
      <c r="C111">
        <f>Dashboard_Live_Data!D110</f>
        <v>-6</v>
      </c>
      <c r="D111">
        <f>Dashboard_Live_Data!F110</f>
        <v>447.75344272198197</v>
      </c>
      <c r="E111">
        <f>Dashboard_Live_Data!D110</f>
        <v>-6</v>
      </c>
      <c r="F111">
        <f>Dashboard_Live_Data!G110</f>
        <v>-61.098645360716475</v>
      </c>
    </row>
    <row r="112" spans="1:6">
      <c r="A112">
        <f>Dashboard_Live_Data!D111</f>
        <v>-5.5</v>
      </c>
      <c r="B112">
        <f>Dashboard_Live_Data!E111</f>
        <v>437.23203216912464</v>
      </c>
      <c r="C112">
        <f>Dashboard_Live_Data!D111</f>
        <v>-5.5</v>
      </c>
      <c r="D112">
        <f>Dashboard_Live_Data!F111</f>
        <v>437.23203216912464</v>
      </c>
      <c r="E112">
        <f>Dashboard_Live_Data!D111</f>
        <v>-5.5</v>
      </c>
      <c r="F112">
        <f>Dashboard_Live_Data!G111</f>
        <v>-63.59054434613801</v>
      </c>
    </row>
    <row r="113" spans="1:6">
      <c r="A113">
        <f>Dashboard_Live_Data!D112</f>
        <v>-5</v>
      </c>
      <c r="B113">
        <f>Dashboard_Live_Data!E112</f>
        <v>426.49509936551561</v>
      </c>
      <c r="C113">
        <f>Dashboard_Live_Data!D112</f>
        <v>-5</v>
      </c>
      <c r="D113">
        <f>Dashboard_Live_Data!F112</f>
        <v>426.49509936551561</v>
      </c>
      <c r="E113">
        <f>Dashboard_Live_Data!D112</f>
        <v>-5</v>
      </c>
      <c r="F113">
        <f>Dashboard_Live_Data!G112</f>
        <v>-73.645604458171718</v>
      </c>
    </row>
    <row r="114" spans="1:6">
      <c r="A114">
        <f>Dashboard_Live_Data!D113</f>
        <v>-4.5</v>
      </c>
      <c r="B114">
        <f>Dashboard_Live_Data!E113</f>
        <v>423.30568039506915</v>
      </c>
      <c r="C114">
        <f>Dashboard_Live_Data!D113</f>
        <v>-4.5</v>
      </c>
      <c r="D114">
        <f>Dashboard_Live_Data!F113</f>
        <v>423.30568039506915</v>
      </c>
      <c r="E114">
        <f>Dashboard_Live_Data!D113</f>
        <v>-4.5</v>
      </c>
      <c r="F114">
        <f>Dashboard_Live_Data!G113</f>
        <v>-73.089350881891278</v>
      </c>
    </row>
    <row r="115" spans="1:6">
      <c r="A115">
        <f>Dashboard_Live_Data!D114</f>
        <v>-4</v>
      </c>
      <c r="B115">
        <f>Dashboard_Live_Data!E114</f>
        <v>426.01474675634427</v>
      </c>
      <c r="C115">
        <f>Dashboard_Live_Data!D114</f>
        <v>-4</v>
      </c>
      <c r="D115">
        <f>Dashboard_Live_Data!F114</f>
        <v>426.01474675634427</v>
      </c>
      <c r="E115">
        <f>Dashboard_Live_Data!D114</f>
        <v>-4</v>
      </c>
      <c r="F115">
        <f>Dashboard_Live_Data!G114</f>
        <v>-74.236730975515414</v>
      </c>
    </row>
    <row r="116" spans="1:6">
      <c r="A116">
        <f>Dashboard_Live_Data!D115</f>
        <v>-3.5</v>
      </c>
      <c r="B116">
        <f>Dashboard_Live_Data!E115</f>
        <v>404.9650488224043</v>
      </c>
      <c r="C116">
        <f>Dashboard_Live_Data!D115</f>
        <v>-3.5</v>
      </c>
      <c r="D116">
        <f>Dashboard_Live_Data!F115</f>
        <v>404.9650488224043</v>
      </c>
      <c r="E116">
        <f>Dashboard_Live_Data!D115</f>
        <v>-3.5</v>
      </c>
      <c r="F116">
        <f>Dashboard_Live_Data!G115</f>
        <v>-78.649068093608037</v>
      </c>
    </row>
    <row r="117" spans="1:6">
      <c r="A117">
        <f>Dashboard_Live_Data!D116</f>
        <v>-3</v>
      </c>
      <c r="B117">
        <f>Dashboard_Live_Data!E116</f>
        <v>420.14741895597808</v>
      </c>
      <c r="C117">
        <f>Dashboard_Live_Data!D116</f>
        <v>-3</v>
      </c>
      <c r="D117">
        <f>Dashboard_Live_Data!F116</f>
        <v>420.14741895597808</v>
      </c>
      <c r="E117">
        <f>Dashboard_Live_Data!D116</f>
        <v>-3</v>
      </c>
      <c r="F117">
        <f>Dashboard_Live_Data!G116</f>
        <v>-67.681977394603621</v>
      </c>
    </row>
    <row r="118" spans="1:6">
      <c r="A118">
        <f>Dashboard_Live_Data!D117</f>
        <v>-2.5</v>
      </c>
      <c r="B118">
        <f>Dashboard_Live_Data!E117</f>
        <v>420.97624209783453</v>
      </c>
      <c r="C118">
        <f>Dashboard_Live_Data!D117</f>
        <v>-2.5</v>
      </c>
      <c r="D118">
        <f>Dashboard_Live_Data!F117</f>
        <v>420.97624209783453</v>
      </c>
      <c r="E118">
        <f>Dashboard_Live_Data!D117</f>
        <v>-2.5</v>
      </c>
      <c r="F118">
        <f>Dashboard_Live_Data!G117</f>
        <v>-49.834492958636119</v>
      </c>
    </row>
    <row r="119" spans="1:6">
      <c r="A119">
        <f>Dashboard_Live_Data!D118</f>
        <v>-2</v>
      </c>
      <c r="B119">
        <f>Dashboard_Live_Data!E118</f>
        <v>435.98300826713626</v>
      </c>
      <c r="C119">
        <f>Dashboard_Live_Data!D118</f>
        <v>-2</v>
      </c>
      <c r="D119">
        <f>Dashboard_Live_Data!F118</f>
        <v>435.98300826713626</v>
      </c>
      <c r="E119">
        <f>Dashboard_Live_Data!D118</f>
        <v>-2</v>
      </c>
      <c r="F119">
        <f>Dashboard_Live_Data!G118</f>
        <v>-59.607279956221248</v>
      </c>
    </row>
    <row r="120" spans="1:6">
      <c r="A120">
        <f>Dashboard_Live_Data!D119</f>
        <v>-1.5</v>
      </c>
      <c r="B120">
        <f>Dashboard_Live_Data!E119</f>
        <v>431.10580672292525</v>
      </c>
      <c r="C120">
        <f>Dashboard_Live_Data!D119</f>
        <v>-1.5</v>
      </c>
      <c r="D120">
        <f>Dashboard_Live_Data!F119</f>
        <v>431.10580672292525</v>
      </c>
      <c r="E120">
        <f>Dashboard_Live_Data!D119</f>
        <v>-1.5</v>
      </c>
      <c r="F120">
        <f>Dashboard_Live_Data!G119</f>
        <v>-34.15455011761312</v>
      </c>
    </row>
    <row r="121" spans="1:6">
      <c r="A121">
        <f>Dashboard_Live_Data!D120</f>
        <v>-1</v>
      </c>
      <c r="B121">
        <f>Dashboard_Live_Data!E120</f>
        <v>440.99441024200883</v>
      </c>
      <c r="C121">
        <f>Dashboard_Live_Data!D120</f>
        <v>-1</v>
      </c>
      <c r="D121">
        <f>Dashboard_Live_Data!F120</f>
        <v>440.99441024200883</v>
      </c>
      <c r="E121">
        <f>Dashboard_Live_Data!D120</f>
        <v>-1</v>
      </c>
      <c r="F121">
        <f>Dashboard_Live_Data!G120</f>
        <v>-38.265792887993427</v>
      </c>
    </row>
    <row r="122" spans="1:6">
      <c r="A122">
        <f>Dashboard_Live_Data!D121</f>
        <v>-0.5</v>
      </c>
      <c r="B122">
        <f>Dashboard_Live_Data!E121</f>
        <v>474.23278667183286</v>
      </c>
      <c r="C122">
        <f>Dashboard_Live_Data!D121</f>
        <v>-0.5</v>
      </c>
      <c r="D122">
        <f>Dashboard_Live_Data!F121</f>
        <v>474.23278667183286</v>
      </c>
      <c r="E122">
        <f>Dashboard_Live_Data!D121</f>
        <v>-0.5</v>
      </c>
      <c r="F122">
        <f>Dashboard_Live_Data!G121</f>
        <v>-15.949828195457984</v>
      </c>
    </row>
    <row r="123" spans="1:6">
      <c r="A123">
        <f>Dashboard_Live_Data!D122</f>
        <v>0</v>
      </c>
      <c r="B123">
        <f>Dashboard_Live_Data!E122</f>
        <v>480.44802858922253</v>
      </c>
      <c r="C123">
        <f>Dashboard_Live_Data!D122</f>
        <v>0</v>
      </c>
      <c r="D123">
        <f>Dashboard_Live_Data!F122</f>
        <v>480.44802858922253</v>
      </c>
      <c r="E123">
        <f>Dashboard_Live_Data!D122</f>
        <v>0</v>
      </c>
      <c r="F123">
        <f>Dashboard_Live_Data!G122</f>
        <v>-4.948127387128106</v>
      </c>
    </row>
    <row r="124" spans="1:6">
      <c r="A124">
        <f>Dashboard_Live_Data!D123</f>
        <v>0.5</v>
      </c>
      <c r="B124">
        <f>Dashboard_Live_Data!E123</f>
        <v>482.74518112800712</v>
      </c>
      <c r="C124">
        <f>Dashboard_Live_Data!D123</f>
        <v>0.5</v>
      </c>
      <c r="D124">
        <f>Dashboard_Live_Data!F123</f>
        <v>482.74518112800712</v>
      </c>
      <c r="E124">
        <f>Dashboard_Live_Data!D123</f>
        <v>0.5</v>
      </c>
      <c r="F124">
        <f>Dashboard_Live_Data!G123</f>
        <v>2.2595691323213032</v>
      </c>
    </row>
    <row r="125" spans="1:6">
      <c r="A125">
        <f>Dashboard_Live_Data!D124</f>
        <v>1</v>
      </c>
      <c r="B125">
        <f>Dashboard_Live_Data!E124</f>
        <v>497.58165314697214</v>
      </c>
      <c r="C125">
        <f>Dashboard_Live_Data!D124</f>
        <v>1</v>
      </c>
      <c r="D125">
        <f>Dashboard_Live_Data!F124</f>
        <v>497.58165314697214</v>
      </c>
      <c r="E125">
        <f>Dashboard_Live_Data!D124</f>
        <v>1</v>
      </c>
      <c r="F125">
        <f>Dashboard_Live_Data!G124</f>
        <v>43.076446221267872</v>
      </c>
    </row>
    <row r="126" spans="1:6">
      <c r="A126">
        <f>Dashboard_Live_Data!D125</f>
        <v>1.5</v>
      </c>
      <c r="B126">
        <f>Dashboard_Live_Data!E125</f>
        <v>516.864115303311</v>
      </c>
      <c r="C126">
        <f>Dashboard_Live_Data!D125</f>
        <v>1.5</v>
      </c>
      <c r="D126">
        <f>Dashboard_Live_Data!F125</f>
        <v>516.864115303311</v>
      </c>
      <c r="E126">
        <f>Dashboard_Live_Data!D125</f>
        <v>1.5</v>
      </c>
      <c r="F126">
        <f>Dashboard_Live_Data!G125</f>
        <v>46.814954828478903</v>
      </c>
    </row>
    <row r="127" spans="1:6">
      <c r="A127">
        <f>Dashboard_Live_Data!D126</f>
        <v>2</v>
      </c>
      <c r="B127">
        <f>Dashboard_Live_Data!E126</f>
        <v>534.50648407239817</v>
      </c>
      <c r="C127">
        <f>Dashboard_Live_Data!D126</f>
        <v>2</v>
      </c>
      <c r="D127">
        <f>Dashboard_Live_Data!F126</f>
        <v>534.50648407239817</v>
      </c>
      <c r="E127">
        <f>Dashboard_Live_Data!D126</f>
        <v>2</v>
      </c>
      <c r="F127">
        <f>Dashboard_Live_Data!G126</f>
        <v>65.558177903204651</v>
      </c>
    </row>
    <row r="128" spans="1:6">
      <c r="A128">
        <f>Dashboard_Live_Data!D127</f>
        <v>2.5</v>
      </c>
      <c r="B128">
        <f>Dashboard_Live_Data!E127</f>
        <v>549.73081486924821</v>
      </c>
      <c r="C128">
        <f>Dashboard_Live_Data!D127</f>
        <v>2.5</v>
      </c>
      <c r="D128">
        <f>Dashboard_Live_Data!F127</f>
        <v>549.73081486924821</v>
      </c>
      <c r="E128">
        <f>Dashboard_Live_Data!D127</f>
        <v>2.5</v>
      </c>
      <c r="F128">
        <f>Dashboard_Live_Data!G127</f>
        <v>70.900883626482283</v>
      </c>
    </row>
    <row r="129" spans="1:6">
      <c r="A129">
        <f>Dashboard_Live_Data!D128</f>
        <v>3</v>
      </c>
      <c r="B129">
        <f>Dashboard_Live_Data!E128</f>
        <v>536.84310410266767</v>
      </c>
      <c r="C129">
        <f>Dashboard_Live_Data!D128</f>
        <v>3</v>
      </c>
      <c r="D129">
        <f>Dashboard_Live_Data!F128</f>
        <v>536.84310410266767</v>
      </c>
      <c r="E129">
        <f>Dashboard_Live_Data!D128</f>
        <v>3</v>
      </c>
      <c r="F129">
        <f>Dashboard_Live_Data!G128</f>
        <v>82.120865864262811</v>
      </c>
    </row>
    <row r="130" spans="1:6">
      <c r="A130">
        <f>Dashboard_Live_Data!D129</f>
        <v>3.5</v>
      </c>
      <c r="B130">
        <f>Dashboard_Live_Data!E129</f>
        <v>562.91901967460217</v>
      </c>
      <c r="C130">
        <f>Dashboard_Live_Data!D129</f>
        <v>3.5</v>
      </c>
      <c r="D130">
        <f>Dashboard_Live_Data!F129</f>
        <v>562.91901967460217</v>
      </c>
      <c r="E130">
        <f>Dashboard_Live_Data!D129</f>
        <v>3.5</v>
      </c>
      <c r="F130">
        <f>Dashboard_Live_Data!G129</f>
        <v>98.61636326587373</v>
      </c>
    </row>
    <row r="131" spans="1:6">
      <c r="A131">
        <f>Dashboard_Live_Data!D130</f>
        <v>4</v>
      </c>
      <c r="B131">
        <f>Dashboard_Live_Data!E130</f>
        <v>561.66976905744889</v>
      </c>
      <c r="C131">
        <f>Dashboard_Live_Data!D130</f>
        <v>4</v>
      </c>
      <c r="D131">
        <f>Dashboard_Live_Data!F130</f>
        <v>561.66976905744889</v>
      </c>
      <c r="E131">
        <f>Dashboard_Live_Data!D130</f>
        <v>4</v>
      </c>
      <c r="F131">
        <f>Dashboard_Live_Data!G130</f>
        <v>96.363113555281444</v>
      </c>
    </row>
    <row r="132" spans="1:6">
      <c r="A132">
        <f>Dashboard_Live_Data!D131</f>
        <v>4.5</v>
      </c>
      <c r="B132">
        <f>Dashboard_Live_Data!E131</f>
        <v>568.64363822483097</v>
      </c>
      <c r="C132">
        <f>Dashboard_Live_Data!D131</f>
        <v>4.5</v>
      </c>
      <c r="D132">
        <f>Dashboard_Live_Data!F131</f>
        <v>568.64363822483097</v>
      </c>
      <c r="E132">
        <f>Dashboard_Live_Data!D131</f>
        <v>4.5</v>
      </c>
      <c r="F132">
        <f>Dashboard_Live_Data!G131</f>
        <v>82.519985907488817</v>
      </c>
    </row>
    <row r="133" spans="1:6">
      <c r="A133">
        <f>Dashboard_Live_Data!D132</f>
        <v>5</v>
      </c>
      <c r="B133">
        <f>Dashboard_Live_Data!E132</f>
        <v>548.81469209034094</v>
      </c>
      <c r="C133">
        <f>Dashboard_Live_Data!D132</f>
        <v>5</v>
      </c>
      <c r="D133">
        <f>Dashboard_Live_Data!F132</f>
        <v>548.81469209034094</v>
      </c>
      <c r="E133">
        <f>Dashboard_Live_Data!D132</f>
        <v>5</v>
      </c>
      <c r="F133">
        <f>Dashboard_Live_Data!G132</f>
        <v>98.949763506231449</v>
      </c>
    </row>
    <row r="134" spans="1:6">
      <c r="A134">
        <f>Dashboard_Live_Data!D133</f>
        <v>5.5</v>
      </c>
      <c r="B134">
        <f>Dashboard_Live_Data!E133</f>
        <v>539.52128531641313</v>
      </c>
      <c r="C134">
        <f>Dashboard_Live_Data!D133</f>
        <v>5.5</v>
      </c>
      <c r="D134">
        <f>Dashboard_Live_Data!F133</f>
        <v>539.52128531641313</v>
      </c>
      <c r="E134">
        <f>Dashboard_Live_Data!D133</f>
        <v>5.5</v>
      </c>
      <c r="F134">
        <f>Dashboard_Live_Data!G133</f>
        <v>97.114417477688932</v>
      </c>
    </row>
    <row r="135" spans="1:6">
      <c r="A135">
        <f>Dashboard_Live_Data!D134</f>
        <v>6</v>
      </c>
      <c r="B135">
        <f>Dashboard_Live_Data!E134</f>
        <v>533.69206209739866</v>
      </c>
      <c r="C135">
        <f>Dashboard_Live_Data!D134</f>
        <v>6</v>
      </c>
      <c r="D135">
        <f>Dashboard_Live_Data!F134</f>
        <v>533.69206209739866</v>
      </c>
      <c r="E135">
        <f>Dashboard_Live_Data!D134</f>
        <v>6</v>
      </c>
      <c r="F135">
        <f>Dashboard_Live_Data!G134</f>
        <v>70.342553479412842</v>
      </c>
    </row>
    <row r="136" spans="1:6">
      <c r="A136">
        <f>Dashboard_Live_Data!D135</f>
        <v>6.5</v>
      </c>
      <c r="B136">
        <f>Dashboard_Live_Data!E135</f>
        <v>524.4263848132822</v>
      </c>
      <c r="C136">
        <f>Dashboard_Live_Data!D135</f>
        <v>6.5</v>
      </c>
      <c r="D136">
        <f>Dashboard_Live_Data!F135</f>
        <v>524.4263848132822</v>
      </c>
      <c r="E136">
        <f>Dashboard_Live_Data!D135</f>
        <v>6.5</v>
      </c>
      <c r="F136">
        <f>Dashboard_Live_Data!G135</f>
        <v>77.64795080795966</v>
      </c>
    </row>
    <row r="137" spans="1:6">
      <c r="A137">
        <f>Dashboard_Live_Data!D136</f>
        <v>7</v>
      </c>
      <c r="B137">
        <f>Dashboard_Live_Data!E136</f>
        <v>534.40783187914269</v>
      </c>
      <c r="C137">
        <f>Dashboard_Live_Data!D136</f>
        <v>7</v>
      </c>
      <c r="D137">
        <f>Dashboard_Live_Data!F136</f>
        <v>534.40783187914269</v>
      </c>
      <c r="E137">
        <f>Dashboard_Live_Data!D136</f>
        <v>7</v>
      </c>
      <c r="F137">
        <f>Dashboard_Live_Data!G136</f>
        <v>66.915509899073115</v>
      </c>
    </row>
    <row r="138" spans="1:6">
      <c r="A138">
        <f>Dashboard_Live_Data!D137</f>
        <v>7.5</v>
      </c>
      <c r="B138">
        <f>Dashboard_Live_Data!E137</f>
        <v>503.48380224840304</v>
      </c>
      <c r="C138">
        <f>Dashboard_Live_Data!D137</f>
        <v>7.5</v>
      </c>
      <c r="D138">
        <f>Dashboard_Live_Data!F137</f>
        <v>503.48380224840304</v>
      </c>
      <c r="E138">
        <f>Dashboard_Live_Data!D137</f>
        <v>7.5</v>
      </c>
      <c r="F138">
        <f>Dashboard_Live_Data!G137</f>
        <v>56.202037436945574</v>
      </c>
    </row>
    <row r="139" spans="1:6">
      <c r="A139">
        <f>Dashboard_Live_Data!D138</f>
        <v>8</v>
      </c>
      <c r="B139">
        <f>Dashboard_Live_Data!E138</f>
        <v>497.22645344932982</v>
      </c>
      <c r="C139">
        <f>Dashboard_Live_Data!D138</f>
        <v>8</v>
      </c>
      <c r="D139">
        <f>Dashboard_Live_Data!F138</f>
        <v>497.22645344932982</v>
      </c>
      <c r="E139">
        <f>Dashboard_Live_Data!D138</f>
        <v>8</v>
      </c>
      <c r="F139">
        <f>Dashboard_Live_Data!G138</f>
        <v>45.993205062010666</v>
      </c>
    </row>
    <row r="140" spans="1:6">
      <c r="A140">
        <f>Dashboard_Live_Data!D139</f>
        <v>8.5</v>
      </c>
      <c r="B140">
        <f>Dashboard_Live_Data!E139</f>
        <v>479.6019721372586</v>
      </c>
      <c r="C140">
        <f>Dashboard_Live_Data!D139</f>
        <v>8.5</v>
      </c>
      <c r="D140">
        <f>Dashboard_Live_Data!F139</f>
        <v>479.6019721372586</v>
      </c>
      <c r="E140">
        <f>Dashboard_Live_Data!D139</f>
        <v>8.5</v>
      </c>
      <c r="F140">
        <f>Dashboard_Live_Data!G139</f>
        <v>35.421208100654937</v>
      </c>
    </row>
    <row r="141" spans="1:6">
      <c r="A141">
        <f>Dashboard_Live_Data!D140</f>
        <v>9</v>
      </c>
      <c r="B141">
        <f>Dashboard_Live_Data!E140</f>
        <v>481.22587957439987</v>
      </c>
      <c r="C141">
        <f>Dashboard_Live_Data!D140</f>
        <v>9</v>
      </c>
      <c r="D141">
        <f>Dashboard_Live_Data!F140</f>
        <v>481.22587957439987</v>
      </c>
      <c r="E141">
        <f>Dashboard_Live_Data!D140</f>
        <v>9</v>
      </c>
      <c r="F141">
        <f>Dashboard_Live_Data!G140</f>
        <v>29.628149721243545</v>
      </c>
    </row>
    <row r="142" spans="1:6">
      <c r="A142">
        <f>Dashboard_Live_Data!D141</f>
        <v>9.5</v>
      </c>
      <c r="B142">
        <f>Dashboard_Live_Data!E141</f>
        <v>478.27937371872196</v>
      </c>
      <c r="C142">
        <f>Dashboard_Live_Data!D141</f>
        <v>9.5</v>
      </c>
      <c r="D142">
        <f>Dashboard_Live_Data!F141</f>
        <v>478.27937371872196</v>
      </c>
      <c r="E142">
        <f>Dashboard_Live_Data!D141</f>
        <v>9.5</v>
      </c>
      <c r="F142">
        <f>Dashboard_Live_Data!G141</f>
        <v>5.6499270186383477</v>
      </c>
    </row>
    <row r="143" spans="1:6">
      <c r="A143">
        <f>Dashboard_Live_Data!D142</f>
        <v>10</v>
      </c>
      <c r="B143">
        <f>Dashboard_Live_Data!E142</f>
        <v>454.20220076904832</v>
      </c>
      <c r="C143">
        <f>Dashboard_Live_Data!D142</f>
        <v>10</v>
      </c>
      <c r="D143">
        <f>Dashboard_Live_Data!F142</f>
        <v>454.20220076904832</v>
      </c>
      <c r="E143">
        <f>Dashboard_Live_Data!D142</f>
        <v>10</v>
      </c>
      <c r="F143">
        <f>Dashboard_Live_Data!G142</f>
        <v>-8.569441618173812</v>
      </c>
    </row>
    <row r="144" spans="1:6">
      <c r="A144">
        <f>Dashboard_Live_Data!D143</f>
        <v>10.5</v>
      </c>
      <c r="B144">
        <f>Dashboard_Live_Data!E143</f>
        <v>437.9381023255097</v>
      </c>
      <c r="C144">
        <f>Dashboard_Live_Data!D143</f>
        <v>10.5</v>
      </c>
      <c r="D144">
        <f>Dashboard_Live_Data!F143</f>
        <v>437.9381023255097</v>
      </c>
      <c r="E144">
        <f>Dashboard_Live_Data!D143</f>
        <v>10.5</v>
      </c>
      <c r="F144">
        <f>Dashboard_Live_Data!G143</f>
        <v>4.9362904077748144</v>
      </c>
    </row>
    <row r="145" spans="1:6">
      <c r="A145">
        <f>Dashboard_Live_Data!D144</f>
        <v>11</v>
      </c>
      <c r="B145">
        <f>Dashboard_Live_Data!E144</f>
        <v>444.93860770344918</v>
      </c>
      <c r="C145">
        <f>Dashboard_Live_Data!D144</f>
        <v>11</v>
      </c>
      <c r="D145">
        <f>Dashboard_Live_Data!F144</f>
        <v>444.93860770344918</v>
      </c>
      <c r="E145">
        <f>Dashboard_Live_Data!D144</f>
        <v>11</v>
      </c>
      <c r="F145">
        <f>Dashboard_Live_Data!G144</f>
        <v>1.9403678384373038</v>
      </c>
    </row>
    <row r="146" spans="1:6">
      <c r="A146">
        <f>Dashboard_Live_Data!D145</f>
        <v>11.5</v>
      </c>
      <c r="B146">
        <f>Dashboard_Live_Data!E145</f>
        <v>434.44467895572086</v>
      </c>
      <c r="C146">
        <f>Dashboard_Live_Data!D145</f>
        <v>11.5</v>
      </c>
      <c r="D146">
        <f>Dashboard_Live_Data!F145</f>
        <v>434.44467895572086</v>
      </c>
      <c r="E146">
        <f>Dashboard_Live_Data!D145</f>
        <v>11.5</v>
      </c>
      <c r="F146">
        <f>Dashboard_Live_Data!G145</f>
        <v>4.0448246838212674</v>
      </c>
    </row>
    <row r="147" spans="1:6">
      <c r="A147">
        <f>Dashboard_Live_Data!D146</f>
        <v>12</v>
      </c>
      <c r="B147">
        <f>Dashboard_Live_Data!E146</f>
        <v>422.8387186345762</v>
      </c>
      <c r="C147">
        <f>Dashboard_Live_Data!D146</f>
        <v>12</v>
      </c>
      <c r="D147">
        <f>Dashboard_Live_Data!F146</f>
        <v>422.8387186345762</v>
      </c>
      <c r="E147">
        <f>Dashboard_Live_Data!D146</f>
        <v>12</v>
      </c>
      <c r="F147">
        <f>Dashboard_Live_Data!G146</f>
        <v>7.073891806129688</v>
      </c>
    </row>
    <row r="148" spans="1:6">
      <c r="A148">
        <f>Dashboard_Live_Data!D147</f>
        <v>12.5</v>
      </c>
      <c r="B148">
        <f>Dashboard_Live_Data!E147</f>
        <v>434.12423495839124</v>
      </c>
      <c r="C148">
        <f>Dashboard_Live_Data!D147</f>
        <v>12.5</v>
      </c>
      <c r="D148">
        <f>Dashboard_Live_Data!F147</f>
        <v>434.12423495839124</v>
      </c>
      <c r="E148">
        <f>Dashboard_Live_Data!D147</f>
        <v>12.5</v>
      </c>
      <c r="F148">
        <f>Dashboard_Live_Data!G147</f>
        <v>-5.6874541754451418</v>
      </c>
    </row>
    <row r="149" spans="1:6">
      <c r="A149">
        <f>Dashboard_Live_Data!D148</f>
        <v>13</v>
      </c>
      <c r="B149">
        <f>Dashboard_Live_Data!E148</f>
        <v>428.83519917040849</v>
      </c>
      <c r="C149">
        <f>Dashboard_Live_Data!D148</f>
        <v>13</v>
      </c>
      <c r="D149">
        <f>Dashboard_Live_Data!F148</f>
        <v>428.83519917040849</v>
      </c>
      <c r="E149">
        <f>Dashboard_Live_Data!D148</f>
        <v>13</v>
      </c>
      <c r="F149">
        <f>Dashboard_Live_Data!G148</f>
        <v>-3.6184909665757639</v>
      </c>
    </row>
    <row r="150" spans="1:6">
      <c r="A150">
        <f>Dashboard_Live_Data!D149</f>
        <v>13.5</v>
      </c>
      <c r="B150">
        <f>Dashboard_Live_Data!E149</f>
        <v>408.84619240872695</v>
      </c>
      <c r="C150">
        <f>Dashboard_Live_Data!D149</f>
        <v>13.5</v>
      </c>
      <c r="D150">
        <f>Dashboard_Live_Data!F149</f>
        <v>408.84619240872695</v>
      </c>
      <c r="E150">
        <f>Dashboard_Live_Data!D149</f>
        <v>13.5</v>
      </c>
      <c r="F150">
        <f>Dashboard_Live_Data!G149</f>
        <v>4.5761325244330742E-2</v>
      </c>
    </row>
    <row r="151" spans="1:6">
      <c r="A151">
        <f>Dashboard_Live_Data!D150</f>
        <v>14</v>
      </c>
      <c r="B151">
        <f>Dashboard_Live_Data!E150</f>
        <v>412.55100068044544</v>
      </c>
      <c r="C151">
        <f>Dashboard_Live_Data!D150</f>
        <v>14</v>
      </c>
      <c r="D151">
        <f>Dashboard_Live_Data!F150</f>
        <v>412.55100068044544</v>
      </c>
      <c r="E151">
        <f>Dashboard_Live_Data!D150</f>
        <v>14</v>
      </c>
      <c r="F151">
        <f>Dashboard_Live_Data!G150</f>
        <v>17.148059194147212</v>
      </c>
    </row>
    <row r="152" spans="1:6">
      <c r="A152">
        <f>Dashboard_Live_Data!D151</f>
        <v>14.5</v>
      </c>
      <c r="B152">
        <f>Dashboard_Live_Data!E151</f>
        <v>415.56752777059438</v>
      </c>
      <c r="C152">
        <f>Dashboard_Live_Data!D151</f>
        <v>14.5</v>
      </c>
      <c r="D152">
        <f>Dashboard_Live_Data!F151</f>
        <v>415.56752777059438</v>
      </c>
      <c r="E152">
        <f>Dashboard_Live_Data!D151</f>
        <v>14.5</v>
      </c>
      <c r="F152">
        <f>Dashboard_Live_Data!G151</f>
        <v>27.325427950728567</v>
      </c>
    </row>
    <row r="153" spans="1:6">
      <c r="A153">
        <f>Dashboard_Live_Data!D152</f>
        <v>15</v>
      </c>
      <c r="B153">
        <f>Dashboard_Live_Data!E152</f>
        <v>399.34593170493116</v>
      </c>
      <c r="C153">
        <f>Dashboard_Live_Data!D152</f>
        <v>15</v>
      </c>
      <c r="D153">
        <f>Dashboard_Live_Data!F152</f>
        <v>399.34593170493116</v>
      </c>
      <c r="E153">
        <f>Dashboard_Live_Data!D152</f>
        <v>15</v>
      </c>
      <c r="F153">
        <f>Dashboard_Live_Data!G152</f>
        <v>45.362905639140564</v>
      </c>
    </row>
    <row r="154" spans="1:6">
      <c r="A154">
        <f>Dashboard_Live_Data!D153</f>
        <v>15.5</v>
      </c>
      <c r="B154">
        <f>Dashboard_Live_Data!E153</f>
        <v>395.61636103749299</v>
      </c>
      <c r="C154">
        <f>Dashboard_Live_Data!D153</f>
        <v>15.5</v>
      </c>
      <c r="D154">
        <f>Dashboard_Live_Data!F153</f>
        <v>395.61636103749299</v>
      </c>
      <c r="E154">
        <f>Dashboard_Live_Data!D153</f>
        <v>15.5</v>
      </c>
      <c r="F154">
        <f>Dashboard_Live_Data!G153</f>
        <v>49.090179641950456</v>
      </c>
    </row>
    <row r="155" spans="1:6">
      <c r="A155">
        <f>Dashboard_Live_Data!D154</f>
        <v>16</v>
      </c>
      <c r="B155">
        <f>Dashboard_Live_Data!E154</f>
        <v>400.30891755789503</v>
      </c>
      <c r="C155">
        <f>Dashboard_Live_Data!D154</f>
        <v>16</v>
      </c>
      <c r="D155">
        <f>Dashboard_Live_Data!F154</f>
        <v>400.30891755789503</v>
      </c>
      <c r="E155">
        <f>Dashboard_Live_Data!D154</f>
        <v>16</v>
      </c>
      <c r="F155">
        <f>Dashboard_Live_Data!G154</f>
        <v>69.720188044182294</v>
      </c>
    </row>
    <row r="156" spans="1:6">
      <c r="A156">
        <f>Dashboard_Live_Data!D155</f>
        <v>16.5</v>
      </c>
      <c r="B156">
        <f>Dashboard_Live_Data!E155</f>
        <v>406.20178346502695</v>
      </c>
      <c r="C156">
        <f>Dashboard_Live_Data!D155</f>
        <v>16.5</v>
      </c>
      <c r="D156">
        <f>Dashboard_Live_Data!F155</f>
        <v>406.20178346502695</v>
      </c>
      <c r="E156">
        <f>Dashboard_Live_Data!D155</f>
        <v>16.5</v>
      </c>
      <c r="F156">
        <f>Dashboard_Live_Data!G155</f>
        <v>71.50919840907298</v>
      </c>
    </row>
    <row r="157" spans="1:6">
      <c r="A157">
        <f>Dashboard_Live_Data!D156</f>
        <v>17</v>
      </c>
      <c r="B157">
        <f>Dashboard_Live_Data!E156</f>
        <v>402.89735855020393</v>
      </c>
      <c r="C157">
        <f>Dashboard_Live_Data!D156</f>
        <v>17</v>
      </c>
      <c r="D157">
        <f>Dashboard_Live_Data!F156</f>
        <v>402.89735855020393</v>
      </c>
      <c r="E157">
        <f>Dashboard_Live_Data!D156</f>
        <v>17</v>
      </c>
      <c r="F157">
        <f>Dashboard_Live_Data!G156</f>
        <v>58.586187093984584</v>
      </c>
    </row>
    <row r="158" spans="1:6">
      <c r="A158">
        <f>Dashboard_Live_Data!D157</f>
        <v>17.5</v>
      </c>
      <c r="B158">
        <f>Dashboard_Live_Data!E157</f>
        <v>412.59673853511725</v>
      </c>
      <c r="C158">
        <f>Dashboard_Live_Data!D157</f>
        <v>17.5</v>
      </c>
      <c r="D158">
        <f>Dashboard_Live_Data!F157</f>
        <v>412.59673853511725</v>
      </c>
      <c r="E158">
        <f>Dashboard_Live_Data!D157</f>
        <v>17.5</v>
      </c>
      <c r="F158">
        <f>Dashboard_Live_Data!G157</f>
        <v>65.712265116192313</v>
      </c>
    </row>
    <row r="159" spans="1:6">
      <c r="A159">
        <f>Dashboard_Live_Data!D158</f>
        <v>18</v>
      </c>
      <c r="B159">
        <f>Dashboard_Live_Data!E158</f>
        <v>417.36712485558922</v>
      </c>
      <c r="C159">
        <f>Dashboard_Live_Data!D158</f>
        <v>18</v>
      </c>
      <c r="D159">
        <f>Dashboard_Live_Data!F158</f>
        <v>417.36712485558922</v>
      </c>
      <c r="E159">
        <f>Dashboard_Live_Data!D158</f>
        <v>18</v>
      </c>
      <c r="F159">
        <f>Dashboard_Live_Data!G158</f>
        <v>70.502986137150288</v>
      </c>
    </row>
    <row r="160" spans="1:6">
      <c r="A160">
        <f>Dashboard_Live_Data!D159</f>
        <v>18.5</v>
      </c>
      <c r="B160">
        <f>Dashboard_Live_Data!E159</f>
        <v>414.03078360213277</v>
      </c>
      <c r="C160">
        <f>Dashboard_Live_Data!D159</f>
        <v>18.5</v>
      </c>
      <c r="D160">
        <f>Dashboard_Live_Data!F159</f>
        <v>414.03078360213277</v>
      </c>
      <c r="E160">
        <f>Dashboard_Live_Data!D159</f>
        <v>18.5</v>
      </c>
      <c r="F160">
        <f>Dashboard_Live_Data!G159</f>
        <v>84.15381309689964</v>
      </c>
    </row>
    <row r="161" spans="1:6">
      <c r="A161">
        <f>Dashboard_Live_Data!D160</f>
        <v>19</v>
      </c>
      <c r="B161">
        <f>Dashboard_Live_Data!E160</f>
        <v>429.33926339108206</v>
      </c>
      <c r="C161">
        <f>Dashboard_Live_Data!D160</f>
        <v>19</v>
      </c>
      <c r="D161">
        <f>Dashboard_Live_Data!F160</f>
        <v>429.33926339108206</v>
      </c>
      <c r="E161">
        <f>Dashboard_Live_Data!D160</f>
        <v>19</v>
      </c>
      <c r="F161">
        <f>Dashboard_Live_Data!G160</f>
        <v>87.795161496026481</v>
      </c>
    </row>
    <row r="162" spans="1:6">
      <c r="A162">
        <f>Dashboard_Live_Data!D161</f>
        <v>19.5</v>
      </c>
      <c r="B162">
        <f>Dashboard_Live_Data!E161</f>
        <v>436.66425250955575</v>
      </c>
      <c r="C162">
        <f>Dashboard_Live_Data!D161</f>
        <v>19.5</v>
      </c>
      <c r="D162">
        <f>Dashboard_Live_Data!F161</f>
        <v>436.66425250955575</v>
      </c>
      <c r="E162">
        <f>Dashboard_Live_Data!D161</f>
        <v>19.5</v>
      </c>
      <c r="F162">
        <f>Dashboard_Live_Data!G161</f>
        <v>80.085787823255487</v>
      </c>
    </row>
    <row r="163" spans="1:6">
      <c r="A163">
        <f>Dashboard_Live_Data!D162</f>
        <v>20</v>
      </c>
      <c r="B163">
        <f>Dashboard_Live_Data!E162</f>
        <v>439.01130208847866</v>
      </c>
      <c r="C163">
        <f>Dashboard_Live_Data!D162</f>
        <v>20</v>
      </c>
      <c r="D163">
        <f>Dashboard_Live_Data!F162</f>
        <v>439.01130208847866</v>
      </c>
      <c r="E163">
        <f>Dashboard_Live_Data!D162</f>
        <v>20</v>
      </c>
      <c r="F163">
        <f>Dashboard_Live_Data!G162</f>
        <v>74.331668639094204</v>
      </c>
    </row>
    <row r="164" spans="1:6">
      <c r="A164">
        <f>Dashboard_Live_Data!D163</f>
        <v>20.5</v>
      </c>
      <c r="B164">
        <f>Dashboard_Live_Data!E163</f>
        <v>441.76372328978528</v>
      </c>
      <c r="C164">
        <f>Dashboard_Live_Data!D163</f>
        <v>20.5</v>
      </c>
      <c r="D164">
        <f>Dashboard_Live_Data!F163</f>
        <v>441.76372328978528</v>
      </c>
      <c r="E164">
        <f>Dashboard_Live_Data!D163</f>
        <v>20.5</v>
      </c>
      <c r="F164">
        <f>Dashboard_Live_Data!G163</f>
        <v>77.082988367878912</v>
      </c>
    </row>
    <row r="165" spans="1:6">
      <c r="A165">
        <f>Dashboard_Live_Data!D164</f>
        <v>21</v>
      </c>
      <c r="B165">
        <f>Dashboard_Live_Data!E164</f>
        <v>441.25371433177679</v>
      </c>
      <c r="C165">
        <f>Dashboard_Live_Data!D164</f>
        <v>21</v>
      </c>
      <c r="D165">
        <f>Dashboard_Live_Data!F164</f>
        <v>441.25371433177679</v>
      </c>
      <c r="E165">
        <f>Dashboard_Live_Data!D164</f>
        <v>21</v>
      </c>
      <c r="F165">
        <f>Dashboard_Live_Data!G164</f>
        <v>84.606080583689305</v>
      </c>
    </row>
    <row r="166" spans="1:6">
      <c r="A166">
        <f>Dashboard_Live_Data!D165</f>
        <v>21.5</v>
      </c>
      <c r="B166">
        <f>Dashboard_Live_Data!E165</f>
        <v>444.13942667643141</v>
      </c>
      <c r="C166">
        <f>Dashboard_Live_Data!D165</f>
        <v>21.5</v>
      </c>
      <c r="D166">
        <f>Dashboard_Live_Data!F165</f>
        <v>444.13942667643141</v>
      </c>
      <c r="E166">
        <f>Dashboard_Live_Data!D165</f>
        <v>21.5</v>
      </c>
      <c r="F166">
        <f>Dashboard_Live_Data!G165</f>
        <v>83.651674349785893</v>
      </c>
    </row>
    <row r="167" spans="1:6">
      <c r="A167">
        <f>Dashboard_Live_Data!D166</f>
        <v>22</v>
      </c>
      <c r="B167">
        <f>Dashboard_Live_Data!E166</f>
        <v>447.7794532624074</v>
      </c>
      <c r="C167">
        <f>Dashboard_Live_Data!D166</f>
        <v>22</v>
      </c>
      <c r="D167">
        <f>Dashboard_Live_Data!F166</f>
        <v>447.7794532624074</v>
      </c>
      <c r="E167">
        <f>Dashboard_Live_Data!D166</f>
        <v>22</v>
      </c>
      <c r="F167">
        <f>Dashboard_Live_Data!G166</f>
        <v>73.365898263722698</v>
      </c>
    </row>
    <row r="168" spans="1:6">
      <c r="A168">
        <f>Dashboard_Live_Data!D167</f>
        <v>22.5</v>
      </c>
      <c r="B168">
        <f>Dashboard_Live_Data!E167</f>
        <v>442.50927153418206</v>
      </c>
      <c r="C168">
        <f>Dashboard_Live_Data!D167</f>
        <v>22.5</v>
      </c>
      <c r="D168">
        <f>Dashboard_Live_Data!F167</f>
        <v>442.50927153418206</v>
      </c>
      <c r="E168">
        <f>Dashboard_Live_Data!D167</f>
        <v>22.5</v>
      </c>
      <c r="F168">
        <f>Dashboard_Live_Data!G167</f>
        <v>73.863220086762837</v>
      </c>
    </row>
    <row r="169" spans="1:6">
      <c r="A169">
        <f>Dashboard_Live_Data!D168</f>
        <v>23</v>
      </c>
      <c r="B169">
        <f>Dashboard_Live_Data!E168</f>
        <v>438.1289491107309</v>
      </c>
      <c r="C169">
        <f>Dashboard_Live_Data!D168</f>
        <v>23</v>
      </c>
      <c r="D169">
        <f>Dashboard_Live_Data!F168</f>
        <v>438.1289491107309</v>
      </c>
      <c r="E169">
        <f>Dashboard_Live_Data!D168</f>
        <v>23</v>
      </c>
      <c r="F169">
        <f>Dashboard_Live_Data!G168</f>
        <v>61.781548358505674</v>
      </c>
    </row>
    <row r="170" spans="1:6">
      <c r="A170">
        <f>Dashboard_Live_Data!D169</f>
        <v>23.5</v>
      </c>
      <c r="B170">
        <f>Dashboard_Live_Data!E169</f>
        <v>431.2131008039683</v>
      </c>
      <c r="C170">
        <f>Dashboard_Live_Data!D169</f>
        <v>23.5</v>
      </c>
      <c r="D170">
        <f>Dashboard_Live_Data!F169</f>
        <v>431.2131008039683</v>
      </c>
      <c r="E170">
        <f>Dashboard_Live_Data!D169</f>
        <v>23.5</v>
      </c>
      <c r="F170">
        <f>Dashboard_Live_Data!G169</f>
        <v>70.988668852426656</v>
      </c>
    </row>
    <row r="171" spans="1:6">
      <c r="A171">
        <f>Dashboard_Live_Data!D170</f>
        <v>24</v>
      </c>
      <c r="B171">
        <f>Dashboard_Live_Data!E170</f>
        <v>441.26250725072242</v>
      </c>
      <c r="C171">
        <f>Dashboard_Live_Data!D170</f>
        <v>24</v>
      </c>
      <c r="D171">
        <f>Dashboard_Live_Data!F170</f>
        <v>441.26250725072242</v>
      </c>
      <c r="E171">
        <f>Dashboard_Live_Data!D170</f>
        <v>24</v>
      </c>
      <c r="F171">
        <f>Dashboard_Live_Data!G170</f>
        <v>75.468150170569217</v>
      </c>
    </row>
    <row r="172" spans="1:6">
      <c r="A172">
        <f>Dashboard_Live_Data!D171</f>
        <v>24.5</v>
      </c>
      <c r="B172">
        <f>Dashboard_Live_Data!E171</f>
        <v>415.43697734419459</v>
      </c>
      <c r="C172">
        <f>Dashboard_Live_Data!D171</f>
        <v>24.5</v>
      </c>
      <c r="D172">
        <f>Dashboard_Live_Data!F171</f>
        <v>415.43697734419459</v>
      </c>
      <c r="E172">
        <f>Dashboard_Live_Data!D171</f>
        <v>24.5</v>
      </c>
      <c r="F172">
        <f>Dashboard_Live_Data!G171</f>
        <v>80.288162734236394</v>
      </c>
    </row>
    <row r="173" spans="1:6">
      <c r="A173">
        <f>Dashboard_Live_Data!D172</f>
        <v>25</v>
      </c>
      <c r="B173">
        <f>Dashboard_Live_Data!E172</f>
        <v>418.83207484781849</v>
      </c>
      <c r="C173">
        <f>Dashboard_Live_Data!D172</f>
        <v>25</v>
      </c>
      <c r="D173">
        <f>Dashboard_Live_Data!F172</f>
        <v>418.83207484781849</v>
      </c>
      <c r="E173">
        <f>Dashboard_Live_Data!D172</f>
        <v>25</v>
      </c>
      <c r="F173">
        <f>Dashboard_Live_Data!G172</f>
        <v>61.498548518191555</v>
      </c>
    </row>
    <row r="174" spans="1:6">
      <c r="A174">
        <f>Dashboard_Live_Data!D173</f>
        <v>25.5</v>
      </c>
      <c r="B174">
        <f>Dashboard_Live_Data!E173</f>
        <v>390.15691093624679</v>
      </c>
      <c r="C174">
        <f>Dashboard_Live_Data!D173</f>
        <v>25.5</v>
      </c>
      <c r="D174">
        <f>Dashboard_Live_Data!F173</f>
        <v>390.15691093624679</v>
      </c>
      <c r="E174">
        <f>Dashboard_Live_Data!D173</f>
        <v>25.5</v>
      </c>
      <c r="F174">
        <f>Dashboard_Live_Data!G173</f>
        <v>67.901880448960824</v>
      </c>
    </row>
    <row r="175" spans="1:6">
      <c r="A175">
        <f>Dashboard_Live_Data!D174</f>
        <v>26</v>
      </c>
      <c r="B175">
        <f>Dashboard_Live_Data!E174</f>
        <v>387.37494101799217</v>
      </c>
      <c r="C175">
        <f>Dashboard_Live_Data!D174</f>
        <v>26</v>
      </c>
      <c r="D175">
        <f>Dashboard_Live_Data!F174</f>
        <v>387.37494101799217</v>
      </c>
      <c r="E175">
        <f>Dashboard_Live_Data!D174</f>
        <v>26</v>
      </c>
      <c r="F175">
        <f>Dashboard_Live_Data!G174</f>
        <v>65.032671862171824</v>
      </c>
    </row>
    <row r="176" spans="1:6">
      <c r="A176">
        <f>Dashboard_Live_Data!D175</f>
        <v>26.5</v>
      </c>
      <c r="B176">
        <f>Dashboard_Live_Data!E175</f>
        <v>383.48713922986474</v>
      </c>
      <c r="C176">
        <f>Dashboard_Live_Data!D175</f>
        <v>26.5</v>
      </c>
      <c r="D176">
        <f>Dashboard_Live_Data!F175</f>
        <v>383.48713922986474</v>
      </c>
      <c r="E176">
        <f>Dashboard_Live_Data!D175</f>
        <v>26.5</v>
      </c>
      <c r="F176">
        <f>Dashboard_Live_Data!G175</f>
        <v>69.516598212008631</v>
      </c>
    </row>
    <row r="177" spans="1:6">
      <c r="A177">
        <f>Dashboard_Live_Data!D176</f>
        <v>27</v>
      </c>
      <c r="B177">
        <f>Dashboard_Live_Data!E176</f>
        <v>346.22873286462408</v>
      </c>
      <c r="C177">
        <f>Dashboard_Live_Data!D176</f>
        <v>27</v>
      </c>
      <c r="D177">
        <f>Dashboard_Live_Data!F176</f>
        <v>346.22873286462408</v>
      </c>
      <c r="E177">
        <f>Dashboard_Live_Data!D176</f>
        <v>27</v>
      </c>
      <c r="F177">
        <f>Dashboard_Live_Data!G176</f>
        <v>64.454469680614793</v>
      </c>
    </row>
    <row r="178" spans="1:6">
      <c r="A178">
        <f>Dashboard_Live_Data!D177</f>
        <v>27.5</v>
      </c>
      <c r="B178">
        <f>Dashboard_Live_Data!E177</f>
        <v>337.03514018583576</v>
      </c>
      <c r="C178">
        <f>Dashboard_Live_Data!D177</f>
        <v>27.5</v>
      </c>
      <c r="D178">
        <f>Dashboard_Live_Data!F177</f>
        <v>337.03514018583576</v>
      </c>
      <c r="E178">
        <f>Dashboard_Live_Data!D177</f>
        <v>27.5</v>
      </c>
      <c r="F178">
        <f>Dashboard_Live_Data!G177</f>
        <v>45.785881303759091</v>
      </c>
    </row>
    <row r="179" spans="1:6">
      <c r="A179">
        <f>Dashboard_Live_Data!D178</f>
        <v>28</v>
      </c>
      <c r="B179">
        <f>Dashboard_Live_Data!E178</f>
        <v>312.18369818898617</v>
      </c>
      <c r="C179">
        <f>Dashboard_Live_Data!D178</f>
        <v>28</v>
      </c>
      <c r="D179">
        <f>Dashboard_Live_Data!F178</f>
        <v>312.18369818898617</v>
      </c>
      <c r="E179">
        <f>Dashboard_Live_Data!D178</f>
        <v>28</v>
      </c>
      <c r="F179">
        <f>Dashboard_Live_Data!G178</f>
        <v>58.944391773626705</v>
      </c>
    </row>
    <row r="180" spans="1:6">
      <c r="A180">
        <f>Dashboard_Live_Data!D179</f>
        <v>28.5</v>
      </c>
      <c r="B180">
        <f>Dashboard_Live_Data!E179</f>
        <v>310.46598665119308</v>
      </c>
      <c r="C180">
        <f>Dashboard_Live_Data!D179</f>
        <v>28.5</v>
      </c>
      <c r="D180">
        <f>Dashboard_Live_Data!F179</f>
        <v>310.46598665119308</v>
      </c>
      <c r="E180">
        <f>Dashboard_Live_Data!D179</f>
        <v>28.5</v>
      </c>
      <c r="F180">
        <f>Dashboard_Live_Data!G179</f>
        <v>53.727058514925652</v>
      </c>
    </row>
    <row r="181" spans="1:6">
      <c r="A181">
        <f>Dashboard_Live_Data!D180</f>
        <v>29</v>
      </c>
      <c r="B181">
        <f>Dashboard_Live_Data!E180</f>
        <v>283.98171018669603</v>
      </c>
      <c r="C181">
        <f>Dashboard_Live_Data!D180</f>
        <v>29</v>
      </c>
      <c r="D181">
        <f>Dashboard_Live_Data!F180</f>
        <v>283.98171018669603</v>
      </c>
      <c r="E181">
        <f>Dashboard_Live_Data!D180</f>
        <v>29</v>
      </c>
      <c r="F181">
        <f>Dashboard_Live_Data!G180</f>
        <v>29.3621575955436</v>
      </c>
    </row>
    <row r="182" spans="1:6">
      <c r="A182">
        <f>Dashboard_Live_Data!D181</f>
        <v>29.5</v>
      </c>
      <c r="B182">
        <f>Dashboard_Live_Data!E181</f>
        <v>263.5246591496981</v>
      </c>
      <c r="C182">
        <f>Dashboard_Live_Data!D181</f>
        <v>29.5</v>
      </c>
      <c r="D182">
        <f>Dashboard_Live_Data!F181</f>
        <v>263.5246591496981</v>
      </c>
      <c r="E182">
        <f>Dashboard_Live_Data!D181</f>
        <v>29.5</v>
      </c>
      <c r="F182">
        <f>Dashboard_Live_Data!G181</f>
        <v>20.445829988997222</v>
      </c>
    </row>
    <row r="183" spans="1:6">
      <c r="A183">
        <f>Dashboard_Live_Data!D182</f>
        <v>30</v>
      </c>
      <c r="B183">
        <f>Dashboard_Live_Data!E182</f>
        <v>258.38103540276461</v>
      </c>
      <c r="C183">
        <f>Dashboard_Live_Data!D182</f>
        <v>30</v>
      </c>
      <c r="D183">
        <f>Dashboard_Live_Data!F182</f>
        <v>258.38103540276461</v>
      </c>
      <c r="E183">
        <f>Dashboard_Live_Data!D182</f>
        <v>30</v>
      </c>
      <c r="F183">
        <f>Dashboard_Live_Data!G182</f>
        <v>11.879118514207924</v>
      </c>
    </row>
    <row r="184" spans="1:6">
      <c r="A184">
        <f>Dashboard_Live_Data!D183</f>
        <v>30.5</v>
      </c>
      <c r="B184">
        <f>Dashboard_Live_Data!E183</f>
        <v>239.98613946244137</v>
      </c>
      <c r="C184">
        <f>Dashboard_Live_Data!D183</f>
        <v>30.5</v>
      </c>
      <c r="D184">
        <f>Dashboard_Live_Data!F183</f>
        <v>239.98613946244137</v>
      </c>
      <c r="E184">
        <f>Dashboard_Live_Data!D183</f>
        <v>30.5</v>
      </c>
      <c r="F184">
        <f>Dashboard_Live_Data!G183</f>
        <v>4.284803604386866</v>
      </c>
    </row>
    <row r="185" spans="1:6">
      <c r="A185">
        <f>Dashboard_Live_Data!D184</f>
        <v>31</v>
      </c>
      <c r="B185">
        <f>Dashboard_Live_Data!E184</f>
        <v>239.58052306016251</v>
      </c>
      <c r="C185">
        <f>Dashboard_Live_Data!D184</f>
        <v>31</v>
      </c>
      <c r="D185">
        <f>Dashboard_Live_Data!F184</f>
        <v>239.58052306016251</v>
      </c>
      <c r="E185">
        <f>Dashboard_Live_Data!D184</f>
        <v>31</v>
      </c>
      <c r="F185">
        <f>Dashboard_Live_Data!G184</f>
        <v>18.692329061381155</v>
      </c>
    </row>
    <row r="186" spans="1:6">
      <c r="A186">
        <f>Dashboard_Live_Data!D185</f>
        <v>31.5</v>
      </c>
      <c r="B186">
        <f>Dashboard_Live_Data!E185</f>
        <v>216.56157473379682</v>
      </c>
      <c r="C186">
        <f>Dashboard_Live_Data!D185</f>
        <v>31.5</v>
      </c>
      <c r="D186">
        <f>Dashboard_Live_Data!F185</f>
        <v>216.56157473379682</v>
      </c>
      <c r="E186">
        <f>Dashboard_Live_Data!D185</f>
        <v>31.5</v>
      </c>
      <c r="F186">
        <f>Dashboard_Live_Data!G185</f>
        <v>18.579807279110426</v>
      </c>
    </row>
    <row r="187" spans="1:6">
      <c r="A187">
        <f>Dashboard_Live_Data!D186</f>
        <v>32</v>
      </c>
      <c r="B187">
        <f>Dashboard_Live_Data!E186</f>
        <v>222.43770342187699</v>
      </c>
      <c r="C187">
        <f>Dashboard_Live_Data!D186</f>
        <v>32</v>
      </c>
      <c r="D187">
        <f>Dashboard_Live_Data!F186</f>
        <v>222.43770342187699</v>
      </c>
      <c r="E187">
        <f>Dashboard_Live_Data!D186</f>
        <v>32</v>
      </c>
      <c r="F187">
        <f>Dashboard_Live_Data!G186</f>
        <v>-1.3588316603362678</v>
      </c>
    </row>
    <row r="188" spans="1:6">
      <c r="A188">
        <f>Dashboard_Live_Data!D187</f>
        <v>32.5</v>
      </c>
      <c r="B188">
        <f>Dashboard_Live_Data!E187</f>
        <v>227.97180197682223</v>
      </c>
      <c r="C188">
        <f>Dashboard_Live_Data!D187</f>
        <v>32.5</v>
      </c>
      <c r="D188">
        <f>Dashboard_Live_Data!F187</f>
        <v>227.97180197682223</v>
      </c>
      <c r="E188">
        <f>Dashboard_Live_Data!D187</f>
        <v>32.5</v>
      </c>
      <c r="F188">
        <f>Dashboard_Live_Data!G187</f>
        <v>5.8468430183224456</v>
      </c>
    </row>
    <row r="189" spans="1:6">
      <c r="A189">
        <f>Dashboard_Live_Data!D188</f>
        <v>33</v>
      </c>
      <c r="B189">
        <f>Dashboard_Live_Data!E188</f>
        <v>226.08418221808537</v>
      </c>
      <c r="C189">
        <f>Dashboard_Live_Data!D188</f>
        <v>33</v>
      </c>
      <c r="D189">
        <f>Dashboard_Live_Data!F188</f>
        <v>226.08418221808537</v>
      </c>
      <c r="E189">
        <f>Dashboard_Live_Data!D188</f>
        <v>33</v>
      </c>
      <c r="F189">
        <f>Dashboard_Live_Data!G188</f>
        <v>-3.6102909912474139</v>
      </c>
    </row>
    <row r="190" spans="1:6">
      <c r="A190">
        <f>Dashboard_Live_Data!D189</f>
        <v>33.5</v>
      </c>
      <c r="B190">
        <f>Dashboard_Live_Data!E189</f>
        <v>226.23942491258683</v>
      </c>
      <c r="C190">
        <f>Dashboard_Live_Data!D189</f>
        <v>33.5</v>
      </c>
      <c r="D190">
        <f>Dashboard_Live_Data!F189</f>
        <v>226.23942491258683</v>
      </c>
      <c r="E190">
        <f>Dashboard_Live_Data!D189</f>
        <v>33.5</v>
      </c>
      <c r="F190">
        <f>Dashboard_Live_Data!G189</f>
        <v>2.8193818928466783</v>
      </c>
    </row>
    <row r="191" spans="1:6">
      <c r="A191">
        <f>Dashboard_Live_Data!D190</f>
        <v>34</v>
      </c>
      <c r="B191">
        <f>Dashboard_Live_Data!E190</f>
        <v>243.27042748832011</v>
      </c>
      <c r="C191">
        <f>Dashboard_Live_Data!D190</f>
        <v>34</v>
      </c>
      <c r="D191">
        <f>Dashboard_Live_Data!F190</f>
        <v>243.27042748832011</v>
      </c>
      <c r="E191">
        <f>Dashboard_Live_Data!D190</f>
        <v>34</v>
      </c>
      <c r="F191">
        <f>Dashboard_Live_Data!G190</f>
        <v>9.9015781941524494</v>
      </c>
    </row>
    <row r="192" spans="1:6">
      <c r="A192">
        <f>Dashboard_Live_Data!D191</f>
        <v>34.5</v>
      </c>
      <c r="B192">
        <f>Dashboard_Live_Data!E191</f>
        <v>248.84143597822731</v>
      </c>
      <c r="C192">
        <f>Dashboard_Live_Data!D191</f>
        <v>34.5</v>
      </c>
      <c r="D192">
        <f>Dashboard_Live_Data!F191</f>
        <v>248.84143597822731</v>
      </c>
      <c r="E192">
        <f>Dashboard_Live_Data!D191</f>
        <v>34.5</v>
      </c>
      <c r="F192">
        <f>Dashboard_Live_Data!G191</f>
        <v>22.306190725387925</v>
      </c>
    </row>
    <row r="193" spans="1:6">
      <c r="A193">
        <f>Dashboard_Live_Data!D192</f>
        <v>35</v>
      </c>
      <c r="B193">
        <f>Dashboard_Live_Data!E192</f>
        <v>242.00890812042311</v>
      </c>
      <c r="C193">
        <f>Dashboard_Live_Data!D192</f>
        <v>35</v>
      </c>
      <c r="D193">
        <f>Dashboard_Live_Data!F192</f>
        <v>242.00890812042311</v>
      </c>
      <c r="E193">
        <f>Dashboard_Live_Data!D192</f>
        <v>35</v>
      </c>
      <c r="F193">
        <f>Dashboard_Live_Data!G192</f>
        <v>28.92396994213728</v>
      </c>
    </row>
    <row r="194" spans="1:6">
      <c r="A194">
        <f>Dashboard_Live_Data!D193</f>
        <v>35.5</v>
      </c>
      <c r="B194">
        <f>Dashboard_Live_Data!E193</f>
        <v>242.63788270086079</v>
      </c>
      <c r="C194">
        <f>Dashboard_Live_Data!D193</f>
        <v>35.5</v>
      </c>
      <c r="D194">
        <f>Dashboard_Live_Data!F193</f>
        <v>242.63788270086079</v>
      </c>
      <c r="E194">
        <f>Dashboard_Live_Data!D193</f>
        <v>35.5</v>
      </c>
      <c r="F194">
        <f>Dashboard_Live_Data!G193</f>
        <v>32.227616256478356</v>
      </c>
    </row>
    <row r="195" spans="1:6">
      <c r="A195">
        <f>Dashboard_Live_Data!D194</f>
        <v>36</v>
      </c>
      <c r="B195">
        <f>Dashboard_Live_Data!E194</f>
        <v>251.84803304144381</v>
      </c>
      <c r="C195">
        <f>Dashboard_Live_Data!D194</f>
        <v>36</v>
      </c>
      <c r="D195">
        <f>Dashboard_Live_Data!F194</f>
        <v>251.84803304144381</v>
      </c>
      <c r="E195">
        <f>Dashboard_Live_Data!D194</f>
        <v>36</v>
      </c>
      <c r="F195">
        <f>Dashboard_Live_Data!G194</f>
        <v>45.422536466318</v>
      </c>
    </row>
    <row r="196" spans="1:6">
      <c r="A196">
        <f>Dashboard_Live_Data!D195</f>
        <v>36.5</v>
      </c>
      <c r="B196">
        <f>Dashboard_Live_Data!E195</f>
        <v>274.31313500223371</v>
      </c>
      <c r="C196">
        <f>Dashboard_Live_Data!D195</f>
        <v>36.5</v>
      </c>
      <c r="D196">
        <f>Dashboard_Live_Data!F195</f>
        <v>274.31313500223371</v>
      </c>
      <c r="E196">
        <f>Dashboard_Live_Data!D195</f>
        <v>36.5</v>
      </c>
      <c r="F196">
        <f>Dashboard_Live_Data!G195</f>
        <v>44.982194799694888</v>
      </c>
    </row>
    <row r="197" spans="1:6">
      <c r="A197">
        <f>Dashboard_Live_Data!D196</f>
        <v>37</v>
      </c>
      <c r="B197">
        <f>Dashboard_Live_Data!E196</f>
        <v>277.26991348245565</v>
      </c>
      <c r="C197">
        <f>Dashboard_Live_Data!D196</f>
        <v>37</v>
      </c>
      <c r="D197">
        <f>Dashboard_Live_Data!F196</f>
        <v>277.26991348245565</v>
      </c>
      <c r="E197">
        <f>Dashboard_Live_Data!D196</f>
        <v>37</v>
      </c>
      <c r="F197">
        <f>Dashboard_Live_Data!G196</f>
        <v>58.360988043050376</v>
      </c>
    </row>
    <row r="198" spans="1:6">
      <c r="A198">
        <f>Dashboard_Live_Data!D197</f>
        <v>37.5</v>
      </c>
      <c r="B198">
        <f>Dashboard_Live_Data!E197</f>
        <v>280.68428636923539</v>
      </c>
      <c r="C198">
        <f>Dashboard_Live_Data!D197</f>
        <v>37.5</v>
      </c>
      <c r="D198">
        <f>Dashboard_Live_Data!F197</f>
        <v>280.68428636923539</v>
      </c>
      <c r="E198">
        <f>Dashboard_Live_Data!D197</f>
        <v>37.5</v>
      </c>
      <c r="F198">
        <f>Dashboard_Live_Data!G197</f>
        <v>56.081084744036659</v>
      </c>
    </row>
    <row r="199" spans="1:6">
      <c r="A199">
        <f>Dashboard_Live_Data!D198</f>
        <v>38</v>
      </c>
      <c r="B199">
        <f>Dashboard_Live_Data!E198</f>
        <v>282.3717678695042</v>
      </c>
      <c r="C199">
        <f>Dashboard_Live_Data!D198</f>
        <v>38</v>
      </c>
      <c r="D199">
        <f>Dashboard_Live_Data!F198</f>
        <v>282.3717678695042</v>
      </c>
      <c r="E199">
        <f>Dashboard_Live_Data!D198</f>
        <v>38</v>
      </c>
      <c r="F199">
        <f>Dashboard_Live_Data!G198</f>
        <v>74.89136844725374</v>
      </c>
    </row>
    <row r="200" spans="1:6">
      <c r="A200">
        <f>Dashboard_Live_Data!D199</f>
        <v>38.5</v>
      </c>
      <c r="B200">
        <f>Dashboard_Live_Data!E199</f>
        <v>311.18191933727104</v>
      </c>
      <c r="C200">
        <f>Dashboard_Live_Data!D199</f>
        <v>38.5</v>
      </c>
      <c r="D200">
        <f>Dashboard_Live_Data!F199</f>
        <v>311.18191933727104</v>
      </c>
      <c r="E200">
        <f>Dashboard_Live_Data!D199</f>
        <v>38.5</v>
      </c>
      <c r="F200">
        <f>Dashboard_Live_Data!G199</f>
        <v>81.229436651819583</v>
      </c>
    </row>
    <row r="201" spans="1:6">
      <c r="A201">
        <f>Dashboard_Live_Data!D200</f>
        <v>39</v>
      </c>
      <c r="B201">
        <f>Dashboard_Live_Data!E200</f>
        <v>302.84354967777892</v>
      </c>
      <c r="C201">
        <f>Dashboard_Live_Data!D200</f>
        <v>39</v>
      </c>
      <c r="D201">
        <f>Dashboard_Live_Data!F200</f>
        <v>302.84354967777892</v>
      </c>
      <c r="E201">
        <f>Dashboard_Live_Data!D200</f>
        <v>39</v>
      </c>
      <c r="F201">
        <f>Dashboard_Live_Data!G200</f>
        <v>82.757717027313632</v>
      </c>
    </row>
    <row r="202" spans="1:6">
      <c r="A202">
        <f>Dashboard_Live_Data!D201</f>
        <v>39.5</v>
      </c>
      <c r="B202">
        <f>Dashboard_Live_Data!E201</f>
        <v>298.92940490778824</v>
      </c>
      <c r="C202">
        <f>Dashboard_Live_Data!D201</f>
        <v>39.5</v>
      </c>
      <c r="D202">
        <f>Dashboard_Live_Data!F201</f>
        <v>298.92940490778824</v>
      </c>
      <c r="E202">
        <f>Dashboard_Live_Data!D201</f>
        <v>39.5</v>
      </c>
      <c r="F202">
        <f>Dashboard_Live_Data!G201</f>
        <v>76.312714900519723</v>
      </c>
    </row>
    <row r="203" spans="1:6">
      <c r="A203">
        <f>Dashboard_Live_Data!D202</f>
        <v>40</v>
      </c>
      <c r="B203">
        <f>Dashboard_Live_Data!E202</f>
        <v>304.82117281226778</v>
      </c>
      <c r="C203">
        <f>Dashboard_Live_Data!D202</f>
        <v>40</v>
      </c>
      <c r="D203">
        <f>Dashboard_Live_Data!F202</f>
        <v>304.82117281226778</v>
      </c>
      <c r="E203">
        <f>Dashboard_Live_Data!D202</f>
        <v>40</v>
      </c>
      <c r="F203">
        <f>Dashboard_Live_Data!G202</f>
        <v>66.26609020115302</v>
      </c>
    </row>
    <row r="204" spans="1:6">
      <c r="A204">
        <f>Dashboard_Live_Data!D203</f>
        <v>40.5</v>
      </c>
      <c r="B204">
        <f>Dashboard_Live_Data!E203</f>
        <v>300.69750601512629</v>
      </c>
      <c r="C204">
        <f>Dashboard_Live_Data!D203</f>
        <v>40.5</v>
      </c>
      <c r="D204">
        <f>Dashboard_Live_Data!F203</f>
        <v>300.69750601512629</v>
      </c>
      <c r="E204">
        <f>Dashboard_Live_Data!D203</f>
        <v>40.5</v>
      </c>
      <c r="F204">
        <f>Dashboard_Live_Data!G203</f>
        <v>60.152205166209214</v>
      </c>
    </row>
    <row r="205" spans="1:6">
      <c r="A205">
        <f>Dashboard_Live_Data!D204</f>
        <v>41</v>
      </c>
      <c r="B205">
        <f>Dashboard_Live_Data!E204</f>
        <v>276.55710773826542</v>
      </c>
      <c r="C205">
        <f>Dashboard_Live_Data!D204</f>
        <v>41</v>
      </c>
      <c r="D205">
        <f>Dashboard_Live_Data!F204</f>
        <v>276.55710773826542</v>
      </c>
      <c r="E205">
        <f>Dashboard_Live_Data!D204</f>
        <v>41</v>
      </c>
      <c r="F205">
        <f>Dashboard_Live_Data!G204</f>
        <v>52.609338989159092</v>
      </c>
    </row>
    <row r="206" spans="1:6">
      <c r="A206">
        <f>Dashboard_Live_Data!D205</f>
        <v>41.5</v>
      </c>
      <c r="B206">
        <f>Dashboard_Live_Data!E205</f>
        <v>269.21554101681534</v>
      </c>
      <c r="C206">
        <f>Dashboard_Live_Data!D205</f>
        <v>41.5</v>
      </c>
      <c r="D206">
        <f>Dashboard_Live_Data!F205</f>
        <v>269.21554101681534</v>
      </c>
      <c r="E206">
        <f>Dashboard_Live_Data!D205</f>
        <v>41.5</v>
      </c>
      <c r="F206">
        <f>Dashboard_Live_Data!G205</f>
        <v>58.380951897935333</v>
      </c>
    </row>
    <row r="207" spans="1:6">
      <c r="A207">
        <f>Dashboard_Live_Data!D206</f>
        <v>42</v>
      </c>
      <c r="B207">
        <f>Dashboard_Live_Data!E206</f>
        <v>271.12620211290232</v>
      </c>
      <c r="C207">
        <f>Dashboard_Live_Data!D206</f>
        <v>42</v>
      </c>
      <c r="D207">
        <f>Dashboard_Live_Data!F206</f>
        <v>271.12620211290232</v>
      </c>
      <c r="E207">
        <f>Dashboard_Live_Data!D206</f>
        <v>42</v>
      </c>
      <c r="F207">
        <f>Dashboard_Live_Data!G206</f>
        <v>34.521242112789622</v>
      </c>
    </row>
    <row r="208" spans="1:6">
      <c r="A208">
        <f>Dashboard_Live_Data!D207</f>
        <v>42.5</v>
      </c>
      <c r="B208">
        <f>Dashboard_Live_Data!E207</f>
        <v>259.77685513673219</v>
      </c>
      <c r="C208">
        <f>Dashboard_Live_Data!D207</f>
        <v>42.5</v>
      </c>
      <c r="D208">
        <f>Dashboard_Live_Data!F207</f>
        <v>259.77685513673219</v>
      </c>
      <c r="E208">
        <f>Dashboard_Live_Data!D207</f>
        <v>42.5</v>
      </c>
      <c r="F208">
        <f>Dashboard_Live_Data!G207</f>
        <v>40.251276360901549</v>
      </c>
    </row>
    <row r="209" spans="1:6">
      <c r="A209">
        <f>Dashboard_Live_Data!D208</f>
        <v>43</v>
      </c>
      <c r="B209">
        <f>Dashboard_Live_Data!E208</f>
        <v>247.2629698422237</v>
      </c>
      <c r="C209">
        <f>Dashboard_Live_Data!D208</f>
        <v>43</v>
      </c>
      <c r="D209">
        <f>Dashboard_Live_Data!F208</f>
        <v>247.2629698422237</v>
      </c>
      <c r="E209">
        <f>Dashboard_Live_Data!D208</f>
        <v>43</v>
      </c>
      <c r="F209">
        <f>Dashboard_Live_Data!G208</f>
        <v>33.32797910139238</v>
      </c>
    </row>
    <row r="210" spans="1:6">
      <c r="A210">
        <f>Dashboard_Live_Data!D209</f>
        <v>43.5</v>
      </c>
      <c r="B210">
        <f>Dashboard_Live_Data!E209</f>
        <v>225.35528260314678</v>
      </c>
      <c r="C210">
        <f>Dashboard_Live_Data!D209</f>
        <v>43.5</v>
      </c>
      <c r="D210">
        <f>Dashboard_Live_Data!F209</f>
        <v>225.35528260314678</v>
      </c>
      <c r="E210">
        <f>Dashboard_Live_Data!D209</f>
        <v>43.5</v>
      </c>
      <c r="F210">
        <f>Dashboard_Live_Data!G209</f>
        <v>20.522948331557505</v>
      </c>
    </row>
    <row r="211" spans="1:6">
      <c r="A211">
        <f>Dashboard_Live_Data!D210</f>
        <v>44</v>
      </c>
      <c r="B211">
        <f>Dashboard_Live_Data!E210</f>
        <v>208.84015984832814</v>
      </c>
      <c r="C211">
        <f>Dashboard_Live_Data!D210</f>
        <v>44</v>
      </c>
      <c r="D211">
        <f>Dashboard_Live_Data!F210</f>
        <v>208.84015984832814</v>
      </c>
      <c r="E211">
        <f>Dashboard_Live_Data!D210</f>
        <v>44</v>
      </c>
      <c r="F211">
        <f>Dashboard_Live_Data!G210</f>
        <v>7.0518996381457164</v>
      </c>
    </row>
    <row r="212" spans="1:6">
      <c r="A212">
        <f>Dashboard_Live_Data!D211</f>
        <v>44.5</v>
      </c>
      <c r="B212">
        <f>Dashboard_Live_Data!E211</f>
        <v>178.96296340227542</v>
      </c>
      <c r="C212">
        <f>Dashboard_Live_Data!D211</f>
        <v>44.5</v>
      </c>
      <c r="D212">
        <f>Dashboard_Live_Data!F211</f>
        <v>178.96296340227542</v>
      </c>
      <c r="E212">
        <f>Dashboard_Live_Data!D211</f>
        <v>44.5</v>
      </c>
      <c r="F212">
        <f>Dashboard_Live_Data!G211</f>
        <v>-3.2837161089439029</v>
      </c>
    </row>
    <row r="213" spans="1:6">
      <c r="A213">
        <f>Dashboard_Live_Data!D212</f>
        <v>45</v>
      </c>
      <c r="B213">
        <f>Dashboard_Live_Data!E212</f>
        <v>165.26573251393552</v>
      </c>
      <c r="C213">
        <f>Dashboard_Live_Data!D212</f>
        <v>45</v>
      </c>
      <c r="D213">
        <f>Dashboard_Live_Data!F212</f>
        <v>165.26573251393552</v>
      </c>
      <c r="E213">
        <f>Dashboard_Live_Data!D212</f>
        <v>45</v>
      </c>
      <c r="F213">
        <f>Dashboard_Live_Data!G212</f>
        <v>-4.7462079682678002</v>
      </c>
    </row>
    <row r="214" spans="1:6">
      <c r="A214">
        <f>Dashboard_Live_Data!D213</f>
        <v>45.5</v>
      </c>
      <c r="B214">
        <f>Dashboard_Live_Data!E213</f>
        <v>168.78187987738474</v>
      </c>
      <c r="C214">
        <f>Dashboard_Live_Data!D213</f>
        <v>45.5</v>
      </c>
      <c r="D214">
        <f>Dashboard_Live_Data!F213</f>
        <v>168.78187987738474</v>
      </c>
      <c r="E214">
        <f>Dashboard_Live_Data!D213</f>
        <v>45.5</v>
      </c>
      <c r="F214">
        <f>Dashboard_Live_Data!G213</f>
        <v>-4.9547764189191454</v>
      </c>
    </row>
    <row r="215" spans="1:6">
      <c r="A215">
        <f>Dashboard_Live_Data!D214</f>
        <v>46</v>
      </c>
      <c r="B215">
        <f>Dashboard_Live_Data!E214</f>
        <v>147.22365110398141</v>
      </c>
      <c r="C215">
        <f>Dashboard_Live_Data!D214</f>
        <v>46</v>
      </c>
      <c r="D215">
        <f>Dashboard_Live_Data!F214</f>
        <v>147.22365110398141</v>
      </c>
      <c r="E215">
        <f>Dashboard_Live_Data!D214</f>
        <v>46</v>
      </c>
      <c r="F215">
        <f>Dashboard_Live_Data!G214</f>
        <v>-4.8192565136201182E-2</v>
      </c>
    </row>
    <row r="216" spans="1:6">
      <c r="A216">
        <f>Dashboard_Live_Data!D215</f>
        <v>46.5</v>
      </c>
      <c r="B216">
        <f>Dashboard_Live_Data!E215</f>
        <v>125.26409736726505</v>
      </c>
      <c r="C216">
        <f>Dashboard_Live_Data!D215</f>
        <v>46.5</v>
      </c>
      <c r="D216">
        <f>Dashboard_Live_Data!F215</f>
        <v>125.26409736726505</v>
      </c>
      <c r="E216">
        <f>Dashboard_Live_Data!D215</f>
        <v>46.5</v>
      </c>
      <c r="F216">
        <f>Dashboard_Live_Data!G215</f>
        <v>-12.323766405407561</v>
      </c>
    </row>
    <row r="217" spans="1:6">
      <c r="A217">
        <f>Dashboard_Live_Data!D216</f>
        <v>47</v>
      </c>
      <c r="B217">
        <f>Dashboard_Live_Data!E216</f>
        <v>119.07484471646131</v>
      </c>
      <c r="C217">
        <f>Dashboard_Live_Data!D216</f>
        <v>47</v>
      </c>
      <c r="D217">
        <f>Dashboard_Live_Data!F216</f>
        <v>119.07484471646131</v>
      </c>
      <c r="E217">
        <f>Dashboard_Live_Data!D216</f>
        <v>47</v>
      </c>
      <c r="F217">
        <f>Dashboard_Live_Data!G216</f>
        <v>5.6247334384920968</v>
      </c>
    </row>
    <row r="218" spans="1:6">
      <c r="A218">
        <f>Dashboard_Live_Data!D217</f>
        <v>47.5</v>
      </c>
      <c r="B218">
        <f>Dashboard_Live_Data!E217</f>
        <v>107.7527102272833</v>
      </c>
      <c r="C218">
        <f>Dashboard_Live_Data!D217</f>
        <v>47.5</v>
      </c>
      <c r="D218">
        <f>Dashboard_Live_Data!F217</f>
        <v>107.7527102272833</v>
      </c>
      <c r="E218">
        <f>Dashboard_Live_Data!D217</f>
        <v>47.5</v>
      </c>
      <c r="F218">
        <f>Dashboard_Live_Data!G217</f>
        <v>4.7258194939479337</v>
      </c>
    </row>
    <row r="219" spans="1:6">
      <c r="A219">
        <f>Dashboard_Live_Data!D218</f>
        <v>48</v>
      </c>
      <c r="B219">
        <f>Dashboard_Live_Data!E218</f>
        <v>124.99715373473305</v>
      </c>
      <c r="C219">
        <f>Dashboard_Live_Data!D218</f>
        <v>48</v>
      </c>
      <c r="D219">
        <f>Dashboard_Live_Data!F218</f>
        <v>124.99715373473305</v>
      </c>
      <c r="E219">
        <f>Dashboard_Live_Data!D218</f>
        <v>48</v>
      </c>
      <c r="F219">
        <f>Dashboard_Live_Data!G218</f>
        <v>-9.0769147289597925</v>
      </c>
    </row>
    <row r="220" spans="1:6">
      <c r="A220">
        <f>Dashboard_Live_Data!D219</f>
        <v>48.5</v>
      </c>
      <c r="B220">
        <f>Dashboard_Live_Data!E219</f>
        <v>114.26484888006172</v>
      </c>
      <c r="C220">
        <f>Dashboard_Live_Data!D219</f>
        <v>48.5</v>
      </c>
      <c r="D220">
        <f>Dashboard_Live_Data!F219</f>
        <v>114.26484888006172</v>
      </c>
      <c r="E220">
        <f>Dashboard_Live_Data!D219</f>
        <v>48.5</v>
      </c>
      <c r="F220">
        <f>Dashboard_Live_Data!G219</f>
        <v>-2.0408727900443155</v>
      </c>
    </row>
    <row r="221" spans="1:6">
      <c r="A221">
        <f>Dashboard_Live_Data!D220</f>
        <v>49</v>
      </c>
      <c r="B221">
        <f>Dashboard_Live_Data!E220</f>
        <v>109.54402369059221</v>
      </c>
      <c r="C221">
        <f>Dashboard_Live_Data!D220</f>
        <v>49</v>
      </c>
      <c r="D221">
        <f>Dashboard_Live_Data!F220</f>
        <v>109.54402369059221</v>
      </c>
      <c r="E221">
        <f>Dashboard_Live_Data!D220</f>
        <v>49</v>
      </c>
      <c r="F221">
        <f>Dashboard_Live_Data!G220</f>
        <v>10.431027200722241</v>
      </c>
    </row>
    <row r="222" spans="1:6">
      <c r="A222">
        <f>Dashboard_Live_Data!D221</f>
        <v>49.5</v>
      </c>
      <c r="B222">
        <f>Dashboard_Live_Data!E221</f>
        <v>115.81874031490976</v>
      </c>
      <c r="C222">
        <f>Dashboard_Live_Data!D221</f>
        <v>49.5</v>
      </c>
      <c r="D222">
        <f>Dashboard_Live_Data!F221</f>
        <v>115.81874031490976</v>
      </c>
      <c r="E222">
        <f>Dashboard_Live_Data!D221</f>
        <v>49.5</v>
      </c>
      <c r="F222">
        <f>Dashboard_Live_Data!G221</f>
        <v>-2.2699304094542576</v>
      </c>
    </row>
    <row r="223" spans="1:6">
      <c r="A223">
        <f>Dashboard_Live_Data!D222</f>
        <v>50</v>
      </c>
      <c r="B223">
        <f>Dashboard_Live_Data!E222</f>
        <v>115.23525161719914</v>
      </c>
      <c r="C223">
        <f>Dashboard_Live_Data!D222</f>
        <v>50</v>
      </c>
      <c r="D223">
        <f>Dashboard_Live_Data!F222</f>
        <v>115.23525161719914</v>
      </c>
      <c r="E223">
        <f>Dashboard_Live_Data!D222</f>
        <v>50</v>
      </c>
      <c r="F223">
        <f>Dashboard_Live_Data!G222</f>
        <v>8.1725883775596202</v>
      </c>
    </row>
    <row r="224" spans="1:6">
      <c r="A224">
        <f>Dashboard_Live_Data!D223</f>
        <v>50.5</v>
      </c>
      <c r="B224">
        <f>Dashboard_Live_Data!E223</f>
        <v>136.98620076238512</v>
      </c>
      <c r="C224">
        <f>Dashboard_Live_Data!D223</f>
        <v>50.5</v>
      </c>
      <c r="D224">
        <f>Dashboard_Live_Data!F223</f>
        <v>136.98620076238512</v>
      </c>
      <c r="E224">
        <f>Dashboard_Live_Data!D223</f>
        <v>50.5</v>
      </c>
      <c r="F224">
        <f>Dashboard_Live_Data!G223</f>
        <v>7.1754118877202355</v>
      </c>
    </row>
    <row r="225" spans="1:6">
      <c r="A225">
        <f>Dashboard_Live_Data!D224</f>
        <v>51</v>
      </c>
      <c r="B225">
        <f>Dashboard_Live_Data!E224</f>
        <v>137.08289632779307</v>
      </c>
      <c r="C225">
        <f>Dashboard_Live_Data!D224</f>
        <v>51</v>
      </c>
      <c r="D225">
        <f>Dashboard_Live_Data!F224</f>
        <v>137.08289632779307</v>
      </c>
      <c r="E225">
        <f>Dashboard_Live_Data!D224</f>
        <v>51</v>
      </c>
      <c r="F225">
        <f>Dashboard_Live_Data!G224</f>
        <v>11.525237738664625</v>
      </c>
    </row>
    <row r="226" spans="1:6">
      <c r="A226">
        <f>Dashboard_Live_Data!D225</f>
        <v>51.5</v>
      </c>
      <c r="B226">
        <f>Dashboard_Live_Data!E225</f>
        <v>159.61831316527434</v>
      </c>
      <c r="C226">
        <f>Dashboard_Live_Data!D225</f>
        <v>51.5</v>
      </c>
      <c r="D226">
        <f>Dashboard_Live_Data!F225</f>
        <v>159.61831316527434</v>
      </c>
      <c r="E226">
        <f>Dashboard_Live_Data!D225</f>
        <v>51.5</v>
      </c>
      <c r="F226">
        <f>Dashboard_Live_Data!G225</f>
        <v>-4.5509465319165372</v>
      </c>
    </row>
    <row r="227" spans="1:6">
      <c r="A227">
        <f>Dashboard_Live_Data!D226</f>
        <v>52</v>
      </c>
      <c r="B227">
        <f>Dashboard_Live_Data!E226</f>
        <v>166.99312244433131</v>
      </c>
      <c r="C227">
        <f>Dashboard_Live_Data!D226</f>
        <v>52</v>
      </c>
      <c r="D227">
        <f>Dashboard_Live_Data!F226</f>
        <v>166.99312244433131</v>
      </c>
      <c r="E227">
        <f>Dashboard_Live_Data!D226</f>
        <v>52</v>
      </c>
      <c r="F227">
        <f>Dashboard_Live_Data!G226</f>
        <v>-7.8509490215719673</v>
      </c>
    </row>
    <row r="228" spans="1:6">
      <c r="A228">
        <f>Dashboard_Live_Data!D227</f>
        <v>52.5</v>
      </c>
      <c r="B228">
        <f>Dashboard_Live_Data!E227</f>
        <v>164.06842387185546</v>
      </c>
      <c r="C228">
        <f>Dashboard_Live_Data!D227</f>
        <v>52.5</v>
      </c>
      <c r="D228">
        <f>Dashboard_Live_Data!F227</f>
        <v>164.06842387185546</v>
      </c>
      <c r="E228">
        <f>Dashboard_Live_Data!D227</f>
        <v>52.5</v>
      </c>
      <c r="F228">
        <f>Dashboard_Live_Data!G227</f>
        <v>6.5883469319652015</v>
      </c>
    </row>
    <row r="229" spans="1:6">
      <c r="A229">
        <f>Dashboard_Live_Data!D228</f>
        <v>53</v>
      </c>
      <c r="B229">
        <f>Dashboard_Live_Data!E228</f>
        <v>183.52328091519169</v>
      </c>
      <c r="C229">
        <f>Dashboard_Live_Data!D228</f>
        <v>53</v>
      </c>
      <c r="D229">
        <f>Dashboard_Live_Data!F228</f>
        <v>183.52328091519169</v>
      </c>
      <c r="E229">
        <f>Dashboard_Live_Data!D228</f>
        <v>53</v>
      </c>
      <c r="F229">
        <f>Dashboard_Live_Data!G228</f>
        <v>4.5083965407611828</v>
      </c>
    </row>
    <row r="230" spans="1:6">
      <c r="A230">
        <f>Dashboard_Live_Data!D229</f>
        <v>53.5</v>
      </c>
      <c r="B230">
        <f>Dashboard_Live_Data!E229</f>
        <v>181.04186719105834</v>
      </c>
      <c r="C230">
        <f>Dashboard_Live_Data!D229</f>
        <v>53.5</v>
      </c>
      <c r="D230">
        <f>Dashboard_Live_Data!F229</f>
        <v>181.04186719105834</v>
      </c>
      <c r="E230">
        <f>Dashboard_Live_Data!D229</f>
        <v>53.5</v>
      </c>
      <c r="F230">
        <f>Dashboard_Live_Data!G229</f>
        <v>-0.1280560890739677</v>
      </c>
    </row>
    <row r="231" spans="1:6">
      <c r="A231">
        <f>Dashboard_Live_Data!D230</f>
        <v>54</v>
      </c>
      <c r="B231">
        <f>Dashboard_Live_Data!E230</f>
        <v>181.54184215615243</v>
      </c>
      <c r="C231">
        <f>Dashboard_Live_Data!D230</f>
        <v>54</v>
      </c>
      <c r="D231">
        <f>Dashboard_Live_Data!F230</f>
        <v>181.54184215615243</v>
      </c>
      <c r="E231">
        <f>Dashboard_Live_Data!D230</f>
        <v>54</v>
      </c>
      <c r="F231">
        <f>Dashboard_Live_Data!G230</f>
        <v>-7.8528378251423838</v>
      </c>
    </row>
    <row r="232" spans="1:6">
      <c r="A232">
        <f>Dashboard_Live_Data!D231</f>
        <v>54.5</v>
      </c>
      <c r="B232">
        <f>Dashboard_Live_Data!E231</f>
        <v>176.67952286622949</v>
      </c>
      <c r="C232">
        <f>Dashboard_Live_Data!D231</f>
        <v>54.5</v>
      </c>
      <c r="D232">
        <f>Dashboard_Live_Data!F231</f>
        <v>176.67952286622949</v>
      </c>
      <c r="E232">
        <f>Dashboard_Live_Data!D231</f>
        <v>54.5</v>
      </c>
      <c r="F232">
        <f>Dashboard_Live_Data!G231</f>
        <v>-10.88592803052483</v>
      </c>
    </row>
    <row r="233" spans="1:6">
      <c r="A233">
        <f>Dashboard_Live_Data!D232</f>
        <v>55</v>
      </c>
      <c r="B233">
        <f>Dashboard_Live_Data!E232</f>
        <v>188.50605986382979</v>
      </c>
      <c r="C233">
        <f>Dashboard_Live_Data!D232</f>
        <v>55</v>
      </c>
      <c r="D233">
        <f>Dashboard_Live_Data!F232</f>
        <v>188.50605986382979</v>
      </c>
      <c r="E233">
        <f>Dashboard_Live_Data!D232</f>
        <v>55</v>
      </c>
      <c r="F233">
        <f>Dashboard_Live_Data!G232</f>
        <v>-2.7391578251359494</v>
      </c>
    </row>
    <row r="234" spans="1:6">
      <c r="A234">
        <f>Dashboard_Live_Data!D233</f>
        <v>55.5</v>
      </c>
      <c r="B234">
        <f>Dashboard_Live_Data!E233</f>
        <v>182.552269274569</v>
      </c>
      <c r="C234">
        <f>Dashboard_Live_Data!D233</f>
        <v>55.5</v>
      </c>
      <c r="D234">
        <f>Dashboard_Live_Data!F233</f>
        <v>182.552269274569</v>
      </c>
      <c r="E234">
        <f>Dashboard_Live_Data!D233</f>
        <v>55.5</v>
      </c>
      <c r="F234">
        <f>Dashboard_Live_Data!G233</f>
        <v>-6.5380942800848239</v>
      </c>
    </row>
    <row r="235" spans="1:6">
      <c r="A235">
        <f>Dashboard_Live_Data!D234</f>
        <v>56</v>
      </c>
      <c r="B235">
        <f>Dashboard_Live_Data!E234</f>
        <v>186.90390563134164</v>
      </c>
      <c r="C235">
        <f>Dashboard_Live_Data!D234</f>
        <v>56</v>
      </c>
      <c r="D235">
        <f>Dashboard_Live_Data!F234</f>
        <v>186.90390563134164</v>
      </c>
      <c r="E235">
        <f>Dashboard_Live_Data!D234</f>
        <v>56</v>
      </c>
      <c r="F235">
        <f>Dashboard_Live_Data!G234</f>
        <v>-4.3572901776696842</v>
      </c>
    </row>
    <row r="236" spans="1:6">
      <c r="A236">
        <f>Dashboard_Live_Data!D235</f>
        <v>56.5</v>
      </c>
      <c r="B236">
        <f>Dashboard_Live_Data!E235</f>
        <v>190.07062484954076</v>
      </c>
      <c r="C236">
        <f>Dashboard_Live_Data!D235</f>
        <v>56.5</v>
      </c>
      <c r="D236">
        <f>Dashboard_Live_Data!F235</f>
        <v>190.07062484954076</v>
      </c>
      <c r="E236">
        <f>Dashboard_Live_Data!D235</f>
        <v>56.5</v>
      </c>
      <c r="F236">
        <f>Dashboard_Live_Data!G235</f>
        <v>21.715435034758002</v>
      </c>
    </row>
    <row r="237" spans="1:6">
      <c r="A237">
        <f>Dashboard_Live_Data!D236</f>
        <v>57</v>
      </c>
      <c r="B237">
        <f>Dashboard_Live_Data!E236</f>
        <v>200.68454527158707</v>
      </c>
      <c r="C237">
        <f>Dashboard_Live_Data!D236</f>
        <v>57</v>
      </c>
      <c r="D237">
        <f>Dashboard_Live_Data!F236</f>
        <v>200.68454527158707</v>
      </c>
      <c r="E237">
        <f>Dashboard_Live_Data!D236</f>
        <v>57</v>
      </c>
      <c r="F237">
        <f>Dashboard_Live_Data!G236</f>
        <v>18.4135707545088</v>
      </c>
    </row>
    <row r="238" spans="1:6">
      <c r="A238">
        <f>Dashboard_Live_Data!D237</f>
        <v>57.5</v>
      </c>
      <c r="B238">
        <f>Dashboard_Live_Data!E237</f>
        <v>178.27771269066969</v>
      </c>
      <c r="C238">
        <f>Dashboard_Live_Data!D237</f>
        <v>57.5</v>
      </c>
      <c r="D238">
        <f>Dashboard_Live_Data!F237</f>
        <v>178.27771269066969</v>
      </c>
      <c r="E238">
        <f>Dashboard_Live_Data!D237</f>
        <v>57.5</v>
      </c>
      <c r="F238">
        <f>Dashboard_Live_Data!G237</f>
        <v>25.968776223167485</v>
      </c>
    </row>
    <row r="239" spans="1:6">
      <c r="A239">
        <f>Dashboard_Live_Data!D238</f>
        <v>58</v>
      </c>
      <c r="B239">
        <f>Dashboard_Live_Data!E238</f>
        <v>194.52778179385766</v>
      </c>
      <c r="C239">
        <f>Dashboard_Live_Data!D238</f>
        <v>58</v>
      </c>
      <c r="D239">
        <f>Dashboard_Live_Data!F238</f>
        <v>194.52778179385766</v>
      </c>
      <c r="E239">
        <f>Dashboard_Live_Data!D238</f>
        <v>58</v>
      </c>
      <c r="F239">
        <f>Dashboard_Live_Data!G238</f>
        <v>30.070182113253747</v>
      </c>
    </row>
    <row r="240" spans="1:6">
      <c r="A240">
        <f>Dashboard_Live_Data!D239</f>
        <v>58.5</v>
      </c>
      <c r="B240">
        <f>Dashboard_Live_Data!E239</f>
        <v>188.33221875951745</v>
      </c>
      <c r="C240">
        <f>Dashboard_Live_Data!D239</f>
        <v>58.5</v>
      </c>
      <c r="D240">
        <f>Dashboard_Live_Data!F239</f>
        <v>188.33221875951745</v>
      </c>
      <c r="E240">
        <f>Dashboard_Live_Data!D239</f>
        <v>58.5</v>
      </c>
      <c r="F240">
        <f>Dashboard_Live_Data!G239</f>
        <v>28.425297518081656</v>
      </c>
    </row>
    <row r="241" spans="1:8">
      <c r="A241">
        <f>Dashboard_Live_Data!D240</f>
        <v>59</v>
      </c>
      <c r="B241">
        <f>Dashboard_Live_Data!E240</f>
        <v>193.74067782731254</v>
      </c>
      <c r="C241">
        <f>Dashboard_Live_Data!D240</f>
        <v>59</v>
      </c>
      <c r="D241">
        <f>Dashboard_Live_Data!F240</f>
        <v>193.74067782731254</v>
      </c>
      <c r="E241">
        <f>Dashboard_Live_Data!D240</f>
        <v>59</v>
      </c>
      <c r="F241">
        <f>Dashboard_Live_Data!G240</f>
        <v>25.687015204981627</v>
      </c>
    </row>
    <row r="242" spans="1:8">
      <c r="A242">
        <f>Dashboard_Live_Data!D241</f>
        <v>59.5</v>
      </c>
      <c r="B242">
        <f>Dashboard_Live_Data!E241</f>
        <v>168.97901642333537</v>
      </c>
      <c r="C242">
        <f>Dashboard_Live_Data!D241</f>
        <v>59.5</v>
      </c>
      <c r="D242">
        <f>Dashboard_Live_Data!F241</f>
        <v>168.97901642333537</v>
      </c>
      <c r="E242">
        <f>Dashboard_Live_Data!D241</f>
        <v>59.5</v>
      </c>
      <c r="F242">
        <f>Dashboard_Live_Data!G241</f>
        <v>45.681577079315673</v>
      </c>
    </row>
    <row r="243" spans="1:8">
      <c r="A243">
        <f>Dashboard_Live_Data!D242</f>
        <v>60</v>
      </c>
      <c r="B243">
        <f>Dashboard_Live_Data!E242</f>
        <v>179.34901119414707</v>
      </c>
      <c r="C243">
        <f>Dashboard_Live_Data!D242</f>
        <v>60</v>
      </c>
      <c r="D243">
        <f>Dashboard_Live_Data!F242</f>
        <v>179.34901119414707</v>
      </c>
      <c r="E243">
        <f>Dashboard_Live_Data!D242</f>
        <v>60</v>
      </c>
      <c r="F243">
        <f>Dashboard_Live_Data!G242</f>
        <v>31.89413090916895</v>
      </c>
    </row>
    <row r="246" spans="1:8">
      <c r="A246" t="s">
        <v>1063</v>
      </c>
    </row>
    <row r="247" spans="1:8">
      <c r="A247" t="s">
        <v>1064</v>
      </c>
      <c r="B247" t="s">
        <v>1065</v>
      </c>
      <c r="C247" t="s">
        <v>1066</v>
      </c>
      <c r="D247" t="s">
        <v>1067</v>
      </c>
      <c r="E247" t="s">
        <v>1068</v>
      </c>
      <c r="F247" t="s">
        <v>1069</v>
      </c>
      <c r="G247" t="s">
        <v>1070</v>
      </c>
      <c r="H247" t="s">
        <v>1071</v>
      </c>
    </row>
    <row r="248" spans="1:8">
      <c r="A248">
        <f>Dashboard_Live_Data!I2</f>
        <v>-1</v>
      </c>
      <c r="B248">
        <f>Dashboard_Live_Data!J2</f>
        <v>-28.606835752051211</v>
      </c>
      <c r="C248">
        <f>Dashboard_Live_Data!I2</f>
        <v>-1</v>
      </c>
      <c r="D248">
        <f>Dashboard_Live_Data!K2</f>
        <v>-95550.696824635204</v>
      </c>
      <c r="E248">
        <f>Dashboard_Live_Data!I2</f>
        <v>-1</v>
      </c>
      <c r="F248">
        <f>Dashboard_Live_Data!L2</f>
        <v>-192178.91313344726</v>
      </c>
      <c r="G248">
        <f>Dashboard_Live_Data!I2</f>
        <v>-1</v>
      </c>
      <c r="H248">
        <f>Dashboard_Live_Data!M2</f>
        <v>-196175.94007289349</v>
      </c>
    </row>
    <row r="249" spans="1:8">
      <c r="A249">
        <f>Dashboard_Live_Data!I3</f>
        <v>-0.99199999999999999</v>
      </c>
      <c r="B249">
        <f>Dashboard_Live_Data!J3</f>
        <v>-27.782863149590867</v>
      </c>
      <c r="C249">
        <f>Dashboard_Live_Data!I3</f>
        <v>-0.99199999999999999</v>
      </c>
      <c r="D249">
        <f>Dashboard_Live_Data!K3</f>
        <v>-94429.872930648315</v>
      </c>
      <c r="E249">
        <f>Dashboard_Live_Data!I3</f>
        <v>-0.99199999999999999</v>
      </c>
      <c r="F249">
        <f>Dashboard_Live_Data!L3</f>
        <v>-190472.55314770035</v>
      </c>
      <c r="G249">
        <f>Dashboard_Live_Data!I3</f>
        <v>-0.99199999999999999</v>
      </c>
      <c r="H249">
        <f>Dashboard_Live_Data!M3</f>
        <v>-194464.73837065243</v>
      </c>
    </row>
    <row r="250" spans="1:8">
      <c r="A250">
        <f>Dashboard_Live_Data!I4</f>
        <v>-0.98299999999999998</v>
      </c>
      <c r="B250">
        <f>Dashboard_Live_Data!J4</f>
        <v>-26.877434485224512</v>
      </c>
      <c r="C250">
        <f>Dashboard_Live_Data!I4</f>
        <v>-0.98299999999999998</v>
      </c>
      <c r="D250">
        <f>Dashboard_Live_Data!K4</f>
        <v>-93169.450020823468</v>
      </c>
      <c r="E250">
        <f>Dashboard_Live_Data!I4</f>
        <v>-0.98299999999999998</v>
      </c>
      <c r="F250">
        <f>Dashboard_Live_Data!L4</f>
        <v>-188542.34891493866</v>
      </c>
      <c r="G250">
        <f>Dashboard_Live_Data!I4</f>
        <v>-0.98299999999999998</v>
      </c>
      <c r="H250">
        <f>Dashboard_Live_Data!M4</f>
        <v>-192528.7589427015</v>
      </c>
    </row>
    <row r="251" spans="1:8">
      <c r="A251">
        <f>Dashboard_Live_Data!I5</f>
        <v>-0.97499999999999998</v>
      </c>
      <c r="B251">
        <f>Dashboard_Live_Data!J5</f>
        <v>-26.091469511469313</v>
      </c>
      <c r="C251">
        <f>Dashboard_Live_Data!I5</f>
        <v>-0.97499999999999998</v>
      </c>
      <c r="D251">
        <f>Dashboard_Live_Data!K5</f>
        <v>-92049.599695208031</v>
      </c>
      <c r="E251">
        <f>Dashboard_Live_Data!I5</f>
        <v>-0.97499999999999998</v>
      </c>
      <c r="F251">
        <f>Dashboard_Live_Data!L5</f>
        <v>-186817.33873453335</v>
      </c>
      <c r="G251">
        <f>Dashboard_Live_Data!I5</f>
        <v>-0.97499999999999998</v>
      </c>
      <c r="H251">
        <f>Dashboard_Live_Data!M5</f>
        <v>-190798.31818207764</v>
      </c>
    </row>
    <row r="252" spans="1:8">
      <c r="A252">
        <f>Dashboard_Live_Data!I6</f>
        <v>-0.96699999999999997</v>
      </c>
      <c r="B252">
        <f>Dashboard_Live_Data!J6</f>
        <v>-25.322987391846254</v>
      </c>
      <c r="C252">
        <f>Dashboard_Live_Data!I6</f>
        <v>-0.96699999999999997</v>
      </c>
      <c r="D252">
        <f>Dashboard_Live_Data!K6</f>
        <v>-90930.318556275248</v>
      </c>
      <c r="E252">
        <f>Dashboard_Live_Data!I6</f>
        <v>-0.96699999999999997</v>
      </c>
      <c r="F252">
        <f>Dashboard_Live_Data!L6</f>
        <v>-185083.70199145679</v>
      </c>
      <c r="G252">
        <f>Dashboard_Live_Data!I6</f>
        <v>-0.96699999999999997</v>
      </c>
      <c r="H252">
        <f>Dashboard_Live_Data!M6</f>
        <v>-189058.96620570074</v>
      </c>
    </row>
    <row r="253" spans="1:8">
      <c r="A253">
        <f>Dashboard_Live_Data!I7</f>
        <v>-0.95799999999999996</v>
      </c>
      <c r="B253">
        <f>Dashboard_Live_Data!J7</f>
        <v>-24.47902381513677</v>
      </c>
      <c r="C253">
        <f>Dashboard_Live_Data!I7</f>
        <v>-0.95799999999999996</v>
      </c>
      <c r="D253">
        <f>Dashboard_Live_Data!K7</f>
        <v>-89671.898520797025</v>
      </c>
      <c r="E253">
        <f>Dashboard_Live_Data!I7</f>
        <v>-0.95799999999999996</v>
      </c>
      <c r="F253">
        <f>Dashboard_Live_Data!L7</f>
        <v>-183123.17397563407</v>
      </c>
      <c r="G253">
        <f>Dashboard_Live_Data!I7</f>
        <v>-0.95799999999999996</v>
      </c>
      <c r="H253">
        <f>Dashboard_Live_Data!M7</f>
        <v>-187091.66215917454</v>
      </c>
    </row>
    <row r="254" spans="1:8">
      <c r="A254">
        <f>Dashboard_Live_Data!I8</f>
        <v>-0.95</v>
      </c>
      <c r="B254">
        <f>Dashboard_Live_Data!J8</f>
        <v>-23.746844660086936</v>
      </c>
      <c r="C254">
        <f>Dashboard_Live_Data!I8</f>
        <v>-0.95</v>
      </c>
      <c r="D254">
        <f>Dashboard_Live_Data!K8</f>
        <v>-88554.070883643246</v>
      </c>
      <c r="E254">
        <f>Dashboard_Live_Data!I8</f>
        <v>-0.95</v>
      </c>
      <c r="F254">
        <f>Dashboard_Live_Data!L8</f>
        <v>-181371.54200338566</v>
      </c>
      <c r="G254">
        <f>Dashboard_Live_Data!I8</f>
        <v>-0.95</v>
      </c>
      <c r="H254">
        <f>Dashboard_Live_Data!M8</f>
        <v>-185333.69359371395</v>
      </c>
    </row>
    <row r="255" spans="1:8">
      <c r="A255">
        <f>Dashboard_Live_Data!I9</f>
        <v>-0.94199999999999995</v>
      </c>
      <c r="B255">
        <f>Dashboard_Live_Data!J9</f>
        <v>-23.031353320222479</v>
      </c>
      <c r="C255">
        <f>Dashboard_Live_Data!I9</f>
        <v>-0.94199999999999995</v>
      </c>
      <c r="D255">
        <f>Dashboard_Live_Data!K9</f>
        <v>-87437.045115058572</v>
      </c>
      <c r="E255">
        <f>Dashboard_Live_Data!I9</f>
        <v>-0.94199999999999995</v>
      </c>
      <c r="F255">
        <f>Dashboard_Live_Data!L9</f>
        <v>-179611.60663962277</v>
      </c>
      <c r="G255">
        <f>Dashboard_Live_Data!I9</f>
        <v>-0.94199999999999995</v>
      </c>
      <c r="H255">
        <f>Dashboard_Live_Data!M9</f>
        <v>-183567.12131353328</v>
      </c>
    </row>
    <row r="256" spans="1:8">
      <c r="A256">
        <f>Dashboard_Live_Data!I10</f>
        <v>-0.93300000000000005</v>
      </c>
      <c r="B256">
        <f>Dashboard_Live_Data!J10</f>
        <v>-22.246059825895372</v>
      </c>
      <c r="C256">
        <f>Dashboard_Live_Data!I10</f>
        <v>-0.93300000000000005</v>
      </c>
      <c r="D256">
        <f>Dashboard_Live_Data!K10</f>
        <v>-86181.446082973955</v>
      </c>
      <c r="E256">
        <f>Dashboard_Live_Data!I10</f>
        <v>-0.93300000000000005</v>
      </c>
      <c r="F256">
        <f>Dashboard_Live_Data!L10</f>
        <v>-177621.89133436125</v>
      </c>
      <c r="G256">
        <f>Dashboard_Live_Data!I10</f>
        <v>-0.93300000000000005</v>
      </c>
      <c r="H256">
        <f>Dashboard_Live_Data!M10</f>
        <v>-181569.57405040326</v>
      </c>
    </row>
    <row r="257" spans="1:8">
      <c r="A257">
        <f>Dashboard_Live_Data!I11</f>
        <v>-0.92500000000000004</v>
      </c>
      <c r="B257">
        <f>Dashboard_Live_Data!J11</f>
        <v>-21.565197447271657</v>
      </c>
      <c r="C257">
        <f>Dashboard_Live_Data!I11</f>
        <v>-0.92500000000000004</v>
      </c>
      <c r="D257">
        <f>Dashboard_Live_Data!K11</f>
        <v>-85066.383249791965</v>
      </c>
      <c r="E257">
        <f>Dashboard_Live_Data!I11</f>
        <v>-0.92500000000000004</v>
      </c>
      <c r="F257">
        <f>Dashboard_Live_Data!L11</f>
        <v>-175844.68076899392</v>
      </c>
      <c r="G257">
        <f>Dashboard_Live_Data!I11</f>
        <v>-0.92500000000000004</v>
      </c>
      <c r="H257">
        <f>Dashboard_Live_Data!M11</f>
        <v>-179785.07110087413</v>
      </c>
    </row>
    <row r="258" spans="1:8">
      <c r="A258">
        <f>Dashboard_Live_Data!I12</f>
        <v>-0.91700000000000004</v>
      </c>
      <c r="B258">
        <f>Dashboard_Live_Data!J12</f>
        <v>-20.900242486699881</v>
      </c>
      <c r="C258">
        <f>Dashboard_Live_Data!I12</f>
        <v>-0.91700000000000004</v>
      </c>
      <c r="D258">
        <f>Dashboard_Live_Data!K12</f>
        <v>-83952.369247370851</v>
      </c>
      <c r="E258">
        <f>Dashboard_Live_Data!I12</f>
        <v>-0.91700000000000004</v>
      </c>
      <c r="F258">
        <f>Dashboard_Live_Data!L12</f>
        <v>-174059.5218997983</v>
      </c>
      <c r="G258">
        <f>Dashboard_Live_Data!I12</f>
        <v>-0.91700000000000004</v>
      </c>
      <c r="H258">
        <f>Dashboard_Live_Data!M12</f>
        <v>-177992.30309147586</v>
      </c>
    </row>
    <row r="259" spans="1:8">
      <c r="A259">
        <f>Dashboard_Live_Data!I13</f>
        <v>-0.90800000000000003</v>
      </c>
      <c r="B259">
        <f>Dashboard_Live_Data!J13</f>
        <v>-20.170875551412792</v>
      </c>
      <c r="C259">
        <f>Dashboard_Live_Data!I13</f>
        <v>-0.90800000000000003</v>
      </c>
      <c r="D259">
        <f>Dashboard_Live_Data!K13</f>
        <v>-82700.459556477203</v>
      </c>
      <c r="E259">
        <f>Dashboard_Live_Data!I13</f>
        <v>-0.90800000000000003</v>
      </c>
      <c r="F259">
        <f>Dashboard_Live_Data!L13</f>
        <v>-172041.86803726538</v>
      </c>
      <c r="G259">
        <f>Dashboard_Live_Data!I13</f>
        <v>-0.90800000000000003</v>
      </c>
      <c r="H259">
        <f>Dashboard_Live_Data!M13</f>
        <v>-175965.70357183547</v>
      </c>
    </row>
    <row r="260" spans="1:8">
      <c r="A260">
        <f>Dashboard_Live_Data!I14</f>
        <v>-0.9</v>
      </c>
      <c r="B260">
        <f>Dashboard_Live_Data!J14</f>
        <v>-19.538907124212074</v>
      </c>
      <c r="C260">
        <f>Dashboard_Live_Data!I14</f>
        <v>-0.9</v>
      </c>
      <c r="D260">
        <f>Dashboard_Live_Data!K14</f>
        <v>-81588.949134183073</v>
      </c>
      <c r="E260">
        <f>Dashboard_Live_Data!I14</f>
        <v>-0.9</v>
      </c>
      <c r="F260">
        <f>Dashboard_Live_Data!L14</f>
        <v>-170240.22471774745</v>
      </c>
      <c r="G260">
        <f>Dashboard_Live_Data!I14</f>
        <v>-0.9</v>
      </c>
      <c r="H260">
        <f>Dashboard_Live_Data!M14</f>
        <v>-174155.75991096892</v>
      </c>
    </row>
    <row r="261" spans="1:8">
      <c r="A261">
        <f>Dashboard_Live_Data!I15</f>
        <v>-0.89200000000000002</v>
      </c>
      <c r="B261">
        <f>Dashboard_Live_Data!J15</f>
        <v>-18.922080788589938</v>
      </c>
      <c r="C261">
        <f>Dashboard_Live_Data!I15</f>
        <v>-0.89200000000000002</v>
      </c>
      <c r="D261">
        <f>Dashboard_Live_Data!K15</f>
        <v>-80478.749607010104</v>
      </c>
      <c r="E261">
        <f>Dashboard_Live_Data!I15</f>
        <v>-0.89200000000000002</v>
      </c>
      <c r="F261">
        <f>Dashboard_Live_Data!L15</f>
        <v>-168431.02288308332</v>
      </c>
      <c r="G261">
        <f>Dashboard_Live_Data!I15</f>
        <v>-0.89200000000000002</v>
      </c>
      <c r="H261">
        <f>Dashboard_Live_Data!M15</f>
        <v>-172337.9237806311</v>
      </c>
    </row>
    <row r="262" spans="1:8">
      <c r="A262">
        <f>Dashboard_Live_Data!I16</f>
        <v>-0.88300000000000001</v>
      </c>
      <c r="B262">
        <f>Dashboard_Live_Data!J16</f>
        <v>-18.245949870930872</v>
      </c>
      <c r="C262">
        <f>Dashboard_Live_Data!I16</f>
        <v>-0.88300000000000001</v>
      </c>
      <c r="D262">
        <f>Dashboard_Live_Data!K16</f>
        <v>-79231.450693104227</v>
      </c>
      <c r="E262">
        <f>Dashboard_Live_Data!I16</f>
        <v>-0.88300000000000001</v>
      </c>
      <c r="F262">
        <f>Dashboard_Live_Data!L16</f>
        <v>-166386.80122569614</v>
      </c>
      <c r="G262">
        <f>Dashboard_Live_Data!I16</f>
        <v>-0.88300000000000001</v>
      </c>
      <c r="H262">
        <f>Dashboard_Live_Data!M16</f>
        <v>-170283.58230501943</v>
      </c>
    </row>
    <row r="263" spans="1:8">
      <c r="A263">
        <f>Dashboard_Live_Data!I17</f>
        <v>-0.875</v>
      </c>
      <c r="B263">
        <f>Dashboard_Live_Data!J17</f>
        <v>-17.660500113955095</v>
      </c>
      <c r="C263">
        <f>Dashboard_Live_Data!I17</f>
        <v>-0.875</v>
      </c>
      <c r="D263">
        <f>Dashboard_Live_Data!K17</f>
        <v>-78124.328383369575</v>
      </c>
      <c r="E263">
        <f>Dashboard_Live_Data!I17</f>
        <v>-0.875</v>
      </c>
      <c r="F263">
        <f>Dashboard_Live_Data!L17</f>
        <v>-164561.98259931064</v>
      </c>
      <c r="G263">
        <f>Dashboard_Live_Data!I17</f>
        <v>-0.875</v>
      </c>
      <c r="H263">
        <f>Dashboard_Live_Data!M17</f>
        <v>-168449.40082622971</v>
      </c>
    </row>
    <row r="264" spans="1:8">
      <c r="A264">
        <f>Dashboard_Live_Data!I18</f>
        <v>-0.86699999999999999</v>
      </c>
      <c r="B264">
        <f>Dashboard_Live_Data!J18</f>
        <v>-17.089442616799715</v>
      </c>
      <c r="C264">
        <f>Dashboard_Live_Data!I18</f>
        <v>-0.86699999999999999</v>
      </c>
      <c r="D264">
        <f>Dashboard_Live_Data!K18</f>
        <v>-77018.794989844479</v>
      </c>
      <c r="E264">
        <f>Dashboard_Live_Data!I18</f>
        <v>-0.86699999999999999</v>
      </c>
      <c r="F264">
        <f>Dashboard_Live_Data!L18</f>
        <v>-162730.03298707734</v>
      </c>
      <c r="G264">
        <f>Dashboard_Live_Data!I18</f>
        <v>-0.86699999999999999</v>
      </c>
      <c r="H264">
        <f>Dashboard_Live_Data!M18</f>
        <v>-166607.7364499004</v>
      </c>
    </row>
    <row r="265" spans="1:8">
      <c r="A265">
        <f>Dashboard_Live_Data!I19</f>
        <v>-0.85799999999999998</v>
      </c>
      <c r="B265">
        <f>Dashboard_Live_Data!J19</f>
        <v>-16.463911639531943</v>
      </c>
      <c r="C265">
        <f>Dashboard_Live_Data!I19</f>
        <v>-0.85799999999999998</v>
      </c>
      <c r="D265">
        <f>Dashboard_Live_Data!K19</f>
        <v>-75777.084390837015</v>
      </c>
      <c r="E265">
        <f>Dashboard_Live_Data!I19</f>
        <v>-0.85799999999999998</v>
      </c>
      <c r="F265">
        <f>Dashboard_Live_Data!L19</f>
        <v>-160660.74701629789</v>
      </c>
      <c r="G265">
        <f>Dashboard_Live_Data!I19</f>
        <v>-0.85799999999999998</v>
      </c>
      <c r="H265">
        <f>Dashboard_Live_Data!M19</f>
        <v>-164527.09337077424</v>
      </c>
    </row>
    <row r="266" spans="1:8">
      <c r="A266">
        <f>Dashboard_Live_Data!I20</f>
        <v>-0.85</v>
      </c>
      <c r="B266">
        <f>Dashboard_Live_Data!J20</f>
        <v>-15.922654129073635</v>
      </c>
      <c r="C266">
        <f>Dashboard_Live_Data!I20</f>
        <v>-0.85</v>
      </c>
      <c r="D266">
        <f>Dashboard_Live_Data!K20</f>
        <v>-74675.236694186082</v>
      </c>
      <c r="E266">
        <f>Dashboard_Live_Data!I20</f>
        <v>-0.85</v>
      </c>
      <c r="F266">
        <f>Dashboard_Live_Data!L20</f>
        <v>-158814.13192459266</v>
      </c>
      <c r="G266">
        <f>Dashboard_Live_Data!I20</f>
        <v>-0.85</v>
      </c>
      <c r="H266">
        <f>Dashboard_Live_Data!M20</f>
        <v>-162669.99600543149</v>
      </c>
    </row>
    <row r="267" spans="1:8">
      <c r="A267">
        <f>Dashboard_Live_Data!I21</f>
        <v>-0.84199999999999997</v>
      </c>
      <c r="B267">
        <f>Dashboard_Live_Data!J21</f>
        <v>-15.39505495210642</v>
      </c>
      <c r="C267">
        <f>Dashboard_Live_Data!I21</f>
        <v>-0.84199999999999997</v>
      </c>
      <c r="D267">
        <f>Dashboard_Live_Data!K21</f>
        <v>-73575.272777374339</v>
      </c>
      <c r="E267">
        <f>Dashboard_Live_Data!I21</f>
        <v>-0.84199999999999997</v>
      </c>
      <c r="F267">
        <f>Dashboard_Live_Data!L21</f>
        <v>-156960.85443111646</v>
      </c>
      <c r="G267">
        <f>Dashboard_Live_Data!I21</f>
        <v>-0.84199999999999997</v>
      </c>
      <c r="H267">
        <f>Dashboard_Live_Data!M21</f>
        <v>-160805.86562780707</v>
      </c>
    </row>
    <row r="268" spans="1:8">
      <c r="A268">
        <f>Dashboard_Live_Data!I22</f>
        <v>-0.83299999999999996</v>
      </c>
      <c r="B268">
        <f>Dashboard_Live_Data!J22</f>
        <v>-14.817543761564139</v>
      </c>
      <c r="C268">
        <f>Dashboard_Live_Data!I22</f>
        <v>-0.83299999999999996</v>
      </c>
      <c r="D268">
        <f>Dashboard_Live_Data!K22</f>
        <v>-72340.187247200418</v>
      </c>
      <c r="E268">
        <f>Dashboard_Live_Data!I22</f>
        <v>-0.83299999999999996</v>
      </c>
      <c r="F268">
        <f>Dashboard_Live_Data!L22</f>
        <v>-154868.15200145353</v>
      </c>
      <c r="G268">
        <f>Dashboard_Live_Data!I22</f>
        <v>-0.83299999999999996</v>
      </c>
      <c r="H268">
        <f>Dashboard_Live_Data!M22</f>
        <v>-158700.50306586787</v>
      </c>
    </row>
    <row r="269" spans="1:8">
      <c r="A269">
        <f>Dashboard_Live_Data!I23</f>
        <v>-0.82499999999999996</v>
      </c>
      <c r="B269">
        <f>Dashboard_Live_Data!J23</f>
        <v>-14.318202220481453</v>
      </c>
      <c r="C269">
        <f>Dashboard_Live_Data!I23</f>
        <v>-0.82499999999999996</v>
      </c>
      <c r="D269">
        <f>Dashboard_Live_Data!K23</f>
        <v>-71244.554262802048</v>
      </c>
      <c r="E269">
        <f>Dashboard_Live_Data!I23</f>
        <v>-0.82499999999999996</v>
      </c>
      <c r="F269">
        <f>Dashboard_Live_Data!L23</f>
        <v>-153001.25134490427</v>
      </c>
      <c r="G269">
        <f>Dashboard_Live_Data!I23</f>
        <v>-0.82499999999999996</v>
      </c>
      <c r="H269">
        <f>Dashboard_Live_Data!M23</f>
        <v>-156821.9415170548</v>
      </c>
    </row>
    <row r="270" spans="1:8">
      <c r="A270">
        <f>Dashboard_Live_Data!I24</f>
        <v>-0.81699999999999995</v>
      </c>
      <c r="B270">
        <f>Dashboard_Live_Data!J24</f>
        <v>-13.831801402375277</v>
      </c>
      <c r="C270">
        <f>Dashboard_Live_Data!I24</f>
        <v>-0.81699999999999995</v>
      </c>
      <c r="D270">
        <f>Dashboard_Live_Data!K24</f>
        <v>-70151.117679492658</v>
      </c>
      <c r="E270">
        <f>Dashboard_Live_Data!I24</f>
        <v>-0.81699999999999995</v>
      </c>
      <c r="F270">
        <f>Dashboard_Live_Data!L24</f>
        <v>-151128.20153368788</v>
      </c>
      <c r="G270">
        <f>Dashboard_Live_Data!I24</f>
        <v>-0.81699999999999995</v>
      </c>
      <c r="H270">
        <f>Dashboard_Live_Data!M24</f>
        <v>-154936.84079418762</v>
      </c>
    </row>
    <row r="271" spans="1:8">
      <c r="A271">
        <f>Dashboard_Live_Data!I25</f>
        <v>-0.80800000000000005</v>
      </c>
      <c r="B271">
        <f>Dashboard_Live_Data!J25</f>
        <v>-13.299787208880844</v>
      </c>
      <c r="C271">
        <f>Dashboard_Live_Data!I25</f>
        <v>-0.80800000000000005</v>
      </c>
      <c r="D271">
        <f>Dashboard_Live_Data!K25</f>
        <v>-68923.75640485117</v>
      </c>
      <c r="E271">
        <f>Dashboard_Live_Data!I25</f>
        <v>-0.80800000000000005</v>
      </c>
      <c r="F271">
        <f>Dashboard_Live_Data!L25</f>
        <v>-149013.88756056636</v>
      </c>
      <c r="G271">
        <f>Dashboard_Live_Data!I25</f>
        <v>-0.80800000000000005</v>
      </c>
      <c r="H271">
        <f>Dashboard_Live_Data!M25</f>
        <v>-152808.49543699686</v>
      </c>
    </row>
    <row r="272" spans="1:8">
      <c r="A272">
        <f>Dashboard_Live_Data!I26</f>
        <v>-0.8</v>
      </c>
      <c r="B272">
        <f>Dashboard_Live_Data!J26</f>
        <v>-12.840136776974759</v>
      </c>
      <c r="C272">
        <f>Dashboard_Live_Data!I26</f>
        <v>-0.8</v>
      </c>
      <c r="D272">
        <f>Dashboard_Live_Data!K26</f>
        <v>-67835.334719187129</v>
      </c>
      <c r="E272">
        <f>Dashboard_Live_Data!I26</f>
        <v>-0.8</v>
      </c>
      <c r="F272">
        <f>Dashboard_Live_Data!L26</f>
        <v>-147128.35590287362</v>
      </c>
      <c r="G272">
        <f>Dashboard_Live_Data!I26</f>
        <v>-0.8</v>
      </c>
      <c r="H272">
        <f>Dashboard_Live_Data!M26</f>
        <v>-150910.062898851</v>
      </c>
    </row>
    <row r="273" spans="1:8">
      <c r="A273">
        <f>Dashboard_Live_Data!I27</f>
        <v>-0.79200000000000004</v>
      </c>
      <c r="B273">
        <f>Dashboard_Live_Data!J27</f>
        <v>-12.392726180069985</v>
      </c>
      <c r="C273">
        <f>Dashboard_Live_Data!I27</f>
        <v>-0.79200000000000004</v>
      </c>
      <c r="D273">
        <f>Dashboard_Live_Data!K27</f>
        <v>-66749.440755261443</v>
      </c>
      <c r="E273">
        <f>Dashboard_Live_Data!I27</f>
        <v>-0.79200000000000004</v>
      </c>
      <c r="F273">
        <f>Dashboard_Live_Data!L27</f>
        <v>-145237.23692226937</v>
      </c>
      <c r="G273">
        <f>Dashboard_Live_Data!I27</f>
        <v>-0.79200000000000004</v>
      </c>
      <c r="H273">
        <f>Dashboard_Live_Data!M27</f>
        <v>-149005.63294747777</v>
      </c>
    </row>
    <row r="274" spans="1:8">
      <c r="A274">
        <f>Dashboard_Live_Data!I28</f>
        <v>-0.78300000000000003</v>
      </c>
      <c r="B274">
        <f>Dashboard_Live_Data!J28</f>
        <v>-11.903744966717568</v>
      </c>
      <c r="C274">
        <f>Dashboard_Live_Data!I28</f>
        <v>-0.78300000000000003</v>
      </c>
      <c r="D274">
        <f>Dashboard_Live_Data!K28</f>
        <v>-65530.968666103829</v>
      </c>
      <c r="E274">
        <f>Dashboard_Live_Data!I28</f>
        <v>-0.78300000000000003</v>
      </c>
      <c r="F274">
        <f>Dashboard_Live_Data!L28</f>
        <v>-143103.2871715021</v>
      </c>
      <c r="G274">
        <f>Dashboard_Live_Data!I28</f>
        <v>-0.78300000000000003</v>
      </c>
      <c r="H274">
        <f>Dashboard_Live_Data!M28</f>
        <v>-146856.21000814714</v>
      </c>
    </row>
    <row r="275" spans="1:8">
      <c r="A275">
        <f>Dashboard_Live_Data!I29</f>
        <v>-0.77500000000000002</v>
      </c>
      <c r="B275">
        <f>Dashboard_Live_Data!J29</f>
        <v>-11.481613456182458</v>
      </c>
      <c r="C275">
        <f>Dashboard_Live_Data!I29</f>
        <v>-0.77500000000000002</v>
      </c>
      <c r="D275">
        <f>Dashboard_Live_Data!K29</f>
        <v>-64450.814321778293</v>
      </c>
      <c r="E275">
        <f>Dashboard_Live_Data!I29</f>
        <v>-0.77500000000000002</v>
      </c>
      <c r="F275">
        <f>Dashboard_Live_Data!L29</f>
        <v>-141200.93534309621</v>
      </c>
      <c r="G275">
        <f>Dashboard_Live_Data!I29</f>
        <v>-0.77500000000000002</v>
      </c>
      <c r="H275">
        <f>Dashboard_Live_Data!M29</f>
        <v>-144939.65393967155</v>
      </c>
    </row>
    <row r="276" spans="1:8">
      <c r="A276">
        <f>Dashboard_Live_Data!I30</f>
        <v>-0.76700000000000002</v>
      </c>
      <c r="B276">
        <f>Dashboard_Live_Data!J30</f>
        <v>-11.071038001998204</v>
      </c>
      <c r="C276">
        <f>Dashboard_Live_Data!I30</f>
        <v>-0.76700000000000002</v>
      </c>
      <c r="D276">
        <f>Dashboard_Live_Data!K30</f>
        <v>-63373.538684469939</v>
      </c>
      <c r="E276">
        <f>Dashboard_Live_Data!I30</f>
        <v>-0.76700000000000002</v>
      </c>
      <c r="F276">
        <f>Dashboard_Live_Data!L30</f>
        <v>-139293.61086167698</v>
      </c>
      <c r="G276">
        <f>Dashboard_Live_Data!I30</f>
        <v>-0.76700000000000002</v>
      </c>
      <c r="H276">
        <f>Dashboard_Live_Data!M30</f>
        <v>-143017.69446274094</v>
      </c>
    </row>
    <row r="277" spans="1:8">
      <c r="A277">
        <f>Dashboard_Live_Data!I31</f>
        <v>-0.75800000000000001</v>
      </c>
      <c r="B277">
        <f>Dashboard_Live_Data!J31</f>
        <v>-10.622685923482095</v>
      </c>
      <c r="C277">
        <f>Dashboard_Live_Data!I31</f>
        <v>-0.75800000000000001</v>
      </c>
      <c r="D277">
        <f>Dashboard_Live_Data!K31</f>
        <v>-62165.189846866764</v>
      </c>
      <c r="E277">
        <f>Dashboard_Live_Data!I31</f>
        <v>-0.75800000000000001</v>
      </c>
      <c r="F277">
        <f>Dashboard_Live_Data!L31</f>
        <v>-137142.18690545231</v>
      </c>
      <c r="G277">
        <f>Dashboard_Live_Data!I31</f>
        <v>-0.75800000000000001</v>
      </c>
      <c r="H277">
        <f>Dashboard_Live_Data!M31</f>
        <v>-140849.28287495419</v>
      </c>
    </row>
    <row r="278" spans="1:8">
      <c r="A278">
        <f>Dashboard_Live_Data!I32</f>
        <v>-0.75</v>
      </c>
      <c r="B278">
        <f>Dashboard_Live_Data!J32</f>
        <v>-10.235955038383963</v>
      </c>
      <c r="C278">
        <f>Dashboard_Live_Data!I32</f>
        <v>-0.75</v>
      </c>
      <c r="D278">
        <f>Dashboard_Live_Data!K32</f>
        <v>-61094.421380709784</v>
      </c>
      <c r="E278">
        <f>Dashboard_Live_Data!I32</f>
        <v>-0.75</v>
      </c>
      <c r="F278">
        <f>Dashboard_Live_Data!L32</f>
        <v>-135224.99566257387</v>
      </c>
      <c r="G278">
        <f>Dashboard_Live_Data!I32</f>
        <v>-0.75</v>
      </c>
      <c r="H278">
        <f>Dashboard_Live_Data!M32</f>
        <v>-138916.51889518261</v>
      </c>
    </row>
    <row r="279" spans="1:8">
      <c r="A279">
        <f>Dashboard_Live_Data!I33</f>
        <v>-0.74199999999999999</v>
      </c>
      <c r="B279">
        <f>Dashboard_Live_Data!J33</f>
        <v>-9.8601139367465294</v>
      </c>
      <c r="C279">
        <f>Dashboard_Live_Data!I33</f>
        <v>-0.74199999999999999</v>
      </c>
      <c r="D279">
        <f>Dashboard_Live_Data!K33</f>
        <v>-60026.903256236488</v>
      </c>
      <c r="E279">
        <f>Dashboard_Live_Data!I33</f>
        <v>-0.74199999999999999</v>
      </c>
      <c r="F279">
        <f>Dashboard_Live_Data!L33</f>
        <v>-133303.50387707393</v>
      </c>
      <c r="G279">
        <f>Dashboard_Live_Data!I33</f>
        <v>-0.74199999999999999</v>
      </c>
      <c r="H279">
        <f>Dashboard_Live_Data!M33</f>
        <v>-136979.00244933416</v>
      </c>
    </row>
    <row r="280" spans="1:8">
      <c r="A280">
        <f>Dashboard_Live_Data!I34</f>
        <v>-0.73299999999999998</v>
      </c>
      <c r="B280">
        <f>Dashboard_Live_Data!J34</f>
        <v>-9.4500486732272293</v>
      </c>
      <c r="C280">
        <f>Dashboard_Live_Data!I34</f>
        <v>-0.73299999999999998</v>
      </c>
      <c r="D280">
        <f>Dashboard_Live_Data!K34</f>
        <v>-58829.984333780361</v>
      </c>
      <c r="E280">
        <f>Dashboard_Live_Data!I34</f>
        <v>-0.73299999999999998</v>
      </c>
      <c r="F280">
        <f>Dashboard_Live_Data!L34</f>
        <v>-131136.96927609117</v>
      </c>
      <c r="G280">
        <f>Dashboard_Live_Data!I34</f>
        <v>-0.73299999999999998</v>
      </c>
      <c r="H280">
        <f>Dashboard_Live_Data!M34</f>
        <v>-134793.89137103801</v>
      </c>
    </row>
    <row r="281" spans="1:8">
      <c r="A281">
        <f>Dashboard_Live_Data!I35</f>
        <v>-0.72499999999999998</v>
      </c>
      <c r="B281">
        <f>Dashboard_Live_Data!J35</f>
        <v>-9.0966552194690848</v>
      </c>
      <c r="C281">
        <f>Dashboard_Live_Data!I35</f>
        <v>-0.72499999999999998</v>
      </c>
      <c r="D281">
        <f>Dashboard_Live_Data!K35</f>
        <v>-57769.785871170316</v>
      </c>
      <c r="E281">
        <f>Dashboard_Live_Data!I35</f>
        <v>-0.72499999999999998</v>
      </c>
      <c r="F281">
        <f>Dashboard_Live_Data!L35</f>
        <v>-129207.10406628711</v>
      </c>
      <c r="G281">
        <f>Dashboard_Live_Data!I35</f>
        <v>-0.72499999999999998</v>
      </c>
      <c r="H281">
        <f>Dashboard_Live_Data!M35</f>
        <v>-132847.0183380536</v>
      </c>
    </row>
    <row r="282" spans="1:8">
      <c r="A282">
        <f>Dashboard_Live_Data!I36</f>
        <v>-0.71699999999999997</v>
      </c>
      <c r="B282">
        <f>Dashboard_Live_Data!J36</f>
        <v>-8.7535031569864259</v>
      </c>
      <c r="C282">
        <f>Dashboard_Live_Data!I36</f>
        <v>-0.71699999999999997</v>
      </c>
      <c r="D282">
        <f>Dashboard_Live_Data!K36</f>
        <v>-56713.231033901451</v>
      </c>
      <c r="E282">
        <f>Dashboard_Live_Data!I36</f>
        <v>-0.71699999999999997</v>
      </c>
      <c r="F282">
        <f>Dashboard_Live_Data!L36</f>
        <v>-127273.6728305979</v>
      </c>
      <c r="G282">
        <f>Dashboard_Live_Data!I36</f>
        <v>-0.71699999999999997</v>
      </c>
      <c r="H282">
        <f>Dashboard_Live_Data!M36</f>
        <v>-130896.10580357295</v>
      </c>
    </row>
    <row r="283" spans="1:8">
      <c r="A283">
        <f>Dashboard_Live_Data!I37</f>
        <v>-0.70799999999999996</v>
      </c>
      <c r="B283">
        <f>Dashboard_Live_Data!J37</f>
        <v>-8.379445258978194</v>
      </c>
      <c r="C283">
        <f>Dashboard_Live_Data!I37</f>
        <v>-0.70799999999999996</v>
      </c>
      <c r="D283">
        <f>Dashboard_Live_Data!K37</f>
        <v>-55529.124801208105</v>
      </c>
      <c r="E283">
        <f>Dashboard_Live_Data!I37</f>
        <v>-0.70799999999999996</v>
      </c>
      <c r="F283">
        <f>Dashboard_Live_Data!L37</f>
        <v>-125094.61059367191</v>
      </c>
      <c r="G283">
        <f>Dashboard_Live_Data!I37</f>
        <v>-0.70799999999999996</v>
      </c>
      <c r="H283">
        <f>Dashboard_Live_Data!M37</f>
        <v>-128696.80249462565</v>
      </c>
    </row>
    <row r="284" spans="1:8">
      <c r="A284">
        <f>Dashboard_Live_Data!I38</f>
        <v>-0.7</v>
      </c>
      <c r="B284">
        <f>Dashboard_Live_Data!J38</f>
        <v>-8.0573823215368066</v>
      </c>
      <c r="C284">
        <f>Dashboard_Live_Data!I38</f>
        <v>-0.7</v>
      </c>
      <c r="D284">
        <f>Dashboard_Live_Data!K38</f>
        <v>-54480.749191198192</v>
      </c>
      <c r="E284">
        <f>Dashboard_Live_Data!I38</f>
        <v>-0.7</v>
      </c>
      <c r="F284">
        <f>Dashboard_Live_Data!L38</f>
        <v>-123154.43747008915</v>
      </c>
      <c r="G284">
        <f>Dashboard_Live_Data!I38</f>
        <v>-0.7</v>
      </c>
      <c r="H284">
        <f>Dashboard_Live_Data!M38</f>
        <v>-126738.11882360443</v>
      </c>
    </row>
    <row r="285" spans="1:8">
      <c r="A285">
        <f>Dashboard_Live_Data!I39</f>
        <v>-0.69199999999999995</v>
      </c>
      <c r="B285">
        <f>Dashboard_Live_Data!J39</f>
        <v>-7.7449306373637228</v>
      </c>
      <c r="C285">
        <f>Dashboard_Live_Data!I39</f>
        <v>-0.69199999999999995</v>
      </c>
      <c r="D285">
        <f>Dashboard_Live_Data!K39</f>
        <v>-53436.433148204567</v>
      </c>
      <c r="E285">
        <f>Dashboard_Live_Data!I39</f>
        <v>-0.69199999999999995</v>
      </c>
      <c r="F285">
        <f>Dashboard_Live_Data!L39</f>
        <v>-121211.50058427514</v>
      </c>
      <c r="G285">
        <f>Dashboard_Live_Data!I39</f>
        <v>-0.69199999999999995</v>
      </c>
      <c r="H285">
        <f>Dashboard_Live_Data!M39</f>
        <v>-124776.17612891932</v>
      </c>
    </row>
    <row r="286" spans="1:8">
      <c r="A286">
        <f>Dashboard_Live_Data!I40</f>
        <v>-0.68300000000000005</v>
      </c>
      <c r="B286">
        <f>Dashboard_Live_Data!J40</f>
        <v>-7.4046648244461721</v>
      </c>
      <c r="C286">
        <f>Dashboard_Live_Data!I40</f>
        <v>-0.68300000000000005</v>
      </c>
      <c r="D286">
        <f>Dashboard_Live_Data!K40</f>
        <v>-52266.602037422461</v>
      </c>
      <c r="E286">
        <f>Dashboard_Live_Data!I40</f>
        <v>-0.68300000000000005</v>
      </c>
      <c r="F286">
        <f>Dashboard_Live_Data!L40</f>
        <v>-119022.73194468833</v>
      </c>
      <c r="G286">
        <f>Dashboard_Live_Data!I40</f>
        <v>-0.68300000000000005</v>
      </c>
      <c r="H286">
        <f>Dashboard_Live_Data!M40</f>
        <v>-122565.42525707473</v>
      </c>
    </row>
    <row r="287" spans="1:8">
      <c r="A287">
        <f>Dashboard_Live_Data!I41</f>
        <v>-0.67500000000000004</v>
      </c>
      <c r="B287">
        <f>Dashboard_Live_Data!J41</f>
        <v>-7.1119829201097673</v>
      </c>
      <c r="C287">
        <f>Dashboard_Live_Data!I41</f>
        <v>-0.67500000000000004</v>
      </c>
      <c r="D287">
        <f>Dashboard_Live_Data!K41</f>
        <v>-51231.374010913656</v>
      </c>
      <c r="E287">
        <f>Dashboard_Live_Data!I41</f>
        <v>-0.67500000000000004</v>
      </c>
      <c r="F287">
        <f>Dashboard_Live_Data!L41</f>
        <v>-117074.83465957025</v>
      </c>
      <c r="G287">
        <f>Dashboard_Live_Data!I41</f>
        <v>-0.67500000000000004</v>
      </c>
      <c r="H287">
        <f>Dashboard_Live_Data!M41</f>
        <v>-120597.44652148281</v>
      </c>
    </row>
    <row r="288" spans="1:8">
      <c r="A288">
        <f>Dashboard_Live_Data!I42</f>
        <v>-0.66700000000000004</v>
      </c>
      <c r="B288">
        <f>Dashboard_Live_Data!J42</f>
        <v>-6.8283007484997142</v>
      </c>
      <c r="C288">
        <f>Dashboard_Live_Data!I42</f>
        <v>-0.66700000000000004</v>
      </c>
      <c r="D288">
        <f>Dashboard_Live_Data!K42</f>
        <v>-50200.645163369758</v>
      </c>
      <c r="E288">
        <f>Dashboard_Live_Data!I42</f>
        <v>-0.66700000000000004</v>
      </c>
      <c r="F288">
        <f>Dashboard_Live_Data!L42</f>
        <v>-115125.04934461683</v>
      </c>
      <c r="G288">
        <f>Dashboard_Live_Data!I42</f>
        <v>-0.66700000000000004</v>
      </c>
      <c r="H288">
        <f>Dashboard_Live_Data!M42</f>
        <v>-118627.06266188383</v>
      </c>
    </row>
    <row r="289" spans="1:8">
      <c r="A289">
        <f>Dashboard_Live_Data!I43</f>
        <v>-0.65800000000000003</v>
      </c>
      <c r="B289">
        <f>Dashboard_Live_Data!J43</f>
        <v>-6.5196771902137698</v>
      </c>
      <c r="C289">
        <f>Dashboard_Live_Data!I43</f>
        <v>-0.65800000000000003</v>
      </c>
      <c r="D289">
        <f>Dashboard_Live_Data!K43</f>
        <v>-49046.634821965388</v>
      </c>
      <c r="E289">
        <f>Dashboard_Live_Data!I43</f>
        <v>-0.65800000000000003</v>
      </c>
      <c r="F289">
        <f>Dashboard_Live_Data!L43</f>
        <v>-112929.65387596696</v>
      </c>
      <c r="G289">
        <f>Dashboard_Live_Data!I43</f>
        <v>-0.65800000000000003</v>
      </c>
      <c r="H289">
        <f>Dashboard_Live_Data!M43</f>
        <v>-116407.86707581821</v>
      </c>
    </row>
    <row r="290" spans="1:8">
      <c r="A290">
        <f>Dashboard_Live_Data!I44</f>
        <v>-0.65</v>
      </c>
      <c r="B290">
        <f>Dashboard_Live_Data!J44</f>
        <v>-6.2544853914218947</v>
      </c>
      <c r="C290">
        <f>Dashboard_Live_Data!I44</f>
        <v>-0.65</v>
      </c>
      <c r="D290">
        <f>Dashboard_Live_Data!K44</f>
        <v>-48025.954152811115</v>
      </c>
      <c r="E290">
        <f>Dashboard_Live_Data!I44</f>
        <v>-0.65</v>
      </c>
      <c r="F290">
        <f>Dashboard_Live_Data!L44</f>
        <v>-110976.85216755129</v>
      </c>
      <c r="G290">
        <f>Dashboard_Live_Data!I44</f>
        <v>-0.65</v>
      </c>
      <c r="H290">
        <f>Dashboard_Live_Data!M44</f>
        <v>-114433.34492030981</v>
      </c>
    </row>
    <row r="291" spans="1:8">
      <c r="A291">
        <f>Dashboard_Live_Data!I45</f>
        <v>-0.64200000000000002</v>
      </c>
      <c r="B291">
        <f>Dashboard_Live_Data!J45</f>
        <v>-5.9977007769762167</v>
      </c>
      <c r="C291">
        <f>Dashboard_Live_Data!I45</f>
        <v>-0.64200000000000002</v>
      </c>
      <c r="D291">
        <f>Dashboard_Live_Data!K45</f>
        <v>-47010.236953450076</v>
      </c>
      <c r="E291">
        <f>Dashboard_Live_Data!I45</f>
        <v>-0.64200000000000002</v>
      </c>
      <c r="F291">
        <f>Dashboard_Live_Data!L45</f>
        <v>-109023.11773384287</v>
      </c>
      <c r="G291">
        <f>Dashboard_Live_Data!I45</f>
        <v>-0.64200000000000002</v>
      </c>
      <c r="H291">
        <f>Dashboard_Live_Data!M45</f>
        <v>-112457.35129337231</v>
      </c>
    </row>
    <row r="292" spans="1:8">
      <c r="A292">
        <f>Dashboard_Live_Data!I46</f>
        <v>-0.63300000000000001</v>
      </c>
      <c r="B292">
        <f>Dashboard_Live_Data!J46</f>
        <v>-5.7186363390651422</v>
      </c>
      <c r="C292">
        <f>Dashboard_Live_Data!I46</f>
        <v>-0.63300000000000001</v>
      </c>
      <c r="D292">
        <f>Dashboard_Live_Data!K46</f>
        <v>-45873.679789055153</v>
      </c>
      <c r="E292">
        <f>Dashboard_Live_Data!I46</f>
        <v>-0.63300000000000001</v>
      </c>
      <c r="F292">
        <f>Dashboard_Live_Data!L46</f>
        <v>-106824.4548063117</v>
      </c>
      <c r="G292">
        <f>Dashboard_Live_Data!I46</f>
        <v>-0.63300000000000001</v>
      </c>
      <c r="H292">
        <f>Dashboard_Live_Data!M46</f>
        <v>-110232.99428005796</v>
      </c>
    </row>
    <row r="293" spans="1:8">
      <c r="A293">
        <f>Dashboard_Live_Data!I47</f>
        <v>-0.625</v>
      </c>
      <c r="B293">
        <f>Dashboard_Live_Data!J47</f>
        <v>-5.479103372775171</v>
      </c>
      <c r="C293">
        <f>Dashboard_Live_Data!I47</f>
        <v>-0.625</v>
      </c>
      <c r="D293">
        <f>Dashboard_Live_Data!K47</f>
        <v>-44869.024435891464</v>
      </c>
      <c r="E293">
        <f>Dashboard_Live_Data!I47</f>
        <v>-0.625</v>
      </c>
      <c r="F293">
        <f>Dashboard_Live_Data!L47</f>
        <v>-104869.82387216578</v>
      </c>
      <c r="G293">
        <f>Dashboard_Live_Data!I47</f>
        <v>-0.625</v>
      </c>
      <c r="H293">
        <f>Dashboard_Live_Data!M47</f>
        <v>-108254.93665267841</v>
      </c>
    </row>
    <row r="294" spans="1:8">
      <c r="A294">
        <f>Dashboard_Live_Data!I48</f>
        <v>-0.61699999999999999</v>
      </c>
      <c r="B294">
        <f>Dashboard_Live_Data!J48</f>
        <v>-5.2474043572378832</v>
      </c>
      <c r="C294">
        <f>Dashboard_Live_Data!I48</f>
        <v>-0.61699999999999999</v>
      </c>
      <c r="D294">
        <f>Dashboard_Live_Data!K48</f>
        <v>-43869.822519638255</v>
      </c>
      <c r="E294">
        <f>Dashboard_Live_Data!I48</f>
        <v>-0.61699999999999999</v>
      </c>
      <c r="F294">
        <f>Dashboard_Live_Data!L48</f>
        <v>-102915.30156679498</v>
      </c>
      <c r="G294">
        <f>Dashboard_Live_Data!I48</f>
        <v>-0.61699999999999999</v>
      </c>
      <c r="H294">
        <f>Dashboard_Live_Data!M48</f>
        <v>-106276.42770998055</v>
      </c>
    </row>
    <row r="295" spans="1:8">
      <c r="A295">
        <f>Dashboard_Live_Data!I49</f>
        <v>-0.60799999999999998</v>
      </c>
      <c r="B295">
        <f>Dashboard_Live_Data!J49</f>
        <v>-4.995883813084447</v>
      </c>
      <c r="C295">
        <f>Dashboard_Live_Data!I49</f>
        <v>-0.60799999999999998</v>
      </c>
      <c r="D295">
        <f>Dashboard_Live_Data!K49</f>
        <v>-42752.441205504758</v>
      </c>
      <c r="E295">
        <f>Dashboard_Live_Data!I49</f>
        <v>-0.60799999999999998</v>
      </c>
      <c r="F295">
        <f>Dashboard_Live_Data!L49</f>
        <v>-100717.03311684405</v>
      </c>
      <c r="G295">
        <f>Dashboard_Live_Data!I49</f>
        <v>-0.60799999999999998</v>
      </c>
      <c r="H295">
        <f>Dashboard_Live_Data!M49</f>
        <v>-104050.49672552577</v>
      </c>
    </row>
    <row r="296" spans="1:8">
      <c r="A296">
        <f>Dashboard_Live_Data!I50</f>
        <v>-0.6</v>
      </c>
      <c r="B296">
        <f>Dashboard_Live_Data!J50</f>
        <v>-4.780239127223922</v>
      </c>
      <c r="C296">
        <f>Dashboard_Live_Data!I50</f>
        <v>-0.6</v>
      </c>
      <c r="D296">
        <f>Dashboard_Live_Data!K50</f>
        <v>-41765.370410184376</v>
      </c>
      <c r="E296">
        <f>Dashboard_Live_Data!I50</f>
        <v>-0.6</v>
      </c>
      <c r="F296">
        <f>Dashboard_Live_Data!L50</f>
        <v>-98763.924239837128</v>
      </c>
      <c r="G296">
        <f>Dashboard_Live_Data!I50</f>
        <v>-0.6</v>
      </c>
      <c r="H296">
        <f>Dashboard_Live_Data!M50</f>
        <v>-102072.18940950758</v>
      </c>
    </row>
    <row r="297" spans="1:8">
      <c r="A297">
        <f>Dashboard_Live_Data!I51</f>
        <v>-0.59199999999999997</v>
      </c>
      <c r="B297">
        <f>Dashboard_Live_Data!J51</f>
        <v>-4.5718748099950517</v>
      </c>
      <c r="C297">
        <f>Dashboard_Live_Data!I51</f>
        <v>-0.59199999999999997</v>
      </c>
      <c r="D297">
        <f>Dashboard_Live_Data!K51</f>
        <v>-40784.26967339727</v>
      </c>
      <c r="E297">
        <f>Dashboard_Live_Data!I51</f>
        <v>-0.59199999999999997</v>
      </c>
      <c r="F297">
        <f>Dashboard_Live_Data!L51</f>
        <v>-96812.058229060029</v>
      </c>
      <c r="G297">
        <f>Dashboard_Live_Data!I51</f>
        <v>-0.59199999999999997</v>
      </c>
      <c r="H297">
        <f>Dashboard_Live_Data!M51</f>
        <v>-100094.54459469678</v>
      </c>
    </row>
    <row r="298" spans="1:8">
      <c r="A298">
        <f>Dashboard_Live_Data!I52</f>
        <v>-0.58299999999999996</v>
      </c>
      <c r="B298">
        <f>Dashboard_Live_Data!J52</f>
        <v>-4.3459520128728855</v>
      </c>
      <c r="C298">
        <f>Dashboard_Live_Data!I52</f>
        <v>-0.58299999999999996</v>
      </c>
      <c r="D298">
        <f>Dashboard_Live_Data!K52</f>
        <v>-39687.880586280648</v>
      </c>
      <c r="E298">
        <f>Dashboard_Live_Data!I52</f>
        <v>-0.58299999999999996</v>
      </c>
      <c r="F298">
        <f>Dashboard_Live_Data!L52</f>
        <v>-94618.172780739202</v>
      </c>
      <c r="G298">
        <f>Dashboard_Live_Data!I52</f>
        <v>-0.58299999999999996</v>
      </c>
      <c r="H298">
        <f>Dashboard_Live_Data!M52</f>
        <v>-97870.956421788083</v>
      </c>
    </row>
    <row r="299" spans="1:8">
      <c r="A299">
        <f>Dashboard_Live_Data!I53</f>
        <v>-0.57499999999999996</v>
      </c>
      <c r="B299">
        <f>Dashboard_Live_Data!J53</f>
        <v>-4.1524868146580047</v>
      </c>
      <c r="C299">
        <f>Dashboard_Live_Data!I53</f>
        <v>-0.57499999999999996</v>
      </c>
      <c r="D299">
        <f>Dashboard_Live_Data!K53</f>
        <v>-38720.0379034832</v>
      </c>
      <c r="E299">
        <f>Dashboard_Live_Data!I53</f>
        <v>-0.57499999999999996</v>
      </c>
      <c r="F299">
        <f>Dashboard_Live_Data!L53</f>
        <v>-92670.235040711414</v>
      </c>
      <c r="G299">
        <f>Dashboard_Live_Data!I53</f>
        <v>-0.57499999999999996</v>
      </c>
      <c r="H299">
        <f>Dashboard_Live_Data!M53</f>
        <v>-95895.985812650615</v>
      </c>
    </row>
    <row r="300" spans="1:8">
      <c r="A300">
        <f>Dashboard_Live_Data!I54</f>
        <v>-0.56699999999999995</v>
      </c>
      <c r="B300">
        <f>Dashboard_Live_Data!J54</f>
        <v>-3.965768378529674</v>
      </c>
      <c r="C300">
        <f>Dashboard_Live_Data!I54</f>
        <v>-0.56699999999999995</v>
      </c>
      <c r="D300">
        <f>Dashboard_Live_Data!K54</f>
        <v>-37758.709506009036</v>
      </c>
      <c r="E300">
        <f>Dashboard_Live_Data!I54</f>
        <v>-0.56699999999999995</v>
      </c>
      <c r="F300">
        <f>Dashboard_Live_Data!L54</f>
        <v>-90724.774448562239</v>
      </c>
      <c r="G300">
        <f>Dashboard_Live_Data!I54</f>
        <v>-0.56699999999999995</v>
      </c>
      <c r="H300">
        <f>Dashboard_Live_Data!M54</f>
        <v>-93922.892718858086</v>
      </c>
    </row>
    <row r="301" spans="1:8">
      <c r="A301">
        <f>Dashboard_Live_Data!I55</f>
        <v>-0.55800000000000005</v>
      </c>
      <c r="B301">
        <f>Dashboard_Live_Data!J55</f>
        <v>-3.7635674146301881</v>
      </c>
      <c r="C301">
        <f>Dashboard_Live_Data!I55</f>
        <v>-0.55800000000000005</v>
      </c>
      <c r="D301">
        <f>Dashboard_Live_Data!K55</f>
        <v>-36685.226067220006</v>
      </c>
      <c r="E301">
        <f>Dashboard_Live_Data!I55</f>
        <v>-0.55800000000000005</v>
      </c>
      <c r="F301">
        <f>Dashboard_Live_Data!L55</f>
        <v>-88539.612282307091</v>
      </c>
      <c r="G301">
        <f>Dashboard_Live_Data!I55</f>
        <v>-0.55800000000000005</v>
      </c>
      <c r="H301">
        <f>Dashboard_Live_Data!M55</f>
        <v>-91705.919959116989</v>
      </c>
    </row>
    <row r="302" spans="1:8">
      <c r="A302">
        <f>Dashboard_Live_Data!I56</f>
        <v>-0.55000000000000004</v>
      </c>
      <c r="B302">
        <f>Dashboard_Live_Data!J56</f>
        <v>-3.5906356710743239</v>
      </c>
      <c r="C302">
        <f>Dashboard_Live_Data!I56</f>
        <v>-0.55000000000000004</v>
      </c>
      <c r="D302">
        <f>Dashboard_Live_Data!K56</f>
        <v>-35738.342299056225</v>
      </c>
      <c r="E302">
        <f>Dashboard_Live_Data!I56</f>
        <v>-0.55000000000000004</v>
      </c>
      <c r="F302">
        <f>Dashboard_Live_Data!L56</f>
        <v>-86600.815246497659</v>
      </c>
      <c r="G302">
        <f>Dashboard_Live_Data!I56</f>
        <v>-0.55000000000000004</v>
      </c>
      <c r="H302">
        <f>Dashboard_Live_Data!M56</f>
        <v>-89738.19699014083</v>
      </c>
    </row>
    <row r="303" spans="1:8">
      <c r="A303">
        <f>Dashboard_Live_Data!I57</f>
        <v>-0.54200000000000004</v>
      </c>
      <c r="B303">
        <f>Dashboard_Live_Data!J57</f>
        <v>-3.4239373717214221</v>
      </c>
      <c r="C303">
        <f>Dashboard_Live_Data!I57</f>
        <v>-0.54200000000000004</v>
      </c>
      <c r="D303">
        <f>Dashboard_Live_Data!K57</f>
        <v>-34798.545562910222</v>
      </c>
      <c r="E303">
        <f>Dashboard_Live_Data!I57</f>
        <v>-0.54200000000000004</v>
      </c>
      <c r="F303">
        <f>Dashboard_Live_Data!L57</f>
        <v>-84665.837128348445</v>
      </c>
      <c r="G303">
        <f>Dashboard_Live_Data!I57</f>
        <v>-0.54200000000000004</v>
      </c>
      <c r="H303">
        <f>Dashboard_Live_Data!M57</f>
        <v>-87773.675624308846</v>
      </c>
    </row>
    <row r="304" spans="1:8">
      <c r="A304">
        <f>Dashboard_Live_Data!I58</f>
        <v>-0.53300000000000003</v>
      </c>
      <c r="B304">
        <f>Dashboard_Live_Data!J58</f>
        <v>-3.2436536593402252</v>
      </c>
      <c r="C304">
        <f>Dashboard_Live_Data!I58</f>
        <v>-0.53300000000000003</v>
      </c>
      <c r="D304">
        <f>Dashboard_Live_Data!K58</f>
        <v>-33749.98145308542</v>
      </c>
      <c r="E304">
        <f>Dashboard_Live_Data!I58</f>
        <v>-0.53300000000000003</v>
      </c>
      <c r="F304">
        <f>Dashboard_Live_Data!L58</f>
        <v>-82494.116442924889</v>
      </c>
      <c r="G304">
        <f>Dashboard_Live_Data!I58</f>
        <v>-0.53300000000000003</v>
      </c>
      <c r="H304">
        <f>Dashboard_Live_Data!M58</f>
        <v>-85567.974379462714</v>
      </c>
    </row>
    <row r="305" spans="1:8">
      <c r="A305">
        <f>Dashboard_Live_Data!I59</f>
        <v>-0.52500000000000002</v>
      </c>
      <c r="B305">
        <f>Dashboard_Live_Data!J59</f>
        <v>-3.0896730716708589</v>
      </c>
      <c r="C305">
        <f>Dashboard_Live_Data!I59</f>
        <v>-0.52500000000000002</v>
      </c>
      <c r="D305">
        <f>Dashboard_Live_Data!K59</f>
        <v>-32825.877462688077</v>
      </c>
      <c r="E305">
        <f>Dashboard_Live_Data!I59</f>
        <v>-0.52500000000000002</v>
      </c>
      <c r="F305">
        <f>Dashboard_Live_Data!L59</f>
        <v>-80568.773681183695</v>
      </c>
      <c r="G305">
        <f>Dashboard_Live_Data!I59</f>
        <v>-0.52500000000000002</v>
      </c>
      <c r="H305">
        <f>Dashboard_Live_Data!M59</f>
        <v>-83611.759447186691</v>
      </c>
    </row>
    <row r="306" spans="1:8">
      <c r="A306">
        <f>Dashboard_Live_Data!I60</f>
        <v>-0.51700000000000002</v>
      </c>
      <c r="B306">
        <f>Dashboard_Live_Data!J60</f>
        <v>-2.9414332074700269</v>
      </c>
      <c r="C306">
        <f>Dashboard_Live_Data!I60</f>
        <v>-0.51700000000000002</v>
      </c>
      <c r="D306">
        <f>Dashboard_Live_Data!K60</f>
        <v>-31909.462641600709</v>
      </c>
      <c r="E306">
        <f>Dashboard_Live_Data!I60</f>
        <v>-0.51700000000000002</v>
      </c>
      <c r="F306">
        <f>Dashboard_Live_Data!L60</f>
        <v>-78648.70676173814</v>
      </c>
      <c r="G306">
        <f>Dashboard_Live_Data!I60</f>
        <v>-0.51700000000000002</v>
      </c>
      <c r="H306">
        <f>Dashboard_Live_Data!M60</f>
        <v>-81660.187434621155</v>
      </c>
    </row>
    <row r="307" spans="1:8">
      <c r="A307">
        <f>Dashboard_Live_Data!I61</f>
        <v>-0.50800000000000001</v>
      </c>
      <c r="B307">
        <f>Dashboard_Live_Data!J61</f>
        <v>-2.7813345652473345</v>
      </c>
      <c r="C307">
        <f>Dashboard_Live_Data!I61</f>
        <v>-0.50800000000000001</v>
      </c>
      <c r="D307">
        <f>Dashboard_Live_Data!K61</f>
        <v>-30887.934860679568</v>
      </c>
      <c r="E307">
        <f>Dashboard_Live_Data!I61</f>
        <v>-0.50800000000000001</v>
      </c>
      <c r="F307">
        <f>Dashboard_Live_Data!L61</f>
        <v>-76495.550616892549</v>
      </c>
      <c r="G307">
        <f>Dashboard_Live_Data!I61</f>
        <v>-0.50800000000000001</v>
      </c>
      <c r="H307">
        <f>Dashboard_Live_Data!M61</f>
        <v>-79470.825965850527</v>
      </c>
    </row>
    <row r="308" spans="1:8">
      <c r="A308">
        <f>Dashboard_Live_Data!I62</f>
        <v>-0.5</v>
      </c>
      <c r="B308">
        <f>Dashboard_Live_Data!J62</f>
        <v>-2.6447875068229223</v>
      </c>
      <c r="C308">
        <f>Dashboard_Live_Data!I62</f>
        <v>-0.5</v>
      </c>
      <c r="D308">
        <f>Dashboard_Live_Data!K62</f>
        <v>-29988.524239953986</v>
      </c>
      <c r="E308">
        <f>Dashboard_Live_Data!I62</f>
        <v>-0.5</v>
      </c>
      <c r="F308">
        <f>Dashboard_Live_Data!L62</f>
        <v>-74588.343833805033</v>
      </c>
      <c r="G308">
        <f>Dashboard_Live_Data!I62</f>
        <v>-0.5</v>
      </c>
      <c r="H308">
        <f>Dashboard_Live_Data!M62</f>
        <v>-77530.754646811518</v>
      </c>
    </row>
    <row r="309" spans="1:8">
      <c r="A309">
        <f>Dashboard_Live_Data!I63</f>
        <v>-0.49199999999999999</v>
      </c>
      <c r="B309">
        <f>Dashboard_Live_Data!J63</f>
        <v>-2.5135093403541759</v>
      </c>
      <c r="C309">
        <f>Dashboard_Live_Data!I63</f>
        <v>-0.49199999999999999</v>
      </c>
      <c r="D309">
        <f>Dashboard_Live_Data!K63</f>
        <v>-29097.435135520733</v>
      </c>
      <c r="E309">
        <f>Dashboard_Live_Data!I63</f>
        <v>-0.49199999999999999</v>
      </c>
      <c r="F309">
        <f>Dashboard_Live_Data!L63</f>
        <v>-72687.992783106281</v>
      </c>
      <c r="G309">
        <f>Dashboard_Live_Data!I63</f>
        <v>-0.49199999999999999</v>
      </c>
      <c r="H309">
        <f>Dashboard_Live_Data!M63</f>
        <v>-75596.893145964568</v>
      </c>
    </row>
    <row r="310" spans="1:8">
      <c r="A310">
        <f>Dashboard_Live_Data!I64</f>
        <v>-0.48299999999999998</v>
      </c>
      <c r="B310">
        <f>Dashboard_Live_Data!J64</f>
        <v>-2.3719370163648819</v>
      </c>
      <c r="C310">
        <f>Dashboard_Live_Data!I64</f>
        <v>-0.48299999999999998</v>
      </c>
      <c r="D310">
        <f>Dashboard_Live_Data!K64</f>
        <v>-28105.166881478122</v>
      </c>
      <c r="E310">
        <f>Dashboard_Live_Data!I64</f>
        <v>-0.48299999999999998</v>
      </c>
      <c r="F310">
        <f>Dashboard_Live_Data!L64</f>
        <v>-70558.956545294801</v>
      </c>
      <c r="G310">
        <f>Dashboard_Live_Data!I64</f>
        <v>-0.48299999999999998</v>
      </c>
      <c r="H310">
        <f>Dashboard_Live_Data!M64</f>
        <v>-73429.381226252764</v>
      </c>
    </row>
    <row r="311" spans="1:8">
      <c r="A311">
        <f>Dashboard_Live_Data!I65</f>
        <v>-0.47499999999999998</v>
      </c>
      <c r="B311">
        <f>Dashboard_Live_Data!J65</f>
        <v>-2.2513714361657549</v>
      </c>
      <c r="C311">
        <f>Dashboard_Live_Data!I65</f>
        <v>-0.47499999999999998</v>
      </c>
      <c r="D311">
        <f>Dashboard_Live_Data!K65</f>
        <v>-27232.458450313294</v>
      </c>
      <c r="E311">
        <f>Dashboard_Live_Data!I65</f>
        <v>-0.47499999999999998</v>
      </c>
      <c r="F311">
        <f>Dashboard_Live_Data!L65</f>
        <v>-68674.960061513659</v>
      </c>
      <c r="G311">
        <f>Dashboard_Live_Data!I65</f>
        <v>-0.47499999999999998</v>
      </c>
      <c r="H311">
        <f>Dashboard_Live_Data!M65</f>
        <v>-71510.490507051625</v>
      </c>
    </row>
    <row r="312" spans="1:8">
      <c r="A312">
        <f>Dashboard_Live_Data!I66</f>
        <v>-0.46700000000000003</v>
      </c>
      <c r="B312">
        <f>Dashboard_Live_Data!J66</f>
        <v>-2.13562408544135</v>
      </c>
      <c r="C312">
        <f>Dashboard_Live_Data!I66</f>
        <v>-0.46700000000000003</v>
      </c>
      <c r="D312">
        <f>Dashboard_Live_Data!K66</f>
        <v>-26368.734852925321</v>
      </c>
      <c r="E312">
        <f>Dashboard_Live_Data!I66</f>
        <v>-0.46700000000000003</v>
      </c>
      <c r="F312">
        <f>Dashboard_Live_Data!L66</f>
        <v>-66799.530021092054</v>
      </c>
      <c r="G312">
        <f>Dashboard_Live_Data!I66</f>
        <v>-0.46700000000000003</v>
      </c>
      <c r="H312">
        <f>Dashboard_Live_Data!M66</f>
        <v>-69599.510532789369</v>
      </c>
    </row>
    <row r="313" spans="1:8">
      <c r="A313">
        <f>Dashboard_Live_Data!I67</f>
        <v>-0.45800000000000002</v>
      </c>
      <c r="B313">
        <f>Dashboard_Live_Data!J67</f>
        <v>-2.0109937508048006</v>
      </c>
      <c r="C313">
        <f>Dashboard_Live_Data!I67</f>
        <v>-0.45800000000000002</v>
      </c>
      <c r="D313">
        <f>Dashboard_Live_Data!K67</f>
        <v>-25408.058195726291</v>
      </c>
      <c r="E313">
        <f>Dashboard_Live_Data!I67</f>
        <v>-0.45800000000000002</v>
      </c>
      <c r="F313">
        <f>Dashboard_Live_Data!L67</f>
        <v>-64700.628963953612</v>
      </c>
      <c r="G313">
        <f>Dashboard_Live_Data!I67</f>
        <v>-0.45800000000000002</v>
      </c>
      <c r="H313">
        <f>Dashboard_Live_Data!M67</f>
        <v>-67459.829123438874</v>
      </c>
    </row>
    <row r="314" spans="1:8">
      <c r="A314">
        <f>Dashboard_Live_Data!I68</f>
        <v>-0.45</v>
      </c>
      <c r="B314">
        <f>Dashboard_Live_Data!J68</f>
        <v>-1.9050240415085682</v>
      </c>
      <c r="C314">
        <f>Dashboard_Live_Data!I68</f>
        <v>-0.45</v>
      </c>
      <c r="D314">
        <f>Dashboard_Live_Data!K68</f>
        <v>-24564.158312691114</v>
      </c>
      <c r="E314">
        <f>Dashboard_Live_Data!I68</f>
        <v>-0.45</v>
      </c>
      <c r="F314">
        <f>Dashboard_Live_Data!L68</f>
        <v>-62845.334215087423</v>
      </c>
      <c r="G314">
        <f>Dashboard_Live_Data!I68</f>
        <v>-0.45</v>
      </c>
      <c r="H314">
        <f>Dashboard_Live_Data!M68</f>
        <v>-65567.583789466706</v>
      </c>
    </row>
    <row r="315" spans="1:8">
      <c r="A315">
        <f>Dashboard_Live_Data!I69</f>
        <v>-0.442</v>
      </c>
      <c r="B315">
        <f>Dashboard_Live_Data!J69</f>
        <v>-1.8034433360094226</v>
      </c>
      <c r="C315">
        <f>Dashboard_Live_Data!I69</f>
        <v>-0.442</v>
      </c>
      <c r="D315">
        <f>Dashboard_Live_Data!K69</f>
        <v>-23729.938248077422</v>
      </c>
      <c r="E315">
        <f>Dashboard_Live_Data!I69</f>
        <v>-0.442</v>
      </c>
      <c r="F315">
        <f>Dashboard_Live_Data!L69</f>
        <v>-61000.45522179082</v>
      </c>
      <c r="G315">
        <f>Dashboard_Live_Data!I69</f>
        <v>-0.442</v>
      </c>
      <c r="H315">
        <f>Dashboard_Live_Data!M69</f>
        <v>-63685.092564364764</v>
      </c>
    </row>
    <row r="316" spans="1:8">
      <c r="A316">
        <f>Dashboard_Live_Data!I70</f>
        <v>-0.433</v>
      </c>
      <c r="B316">
        <f>Dashboard_Live_Data!J70</f>
        <v>-1.6942460296072568</v>
      </c>
      <c r="C316">
        <f>Dashboard_Live_Data!I70</f>
        <v>-0.433</v>
      </c>
      <c r="D316">
        <f>Dashboard_Live_Data!K70</f>
        <v>-22803.296578072208</v>
      </c>
      <c r="E316">
        <f>Dashboard_Live_Data!I70</f>
        <v>-0.433</v>
      </c>
      <c r="F316">
        <f>Dashboard_Live_Data!L70</f>
        <v>-58938.191859995888</v>
      </c>
      <c r="G316">
        <f>Dashboard_Live_Data!I70</f>
        <v>-0.433</v>
      </c>
      <c r="H316">
        <f>Dashboard_Live_Data!M70</f>
        <v>-61579.723356260394</v>
      </c>
    </row>
    <row r="317" spans="1:8">
      <c r="A317">
        <f>Dashboard_Live_Data!I71</f>
        <v>-0.42499999999999999</v>
      </c>
      <c r="B317">
        <f>Dashboard_Live_Data!J71</f>
        <v>-1.601553853415453</v>
      </c>
      <c r="C317">
        <f>Dashboard_Live_Data!I71</f>
        <v>-0.42499999999999999</v>
      </c>
      <c r="D317">
        <f>Dashboard_Live_Data!K71</f>
        <v>-21990.411244520408</v>
      </c>
      <c r="E317">
        <f>Dashboard_Live_Data!I71</f>
        <v>-0.42499999999999999</v>
      </c>
      <c r="F317">
        <f>Dashboard_Live_Data!L71</f>
        <v>-57117.53151668291</v>
      </c>
      <c r="G317">
        <f>Dashboard_Live_Data!I71</f>
        <v>-0.42499999999999999</v>
      </c>
      <c r="H317">
        <f>Dashboard_Live_Data!M71</f>
        <v>-59720.042102486768</v>
      </c>
    </row>
    <row r="318" spans="1:8">
      <c r="A318">
        <f>Dashboard_Live_Data!I72</f>
        <v>-0.41699999999999998</v>
      </c>
      <c r="B318">
        <f>Dashboard_Live_Data!J72</f>
        <v>-1.512843152252799</v>
      </c>
      <c r="C318">
        <f>Dashboard_Live_Data!I72</f>
        <v>-0.41699999999999998</v>
      </c>
      <c r="D318">
        <f>Dashboard_Live_Data!K72</f>
        <v>-21187.933007764404</v>
      </c>
      <c r="E318">
        <f>Dashboard_Live_Data!I72</f>
        <v>-0.41699999999999998</v>
      </c>
      <c r="F318">
        <f>Dashboard_Live_Data!L72</f>
        <v>-55309.28240772686</v>
      </c>
      <c r="G318">
        <f>Dashboard_Live_Data!I72</f>
        <v>-0.41699999999999998</v>
      </c>
      <c r="H318">
        <f>Dashboard_Live_Data!M72</f>
        <v>-57872.108972824644</v>
      </c>
    </row>
    <row r="319" spans="1:8">
      <c r="A319">
        <f>Dashboard_Live_Data!I73</f>
        <v>-0.40799999999999997</v>
      </c>
      <c r="B319">
        <f>Dashboard_Live_Data!J73</f>
        <v>-1.4176461878619193</v>
      </c>
      <c r="C319">
        <f>Dashboard_Live_Data!I73</f>
        <v>-0.40799999999999997</v>
      </c>
      <c r="D319">
        <f>Dashboard_Live_Data!K73</f>
        <v>-20297.883237372946</v>
      </c>
      <c r="E319">
        <f>Dashboard_Live_Data!I73</f>
        <v>-0.40799999999999997</v>
      </c>
      <c r="F319">
        <f>Dashboard_Live_Data!L73</f>
        <v>-53290.673072524471</v>
      </c>
      <c r="G319">
        <f>Dashboard_Live_Data!I73</f>
        <v>-0.40799999999999997</v>
      </c>
      <c r="H319">
        <f>Dashboard_Live_Data!M73</f>
        <v>-55808.06323941442</v>
      </c>
    </row>
    <row r="320" spans="1:8">
      <c r="A320">
        <f>Dashboard_Live_Data!I74</f>
        <v>-0.4</v>
      </c>
      <c r="B320">
        <f>Dashboard_Live_Data!J74</f>
        <v>-1.3369812749583616</v>
      </c>
      <c r="C320">
        <f>Dashboard_Live_Data!I74</f>
        <v>-0.4</v>
      </c>
      <c r="D320">
        <f>Dashboard_Live_Data!K74</f>
        <v>-19518.319974547761</v>
      </c>
      <c r="E320">
        <f>Dashboard_Live_Data!I74</f>
        <v>-0.4</v>
      </c>
      <c r="F320">
        <f>Dashboard_Live_Data!L74</f>
        <v>-51511.044325088587</v>
      </c>
      <c r="G320">
        <f>Dashboard_Live_Data!I74</f>
        <v>-0.4</v>
      </c>
      <c r="H320">
        <f>Dashboard_Live_Data!M74</f>
        <v>-53987.343983635947</v>
      </c>
    </row>
    <row r="321" spans="1:8">
      <c r="A321">
        <f>Dashboard_Live_Data!I75</f>
        <v>-0.39200000000000002</v>
      </c>
      <c r="B321">
        <f>Dashboard_Live_Data!J75</f>
        <v>-1.2599122492363222</v>
      </c>
      <c r="C321">
        <f>Dashboard_Live_Data!I75</f>
        <v>-0.39200000000000002</v>
      </c>
      <c r="D321">
        <f>Dashboard_Live_Data!K75</f>
        <v>-18749.923928481905</v>
      </c>
      <c r="E321">
        <f>Dashboard_Live_Data!I75</f>
        <v>-0.39200000000000002</v>
      </c>
      <c r="F321">
        <f>Dashboard_Live_Data!L75</f>
        <v>-49745.975650615117</v>
      </c>
      <c r="G321">
        <f>Dashboard_Live_Data!I75</f>
        <v>-0.39200000000000002</v>
      </c>
      <c r="H321">
        <f>Dashboard_Live_Data!M75</f>
        <v>-52180.525354744386</v>
      </c>
    </row>
    <row r="322" spans="1:8">
      <c r="A322">
        <f>Dashboard_Live_Data!I76</f>
        <v>-0.38300000000000001</v>
      </c>
      <c r="B322">
        <f>Dashboard_Live_Data!J76</f>
        <v>-1.1773600760669751</v>
      </c>
      <c r="C322">
        <f>Dashboard_Live_Data!I76</f>
        <v>-0.38300000000000001</v>
      </c>
      <c r="D322">
        <f>Dashboard_Live_Data!K76</f>
        <v>-17899.13841594477</v>
      </c>
      <c r="E322">
        <f>Dashboard_Live_Data!I76</f>
        <v>-0.38300000000000001</v>
      </c>
      <c r="F322">
        <f>Dashboard_Live_Data!L76</f>
        <v>-47778.57575572333</v>
      </c>
      <c r="G322">
        <f>Dashboard_Live_Data!I76</f>
        <v>-0.38300000000000001</v>
      </c>
      <c r="H322">
        <f>Dashboard_Live_Data!M76</f>
        <v>-50165.371473339706</v>
      </c>
    </row>
    <row r="323" spans="1:8">
      <c r="A323">
        <f>Dashboard_Live_Data!I77</f>
        <v>-0.375</v>
      </c>
      <c r="B323">
        <f>Dashboard_Live_Data!J77</f>
        <v>-1.1075409744717035</v>
      </c>
      <c r="C323">
        <f>Dashboard_Live_Data!I77</f>
        <v>-0.375</v>
      </c>
      <c r="D323">
        <f>Dashboard_Live_Data!K77</f>
        <v>-17155.307880334622</v>
      </c>
      <c r="E323">
        <f>Dashboard_Live_Data!I77</f>
        <v>-0.375</v>
      </c>
      <c r="F323">
        <f>Dashboard_Live_Data!L77</f>
        <v>-46046.862259196627</v>
      </c>
      <c r="G323">
        <f>Dashboard_Live_Data!I77</f>
        <v>-0.375</v>
      </c>
      <c r="H323">
        <f>Dashboard_Live_Data!M77</f>
        <v>-48390.515274855643</v>
      </c>
    </row>
    <row r="324" spans="1:8">
      <c r="A324">
        <f>Dashboard_Live_Data!I78</f>
        <v>-0.36699999999999999</v>
      </c>
      <c r="B324">
        <f>Dashboard_Live_Data!J78</f>
        <v>-1.0409543459660426</v>
      </c>
      <c r="C324">
        <f>Dashboard_Live_Data!I78</f>
        <v>-0.36699999999999999</v>
      </c>
      <c r="D324">
        <f>Dashboard_Live_Data!K78</f>
        <v>-16423.437974026107</v>
      </c>
      <c r="E324">
        <f>Dashboard_Live_Data!I78</f>
        <v>-0.36699999999999999</v>
      </c>
      <c r="F324">
        <f>Dashboard_Live_Data!L78</f>
        <v>-44332.017687418411</v>
      </c>
      <c r="G324">
        <f>Dashboard_Live_Data!I78</f>
        <v>-0.36699999999999999</v>
      </c>
      <c r="H324">
        <f>Dashboard_Live_Data!M78</f>
        <v>-46631.877946633278</v>
      </c>
    </row>
    <row r="325" spans="1:8">
      <c r="A325">
        <f>Dashboard_Live_Data!I79</f>
        <v>-0.35799999999999998</v>
      </c>
      <c r="B325">
        <f>Dashboard_Live_Data!J79</f>
        <v>-0.96976937592569357</v>
      </c>
      <c r="C325">
        <f>Dashboard_Live_Data!I79</f>
        <v>-0.35799999999999998</v>
      </c>
      <c r="D325">
        <f>Dashboard_Live_Data!K79</f>
        <v>-15614.70610330964</v>
      </c>
      <c r="E325">
        <f>Dashboard_Live_Data!I79</f>
        <v>-0.35799999999999998</v>
      </c>
      <c r="F325">
        <f>Dashboard_Live_Data!L79</f>
        <v>-42423.945096951415</v>
      </c>
      <c r="G325">
        <f>Dashboard_Live_Data!I79</f>
        <v>-0.35799999999999998</v>
      </c>
      <c r="H325">
        <f>Dashboard_Live_Data!M79</f>
        <v>-44673.766867657614</v>
      </c>
    </row>
    <row r="326" spans="1:8">
      <c r="A326">
        <f>Dashboard_Live_Data!I80</f>
        <v>-0.35</v>
      </c>
      <c r="B326">
        <f>Dashboard_Live_Data!J80</f>
        <v>-0.90968416440080091</v>
      </c>
      <c r="C326">
        <f>Dashboard_Live_Data!I80</f>
        <v>-0.35</v>
      </c>
      <c r="D326">
        <f>Dashboard_Live_Data!K80</f>
        <v>-14909.123361914171</v>
      </c>
      <c r="E326">
        <f>Dashboard_Live_Data!I80</f>
        <v>-0.35</v>
      </c>
      <c r="F326">
        <f>Dashboard_Live_Data!L80</f>
        <v>-40747.537049505336</v>
      </c>
      <c r="G326">
        <f>Dashboard_Live_Data!I80</f>
        <v>-0.35</v>
      </c>
      <c r="H326">
        <f>Dashboard_Live_Data!M80</f>
        <v>-42952.199792501269</v>
      </c>
    </row>
    <row r="327" spans="1:8">
      <c r="A327">
        <f>Dashboard_Live_Data!I81</f>
        <v>-0.34200000000000003</v>
      </c>
      <c r="B327">
        <f>Dashboard_Live_Data!J81</f>
        <v>-0.8524904108952569</v>
      </c>
      <c r="C327">
        <f>Dashboard_Live_Data!I81</f>
        <v>-0.34200000000000003</v>
      </c>
      <c r="D327">
        <f>Dashboard_Live_Data!K81</f>
        <v>-14216.32826550211</v>
      </c>
      <c r="E327">
        <f>Dashboard_Live_Data!I81</f>
        <v>-0.34200000000000003</v>
      </c>
      <c r="F327">
        <f>Dashboard_Live_Data!L81</f>
        <v>-39090.472738230674</v>
      </c>
      <c r="G327">
        <f>Dashboard_Live_Data!I81</f>
        <v>-0.34200000000000003</v>
      </c>
      <c r="H327">
        <f>Dashboard_Live_Data!M81</f>
        <v>-41249.342022155164</v>
      </c>
    </row>
    <row r="328" spans="1:8">
      <c r="A328">
        <f>Dashboard_Live_Data!I82</f>
        <v>-0.33300000000000002</v>
      </c>
      <c r="B328">
        <f>Dashboard_Live_Data!J82</f>
        <v>-0.79147378083268904</v>
      </c>
      <c r="C328">
        <f>Dashboard_Live_Data!I82</f>
        <v>-0.33300000000000002</v>
      </c>
      <c r="D328">
        <f>Dashboard_Live_Data!K82</f>
        <v>-13452.557524737211</v>
      </c>
      <c r="E328">
        <f>Dashboard_Live_Data!I82</f>
        <v>-0.33300000000000002</v>
      </c>
      <c r="F328">
        <f>Dashboard_Live_Data!L82</f>
        <v>-37250.428651962691</v>
      </c>
      <c r="G328">
        <f>Dashboard_Live_Data!I82</f>
        <v>-0.33300000000000002</v>
      </c>
      <c r="H328">
        <f>Dashboard_Live_Data!M82</f>
        <v>-39357.029917001288</v>
      </c>
    </row>
    <row r="329" spans="1:8">
      <c r="A329">
        <f>Dashboard_Live_Data!I83</f>
        <v>-0.32500000000000001</v>
      </c>
      <c r="B329">
        <f>Dashboard_Live_Data!J83</f>
        <v>-0.74008074998198481</v>
      </c>
      <c r="C329">
        <f>Dashboard_Live_Data!I83</f>
        <v>-0.32500000000000001</v>
      </c>
      <c r="D329">
        <f>Dashboard_Live_Data!K83</f>
        <v>-12787.842801368242</v>
      </c>
      <c r="E329">
        <f>Dashboard_Live_Data!I83</f>
        <v>-0.32500000000000001</v>
      </c>
      <c r="F329">
        <f>Dashboard_Live_Data!L83</f>
        <v>-35637.240500205327</v>
      </c>
      <c r="G329">
        <f>Dashboard_Live_Data!I83</f>
        <v>-0.32500000000000001</v>
      </c>
      <c r="H329">
        <f>Dashboard_Live_Data!M83</f>
        <v>-37696.722160192003</v>
      </c>
    </row>
    <row r="330" spans="1:8">
      <c r="A330">
        <f>Dashboard_Live_Data!I84</f>
        <v>-0.317</v>
      </c>
      <c r="B330">
        <f>Dashboard_Live_Data!J84</f>
        <v>-0.69126076184193153</v>
      </c>
      <c r="C330">
        <f>Dashboard_Live_Data!I84</f>
        <v>-0.317</v>
      </c>
      <c r="D330">
        <f>Dashboard_Live_Data!K84</f>
        <v>-12136.776407525518</v>
      </c>
      <c r="E330">
        <f>Dashboard_Live_Data!I84</f>
        <v>-0.317</v>
      </c>
      <c r="F330">
        <f>Dashboard_Live_Data!L84</f>
        <v>-34046.041947946462</v>
      </c>
      <c r="G330">
        <f>Dashboard_Live_Data!I84</f>
        <v>-0.317</v>
      </c>
      <c r="H330">
        <f>Dashboard_Live_Data!M84</f>
        <v>-36057.791762901921</v>
      </c>
    </row>
    <row r="331" spans="1:8">
      <c r="A331">
        <f>Dashboard_Live_Data!I85</f>
        <v>-0.308</v>
      </c>
      <c r="B331">
        <f>Dashboard_Live_Data!J85</f>
        <v>-0.63929306925479068</v>
      </c>
      <c r="C331">
        <f>Dashboard_Live_Data!I85</f>
        <v>-0.308</v>
      </c>
      <c r="D331">
        <f>Dashboard_Live_Data!K85</f>
        <v>-11420.992588521869</v>
      </c>
      <c r="E331">
        <f>Dashboard_Live_Data!I85</f>
        <v>-0.308</v>
      </c>
      <c r="F331">
        <f>Dashboard_Live_Data!L85</f>
        <v>-32283.3287901734</v>
      </c>
      <c r="G331">
        <f>Dashboard_Live_Data!I85</f>
        <v>-0.308</v>
      </c>
      <c r="H331">
        <f>Dashboard_Live_Data!M85</f>
        <v>-34240.659083493854</v>
      </c>
    </row>
    <row r="332" spans="1:8">
      <c r="A332">
        <f>Dashboard_Live_Data!I86</f>
        <v>-0.3</v>
      </c>
      <c r="B332">
        <f>Dashboard_Live_Data!J86</f>
        <v>-0.59562134887653428</v>
      </c>
      <c r="C332">
        <f>Dashboard_Live_Data!I86</f>
        <v>-0.3</v>
      </c>
      <c r="D332">
        <f>Dashboard_Live_Data!K86</f>
        <v>-10799.871032643307</v>
      </c>
      <c r="E332">
        <f>Dashboard_Live_Data!I86</f>
        <v>-0.3</v>
      </c>
      <c r="F332">
        <f>Dashboard_Live_Data!L86</f>
        <v>-30741.814145394601</v>
      </c>
      <c r="G332">
        <f>Dashboard_Live_Data!I86</f>
        <v>-0.3</v>
      </c>
      <c r="H332">
        <f>Dashboard_Live_Data!M86</f>
        <v>-32650.140682705838</v>
      </c>
    </row>
    <row r="333" spans="1:8">
      <c r="A333">
        <f>Dashboard_Live_Data!I87</f>
        <v>-0.29199999999999998</v>
      </c>
      <c r="B333">
        <f>Dashboard_Live_Data!J87</f>
        <v>-0.55422705180376397</v>
      </c>
      <c r="C333">
        <f>Dashboard_Live_Data!I87</f>
        <v>-0.29199999999999998</v>
      </c>
      <c r="D333">
        <f>Dashboard_Live_Data!K87</f>
        <v>-10193.291736298073</v>
      </c>
      <c r="E333">
        <f>Dashboard_Live_Data!I87</f>
        <v>-0.29199999999999998</v>
      </c>
      <c r="F333">
        <f>Dashboard_Live_Data!L87</f>
        <v>-29225.110156037001</v>
      </c>
      <c r="G333">
        <f>Dashboard_Live_Data!I87</f>
        <v>-0.29199999999999998</v>
      </c>
      <c r="H333">
        <f>Dashboard_Live_Data!M87</f>
        <v>-31083.849529375264</v>
      </c>
    </row>
    <row r="334" spans="1:8">
      <c r="A334">
        <f>Dashboard_Live_Data!I88</f>
        <v>-0.28299999999999997</v>
      </c>
      <c r="B334">
        <f>Dashboard_Live_Data!J88</f>
        <v>-0.51026903842853244</v>
      </c>
      <c r="C334">
        <f>Dashboard_Live_Data!I88</f>
        <v>-0.28299999999999997</v>
      </c>
      <c r="D334">
        <f>Dashboard_Live_Data!K88</f>
        <v>-9528.6373739095652</v>
      </c>
      <c r="E334">
        <f>Dashboard_Live_Data!I88</f>
        <v>-0.28299999999999997</v>
      </c>
      <c r="F334">
        <f>Dashboard_Live_Data!L88</f>
        <v>-27549.64613181504</v>
      </c>
      <c r="G334">
        <f>Dashboard_Live_Data!I88</f>
        <v>-0.28299999999999997</v>
      </c>
      <c r="H334">
        <f>Dashboard_Live_Data!M88</f>
        <v>-29351.91580166448</v>
      </c>
    </row>
    <row r="335" spans="1:8">
      <c r="A335">
        <f>Dashboard_Live_Data!I89</f>
        <v>-0.27500000000000002</v>
      </c>
      <c r="B335">
        <f>Dashboard_Live_Data!J89</f>
        <v>-0.47341919121004139</v>
      </c>
      <c r="C335">
        <f>Dashboard_Live_Data!I89</f>
        <v>-0.27500000000000002</v>
      </c>
      <c r="D335">
        <f>Dashboard_Live_Data!K89</f>
        <v>-8953.9368130908624</v>
      </c>
      <c r="E335">
        <f>Dashboard_Live_Data!I89</f>
        <v>-0.27500000000000002</v>
      </c>
      <c r="F335">
        <f>Dashboard_Live_Data!L89</f>
        <v>-26088.809681649203</v>
      </c>
      <c r="G335">
        <f>Dashboard_Live_Data!I89</f>
        <v>-0.27500000000000002</v>
      </c>
      <c r="H335">
        <f>Dashboard_Live_Data!M89</f>
        <v>-27840.288392506118</v>
      </c>
    </row>
    <row r="336" spans="1:8">
      <c r="A336">
        <f>Dashboard_Live_Data!I90</f>
        <v>-0.26700000000000002</v>
      </c>
      <c r="B336">
        <f>Dashboard_Live_Data!J90</f>
        <v>-0.43857412502381976</v>
      </c>
      <c r="C336">
        <f>Dashboard_Live_Data!I90</f>
        <v>-0.26700000000000002</v>
      </c>
      <c r="D336">
        <f>Dashboard_Live_Data!K90</f>
        <v>-8394.7042158108161</v>
      </c>
      <c r="E336">
        <f>Dashboard_Live_Data!I90</f>
        <v>-0.26700000000000002</v>
      </c>
      <c r="F336">
        <f>Dashboard_Live_Data!L90</f>
        <v>-24655.783322873118</v>
      </c>
      <c r="G336">
        <f>Dashboard_Live_Data!I90</f>
        <v>-0.26700000000000002</v>
      </c>
      <c r="H336">
        <f>Dashboard_Live_Data!M90</f>
        <v>-26355.92282022885</v>
      </c>
    </row>
    <row r="337" spans="1:8">
      <c r="A337">
        <f>Dashboard_Live_Data!I91</f>
        <v>-0.25800000000000001</v>
      </c>
      <c r="B337">
        <f>Dashboard_Live_Data!J91</f>
        <v>-0.4016673031354685</v>
      </c>
      <c r="C337">
        <f>Dashboard_Live_Data!I91</f>
        <v>-0.25800000000000001</v>
      </c>
      <c r="D337">
        <f>Dashboard_Live_Data!K91</f>
        <v>-7784.4332514201305</v>
      </c>
      <c r="E337">
        <f>Dashboard_Live_Data!I91</f>
        <v>-0.25800000000000001</v>
      </c>
      <c r="F337">
        <f>Dashboard_Live_Data!L91</f>
        <v>-23078.113644632846</v>
      </c>
      <c r="G337">
        <f>Dashboard_Live_Data!I91</f>
        <v>-0.25800000000000001</v>
      </c>
      <c r="H337">
        <f>Dashboard_Live_Data!M91</f>
        <v>-24719.85672730935</v>
      </c>
    </row>
    <row r="338" spans="1:8">
      <c r="A338">
        <f>Dashboard_Live_Data!I92</f>
        <v>-0.25</v>
      </c>
      <c r="B338">
        <f>Dashboard_Live_Data!J92</f>
        <v>-0.37081187517208036</v>
      </c>
      <c r="C338">
        <f>Dashboard_Live_Data!I92</f>
        <v>-0.25</v>
      </c>
      <c r="D338">
        <f>Dashboard_Live_Data!K92</f>
        <v>-7259.0775623812369</v>
      </c>
      <c r="E338">
        <f>Dashboard_Live_Data!I92</f>
        <v>-0.25</v>
      </c>
      <c r="F338">
        <f>Dashboard_Live_Data!L92</f>
        <v>-21707.520208299306</v>
      </c>
      <c r="G338">
        <f>Dashboard_Live_Data!I92</f>
        <v>-0.25</v>
      </c>
      <c r="H338">
        <f>Dashboard_Live_Data!M92</f>
        <v>-23296.801058357276</v>
      </c>
    </row>
    <row r="339" spans="1:8">
      <c r="A339">
        <f>Dashboard_Live_Data!I93</f>
        <v>-0.24199999999999999</v>
      </c>
      <c r="B339">
        <f>Dashboard_Live_Data!J93</f>
        <v>-0.34171172867979749</v>
      </c>
      <c r="C339">
        <f>Dashboard_Live_Data!I93</f>
        <v>-0.24199999999999999</v>
      </c>
      <c r="D339">
        <f>Dashboard_Live_Data!K93</f>
        <v>-6750.1435304916085</v>
      </c>
      <c r="E339">
        <f>Dashboard_Live_Data!I93</f>
        <v>-0.24199999999999999</v>
      </c>
      <c r="F339">
        <f>Dashboard_Live_Data!L93</f>
        <v>-20367.917072372351</v>
      </c>
      <c r="G339">
        <f>Dashboard_Live_Data!I93</f>
        <v>-0.24199999999999999</v>
      </c>
      <c r="H339">
        <f>Dashboard_Live_Data!M93</f>
        <v>-21904.22804430117</v>
      </c>
    </row>
    <row r="340" spans="1:8">
      <c r="A340">
        <f>Dashboard_Live_Data!I94</f>
        <v>-0.23300000000000001</v>
      </c>
      <c r="B340">
        <f>Dashboard_Live_Data!J94</f>
        <v>-0.31097897475410718</v>
      </c>
      <c r="C340">
        <f>Dashboard_Live_Data!I94</f>
        <v>-0.23300000000000001</v>
      </c>
      <c r="D340">
        <f>Dashboard_Live_Data!K94</f>
        <v>-6197.6076393513285</v>
      </c>
      <c r="E340">
        <f>Dashboard_Live_Data!I94</f>
        <v>-0.23300000000000001</v>
      </c>
      <c r="F340">
        <f>Dashboard_Live_Data!L94</f>
        <v>-18899.222425472472</v>
      </c>
      <c r="G340">
        <f>Dashboard_Live_Data!I94</f>
        <v>-0.23300000000000001</v>
      </c>
      <c r="H340">
        <f>Dashboard_Live_Data!M94</f>
        <v>-20375.352826851115</v>
      </c>
    </row>
    <row r="341" spans="1:8">
      <c r="A341">
        <f>Dashboard_Live_Data!I95</f>
        <v>-0.22500000000000001</v>
      </c>
      <c r="B341">
        <f>Dashboard_Live_Data!J95</f>
        <v>-0.28536299915617747</v>
      </c>
      <c r="C341">
        <f>Dashboard_Live_Data!I95</f>
        <v>-0.22500000000000001</v>
      </c>
      <c r="D341">
        <f>Dashboard_Live_Data!K95</f>
        <v>-5724.6003963935982</v>
      </c>
      <c r="E341">
        <f>Dashboard_Live_Data!I95</f>
        <v>-0.22500000000000001</v>
      </c>
      <c r="F341">
        <f>Dashboard_Live_Data!L95</f>
        <v>-17629.003880901917</v>
      </c>
      <c r="G341">
        <f>Dashboard_Live_Data!I95</f>
        <v>-0.22500000000000001</v>
      </c>
      <c r="H341">
        <f>Dashboard_Live_Data!M95</f>
        <v>-19051.132271648297</v>
      </c>
    </row>
    <row r="342" spans="1:8">
      <c r="A342">
        <f>Dashboard_Live_Data!I96</f>
        <v>-0.217</v>
      </c>
      <c r="B342">
        <f>Dashboard_Live_Data!J96</f>
        <v>-0.26127610188143535</v>
      </c>
      <c r="C342">
        <f>Dashboard_Live_Data!I96</f>
        <v>-0.217</v>
      </c>
      <c r="D342">
        <f>Dashboard_Live_Data!K96</f>
        <v>-5268.9875445368234</v>
      </c>
      <c r="E342">
        <f>Dashboard_Live_Data!I96</f>
        <v>-0.217</v>
      </c>
      <c r="F342">
        <f>Dashboard_Live_Data!L96</f>
        <v>-16393.138607990768</v>
      </c>
      <c r="G342">
        <f>Dashboard_Live_Data!I96</f>
        <v>-0.217</v>
      </c>
      <c r="H342">
        <f>Dashboard_Live_Data!M96</f>
        <v>-17760.80185039583</v>
      </c>
    </row>
    <row r="343" spans="1:8">
      <c r="A343">
        <f>Dashboard_Live_Data!I97</f>
        <v>-0.20799999999999999</v>
      </c>
      <c r="B343">
        <f>Dashboard_Live_Data!J97</f>
        <v>-0.23592219111435497</v>
      </c>
      <c r="C343">
        <f>Dashboard_Live_Data!I97</f>
        <v>-0.20799999999999999</v>
      </c>
      <c r="D343">
        <f>Dashboard_Live_Data!K97</f>
        <v>-4777.603842826582</v>
      </c>
      <c r="E343">
        <f>Dashboard_Live_Data!I97</f>
        <v>-0.20799999999999999</v>
      </c>
      <c r="F343">
        <f>Dashboard_Live_Data!L97</f>
        <v>-15045.242230124342</v>
      </c>
      <c r="G343">
        <f>Dashboard_Live_Data!I97</f>
        <v>-0.20799999999999999</v>
      </c>
      <c r="H343">
        <f>Dashboard_Live_Data!M97</f>
        <v>-16351.096914099966</v>
      </c>
    </row>
    <row r="344" spans="1:8">
      <c r="A344">
        <f>Dashboard_Live_Data!I98</f>
        <v>-0.2</v>
      </c>
      <c r="B344">
        <f>Dashboard_Live_Data!J98</f>
        <v>-0.21486365220766857</v>
      </c>
      <c r="C344">
        <f>Dashboard_Live_Data!I98</f>
        <v>-0.2</v>
      </c>
      <c r="D344">
        <f>Dashboard_Live_Data!K98</f>
        <v>-4359.9901999884787</v>
      </c>
      <c r="E344">
        <f>Dashboard_Live_Data!I98</f>
        <v>-0.2</v>
      </c>
      <c r="F344">
        <f>Dashboard_Live_Data!L98</f>
        <v>-13886.103797269352</v>
      </c>
      <c r="G344">
        <f>Dashboard_Live_Data!I98</f>
        <v>-0.2</v>
      </c>
      <c r="H344">
        <f>Dashboard_Live_Data!M98</f>
        <v>-15136.55814203358</v>
      </c>
    </row>
    <row r="345" spans="1:8">
      <c r="A345">
        <f>Dashboard_Live_Data!I99</f>
        <v>-0.192</v>
      </c>
      <c r="B345">
        <f>Dashboard_Live_Data!J99</f>
        <v>-0.1951314257202057</v>
      </c>
      <c r="C345">
        <f>Dashboard_Live_Data!I99</f>
        <v>-0.192</v>
      </c>
      <c r="D345">
        <f>Dashboard_Live_Data!K99</f>
        <v>-3960.7421763302191</v>
      </c>
      <c r="E345">
        <f>Dashboard_Live_Data!I99</f>
        <v>-0.192</v>
      </c>
      <c r="F345">
        <f>Dashboard_Live_Data!L99</f>
        <v>-12764.866565310112</v>
      </c>
      <c r="G345">
        <f>Dashboard_Live_Data!I99</f>
        <v>-0.192</v>
      </c>
      <c r="H345">
        <f>Dashboard_Live_Data!M99</f>
        <v>-13959.503640642601</v>
      </c>
    </row>
    <row r="346" spans="1:8">
      <c r="A346">
        <f>Dashboard_Live_Data!I100</f>
        <v>-0.183</v>
      </c>
      <c r="B346">
        <f>Dashboard_Live_Data!J100</f>
        <v>-0.17444351947665382</v>
      </c>
      <c r="C346">
        <f>Dashboard_Live_Data!I100</f>
        <v>-0.183</v>
      </c>
      <c r="D346">
        <f>Dashboard_Live_Data!K100</f>
        <v>-3533.9191182778195</v>
      </c>
      <c r="E346">
        <f>Dashboard_Live_Data!I100</f>
        <v>-0.183</v>
      </c>
      <c r="F346">
        <f>Dashboard_Live_Data!L100</f>
        <v>-11550.242027722496</v>
      </c>
      <c r="G346">
        <f>Dashboard_Live_Data!I100</f>
        <v>-0.183</v>
      </c>
      <c r="H346">
        <f>Dashboard_Live_Data!M100</f>
        <v>-12681.604714695779</v>
      </c>
    </row>
    <row r="347" spans="1:8">
      <c r="A347">
        <f>Dashboard_Live_Data!I101</f>
        <v>-0.17499999999999999</v>
      </c>
      <c r="B347">
        <f>Dashboard_Live_Data!J101</f>
        <v>-0.15733377440119511</v>
      </c>
      <c r="C347">
        <f>Dashboard_Live_Data!I101</f>
        <v>-0.17499999999999999</v>
      </c>
      <c r="D347">
        <f>Dashboard_Live_Data!K101</f>
        <v>-3174.6987799832932</v>
      </c>
      <c r="E347">
        <f>Dashboard_Live_Data!I101</f>
        <v>-0.17499999999999999</v>
      </c>
      <c r="F347">
        <f>Dashboard_Live_Data!L101</f>
        <v>-10513.469745248251</v>
      </c>
      <c r="G347">
        <f>Dashboard_Live_Data!I101</f>
        <v>-0.17499999999999999</v>
      </c>
      <c r="H347">
        <f>Dashboard_Live_Data!M101</f>
        <v>-11588.17818289464</v>
      </c>
    </row>
    <row r="348" spans="1:8">
      <c r="A348">
        <f>Dashboard_Live_Data!I102</f>
        <v>-0.16700000000000001</v>
      </c>
      <c r="B348">
        <f>Dashboard_Live_Data!J102</f>
        <v>-0.14137113236063215</v>
      </c>
      <c r="C348">
        <f>Dashboard_Live_Data!I102</f>
        <v>-0.16700000000000001</v>
      </c>
      <c r="D348">
        <f>Dashboard_Live_Data!K102</f>
        <v>-2834.7671819467178</v>
      </c>
      <c r="E348">
        <f>Dashboard_Live_Data!I102</f>
        <v>-0.16700000000000001</v>
      </c>
      <c r="F348">
        <f>Dashboard_Live_Data!L102</f>
        <v>-9518.3342443124784</v>
      </c>
      <c r="G348">
        <f>Dashboard_Live_Data!I102</f>
        <v>-0.16700000000000001</v>
      </c>
      <c r="H348">
        <f>Dashboard_Live_Data!M102</f>
        <v>-10536.017531248719</v>
      </c>
    </row>
    <row r="349" spans="1:8">
      <c r="A349">
        <f>Dashboard_Live_Data!I103</f>
        <v>-0.158</v>
      </c>
      <c r="B349">
        <f>Dashboard_Live_Data!J103</f>
        <v>-0.12471921807230046</v>
      </c>
      <c r="C349">
        <f>Dashboard_Live_Data!I103</f>
        <v>-0.158</v>
      </c>
      <c r="D349">
        <f>Dashboard_Live_Data!K103</f>
        <v>-2475.736579407454</v>
      </c>
      <c r="E349">
        <f>Dashboard_Live_Data!I103</f>
        <v>-0.158</v>
      </c>
      <c r="F349">
        <f>Dashboard_Live_Data!L103</f>
        <v>-8450.1146067239897</v>
      </c>
      <c r="G349">
        <f>Dashboard_Live_Data!I103</f>
        <v>-0.158</v>
      </c>
      <c r="H349">
        <f>Dashboard_Live_Data!M103</f>
        <v>-9403.2197680937752</v>
      </c>
    </row>
    <row r="350" spans="1:8">
      <c r="A350">
        <f>Dashboard_Live_Data!I104</f>
        <v>-0.15</v>
      </c>
      <c r="B350">
        <f>Dashboard_Live_Data!J104</f>
        <v>-0.11102336728663431</v>
      </c>
      <c r="C350">
        <f>Dashboard_Live_Data!I104</f>
        <v>-0.15</v>
      </c>
      <c r="D350">
        <f>Dashboard_Live_Data!K104</f>
        <v>-2177.6671843117474</v>
      </c>
      <c r="E350">
        <f>Dashboard_Live_Data!I104</f>
        <v>-0.15</v>
      </c>
      <c r="F350">
        <f>Dashboard_Live_Data!L104</f>
        <v>-7547.5826717634845</v>
      </c>
      <c r="G350">
        <f>Dashboard_Live_Data!I104</f>
        <v>-0.15</v>
      </c>
      <c r="H350">
        <f>Dashboard_Live_Data!M104</f>
        <v>-8442.9245038226654</v>
      </c>
    </row>
    <row r="351" spans="1:8">
      <c r="A351">
        <f>Dashboard_Live_Data!I105</f>
        <v>-0.14199999999999999</v>
      </c>
      <c r="B351">
        <f>Dashboard_Live_Data!J105</f>
        <v>-9.8319082050352336E-2</v>
      </c>
      <c r="C351">
        <f>Dashboard_Live_Data!I105</f>
        <v>-0.14199999999999999</v>
      </c>
      <c r="D351">
        <f>Dashboard_Live_Data!K105</f>
        <v>-1899.6570192596373</v>
      </c>
      <c r="E351">
        <f>Dashboard_Live_Data!I105</f>
        <v>-0.14199999999999999</v>
      </c>
      <c r="F351">
        <f>Dashboard_Live_Data!L105</f>
        <v>-6690.6108063324282</v>
      </c>
      <c r="G351">
        <f>Dashboard_Live_Data!I105</f>
        <v>-0.14199999999999999</v>
      </c>
      <c r="H351">
        <f>Dashboard_Live_Data!M105</f>
        <v>-7527.8673822461351</v>
      </c>
    </row>
    <row r="352" spans="1:8">
      <c r="A352">
        <f>Dashboard_Live_Data!I106</f>
        <v>-0.13300000000000001</v>
      </c>
      <c r="B352">
        <f>Dashboard_Live_Data!J106</f>
        <v>-8.5156359718553176E-2</v>
      </c>
      <c r="C352">
        <f>Dashboard_Live_Data!I106</f>
        <v>-0.13300000000000001</v>
      </c>
      <c r="D352">
        <f>Dashboard_Live_Data!K106</f>
        <v>-1611.0978519744349</v>
      </c>
      <c r="E352">
        <f>Dashboard_Live_Data!I106</f>
        <v>-0.13300000000000001</v>
      </c>
      <c r="F352">
        <f>Dashboard_Live_Data!L106</f>
        <v>-5782.5863929769912</v>
      </c>
      <c r="G352">
        <f>Dashboard_Live_Data!I106</f>
        <v>-0.13300000000000001</v>
      </c>
      <c r="H352">
        <f>Dashboard_Live_Data!M106</f>
        <v>-6554.1364146582637</v>
      </c>
    </row>
    <row r="353" spans="1:8">
      <c r="A353">
        <f>Dashboard_Live_Data!I107</f>
        <v>-0.125</v>
      </c>
      <c r="B353">
        <f>Dashboard_Live_Data!J107</f>
        <v>-7.4413578671737923E-2</v>
      </c>
      <c r="C353">
        <f>Dashboard_Live_Data!I107</f>
        <v>-0.125</v>
      </c>
      <c r="D353">
        <f>Dashboard_Live_Data!K107</f>
        <v>-1376.2576530040769</v>
      </c>
      <c r="E353">
        <f>Dashboard_Live_Data!I107</f>
        <v>-0.125</v>
      </c>
      <c r="F353">
        <f>Dashboard_Live_Data!L107</f>
        <v>-5026.7415034051373</v>
      </c>
      <c r="G353">
        <f>Dashboard_Live_Data!I107</f>
        <v>-0.125</v>
      </c>
      <c r="H353">
        <f>Dashboard_Live_Data!M107</f>
        <v>-5739.5919717311044</v>
      </c>
    </row>
    <row r="354" spans="1:8">
      <c r="A354">
        <f>Dashboard_Live_Data!I108</f>
        <v>-0.11700000000000001</v>
      </c>
      <c r="B354">
        <f>Dashboard_Live_Data!J108</f>
        <v>-6.4530590996128012E-2</v>
      </c>
      <c r="C354">
        <f>Dashboard_Live_Data!I108</f>
        <v>-0.11700000000000001</v>
      </c>
      <c r="D354">
        <f>Dashboard_Live_Data!K108</f>
        <v>-1161.8662425758666</v>
      </c>
      <c r="E354">
        <f>Dashboard_Live_Data!I108</f>
        <v>-0.11700000000000001</v>
      </c>
      <c r="F354">
        <f>Dashboard_Live_Data!L108</f>
        <v>-4320.5432959684549</v>
      </c>
      <c r="G354">
        <f>Dashboard_Live_Data!I108</f>
        <v>-0.11700000000000001</v>
      </c>
      <c r="H354">
        <f>Dashboard_Live_Data!M108</f>
        <v>-4974.4518534386225</v>
      </c>
    </row>
    <row r="355" spans="1:8">
      <c r="A355">
        <f>Dashboard_Live_Data!I109</f>
        <v>-0.108</v>
      </c>
      <c r="B355">
        <f>Dashboard_Live_Data!J109</f>
        <v>-5.4393810229043993E-2</v>
      </c>
      <c r="C355">
        <f>Dashboard_Live_Data!I109</f>
        <v>-0.108</v>
      </c>
      <c r="D355">
        <f>Dashboard_Live_Data!K109</f>
        <v>-945.08643135841521</v>
      </c>
      <c r="E355">
        <f>Dashboard_Live_Data!I109</f>
        <v>-0.108</v>
      </c>
      <c r="F355">
        <f>Dashboard_Live_Data!L109</f>
        <v>-3587.0630675248431</v>
      </c>
      <c r="G355">
        <f>Dashboard_Live_Data!I109</f>
        <v>-0.108</v>
      </c>
      <c r="H355">
        <f>Dashboard_Live_Data!M109</f>
        <v>-4174.4317239557349</v>
      </c>
    </row>
    <row r="356" spans="1:8">
      <c r="A356">
        <f>Dashboard_Live_Data!I110</f>
        <v>-0.1</v>
      </c>
      <c r="B356">
        <f>Dashboard_Live_Data!J110</f>
        <v>-4.6217631182344121E-2</v>
      </c>
      <c r="C356">
        <f>Dashboard_Live_Data!I110</f>
        <v>-0.1</v>
      </c>
      <c r="D356">
        <f>Dashboard_Live_Data!K110</f>
        <v>-773.9404461593731</v>
      </c>
      <c r="E356">
        <f>Dashboard_Live_Data!I110</f>
        <v>-0.1</v>
      </c>
      <c r="F356">
        <f>Dashboard_Live_Data!L110</f>
        <v>-2990.7521080161314</v>
      </c>
      <c r="G356">
        <f>Dashboard_Live_Data!I110</f>
        <v>-0.1</v>
      </c>
      <c r="H356">
        <f>Dashboard_Live_Data!M110</f>
        <v>-3518.8494159470647</v>
      </c>
    </row>
    <row r="357" spans="1:8">
      <c r="A357">
        <f>Dashboard_Live_Data!I111</f>
        <v>-9.1999999999999998E-2</v>
      </c>
      <c r="B357">
        <f>Dashboard_Live_Data!J111</f>
        <v>-3.8793322623632776E-2</v>
      </c>
      <c r="C357">
        <f>Dashboard_Live_Data!I111</f>
        <v>-9.1999999999999998E-2</v>
      </c>
      <c r="D357">
        <f>Dashboard_Live_Data!K111</f>
        <v>-622.7876519774909</v>
      </c>
      <c r="E357">
        <f>Dashboard_Live_Data!I111</f>
        <v>-9.1999999999999998E-2</v>
      </c>
      <c r="F357">
        <f>Dashboard_Live_Data!L111</f>
        <v>-2448.1742219196822</v>
      </c>
      <c r="G357">
        <f>Dashboard_Live_Data!I111</f>
        <v>-9.1999999999999998E-2</v>
      </c>
      <c r="H357">
        <f>Dashboard_Live_Data!M111</f>
        <v>-2916.9995331569153</v>
      </c>
    </row>
    <row r="358" spans="1:8">
      <c r="A358">
        <f>Dashboard_Live_Data!I112</f>
        <v>-8.3000000000000004E-2</v>
      </c>
      <c r="B358">
        <f>Dashboard_Live_Data!J112</f>
        <v>-3.1303072409855304E-2</v>
      </c>
      <c r="C358">
        <f>Dashboard_Live_Data!I112</f>
        <v>-8.3000000000000004E-2</v>
      </c>
      <c r="D358">
        <f>Dashboard_Live_Data!K112</f>
        <v>-476.07728499047153</v>
      </c>
      <c r="E358">
        <f>Dashboard_Live_Data!I112</f>
        <v>-8.3000000000000004E-2</v>
      </c>
      <c r="F358">
        <f>Dashboard_Live_Data!L112</f>
        <v>-1903.505948859045</v>
      </c>
      <c r="G358">
        <f>Dashboard_Live_Data!I112</f>
        <v>-8.3000000000000004E-2</v>
      </c>
      <c r="H358">
        <f>Dashboard_Live_Data!M112</f>
        <v>-2305.8725854526674</v>
      </c>
    </row>
    <row r="359" spans="1:8">
      <c r="A359">
        <f>Dashboard_Live_Data!I113</f>
        <v>-7.4999999999999997E-2</v>
      </c>
      <c r="B359">
        <f>Dashboard_Live_Data!J113</f>
        <v>-2.5381627713954913E-2</v>
      </c>
      <c r="C359">
        <f>Dashboard_Live_Data!I113</f>
        <v>-7.4999999999999997E-2</v>
      </c>
      <c r="D359">
        <f>Dashboard_Live_Data!K113</f>
        <v>-365.6858715468552</v>
      </c>
      <c r="E359">
        <f>Dashboard_Live_Data!I113</f>
        <v>-7.4999999999999997E-2</v>
      </c>
      <c r="F359">
        <f>Dashboard_Live_Data!L113</f>
        <v>-1478.9642244424758</v>
      </c>
      <c r="G359">
        <f>Dashboard_Live_Data!I113</f>
        <v>-7.4999999999999997E-2</v>
      </c>
      <c r="H359">
        <f>Dashboard_Live_Data!M113</f>
        <v>-1822.7678078152858</v>
      </c>
    </row>
    <row r="360" spans="1:8">
      <c r="A360">
        <f>Dashboard_Live_Data!I114</f>
        <v>-6.7000000000000004E-2</v>
      </c>
      <c r="B360">
        <f>Dashboard_Live_Data!J114</f>
        <v>-2.0128040178406081E-2</v>
      </c>
      <c r="C360">
        <f>Dashboard_Live_Data!I114</f>
        <v>-6.7000000000000004E-2</v>
      </c>
      <c r="D360">
        <f>Dashboard_Live_Data!K114</f>
        <v>-273.20619150514904</v>
      </c>
      <c r="E360">
        <f>Dashboard_Live_Data!I114</f>
        <v>-6.7000000000000004E-2</v>
      </c>
      <c r="F360">
        <f>Dashboard_Live_Data!L114</f>
        <v>-1111.3665792034881</v>
      </c>
      <c r="G360">
        <f>Dashboard_Live_Data!I114</f>
        <v>-6.7000000000000004E-2</v>
      </c>
      <c r="H360">
        <f>Dashboard_Live_Data!M114</f>
        <v>-1397.5520721561479</v>
      </c>
    </row>
    <row r="361" spans="1:8">
      <c r="A361">
        <f>Dashboard_Live_Data!I115</f>
        <v>-5.8000000000000003E-2</v>
      </c>
      <c r="B361">
        <f>Dashboard_Live_Data!J115</f>
        <v>-1.4988976835297763E-2</v>
      </c>
      <c r="C361">
        <f>Dashboard_Live_Data!I115</f>
        <v>-5.8000000000000003E-2</v>
      </c>
      <c r="D361">
        <f>Dashboard_Live_Data!K115</f>
        <v>-189.13531467878693</v>
      </c>
      <c r="E361">
        <f>Dashboard_Live_Data!I115</f>
        <v>-5.8000000000000003E-2</v>
      </c>
      <c r="F361">
        <f>Dashboard_Live_Data!L115</f>
        <v>-766.31188824812671</v>
      </c>
      <c r="G361">
        <f>Dashboard_Live_Data!I115</f>
        <v>-5.8000000000000003E-2</v>
      </c>
      <c r="H361">
        <f>Dashboard_Live_Data!M115</f>
        <v>-989.67471788156035</v>
      </c>
    </row>
    <row r="362" spans="1:8">
      <c r="A362">
        <f>Dashboard_Live_Data!I116</f>
        <v>-0.05</v>
      </c>
      <c r="B362">
        <f>Dashboard_Live_Data!J116</f>
        <v>-1.1085185236197503E-2</v>
      </c>
      <c r="C362">
        <f>Dashboard_Live_Data!I116</f>
        <v>-0.05</v>
      </c>
      <c r="D362">
        <f>Dashboard_Live_Data!K116</f>
        <v>-130.58382574901771</v>
      </c>
      <c r="E362">
        <f>Dashboard_Live_Data!I116</f>
        <v>-0.05</v>
      </c>
      <c r="F362">
        <f>Dashboard_Live_Data!L116</f>
        <v>-520.01022342426404</v>
      </c>
      <c r="G362">
        <f>Dashboard_Live_Data!I116</f>
        <v>-0.05</v>
      </c>
      <c r="H362">
        <f>Dashboard_Live_Data!M116</f>
        <v>-690.46185643132958</v>
      </c>
    </row>
    <row r="363" spans="1:8">
      <c r="A363">
        <f>Dashboard_Live_Data!I117</f>
        <v>-4.2000000000000003E-2</v>
      </c>
      <c r="B363">
        <f>Dashboard_Live_Data!J117</f>
        <v>-7.7892075411227779E-3</v>
      </c>
      <c r="C363">
        <f>Dashboard_Live_Data!I117</f>
        <v>-4.2000000000000003E-2</v>
      </c>
      <c r="D363">
        <f>Dashboard_Live_Data!K117</f>
        <v>-85.532537980298912</v>
      </c>
      <c r="E363">
        <f>Dashboard_Live_Data!I117</f>
        <v>-4.2000000000000003E-2</v>
      </c>
      <c r="F363">
        <f>Dashboard_Live_Data!L117</f>
        <v>-328.85027552274187</v>
      </c>
      <c r="G363">
        <f>Dashboard_Live_Data!I117</f>
        <v>-4.2000000000000003E-2</v>
      </c>
      <c r="H363">
        <f>Dashboard_Live_Data!M117</f>
        <v>-450.68761011315837</v>
      </c>
    </row>
    <row r="364" spans="1:8">
      <c r="A364">
        <f>Dashboard_Live_Data!I118</f>
        <v>-3.3000000000000002E-2</v>
      </c>
      <c r="B364">
        <f>Dashboard_Live_Data!J118</f>
        <v>-4.7902418510830103E-3</v>
      </c>
      <c r="C364">
        <f>Dashboard_Live_Data!I118</f>
        <v>-3.3000000000000002E-2</v>
      </c>
      <c r="D364">
        <f>Dashboard_Live_Data!K118</f>
        <v>-48.707150080789688</v>
      </c>
      <c r="E364">
        <f>Dashboard_Live_Data!I118</f>
        <v>-3.3000000000000002E-2</v>
      </c>
      <c r="F364">
        <f>Dashboard_Live_Data!L118</f>
        <v>-175.28477054044197</v>
      </c>
      <c r="G364">
        <f>Dashboard_Live_Data!I118</f>
        <v>-3.3000000000000002E-2</v>
      </c>
      <c r="H364">
        <f>Dashboard_Live_Data!M118</f>
        <v>-249.93122636938642</v>
      </c>
    </row>
    <row r="365" spans="1:8">
      <c r="A365">
        <f>Dashboard_Live_Data!I119</f>
        <v>-2.5000000000000001E-2</v>
      </c>
      <c r="B365">
        <f>Dashboard_Live_Data!J119</f>
        <v>-2.7419606900593863E-3</v>
      </c>
      <c r="C365">
        <f>Dashboard_Live_Data!I119</f>
        <v>-2.5000000000000001E-2</v>
      </c>
      <c r="D365">
        <f>Dashboard_Live_Data!K119</f>
        <v>-26.20922916708696</v>
      </c>
      <c r="E365">
        <f>Dashboard_Live_Data!I119</f>
        <v>-2.5000000000000001E-2</v>
      </c>
      <c r="F365">
        <f>Dashboard_Live_Data!L119</f>
        <v>-86.794732464311892</v>
      </c>
      <c r="G365">
        <f>Dashboard_Live_Data!I119</f>
        <v>-2.5000000000000001E-2</v>
      </c>
      <c r="H365">
        <f>Dashboard_Live_Data!M119</f>
        <v>-128.37390922902341</v>
      </c>
    </row>
    <row r="366" spans="1:8">
      <c r="A366">
        <f>Dashboard_Live_Data!I120</f>
        <v>-1.7000000000000001E-2</v>
      </c>
      <c r="B366">
        <f>Dashboard_Live_Data!J120</f>
        <v>-1.2654526615278883E-3</v>
      </c>
      <c r="C366">
        <f>Dashboard_Live_Data!I120</f>
        <v>-1.7000000000000001E-2</v>
      </c>
      <c r="D366">
        <f>Dashboard_Live_Data!K120</f>
        <v>-11.501173772391667</v>
      </c>
      <c r="E366">
        <f>Dashboard_Live_Data!I120</f>
        <v>-1.7000000000000001E-2</v>
      </c>
      <c r="F366">
        <f>Dashboard_Live_Data!L120</f>
        <v>-34.567441559190229</v>
      </c>
      <c r="G366">
        <f>Dashboard_Live_Data!I120</f>
        <v>-1.7000000000000001E-2</v>
      </c>
      <c r="H366">
        <f>Dashboard_Live_Data!M120</f>
        <v>-52.890554438504296</v>
      </c>
    </row>
    <row r="367" spans="1:8">
      <c r="A367">
        <f>Dashboard_Live_Data!I121</f>
        <v>-8.0000000000000002E-3</v>
      </c>
      <c r="B367">
        <f>Dashboard_Live_Data!J121</f>
        <v>-2.7987863211365038E-4</v>
      </c>
      <c r="C367">
        <f>Dashboard_Live_Data!I121</f>
        <v>-8.0000000000000002E-3</v>
      </c>
      <c r="D367">
        <f>Dashboard_Live_Data!K121</f>
        <v>-2.4515400940208565</v>
      </c>
      <c r="E367">
        <f>Dashboard_Live_Data!I121</f>
        <v>-8.0000000000000002E-3</v>
      </c>
      <c r="F367">
        <f>Dashboard_Live_Data!L121</f>
        <v>-6.7016754171791035</v>
      </c>
      <c r="G367">
        <f>Dashboard_Live_Data!I121</f>
        <v>-8.0000000000000002E-3</v>
      </c>
      <c r="H367">
        <f>Dashboard_Live_Data!M121</f>
        <v>-10.54136055730396</v>
      </c>
    </row>
    <row r="368" spans="1:8">
      <c r="A368">
        <f>Dashboard_Live_Data!I122</f>
        <v>0</v>
      </c>
      <c r="B368">
        <f>Dashboard_Live_Data!J122</f>
        <v>0</v>
      </c>
      <c r="C368">
        <f>Dashboard_Live_Data!I122</f>
        <v>0</v>
      </c>
      <c r="D368">
        <f>Dashboard_Live_Data!K122</f>
        <v>0</v>
      </c>
      <c r="E368">
        <f>Dashboard_Live_Data!I122</f>
        <v>0</v>
      </c>
      <c r="F368">
        <f>Dashboard_Live_Data!L122</f>
        <v>0</v>
      </c>
      <c r="G368">
        <f>Dashboard_Live_Data!I122</f>
        <v>0</v>
      </c>
      <c r="H368">
        <f>Dashboard_Live_Data!M122</f>
        <v>0</v>
      </c>
    </row>
    <row r="369" spans="1:8">
      <c r="A369">
        <f>Dashboard_Live_Data!I123</f>
        <v>8.0000000000000002E-3</v>
      </c>
      <c r="B369">
        <f>Dashboard_Live_Data!J123</f>
        <v>-2.7987863211365038E-4</v>
      </c>
      <c r="C369">
        <f>Dashboard_Live_Data!I123</f>
        <v>8.0000000000000002E-3</v>
      </c>
      <c r="D369">
        <f>Dashboard_Live_Data!K123</f>
        <v>-2.4515400940208565</v>
      </c>
      <c r="E369">
        <f>Dashboard_Live_Data!I123</f>
        <v>8.0000000000000002E-3</v>
      </c>
      <c r="F369">
        <f>Dashboard_Live_Data!L123</f>
        <v>-6.7016754171791035</v>
      </c>
      <c r="G369">
        <f>Dashboard_Live_Data!I123</f>
        <v>8.0000000000000002E-3</v>
      </c>
      <c r="H369">
        <f>Dashboard_Live_Data!M123</f>
        <v>-10.54136055730396</v>
      </c>
    </row>
    <row r="370" spans="1:8">
      <c r="A370">
        <f>Dashboard_Live_Data!I124</f>
        <v>1.7000000000000001E-2</v>
      </c>
      <c r="B370">
        <f>Dashboard_Live_Data!J124</f>
        <v>-1.2654526615278883E-3</v>
      </c>
      <c r="C370">
        <f>Dashboard_Live_Data!I124</f>
        <v>1.7000000000000001E-2</v>
      </c>
      <c r="D370">
        <f>Dashboard_Live_Data!K124</f>
        <v>-11.501173772391667</v>
      </c>
      <c r="E370">
        <f>Dashboard_Live_Data!I124</f>
        <v>1.7000000000000001E-2</v>
      </c>
      <c r="F370">
        <f>Dashboard_Live_Data!L124</f>
        <v>-34.567441559186591</v>
      </c>
      <c r="G370">
        <f>Dashboard_Live_Data!I124</f>
        <v>1.7000000000000001E-2</v>
      </c>
      <c r="H370">
        <f>Dashboard_Live_Data!M124</f>
        <v>-52.890554438502477</v>
      </c>
    </row>
    <row r="371" spans="1:8">
      <c r="A371">
        <f>Dashboard_Live_Data!I125</f>
        <v>2.5000000000000001E-2</v>
      </c>
      <c r="B371">
        <f>Dashboard_Live_Data!J125</f>
        <v>-2.7419606900593863E-3</v>
      </c>
      <c r="C371">
        <f>Dashboard_Live_Data!I125</f>
        <v>2.5000000000000001E-2</v>
      </c>
      <c r="D371">
        <f>Dashboard_Live_Data!K125</f>
        <v>-26.20922916708696</v>
      </c>
      <c r="E371">
        <f>Dashboard_Live_Data!I125</f>
        <v>2.5000000000000001E-2</v>
      </c>
      <c r="F371">
        <f>Dashboard_Live_Data!L125</f>
        <v>-86.794732464307344</v>
      </c>
      <c r="G371">
        <f>Dashboard_Live_Data!I125</f>
        <v>2.5000000000000001E-2</v>
      </c>
      <c r="H371">
        <f>Dashboard_Live_Data!M125</f>
        <v>-128.37390922901977</v>
      </c>
    </row>
    <row r="372" spans="1:8">
      <c r="A372">
        <f>Dashboard_Live_Data!I126</f>
        <v>3.3000000000000002E-2</v>
      </c>
      <c r="B372">
        <f>Dashboard_Live_Data!J126</f>
        <v>-4.7902418510830103E-3</v>
      </c>
      <c r="C372">
        <f>Dashboard_Live_Data!I126</f>
        <v>3.3000000000000002E-2</v>
      </c>
      <c r="D372">
        <f>Dashboard_Live_Data!K126</f>
        <v>-48.707150080789688</v>
      </c>
      <c r="E372">
        <f>Dashboard_Live_Data!I126</f>
        <v>3.3000000000000002E-2</v>
      </c>
      <c r="F372">
        <f>Dashboard_Live_Data!L126</f>
        <v>-175.28477054044197</v>
      </c>
      <c r="G372">
        <f>Dashboard_Live_Data!I126</f>
        <v>3.3000000000000002E-2</v>
      </c>
      <c r="H372">
        <f>Dashboard_Live_Data!M126</f>
        <v>-249.93122636938642</v>
      </c>
    </row>
    <row r="373" spans="1:8">
      <c r="A373">
        <f>Dashboard_Live_Data!I127</f>
        <v>4.2000000000000003E-2</v>
      </c>
      <c r="B373">
        <f>Dashboard_Live_Data!J127</f>
        <v>-7.7892075411227779E-3</v>
      </c>
      <c r="C373">
        <f>Dashboard_Live_Data!I127</f>
        <v>4.2000000000000003E-2</v>
      </c>
      <c r="D373">
        <f>Dashboard_Live_Data!K127</f>
        <v>-85.532537980298912</v>
      </c>
      <c r="E373">
        <f>Dashboard_Live_Data!I127</f>
        <v>4.2000000000000003E-2</v>
      </c>
      <c r="F373">
        <f>Dashboard_Live_Data!L127</f>
        <v>-328.85027552274187</v>
      </c>
      <c r="G373">
        <f>Dashboard_Live_Data!I127</f>
        <v>4.2000000000000003E-2</v>
      </c>
      <c r="H373">
        <f>Dashboard_Live_Data!M127</f>
        <v>-450.68761011315837</v>
      </c>
    </row>
    <row r="374" spans="1:8">
      <c r="A374">
        <f>Dashboard_Live_Data!I128</f>
        <v>0.05</v>
      </c>
      <c r="B374">
        <f>Dashboard_Live_Data!J128</f>
        <v>-1.1085185236197503E-2</v>
      </c>
      <c r="C374">
        <f>Dashboard_Live_Data!I128</f>
        <v>0.05</v>
      </c>
      <c r="D374">
        <f>Dashboard_Live_Data!K128</f>
        <v>-130.58382574901771</v>
      </c>
      <c r="E374">
        <f>Dashboard_Live_Data!I128</f>
        <v>0.05</v>
      </c>
      <c r="F374">
        <f>Dashboard_Live_Data!L128</f>
        <v>-520.01022342426404</v>
      </c>
      <c r="G374">
        <f>Dashboard_Live_Data!I128</f>
        <v>0.05</v>
      </c>
      <c r="H374">
        <f>Dashboard_Live_Data!M128</f>
        <v>-690.46185643132958</v>
      </c>
    </row>
    <row r="375" spans="1:8">
      <c r="A375">
        <f>Dashboard_Live_Data!I129</f>
        <v>5.8000000000000003E-2</v>
      </c>
      <c r="B375">
        <f>Dashboard_Live_Data!J129</f>
        <v>-1.4988976835297763E-2</v>
      </c>
      <c r="C375">
        <f>Dashboard_Live_Data!I129</f>
        <v>5.8000000000000003E-2</v>
      </c>
      <c r="D375">
        <f>Dashboard_Live_Data!K129</f>
        <v>-189.13531467878693</v>
      </c>
      <c r="E375">
        <f>Dashboard_Live_Data!I129</f>
        <v>5.8000000000000003E-2</v>
      </c>
      <c r="F375">
        <f>Dashboard_Live_Data!L129</f>
        <v>-766.31188824812671</v>
      </c>
      <c r="G375">
        <f>Dashboard_Live_Data!I129</f>
        <v>5.8000000000000003E-2</v>
      </c>
      <c r="H375">
        <f>Dashboard_Live_Data!M129</f>
        <v>-989.67471788156035</v>
      </c>
    </row>
    <row r="376" spans="1:8">
      <c r="A376">
        <f>Dashboard_Live_Data!I130</f>
        <v>6.7000000000000004E-2</v>
      </c>
      <c r="B376">
        <f>Dashboard_Live_Data!J130</f>
        <v>-2.0128040178406081E-2</v>
      </c>
      <c r="C376">
        <f>Dashboard_Live_Data!I130</f>
        <v>6.7000000000000004E-2</v>
      </c>
      <c r="D376">
        <f>Dashboard_Live_Data!K130</f>
        <v>-273.20619150514904</v>
      </c>
      <c r="E376">
        <f>Dashboard_Live_Data!I130</f>
        <v>6.7000000000000004E-2</v>
      </c>
      <c r="F376">
        <f>Dashboard_Live_Data!L130</f>
        <v>-1111.3665792034881</v>
      </c>
      <c r="G376">
        <f>Dashboard_Live_Data!I130</f>
        <v>6.7000000000000004E-2</v>
      </c>
      <c r="H376">
        <f>Dashboard_Live_Data!M130</f>
        <v>-1397.5520721561479</v>
      </c>
    </row>
    <row r="377" spans="1:8">
      <c r="A377">
        <f>Dashboard_Live_Data!I131</f>
        <v>7.4999999999999997E-2</v>
      </c>
      <c r="B377">
        <f>Dashboard_Live_Data!J131</f>
        <v>-2.5381627713954913E-2</v>
      </c>
      <c r="C377">
        <f>Dashboard_Live_Data!I131</f>
        <v>7.4999999999999997E-2</v>
      </c>
      <c r="D377">
        <f>Dashboard_Live_Data!K131</f>
        <v>-365.6858715468552</v>
      </c>
      <c r="E377">
        <f>Dashboard_Live_Data!I131</f>
        <v>7.4999999999999997E-2</v>
      </c>
      <c r="F377">
        <f>Dashboard_Live_Data!L131</f>
        <v>-1478.9642244424758</v>
      </c>
      <c r="G377">
        <f>Dashboard_Live_Data!I131</f>
        <v>7.4999999999999997E-2</v>
      </c>
      <c r="H377">
        <f>Dashboard_Live_Data!M131</f>
        <v>-1822.7678078152858</v>
      </c>
    </row>
    <row r="378" spans="1:8">
      <c r="A378">
        <f>Dashboard_Live_Data!I132</f>
        <v>8.3000000000000004E-2</v>
      </c>
      <c r="B378">
        <f>Dashboard_Live_Data!J132</f>
        <v>-3.1303072409855304E-2</v>
      </c>
      <c r="C378">
        <f>Dashboard_Live_Data!I132</f>
        <v>8.3000000000000004E-2</v>
      </c>
      <c r="D378">
        <f>Dashboard_Live_Data!K132</f>
        <v>-476.07728499047153</v>
      </c>
      <c r="E378">
        <f>Dashboard_Live_Data!I132</f>
        <v>8.3000000000000004E-2</v>
      </c>
      <c r="F378">
        <f>Dashboard_Live_Data!L132</f>
        <v>-1903.505948859045</v>
      </c>
      <c r="G378">
        <f>Dashboard_Live_Data!I132</f>
        <v>8.3000000000000004E-2</v>
      </c>
      <c r="H378">
        <f>Dashboard_Live_Data!M132</f>
        <v>-2305.8725854526674</v>
      </c>
    </row>
    <row r="379" spans="1:8">
      <c r="A379">
        <f>Dashboard_Live_Data!I133</f>
        <v>9.1999999999999998E-2</v>
      </c>
      <c r="B379">
        <f>Dashboard_Live_Data!J133</f>
        <v>-3.8793322623632776E-2</v>
      </c>
      <c r="C379">
        <f>Dashboard_Live_Data!I133</f>
        <v>9.1999999999999998E-2</v>
      </c>
      <c r="D379">
        <f>Dashboard_Live_Data!K133</f>
        <v>-622.7876519774909</v>
      </c>
      <c r="E379">
        <f>Dashboard_Live_Data!I133</f>
        <v>9.1999999999999998E-2</v>
      </c>
      <c r="F379">
        <f>Dashboard_Live_Data!L133</f>
        <v>-2448.1742219196822</v>
      </c>
      <c r="G379">
        <f>Dashboard_Live_Data!I133</f>
        <v>9.1999999999999998E-2</v>
      </c>
      <c r="H379">
        <f>Dashboard_Live_Data!M133</f>
        <v>-2916.9995331569153</v>
      </c>
    </row>
    <row r="380" spans="1:8">
      <c r="A380">
        <f>Dashboard_Live_Data!I134</f>
        <v>0.1</v>
      </c>
      <c r="B380">
        <f>Dashboard_Live_Data!J134</f>
        <v>-4.6217631182344121E-2</v>
      </c>
      <c r="C380">
        <f>Dashboard_Live_Data!I134</f>
        <v>0.1</v>
      </c>
      <c r="D380">
        <f>Dashboard_Live_Data!K134</f>
        <v>-773.94044615938219</v>
      </c>
      <c r="E380">
        <f>Dashboard_Live_Data!I134</f>
        <v>0.1</v>
      </c>
      <c r="F380">
        <f>Dashboard_Live_Data!L134</f>
        <v>-2990.7521080161423</v>
      </c>
      <c r="G380">
        <f>Dashboard_Live_Data!I134</f>
        <v>0.1</v>
      </c>
      <c r="H380">
        <f>Dashboard_Live_Data!M134</f>
        <v>-3518.8494159470793</v>
      </c>
    </row>
    <row r="381" spans="1:8">
      <c r="A381">
        <f>Dashboard_Live_Data!I135</f>
        <v>0.108</v>
      </c>
      <c r="B381">
        <f>Dashboard_Live_Data!J135</f>
        <v>-5.4393810229043993E-2</v>
      </c>
      <c r="C381">
        <f>Dashboard_Live_Data!I135</f>
        <v>0.108</v>
      </c>
      <c r="D381">
        <f>Dashboard_Live_Data!K135</f>
        <v>-945.08643135841885</v>
      </c>
      <c r="E381">
        <f>Dashboard_Live_Data!I135</f>
        <v>0.108</v>
      </c>
      <c r="F381">
        <f>Dashboard_Live_Data!L135</f>
        <v>-3587.0630675248613</v>
      </c>
      <c r="G381">
        <f>Dashboard_Live_Data!I135</f>
        <v>0.108</v>
      </c>
      <c r="H381">
        <f>Dashboard_Live_Data!M135</f>
        <v>-4174.4317239557495</v>
      </c>
    </row>
    <row r="382" spans="1:8">
      <c r="A382">
        <f>Dashboard_Live_Data!I136</f>
        <v>0.11700000000000001</v>
      </c>
      <c r="B382">
        <f>Dashboard_Live_Data!J136</f>
        <v>-6.4530590996128012E-2</v>
      </c>
      <c r="C382">
        <f>Dashboard_Live_Data!I136</f>
        <v>0.11700000000000001</v>
      </c>
      <c r="D382">
        <f>Dashboard_Live_Data!K136</f>
        <v>-1161.8662425758666</v>
      </c>
      <c r="E382">
        <f>Dashboard_Live_Data!I136</f>
        <v>0.11700000000000001</v>
      </c>
      <c r="F382">
        <f>Dashboard_Live_Data!L136</f>
        <v>-4320.5432959684549</v>
      </c>
      <c r="G382">
        <f>Dashboard_Live_Data!I136</f>
        <v>0.11700000000000001</v>
      </c>
      <c r="H382">
        <f>Dashboard_Live_Data!M136</f>
        <v>-4974.4518534386225</v>
      </c>
    </row>
    <row r="383" spans="1:8">
      <c r="A383">
        <f>Dashboard_Live_Data!I137</f>
        <v>0.125</v>
      </c>
      <c r="B383">
        <f>Dashboard_Live_Data!J137</f>
        <v>-7.4413578671737923E-2</v>
      </c>
      <c r="C383">
        <f>Dashboard_Live_Data!I137</f>
        <v>0.125</v>
      </c>
      <c r="D383">
        <f>Dashboard_Live_Data!K137</f>
        <v>-1376.2576530040769</v>
      </c>
      <c r="E383">
        <f>Dashboard_Live_Data!I137</f>
        <v>0.125</v>
      </c>
      <c r="F383">
        <f>Dashboard_Live_Data!L137</f>
        <v>-5026.7415034051373</v>
      </c>
      <c r="G383">
        <f>Dashboard_Live_Data!I137</f>
        <v>0.125</v>
      </c>
      <c r="H383">
        <f>Dashboard_Live_Data!M137</f>
        <v>-5739.5919717311044</v>
      </c>
    </row>
    <row r="384" spans="1:8">
      <c r="A384">
        <f>Dashboard_Live_Data!I138</f>
        <v>0.13300000000000001</v>
      </c>
      <c r="B384">
        <f>Dashboard_Live_Data!J138</f>
        <v>-8.5156359718553176E-2</v>
      </c>
      <c r="C384">
        <f>Dashboard_Live_Data!I138</f>
        <v>0.13300000000000001</v>
      </c>
      <c r="D384">
        <f>Dashboard_Live_Data!K138</f>
        <v>-1611.0978519744349</v>
      </c>
      <c r="E384">
        <f>Dashboard_Live_Data!I138</f>
        <v>0.13300000000000001</v>
      </c>
      <c r="F384">
        <f>Dashboard_Live_Data!L138</f>
        <v>-5782.5863929769912</v>
      </c>
      <c r="G384">
        <f>Dashboard_Live_Data!I138</f>
        <v>0.13300000000000001</v>
      </c>
      <c r="H384">
        <f>Dashboard_Live_Data!M138</f>
        <v>-6554.1364146582637</v>
      </c>
    </row>
    <row r="385" spans="1:8">
      <c r="A385">
        <f>Dashboard_Live_Data!I139</f>
        <v>0.14199999999999999</v>
      </c>
      <c r="B385">
        <f>Dashboard_Live_Data!J139</f>
        <v>-9.8319082050352336E-2</v>
      </c>
      <c r="C385">
        <f>Dashboard_Live_Data!I139</f>
        <v>0.14199999999999999</v>
      </c>
      <c r="D385">
        <f>Dashboard_Live_Data!K139</f>
        <v>-1899.6570192596264</v>
      </c>
      <c r="E385">
        <f>Dashboard_Live_Data!I139</f>
        <v>0.14199999999999999</v>
      </c>
      <c r="F385">
        <f>Dashboard_Live_Data!L139</f>
        <v>-6690.6108063344145</v>
      </c>
      <c r="G385">
        <f>Dashboard_Live_Data!I139</f>
        <v>0.14199999999999999</v>
      </c>
      <c r="H385">
        <f>Dashboard_Live_Data!M139</f>
        <v>-7527.8673822440323</v>
      </c>
    </row>
    <row r="386" spans="1:8">
      <c r="A386">
        <f>Dashboard_Live_Data!I140</f>
        <v>0.15</v>
      </c>
      <c r="B386">
        <f>Dashboard_Live_Data!J140</f>
        <v>-0.11102336728663431</v>
      </c>
      <c r="C386">
        <f>Dashboard_Live_Data!I140</f>
        <v>0.15</v>
      </c>
      <c r="D386">
        <f>Dashboard_Live_Data!K140</f>
        <v>-2177.6671843117401</v>
      </c>
      <c r="E386">
        <f>Dashboard_Live_Data!I140</f>
        <v>0.15</v>
      </c>
      <c r="F386">
        <f>Dashboard_Live_Data!L140</f>
        <v>-7547.5826717672899</v>
      </c>
      <c r="G386">
        <f>Dashboard_Live_Data!I140</f>
        <v>0.15</v>
      </c>
      <c r="H386">
        <f>Dashboard_Live_Data!M140</f>
        <v>-8442.9245038226436</v>
      </c>
    </row>
    <row r="387" spans="1:8">
      <c r="A387">
        <f>Dashboard_Live_Data!I141</f>
        <v>0.158</v>
      </c>
      <c r="B387">
        <f>Dashboard_Live_Data!J141</f>
        <v>-0.12471921807230046</v>
      </c>
      <c r="C387">
        <f>Dashboard_Live_Data!I141</f>
        <v>0.158</v>
      </c>
      <c r="D387">
        <f>Dashboard_Live_Data!K141</f>
        <v>-2475.736579407454</v>
      </c>
      <c r="E387">
        <f>Dashboard_Live_Data!I141</f>
        <v>0.158</v>
      </c>
      <c r="F387">
        <f>Dashboard_Live_Data!L141</f>
        <v>-8450.1146067239897</v>
      </c>
      <c r="G387">
        <f>Dashboard_Live_Data!I141</f>
        <v>0.158</v>
      </c>
      <c r="H387">
        <f>Dashboard_Live_Data!M141</f>
        <v>-9403.2197680937752</v>
      </c>
    </row>
    <row r="388" spans="1:8">
      <c r="A388">
        <f>Dashboard_Live_Data!I142</f>
        <v>0.16700000000000001</v>
      </c>
      <c r="B388">
        <f>Dashboard_Live_Data!J142</f>
        <v>-0.14137113236063215</v>
      </c>
      <c r="C388">
        <f>Dashboard_Live_Data!I142</f>
        <v>0.16700000000000001</v>
      </c>
      <c r="D388">
        <f>Dashboard_Live_Data!K142</f>
        <v>-2834.7671819467178</v>
      </c>
      <c r="E388">
        <f>Dashboard_Live_Data!I142</f>
        <v>0.16700000000000001</v>
      </c>
      <c r="F388">
        <f>Dashboard_Live_Data!L142</f>
        <v>-9518.3342443124784</v>
      </c>
      <c r="G388">
        <f>Dashboard_Live_Data!I142</f>
        <v>0.16700000000000001</v>
      </c>
      <c r="H388">
        <f>Dashboard_Live_Data!M142</f>
        <v>-10536.017531248719</v>
      </c>
    </row>
    <row r="389" spans="1:8">
      <c r="A389">
        <f>Dashboard_Live_Data!I143</f>
        <v>0.17499999999999999</v>
      </c>
      <c r="B389">
        <f>Dashboard_Live_Data!J143</f>
        <v>-0.15733377440119511</v>
      </c>
      <c r="C389">
        <f>Dashboard_Live_Data!I143</f>
        <v>0.17499999999999999</v>
      </c>
      <c r="D389">
        <f>Dashboard_Live_Data!K143</f>
        <v>-3174.6987799832932</v>
      </c>
      <c r="E389">
        <f>Dashboard_Live_Data!I143</f>
        <v>0.17499999999999999</v>
      </c>
      <c r="F389">
        <f>Dashboard_Live_Data!L143</f>
        <v>-10513.469745248251</v>
      </c>
      <c r="G389">
        <f>Dashboard_Live_Data!I143</f>
        <v>0.17499999999999999</v>
      </c>
      <c r="H389">
        <f>Dashboard_Live_Data!M143</f>
        <v>-11588.17818289464</v>
      </c>
    </row>
    <row r="390" spans="1:8">
      <c r="A390">
        <f>Dashboard_Live_Data!I144</f>
        <v>0.183</v>
      </c>
      <c r="B390">
        <f>Dashboard_Live_Data!J144</f>
        <v>-0.17444351947665382</v>
      </c>
      <c r="C390">
        <f>Dashboard_Live_Data!I144</f>
        <v>0.183</v>
      </c>
      <c r="D390">
        <f>Dashboard_Live_Data!K144</f>
        <v>-3533.9191182778195</v>
      </c>
      <c r="E390">
        <f>Dashboard_Live_Data!I144</f>
        <v>0.183</v>
      </c>
      <c r="F390">
        <f>Dashboard_Live_Data!L144</f>
        <v>-11550.242027722496</v>
      </c>
      <c r="G390">
        <f>Dashboard_Live_Data!I144</f>
        <v>0.183</v>
      </c>
      <c r="H390">
        <f>Dashboard_Live_Data!M144</f>
        <v>-12681.604714695779</v>
      </c>
    </row>
    <row r="391" spans="1:8">
      <c r="A391">
        <f>Dashboard_Live_Data!I145</f>
        <v>0.192</v>
      </c>
      <c r="B391">
        <f>Dashboard_Live_Data!J145</f>
        <v>-0.1951314257202057</v>
      </c>
      <c r="C391">
        <f>Dashboard_Live_Data!I145</f>
        <v>0.192</v>
      </c>
      <c r="D391">
        <f>Dashboard_Live_Data!K145</f>
        <v>-3960.7421763302191</v>
      </c>
      <c r="E391">
        <f>Dashboard_Live_Data!I145</f>
        <v>0.192</v>
      </c>
      <c r="F391">
        <f>Dashboard_Live_Data!L145</f>
        <v>-12764.866565310112</v>
      </c>
      <c r="G391">
        <f>Dashboard_Live_Data!I145</f>
        <v>0.192</v>
      </c>
      <c r="H391">
        <f>Dashboard_Live_Data!M145</f>
        <v>-13959.503640642601</v>
      </c>
    </row>
    <row r="392" spans="1:8">
      <c r="A392">
        <f>Dashboard_Live_Data!I146</f>
        <v>0.2</v>
      </c>
      <c r="B392">
        <f>Dashboard_Live_Data!J146</f>
        <v>-0.21486365220766857</v>
      </c>
      <c r="C392">
        <f>Dashboard_Live_Data!I146</f>
        <v>0.2</v>
      </c>
      <c r="D392">
        <f>Dashboard_Live_Data!K146</f>
        <v>-4359.9901999884787</v>
      </c>
      <c r="E392">
        <f>Dashboard_Live_Data!I146</f>
        <v>0.2</v>
      </c>
      <c r="F392">
        <f>Dashboard_Live_Data!L146</f>
        <v>-13886.103797269352</v>
      </c>
      <c r="G392">
        <f>Dashboard_Live_Data!I146</f>
        <v>0.2</v>
      </c>
      <c r="H392">
        <f>Dashboard_Live_Data!M146</f>
        <v>-15136.55814203358</v>
      </c>
    </row>
    <row r="393" spans="1:8">
      <c r="A393">
        <f>Dashboard_Live_Data!I147</f>
        <v>0.20799999999999999</v>
      </c>
      <c r="B393">
        <f>Dashboard_Live_Data!J147</f>
        <v>-0.23592219111435497</v>
      </c>
      <c r="C393">
        <f>Dashboard_Live_Data!I147</f>
        <v>0.20799999999999999</v>
      </c>
      <c r="D393">
        <f>Dashboard_Live_Data!K147</f>
        <v>-4777.603842826582</v>
      </c>
      <c r="E393">
        <f>Dashboard_Live_Data!I147</f>
        <v>0.20799999999999999</v>
      </c>
      <c r="F393">
        <f>Dashboard_Live_Data!L147</f>
        <v>-15045.242230124342</v>
      </c>
      <c r="G393">
        <f>Dashboard_Live_Data!I147</f>
        <v>0.20799999999999999</v>
      </c>
      <c r="H393">
        <f>Dashboard_Live_Data!M147</f>
        <v>-16351.096914099966</v>
      </c>
    </row>
    <row r="394" spans="1:8">
      <c r="A394">
        <f>Dashboard_Live_Data!I148</f>
        <v>0.217</v>
      </c>
      <c r="B394">
        <f>Dashboard_Live_Data!J148</f>
        <v>-0.26127610188143535</v>
      </c>
      <c r="C394">
        <f>Dashboard_Live_Data!I148</f>
        <v>0.217</v>
      </c>
      <c r="D394">
        <f>Dashboard_Live_Data!K148</f>
        <v>-5268.9875445368234</v>
      </c>
      <c r="E394">
        <f>Dashboard_Live_Data!I148</f>
        <v>0.217</v>
      </c>
      <c r="F394">
        <f>Dashboard_Live_Data!L148</f>
        <v>-16393.138607990768</v>
      </c>
      <c r="G394">
        <f>Dashboard_Live_Data!I148</f>
        <v>0.217</v>
      </c>
      <c r="H394">
        <f>Dashboard_Live_Data!M148</f>
        <v>-17760.80185039583</v>
      </c>
    </row>
    <row r="395" spans="1:8">
      <c r="A395">
        <f>Dashboard_Live_Data!I149</f>
        <v>0.22500000000000001</v>
      </c>
      <c r="B395">
        <f>Dashboard_Live_Data!J149</f>
        <v>-0.28536299915617747</v>
      </c>
      <c r="C395">
        <f>Dashboard_Live_Data!I149</f>
        <v>0.22500000000000001</v>
      </c>
      <c r="D395">
        <f>Dashboard_Live_Data!K149</f>
        <v>-5724.6003963936055</v>
      </c>
      <c r="E395">
        <f>Dashboard_Live_Data!I149</f>
        <v>0.22500000000000001</v>
      </c>
      <c r="F395">
        <f>Dashboard_Live_Data!L149</f>
        <v>-17629.003880901961</v>
      </c>
      <c r="G395">
        <f>Dashboard_Live_Data!I149</f>
        <v>0.22500000000000001</v>
      </c>
      <c r="H395">
        <f>Dashboard_Live_Data!M149</f>
        <v>-19051.132271648341</v>
      </c>
    </row>
    <row r="396" spans="1:8">
      <c r="A396">
        <f>Dashboard_Live_Data!I150</f>
        <v>0.23300000000000001</v>
      </c>
      <c r="B396">
        <f>Dashboard_Live_Data!J150</f>
        <v>-0.31097897475410718</v>
      </c>
      <c r="C396">
        <f>Dashboard_Live_Data!I150</f>
        <v>0.23300000000000001</v>
      </c>
      <c r="D396">
        <f>Dashboard_Live_Data!K150</f>
        <v>-6197.6076393513431</v>
      </c>
      <c r="E396">
        <f>Dashboard_Live_Data!I150</f>
        <v>0.23300000000000001</v>
      </c>
      <c r="F396">
        <f>Dashboard_Live_Data!L150</f>
        <v>-18899.222425472501</v>
      </c>
      <c r="G396">
        <f>Dashboard_Live_Data!I150</f>
        <v>0.23300000000000001</v>
      </c>
      <c r="H396">
        <f>Dashboard_Live_Data!M150</f>
        <v>-20375.352826851158</v>
      </c>
    </row>
    <row r="397" spans="1:8">
      <c r="A397">
        <f>Dashboard_Live_Data!I151</f>
        <v>0.24199999999999999</v>
      </c>
      <c r="B397">
        <f>Dashboard_Live_Data!J151</f>
        <v>-0.34171172867979749</v>
      </c>
      <c r="C397">
        <f>Dashboard_Live_Data!I151</f>
        <v>0.24199999999999999</v>
      </c>
      <c r="D397">
        <f>Dashboard_Live_Data!K151</f>
        <v>-6750.1435304916085</v>
      </c>
      <c r="E397">
        <f>Dashboard_Live_Data!I151</f>
        <v>0.24199999999999999</v>
      </c>
      <c r="F397">
        <f>Dashboard_Live_Data!L151</f>
        <v>-20367.917072372351</v>
      </c>
      <c r="G397">
        <f>Dashboard_Live_Data!I151</f>
        <v>0.24199999999999999</v>
      </c>
      <c r="H397">
        <f>Dashboard_Live_Data!M151</f>
        <v>-21904.22804430117</v>
      </c>
    </row>
    <row r="398" spans="1:8">
      <c r="A398">
        <f>Dashboard_Live_Data!I152</f>
        <v>0.25</v>
      </c>
      <c r="B398">
        <f>Dashboard_Live_Data!J152</f>
        <v>-0.37081187517208036</v>
      </c>
      <c r="C398">
        <f>Dashboard_Live_Data!I152</f>
        <v>0.25</v>
      </c>
      <c r="D398">
        <f>Dashboard_Live_Data!K152</f>
        <v>-7259.0775623812369</v>
      </c>
      <c r="E398">
        <f>Dashboard_Live_Data!I152</f>
        <v>0.25</v>
      </c>
      <c r="F398">
        <f>Dashboard_Live_Data!L152</f>
        <v>-21707.520208299306</v>
      </c>
      <c r="G398">
        <f>Dashboard_Live_Data!I152</f>
        <v>0.25</v>
      </c>
      <c r="H398">
        <f>Dashboard_Live_Data!M152</f>
        <v>-23296.801058357276</v>
      </c>
    </row>
    <row r="399" spans="1:8">
      <c r="A399">
        <f>Dashboard_Live_Data!I153</f>
        <v>0.25800000000000001</v>
      </c>
      <c r="B399">
        <f>Dashboard_Live_Data!J153</f>
        <v>-0.4016673031354685</v>
      </c>
      <c r="C399">
        <f>Dashboard_Live_Data!I153</f>
        <v>0.25800000000000001</v>
      </c>
      <c r="D399">
        <f>Dashboard_Live_Data!K153</f>
        <v>-7784.4332514201305</v>
      </c>
      <c r="E399">
        <f>Dashboard_Live_Data!I153</f>
        <v>0.25800000000000001</v>
      </c>
      <c r="F399">
        <f>Dashboard_Live_Data!L153</f>
        <v>-23078.113644632846</v>
      </c>
      <c r="G399">
        <f>Dashboard_Live_Data!I153</f>
        <v>0.25800000000000001</v>
      </c>
      <c r="H399">
        <f>Dashboard_Live_Data!M153</f>
        <v>-24719.85672730935</v>
      </c>
    </row>
    <row r="400" spans="1:8">
      <c r="A400">
        <f>Dashboard_Live_Data!I154</f>
        <v>0.26700000000000002</v>
      </c>
      <c r="B400">
        <f>Dashboard_Live_Data!J154</f>
        <v>-0.43857412502381976</v>
      </c>
      <c r="C400">
        <f>Dashboard_Live_Data!I154</f>
        <v>0.26700000000000002</v>
      </c>
      <c r="D400">
        <f>Dashboard_Live_Data!K154</f>
        <v>-8394.7042158108015</v>
      </c>
      <c r="E400">
        <f>Dashboard_Live_Data!I154</f>
        <v>0.26700000000000002</v>
      </c>
      <c r="F400">
        <f>Dashboard_Live_Data!L154</f>
        <v>-24655.783322873089</v>
      </c>
      <c r="G400">
        <f>Dashboard_Live_Data!I154</f>
        <v>0.26700000000000002</v>
      </c>
      <c r="H400">
        <f>Dashboard_Live_Data!M154</f>
        <v>-26355.922820228821</v>
      </c>
    </row>
    <row r="401" spans="1:8">
      <c r="A401">
        <f>Dashboard_Live_Data!I155</f>
        <v>0.27500000000000002</v>
      </c>
      <c r="B401">
        <f>Dashboard_Live_Data!J155</f>
        <v>-0.47341919121004139</v>
      </c>
      <c r="C401">
        <f>Dashboard_Live_Data!I155</f>
        <v>0.27500000000000002</v>
      </c>
      <c r="D401">
        <f>Dashboard_Live_Data!K155</f>
        <v>-8953.936813088847</v>
      </c>
      <c r="E401">
        <f>Dashboard_Live_Data!I155</f>
        <v>0.27500000000000002</v>
      </c>
      <c r="F401">
        <f>Dashboard_Live_Data!L155</f>
        <v>-26088.80968164916</v>
      </c>
      <c r="G401">
        <f>Dashboard_Live_Data!I155</f>
        <v>0.27500000000000002</v>
      </c>
      <c r="H401">
        <f>Dashboard_Live_Data!M155</f>
        <v>-27840.28839250606</v>
      </c>
    </row>
    <row r="402" spans="1:8">
      <c r="A402">
        <f>Dashboard_Live_Data!I156</f>
        <v>0.28299999999999997</v>
      </c>
      <c r="B402">
        <f>Dashboard_Live_Data!J156</f>
        <v>-0.51026903842853244</v>
      </c>
      <c r="C402">
        <f>Dashboard_Live_Data!I156</f>
        <v>0.28299999999999997</v>
      </c>
      <c r="D402">
        <f>Dashboard_Live_Data!K156</f>
        <v>-9528.6373739095579</v>
      </c>
      <c r="E402">
        <f>Dashboard_Live_Data!I156</f>
        <v>0.28299999999999997</v>
      </c>
      <c r="F402">
        <f>Dashboard_Live_Data!L156</f>
        <v>-27549.646131814996</v>
      </c>
      <c r="G402">
        <f>Dashboard_Live_Data!I156</f>
        <v>0.28299999999999997</v>
      </c>
      <c r="H402">
        <f>Dashboard_Live_Data!M156</f>
        <v>-29351.915801664421</v>
      </c>
    </row>
    <row r="403" spans="1:8">
      <c r="A403">
        <f>Dashboard_Live_Data!I157</f>
        <v>0.29199999999999998</v>
      </c>
      <c r="B403">
        <f>Dashboard_Live_Data!J157</f>
        <v>-0.55422705180376397</v>
      </c>
      <c r="C403">
        <f>Dashboard_Live_Data!I157</f>
        <v>0.29199999999999998</v>
      </c>
      <c r="D403">
        <f>Dashboard_Live_Data!K157</f>
        <v>-10193.291736298088</v>
      </c>
      <c r="E403">
        <f>Dashboard_Live_Data!I157</f>
        <v>0.29199999999999998</v>
      </c>
      <c r="F403">
        <f>Dashboard_Live_Data!L157</f>
        <v>-29225.110156036026</v>
      </c>
      <c r="G403">
        <f>Dashboard_Live_Data!I157</f>
        <v>0.29199999999999998</v>
      </c>
      <c r="H403">
        <f>Dashboard_Live_Data!M157</f>
        <v>-31083.84952937637</v>
      </c>
    </row>
    <row r="404" spans="1:8">
      <c r="A404">
        <f>Dashboard_Live_Data!I158</f>
        <v>0.3</v>
      </c>
      <c r="B404">
        <f>Dashboard_Live_Data!J158</f>
        <v>-0.59562134887653428</v>
      </c>
      <c r="C404">
        <f>Dashboard_Live_Data!I158</f>
        <v>0.3</v>
      </c>
      <c r="D404">
        <f>Dashboard_Live_Data!K158</f>
        <v>-10799.871032643307</v>
      </c>
      <c r="E404">
        <f>Dashboard_Live_Data!I158</f>
        <v>0.3</v>
      </c>
      <c r="F404">
        <f>Dashboard_Live_Data!L158</f>
        <v>-30741.814145394601</v>
      </c>
      <c r="G404">
        <f>Dashboard_Live_Data!I158</f>
        <v>0.3</v>
      </c>
      <c r="H404">
        <f>Dashboard_Live_Data!M158</f>
        <v>-32650.140682705838</v>
      </c>
    </row>
    <row r="405" spans="1:8">
      <c r="A405">
        <f>Dashboard_Live_Data!I159</f>
        <v>0.308</v>
      </c>
      <c r="B405">
        <f>Dashboard_Live_Data!J159</f>
        <v>-0.63929306925479068</v>
      </c>
      <c r="C405">
        <f>Dashboard_Live_Data!I159</f>
        <v>0.308</v>
      </c>
      <c r="D405">
        <f>Dashboard_Live_Data!K159</f>
        <v>-11420.992588521869</v>
      </c>
      <c r="E405">
        <f>Dashboard_Live_Data!I159</f>
        <v>0.308</v>
      </c>
      <c r="F405">
        <f>Dashboard_Live_Data!L159</f>
        <v>-32283.3287901734</v>
      </c>
      <c r="G405">
        <f>Dashboard_Live_Data!I159</f>
        <v>0.308</v>
      </c>
      <c r="H405">
        <f>Dashboard_Live_Data!M159</f>
        <v>-34240.659083493854</v>
      </c>
    </row>
    <row r="406" spans="1:8">
      <c r="A406">
        <f>Dashboard_Live_Data!I160</f>
        <v>0.317</v>
      </c>
      <c r="B406">
        <f>Dashboard_Live_Data!J160</f>
        <v>-0.69126076184193153</v>
      </c>
      <c r="C406">
        <f>Dashboard_Live_Data!I160</f>
        <v>0.317</v>
      </c>
      <c r="D406">
        <f>Dashboard_Live_Data!K160</f>
        <v>-12136.776407525518</v>
      </c>
      <c r="E406">
        <f>Dashboard_Live_Data!I160</f>
        <v>0.317</v>
      </c>
      <c r="F406">
        <f>Dashboard_Live_Data!L160</f>
        <v>-34046.041947946462</v>
      </c>
      <c r="G406">
        <f>Dashboard_Live_Data!I160</f>
        <v>0.317</v>
      </c>
      <c r="H406">
        <f>Dashboard_Live_Data!M160</f>
        <v>-36057.791762901921</v>
      </c>
    </row>
    <row r="407" spans="1:8">
      <c r="A407">
        <f>Dashboard_Live_Data!I161</f>
        <v>0.32500000000000001</v>
      </c>
      <c r="B407">
        <f>Dashboard_Live_Data!J161</f>
        <v>-0.74008074998198481</v>
      </c>
      <c r="C407">
        <f>Dashboard_Live_Data!I161</f>
        <v>0.32500000000000001</v>
      </c>
      <c r="D407">
        <f>Dashboard_Live_Data!K161</f>
        <v>-12787.842801368242</v>
      </c>
      <c r="E407">
        <f>Dashboard_Live_Data!I161</f>
        <v>0.32500000000000001</v>
      </c>
      <c r="F407">
        <f>Dashboard_Live_Data!L161</f>
        <v>-35637.240500205327</v>
      </c>
      <c r="G407">
        <f>Dashboard_Live_Data!I161</f>
        <v>0.32500000000000001</v>
      </c>
      <c r="H407">
        <f>Dashboard_Live_Data!M161</f>
        <v>-37696.722160192003</v>
      </c>
    </row>
    <row r="408" spans="1:8">
      <c r="A408">
        <f>Dashboard_Live_Data!I162</f>
        <v>0.33300000000000002</v>
      </c>
      <c r="B408">
        <f>Dashboard_Live_Data!J162</f>
        <v>-0.79147378083268904</v>
      </c>
      <c r="C408">
        <f>Dashboard_Live_Data!I162</f>
        <v>0.33300000000000002</v>
      </c>
      <c r="D408">
        <f>Dashboard_Live_Data!K162</f>
        <v>-13452.557524737189</v>
      </c>
      <c r="E408">
        <f>Dashboard_Live_Data!I162</f>
        <v>0.33300000000000002</v>
      </c>
      <c r="F408">
        <f>Dashboard_Live_Data!L162</f>
        <v>-37250.428651962648</v>
      </c>
      <c r="G408">
        <f>Dashboard_Live_Data!I162</f>
        <v>0.33300000000000002</v>
      </c>
      <c r="H408">
        <f>Dashboard_Live_Data!M162</f>
        <v>-39357.029917001244</v>
      </c>
    </row>
    <row r="409" spans="1:8">
      <c r="A409">
        <f>Dashboard_Live_Data!I163</f>
        <v>0.34200000000000003</v>
      </c>
      <c r="B409">
        <f>Dashboard_Live_Data!J163</f>
        <v>-0.8524904108952569</v>
      </c>
      <c r="C409">
        <f>Dashboard_Live_Data!I163</f>
        <v>0.34200000000000003</v>
      </c>
      <c r="D409">
        <f>Dashboard_Live_Data!K163</f>
        <v>-14216.328265502132</v>
      </c>
      <c r="E409">
        <f>Dashboard_Live_Data!I163</f>
        <v>0.34200000000000003</v>
      </c>
      <c r="F409">
        <f>Dashboard_Live_Data!L163</f>
        <v>-39090.472738230732</v>
      </c>
      <c r="G409">
        <f>Dashboard_Live_Data!I163</f>
        <v>0.34200000000000003</v>
      </c>
      <c r="H409">
        <f>Dashboard_Live_Data!M163</f>
        <v>-41249.342022156037</v>
      </c>
    </row>
    <row r="410" spans="1:8">
      <c r="A410">
        <f>Dashboard_Live_Data!I164</f>
        <v>0.35</v>
      </c>
      <c r="B410">
        <f>Dashboard_Live_Data!J164</f>
        <v>-0.90968416440080091</v>
      </c>
      <c r="C410">
        <f>Dashboard_Live_Data!I164</f>
        <v>0.35</v>
      </c>
      <c r="D410">
        <f>Dashboard_Live_Data!K164</f>
        <v>-14909.123361914171</v>
      </c>
      <c r="E410">
        <f>Dashboard_Live_Data!I164</f>
        <v>0.35</v>
      </c>
      <c r="F410">
        <f>Dashboard_Live_Data!L164</f>
        <v>-40747.537049505336</v>
      </c>
      <c r="G410">
        <f>Dashboard_Live_Data!I164</f>
        <v>0.35</v>
      </c>
      <c r="H410">
        <f>Dashboard_Live_Data!M164</f>
        <v>-42952.199792501269</v>
      </c>
    </row>
    <row r="411" spans="1:8">
      <c r="A411">
        <f>Dashboard_Live_Data!I165</f>
        <v>0.35799999999999998</v>
      </c>
      <c r="B411">
        <f>Dashboard_Live_Data!J165</f>
        <v>-0.96976937592569357</v>
      </c>
      <c r="C411">
        <f>Dashboard_Live_Data!I165</f>
        <v>0.35799999999999998</v>
      </c>
      <c r="D411">
        <f>Dashboard_Live_Data!K165</f>
        <v>-15614.706103309647</v>
      </c>
      <c r="E411">
        <f>Dashboard_Live_Data!I165</f>
        <v>0.35799999999999998</v>
      </c>
      <c r="F411">
        <f>Dashboard_Live_Data!L165</f>
        <v>-42423.945096951444</v>
      </c>
      <c r="G411">
        <f>Dashboard_Live_Data!I165</f>
        <v>0.35799999999999998</v>
      </c>
      <c r="H411">
        <f>Dashboard_Live_Data!M165</f>
        <v>-44673.766867657643</v>
      </c>
    </row>
    <row r="412" spans="1:8">
      <c r="A412">
        <f>Dashboard_Live_Data!I166</f>
        <v>0.36699999999999999</v>
      </c>
      <c r="B412">
        <f>Dashboard_Live_Data!J166</f>
        <v>-1.0409543459660426</v>
      </c>
      <c r="C412">
        <f>Dashboard_Live_Data!I166</f>
        <v>0.36699999999999999</v>
      </c>
      <c r="D412">
        <f>Dashboard_Live_Data!K166</f>
        <v>-16423.437974027576</v>
      </c>
      <c r="E412">
        <f>Dashboard_Live_Data!I166</f>
        <v>0.36699999999999999</v>
      </c>
      <c r="F412">
        <f>Dashboard_Live_Data!L166</f>
        <v>-44332.017687418353</v>
      </c>
      <c r="G412">
        <f>Dashboard_Live_Data!I166</f>
        <v>0.36699999999999999</v>
      </c>
      <c r="H412">
        <f>Dashboard_Live_Data!M166</f>
        <v>-46631.877946633977</v>
      </c>
    </row>
    <row r="413" spans="1:8">
      <c r="A413">
        <f>Dashboard_Live_Data!I167</f>
        <v>0.375</v>
      </c>
      <c r="B413">
        <f>Dashboard_Live_Data!J167</f>
        <v>-1.1075409744717035</v>
      </c>
      <c r="C413">
        <f>Dashboard_Live_Data!I167</f>
        <v>0.375</v>
      </c>
      <c r="D413">
        <f>Dashboard_Live_Data!K167</f>
        <v>-17155.307880334622</v>
      </c>
      <c r="E413">
        <f>Dashboard_Live_Data!I167</f>
        <v>0.375</v>
      </c>
      <c r="F413">
        <f>Dashboard_Live_Data!L167</f>
        <v>-46046.862259196627</v>
      </c>
      <c r="G413">
        <f>Dashboard_Live_Data!I167</f>
        <v>0.375</v>
      </c>
      <c r="H413">
        <f>Dashboard_Live_Data!M167</f>
        <v>-48390.515274855643</v>
      </c>
    </row>
    <row r="414" spans="1:8">
      <c r="A414">
        <f>Dashboard_Live_Data!I168</f>
        <v>0.38300000000000001</v>
      </c>
      <c r="B414">
        <f>Dashboard_Live_Data!J168</f>
        <v>-1.1773600760669751</v>
      </c>
      <c r="C414">
        <f>Dashboard_Live_Data!I168</f>
        <v>0.38300000000000001</v>
      </c>
      <c r="D414">
        <f>Dashboard_Live_Data!K168</f>
        <v>-17899.138415944799</v>
      </c>
      <c r="E414">
        <f>Dashboard_Live_Data!I168</f>
        <v>0.38300000000000001</v>
      </c>
      <c r="F414">
        <f>Dashboard_Live_Data!L168</f>
        <v>-47778.575755723403</v>
      </c>
      <c r="G414">
        <f>Dashboard_Live_Data!I168</f>
        <v>0.38300000000000001</v>
      </c>
      <c r="H414">
        <f>Dashboard_Live_Data!M168</f>
        <v>-50165.371473340492</v>
      </c>
    </row>
    <row r="415" spans="1:8">
      <c r="A415">
        <f>Dashboard_Live_Data!I169</f>
        <v>0.39200000000000002</v>
      </c>
      <c r="B415">
        <f>Dashboard_Live_Data!J169</f>
        <v>-1.2599122492363222</v>
      </c>
      <c r="C415">
        <f>Dashboard_Live_Data!I169</f>
        <v>0.39200000000000002</v>
      </c>
      <c r="D415">
        <f>Dashboard_Live_Data!K169</f>
        <v>-18749.923928481869</v>
      </c>
      <c r="E415">
        <f>Dashboard_Live_Data!I169</f>
        <v>0.39200000000000002</v>
      </c>
      <c r="F415">
        <f>Dashboard_Live_Data!L169</f>
        <v>-49745.975650615073</v>
      </c>
      <c r="G415">
        <f>Dashboard_Live_Data!I169</f>
        <v>0.39200000000000002</v>
      </c>
      <c r="H415">
        <f>Dashboard_Live_Data!M169</f>
        <v>-52180.525354744314</v>
      </c>
    </row>
    <row r="416" spans="1:8">
      <c r="A416">
        <f>Dashboard_Live_Data!I170</f>
        <v>0.4</v>
      </c>
      <c r="B416">
        <f>Dashboard_Live_Data!J170</f>
        <v>-1.3369812749583616</v>
      </c>
      <c r="C416">
        <f>Dashboard_Live_Data!I170</f>
        <v>0.4</v>
      </c>
      <c r="D416">
        <f>Dashboard_Live_Data!K170</f>
        <v>-19518.319974547761</v>
      </c>
      <c r="E416">
        <f>Dashboard_Live_Data!I170</f>
        <v>0.4</v>
      </c>
      <c r="F416">
        <f>Dashboard_Live_Data!L170</f>
        <v>-51511.044325088587</v>
      </c>
      <c r="G416">
        <f>Dashboard_Live_Data!I170</f>
        <v>0.4</v>
      </c>
      <c r="H416">
        <f>Dashboard_Live_Data!M170</f>
        <v>-53987.343983635947</v>
      </c>
    </row>
    <row r="417" spans="1:8">
      <c r="A417">
        <f>Dashboard_Live_Data!I171</f>
        <v>0.40799999999999997</v>
      </c>
      <c r="B417">
        <f>Dashboard_Live_Data!J171</f>
        <v>-1.4176461878619193</v>
      </c>
      <c r="C417">
        <f>Dashboard_Live_Data!I171</f>
        <v>0.40799999999999997</v>
      </c>
      <c r="D417">
        <f>Dashboard_Live_Data!K171</f>
        <v>-20297.883237372909</v>
      </c>
      <c r="E417">
        <f>Dashboard_Live_Data!I171</f>
        <v>0.40799999999999997</v>
      </c>
      <c r="F417">
        <f>Dashboard_Live_Data!L171</f>
        <v>-53290.673072524412</v>
      </c>
      <c r="G417">
        <f>Dashboard_Live_Data!I171</f>
        <v>0.40799999999999997</v>
      </c>
      <c r="H417">
        <f>Dashboard_Live_Data!M171</f>
        <v>-55808.063239413677</v>
      </c>
    </row>
    <row r="418" spans="1:8">
      <c r="A418">
        <f>Dashboard_Live_Data!I172</f>
        <v>0.41699999999999998</v>
      </c>
      <c r="B418">
        <f>Dashboard_Live_Data!J172</f>
        <v>-1.512843152252799</v>
      </c>
      <c r="C418">
        <f>Dashboard_Live_Data!I172</f>
        <v>0.41699999999999998</v>
      </c>
      <c r="D418">
        <f>Dashboard_Live_Data!K172</f>
        <v>-21187.933007764419</v>
      </c>
      <c r="E418">
        <f>Dashboard_Live_Data!I172</f>
        <v>0.41699999999999998</v>
      </c>
      <c r="F418">
        <f>Dashboard_Live_Data!L172</f>
        <v>-55309.282407726903</v>
      </c>
      <c r="G418">
        <f>Dashboard_Live_Data!I172</f>
        <v>0.41699999999999998</v>
      </c>
      <c r="H418">
        <f>Dashboard_Live_Data!M172</f>
        <v>-57872.108972825328</v>
      </c>
    </row>
    <row r="419" spans="1:8">
      <c r="A419">
        <f>Dashboard_Live_Data!I173</f>
        <v>0.42499999999999999</v>
      </c>
      <c r="B419">
        <f>Dashboard_Live_Data!J173</f>
        <v>-1.601553853415453</v>
      </c>
      <c r="C419">
        <f>Dashboard_Live_Data!I173</f>
        <v>0.42499999999999999</v>
      </c>
      <c r="D419">
        <f>Dashboard_Live_Data!K173</f>
        <v>-21990.411244520401</v>
      </c>
      <c r="E419">
        <f>Dashboard_Live_Data!I173</f>
        <v>0.42499999999999999</v>
      </c>
      <c r="F419">
        <f>Dashboard_Live_Data!L173</f>
        <v>-57117.531516682895</v>
      </c>
      <c r="G419">
        <f>Dashboard_Live_Data!I173</f>
        <v>0.42499999999999999</v>
      </c>
      <c r="H419">
        <f>Dashboard_Live_Data!M173</f>
        <v>-59720.042102486739</v>
      </c>
    </row>
    <row r="420" spans="1:8">
      <c r="A420">
        <f>Dashboard_Live_Data!I174</f>
        <v>0.433</v>
      </c>
      <c r="B420">
        <f>Dashboard_Live_Data!J174</f>
        <v>-1.6942460296072568</v>
      </c>
      <c r="C420">
        <f>Dashboard_Live_Data!I174</f>
        <v>0.433</v>
      </c>
      <c r="D420">
        <f>Dashboard_Live_Data!K174</f>
        <v>-22803.296578072215</v>
      </c>
      <c r="E420">
        <f>Dashboard_Live_Data!I174</f>
        <v>0.433</v>
      </c>
      <c r="F420">
        <f>Dashboard_Live_Data!L174</f>
        <v>-58938.191859995903</v>
      </c>
      <c r="G420">
        <f>Dashboard_Live_Data!I174</f>
        <v>0.433</v>
      </c>
      <c r="H420">
        <f>Dashboard_Live_Data!M174</f>
        <v>-61579.723356260423</v>
      </c>
    </row>
    <row r="421" spans="1:8">
      <c r="A421">
        <f>Dashboard_Live_Data!I175</f>
        <v>0.442</v>
      </c>
      <c r="B421">
        <f>Dashboard_Live_Data!J175</f>
        <v>-1.8034433360094226</v>
      </c>
      <c r="C421">
        <f>Dashboard_Live_Data!I175</f>
        <v>0.442</v>
      </c>
      <c r="D421">
        <f>Dashboard_Live_Data!K175</f>
        <v>-23729.938248077415</v>
      </c>
      <c r="E421">
        <f>Dashboard_Live_Data!I175</f>
        <v>0.442</v>
      </c>
      <c r="F421">
        <f>Dashboard_Live_Data!L175</f>
        <v>-61000.455221790791</v>
      </c>
      <c r="G421">
        <f>Dashboard_Live_Data!I175</f>
        <v>0.442</v>
      </c>
      <c r="H421">
        <f>Dashboard_Live_Data!M175</f>
        <v>-63685.092564364168</v>
      </c>
    </row>
    <row r="422" spans="1:8">
      <c r="A422">
        <f>Dashboard_Live_Data!I176</f>
        <v>0.45</v>
      </c>
      <c r="B422">
        <f>Dashboard_Live_Data!J176</f>
        <v>-1.9050240415085682</v>
      </c>
      <c r="C422">
        <f>Dashboard_Live_Data!I176</f>
        <v>0.45</v>
      </c>
      <c r="D422">
        <f>Dashboard_Live_Data!K176</f>
        <v>-24564.15831269131</v>
      </c>
      <c r="E422">
        <f>Dashboard_Live_Data!I176</f>
        <v>0.45</v>
      </c>
      <c r="F422">
        <f>Dashboard_Live_Data!L176</f>
        <v>-62845.334215087452</v>
      </c>
      <c r="G422">
        <f>Dashboard_Live_Data!I176</f>
        <v>0.45</v>
      </c>
      <c r="H422">
        <f>Dashboard_Live_Data!M176</f>
        <v>-65567.58378946672</v>
      </c>
    </row>
    <row r="423" spans="1:8">
      <c r="A423">
        <f>Dashboard_Live_Data!I177</f>
        <v>0.45800000000000002</v>
      </c>
      <c r="B423">
        <f>Dashboard_Live_Data!J177</f>
        <v>-2.0109937508048006</v>
      </c>
      <c r="C423">
        <f>Dashboard_Live_Data!I177</f>
        <v>0.45800000000000002</v>
      </c>
      <c r="D423">
        <f>Dashboard_Live_Data!K177</f>
        <v>-25408.058195726262</v>
      </c>
      <c r="E423">
        <f>Dashboard_Live_Data!I177</f>
        <v>0.45800000000000002</v>
      </c>
      <c r="F423">
        <f>Dashboard_Live_Data!L177</f>
        <v>-64700.628963954092</v>
      </c>
      <c r="G423">
        <f>Dashboard_Live_Data!I177</f>
        <v>0.45800000000000002</v>
      </c>
      <c r="H423">
        <f>Dashboard_Live_Data!M177</f>
        <v>-67459.829123438802</v>
      </c>
    </row>
    <row r="424" spans="1:8">
      <c r="A424">
        <f>Dashboard_Live_Data!I178</f>
        <v>0.46700000000000003</v>
      </c>
      <c r="B424">
        <f>Dashboard_Live_Data!J178</f>
        <v>-2.13562408544135</v>
      </c>
      <c r="C424">
        <f>Dashboard_Live_Data!I178</f>
        <v>0.46700000000000003</v>
      </c>
      <c r="D424">
        <f>Dashboard_Live_Data!K178</f>
        <v>-26368.734852925336</v>
      </c>
      <c r="E424">
        <f>Dashboard_Live_Data!I178</f>
        <v>0.46700000000000003</v>
      </c>
      <c r="F424">
        <f>Dashboard_Live_Data!L178</f>
        <v>-66799.530021092098</v>
      </c>
      <c r="G424">
        <f>Dashboard_Live_Data!I178</f>
        <v>0.46700000000000003</v>
      </c>
      <c r="H424">
        <f>Dashboard_Live_Data!M178</f>
        <v>-69599.510532789413</v>
      </c>
    </row>
    <row r="425" spans="1:8">
      <c r="A425">
        <f>Dashboard_Live_Data!I179</f>
        <v>0.47499999999999998</v>
      </c>
      <c r="B425">
        <f>Dashboard_Live_Data!J179</f>
        <v>-2.2513714361657549</v>
      </c>
      <c r="C425">
        <f>Dashboard_Live_Data!I179</f>
        <v>0.47499999999999998</v>
      </c>
      <c r="D425">
        <f>Dashboard_Live_Data!K179</f>
        <v>-27232.458450313294</v>
      </c>
      <c r="E425">
        <f>Dashboard_Live_Data!I179</f>
        <v>0.47499999999999998</v>
      </c>
      <c r="F425">
        <f>Dashboard_Live_Data!L179</f>
        <v>-68674.960061513659</v>
      </c>
      <c r="G425">
        <f>Dashboard_Live_Data!I179</f>
        <v>0.47499999999999998</v>
      </c>
      <c r="H425">
        <f>Dashboard_Live_Data!M179</f>
        <v>-71510.490507051625</v>
      </c>
    </row>
    <row r="426" spans="1:8">
      <c r="A426">
        <f>Dashboard_Live_Data!I180</f>
        <v>0.48299999999999998</v>
      </c>
      <c r="B426">
        <f>Dashboard_Live_Data!J180</f>
        <v>-2.3719370163648819</v>
      </c>
      <c r="C426">
        <f>Dashboard_Live_Data!I180</f>
        <v>0.48299999999999998</v>
      </c>
      <c r="D426">
        <f>Dashboard_Live_Data!K180</f>
        <v>-28105.166881475925</v>
      </c>
      <c r="E426">
        <f>Dashboard_Live_Data!I180</f>
        <v>0.48299999999999998</v>
      </c>
      <c r="F426">
        <f>Dashboard_Live_Data!L180</f>
        <v>-70558.956545294859</v>
      </c>
      <c r="G426">
        <f>Dashboard_Live_Data!I180</f>
        <v>0.48299999999999998</v>
      </c>
      <c r="H426">
        <f>Dashboard_Live_Data!M180</f>
        <v>-73429.381226253347</v>
      </c>
    </row>
    <row r="427" spans="1:8">
      <c r="A427">
        <f>Dashboard_Live_Data!I181</f>
        <v>0.49199999999999999</v>
      </c>
      <c r="B427">
        <f>Dashboard_Live_Data!J181</f>
        <v>-2.5135093403541759</v>
      </c>
      <c r="C427">
        <f>Dashboard_Live_Data!I181</f>
        <v>0.49199999999999999</v>
      </c>
      <c r="D427">
        <f>Dashboard_Live_Data!K181</f>
        <v>-29097.435135520704</v>
      </c>
      <c r="E427">
        <f>Dashboard_Live_Data!I181</f>
        <v>0.49199999999999999</v>
      </c>
      <c r="F427">
        <f>Dashboard_Live_Data!L181</f>
        <v>-72687.992783106223</v>
      </c>
      <c r="G427">
        <f>Dashboard_Live_Data!I181</f>
        <v>0.49199999999999999</v>
      </c>
      <c r="H427">
        <f>Dashboard_Live_Data!M181</f>
        <v>-75596.893145963986</v>
      </c>
    </row>
    <row r="428" spans="1:8">
      <c r="A428">
        <f>Dashboard_Live_Data!I182</f>
        <v>0.5</v>
      </c>
      <c r="B428">
        <f>Dashboard_Live_Data!J182</f>
        <v>-2.6447875068229223</v>
      </c>
      <c r="C428">
        <f>Dashboard_Live_Data!I182</f>
        <v>0.5</v>
      </c>
      <c r="D428">
        <f>Dashboard_Live_Data!K182</f>
        <v>-29988.524239953986</v>
      </c>
      <c r="E428">
        <f>Dashboard_Live_Data!I182</f>
        <v>0.5</v>
      </c>
      <c r="F428">
        <f>Dashboard_Live_Data!L182</f>
        <v>-74588.343833805033</v>
      </c>
      <c r="G428">
        <f>Dashboard_Live_Data!I182</f>
        <v>0.5</v>
      </c>
      <c r="H428">
        <f>Dashboard_Live_Data!M182</f>
        <v>-77530.754646811518</v>
      </c>
    </row>
    <row r="429" spans="1:8">
      <c r="A429">
        <f>Dashboard_Live_Data!I183</f>
        <v>0.50800000000000001</v>
      </c>
      <c r="B429">
        <f>Dashboard_Live_Data!J183</f>
        <v>-2.7813345652473345</v>
      </c>
      <c r="C429">
        <f>Dashboard_Live_Data!I183</f>
        <v>0.50800000000000001</v>
      </c>
      <c r="D429">
        <f>Dashboard_Live_Data!K183</f>
        <v>-30887.934860679583</v>
      </c>
      <c r="E429">
        <f>Dashboard_Live_Data!I183</f>
        <v>0.50800000000000001</v>
      </c>
      <c r="F429">
        <f>Dashboard_Live_Data!L183</f>
        <v>-76495.550616892637</v>
      </c>
      <c r="G429">
        <f>Dashboard_Live_Data!I183</f>
        <v>0.50800000000000001</v>
      </c>
      <c r="H429">
        <f>Dashboard_Live_Data!M183</f>
        <v>-79470.825965851109</v>
      </c>
    </row>
    <row r="430" spans="1:8">
      <c r="A430">
        <f>Dashboard_Live_Data!I184</f>
        <v>0.51700000000000002</v>
      </c>
      <c r="B430">
        <f>Dashboard_Live_Data!J184</f>
        <v>-2.9414332074700269</v>
      </c>
      <c r="C430">
        <f>Dashboard_Live_Data!I184</f>
        <v>0.51700000000000002</v>
      </c>
      <c r="D430">
        <f>Dashboard_Live_Data!K184</f>
        <v>-31909.462641600694</v>
      </c>
      <c r="E430">
        <f>Dashboard_Live_Data!I184</f>
        <v>0.51700000000000002</v>
      </c>
      <c r="F430">
        <f>Dashboard_Live_Data!L184</f>
        <v>-78648.706761738111</v>
      </c>
      <c r="G430">
        <f>Dashboard_Live_Data!I184</f>
        <v>0.51700000000000002</v>
      </c>
      <c r="H430">
        <f>Dashboard_Live_Data!M184</f>
        <v>-81660.187434621097</v>
      </c>
    </row>
    <row r="431" spans="1:8">
      <c r="A431">
        <f>Dashboard_Live_Data!I185</f>
        <v>0.52500000000000002</v>
      </c>
      <c r="B431">
        <f>Dashboard_Live_Data!J185</f>
        <v>-3.0896730716708589</v>
      </c>
      <c r="C431">
        <f>Dashboard_Live_Data!I185</f>
        <v>0.52500000000000002</v>
      </c>
      <c r="D431">
        <f>Dashboard_Live_Data!K185</f>
        <v>-32825.877462688077</v>
      </c>
      <c r="E431">
        <f>Dashboard_Live_Data!I185</f>
        <v>0.52500000000000002</v>
      </c>
      <c r="F431">
        <f>Dashboard_Live_Data!L185</f>
        <v>-80568.773681183695</v>
      </c>
      <c r="G431">
        <f>Dashboard_Live_Data!I185</f>
        <v>0.52500000000000002</v>
      </c>
      <c r="H431">
        <f>Dashboard_Live_Data!M185</f>
        <v>-83611.759447186691</v>
      </c>
    </row>
    <row r="432" spans="1:8">
      <c r="A432">
        <f>Dashboard_Live_Data!I186</f>
        <v>0.53300000000000003</v>
      </c>
      <c r="B432">
        <f>Dashboard_Live_Data!J186</f>
        <v>-3.2436536593402252</v>
      </c>
      <c r="C432">
        <f>Dashboard_Live_Data!I186</f>
        <v>0.53300000000000003</v>
      </c>
      <c r="D432">
        <f>Dashboard_Live_Data!K186</f>
        <v>-33749.981453086351</v>
      </c>
      <c r="E432">
        <f>Dashboard_Live_Data!I186</f>
        <v>0.53300000000000003</v>
      </c>
      <c r="F432">
        <f>Dashboard_Live_Data!L186</f>
        <v>-82494.11644292518</v>
      </c>
      <c r="G432">
        <f>Dashboard_Live_Data!I186</f>
        <v>0.53300000000000003</v>
      </c>
      <c r="H432">
        <f>Dashboard_Live_Data!M186</f>
        <v>-85567.974379462074</v>
      </c>
    </row>
    <row r="433" spans="1:8">
      <c r="A433">
        <f>Dashboard_Live_Data!I187</f>
        <v>0.54200000000000004</v>
      </c>
      <c r="B433">
        <f>Dashboard_Live_Data!J187</f>
        <v>-3.4239373717214221</v>
      </c>
      <c r="C433">
        <f>Dashboard_Live_Data!I187</f>
        <v>0.54200000000000004</v>
      </c>
      <c r="D433">
        <f>Dashboard_Live_Data!K187</f>
        <v>-34798.545562910251</v>
      </c>
      <c r="E433">
        <f>Dashboard_Live_Data!I187</f>
        <v>0.54200000000000004</v>
      </c>
      <c r="F433">
        <f>Dashboard_Live_Data!L187</f>
        <v>-84665.837128348503</v>
      </c>
      <c r="G433">
        <f>Dashboard_Live_Data!I187</f>
        <v>0.54200000000000004</v>
      </c>
      <c r="H433">
        <f>Dashboard_Live_Data!M187</f>
        <v>-87773.675624308933</v>
      </c>
    </row>
    <row r="434" spans="1:8">
      <c r="A434">
        <f>Dashboard_Live_Data!I188</f>
        <v>0.55000000000000004</v>
      </c>
      <c r="B434">
        <f>Dashboard_Live_Data!J188</f>
        <v>-3.5906356710743239</v>
      </c>
      <c r="C434">
        <f>Dashboard_Live_Data!I188</f>
        <v>0.55000000000000004</v>
      </c>
      <c r="D434">
        <f>Dashboard_Live_Data!K188</f>
        <v>-35738.342299056225</v>
      </c>
      <c r="E434">
        <f>Dashboard_Live_Data!I188</f>
        <v>0.55000000000000004</v>
      </c>
      <c r="F434">
        <f>Dashboard_Live_Data!L188</f>
        <v>-86600.815246497659</v>
      </c>
      <c r="G434">
        <f>Dashboard_Live_Data!I188</f>
        <v>0.55000000000000004</v>
      </c>
      <c r="H434">
        <f>Dashboard_Live_Data!M188</f>
        <v>-89738.19699014083</v>
      </c>
    </row>
    <row r="435" spans="1:8">
      <c r="A435">
        <f>Dashboard_Live_Data!I189</f>
        <v>0.55800000000000005</v>
      </c>
      <c r="B435">
        <f>Dashboard_Live_Data!J189</f>
        <v>-3.7635674146301881</v>
      </c>
      <c r="C435">
        <f>Dashboard_Live_Data!I189</f>
        <v>0.55800000000000005</v>
      </c>
      <c r="D435">
        <f>Dashboard_Live_Data!K189</f>
        <v>-36685.226067220021</v>
      </c>
      <c r="E435">
        <f>Dashboard_Live_Data!I189</f>
        <v>0.55800000000000005</v>
      </c>
      <c r="F435">
        <f>Dashboard_Live_Data!L189</f>
        <v>-88539.612282307149</v>
      </c>
      <c r="G435">
        <f>Dashboard_Live_Data!I189</f>
        <v>0.55800000000000005</v>
      </c>
      <c r="H435">
        <f>Dashboard_Live_Data!M189</f>
        <v>-91705.919959116174</v>
      </c>
    </row>
    <row r="436" spans="1:8">
      <c r="A436">
        <f>Dashboard_Live_Data!I190</f>
        <v>0.56699999999999995</v>
      </c>
      <c r="B436">
        <f>Dashboard_Live_Data!J190</f>
        <v>-3.965768378529674</v>
      </c>
      <c r="C436">
        <f>Dashboard_Live_Data!I190</f>
        <v>0.56699999999999995</v>
      </c>
      <c r="D436">
        <f>Dashboard_Live_Data!K190</f>
        <v>-37758.709506008992</v>
      </c>
      <c r="E436">
        <f>Dashboard_Live_Data!I190</f>
        <v>0.56699999999999995</v>
      </c>
      <c r="F436">
        <f>Dashboard_Live_Data!L190</f>
        <v>-90724.77444856253</v>
      </c>
      <c r="G436">
        <f>Dashboard_Live_Data!I190</f>
        <v>0.56699999999999995</v>
      </c>
      <c r="H436">
        <f>Dashboard_Live_Data!M190</f>
        <v>-93922.892718857969</v>
      </c>
    </row>
    <row r="437" spans="1:8">
      <c r="A437">
        <f>Dashboard_Live_Data!I191</f>
        <v>0.57499999999999996</v>
      </c>
      <c r="B437">
        <f>Dashboard_Live_Data!J191</f>
        <v>-4.1524868146580047</v>
      </c>
      <c r="C437">
        <f>Dashboard_Live_Data!I191</f>
        <v>0.57499999999999996</v>
      </c>
      <c r="D437">
        <f>Dashboard_Live_Data!K191</f>
        <v>-38720.0379034832</v>
      </c>
      <c r="E437">
        <f>Dashboard_Live_Data!I191</f>
        <v>0.57499999999999996</v>
      </c>
      <c r="F437">
        <f>Dashboard_Live_Data!L191</f>
        <v>-92670.235040711414</v>
      </c>
      <c r="G437">
        <f>Dashboard_Live_Data!I191</f>
        <v>0.57499999999999996</v>
      </c>
      <c r="H437">
        <f>Dashboard_Live_Data!M191</f>
        <v>-95895.985812650615</v>
      </c>
    </row>
    <row r="438" spans="1:8">
      <c r="A438">
        <f>Dashboard_Live_Data!I192</f>
        <v>0.58299999999999996</v>
      </c>
      <c r="B438">
        <f>Dashboard_Live_Data!J192</f>
        <v>-4.3459520128728855</v>
      </c>
      <c r="C438">
        <f>Dashboard_Live_Data!I192</f>
        <v>0.58299999999999996</v>
      </c>
      <c r="D438">
        <f>Dashboard_Live_Data!K192</f>
        <v>-39687.880586280618</v>
      </c>
      <c r="E438">
        <f>Dashboard_Live_Data!I192</f>
        <v>0.58299999999999996</v>
      </c>
      <c r="F438">
        <f>Dashboard_Live_Data!L192</f>
        <v>-94618.172780739114</v>
      </c>
      <c r="G438">
        <f>Dashboard_Live_Data!I192</f>
        <v>0.58299999999999996</v>
      </c>
      <c r="H438">
        <f>Dashboard_Live_Data!M192</f>
        <v>-97870.956421788025</v>
      </c>
    </row>
    <row r="439" spans="1:8">
      <c r="A439">
        <f>Dashboard_Live_Data!I193</f>
        <v>0.59199999999999997</v>
      </c>
      <c r="B439">
        <f>Dashboard_Live_Data!J193</f>
        <v>-4.5718748099950517</v>
      </c>
      <c r="C439">
        <f>Dashboard_Live_Data!I193</f>
        <v>0.59199999999999997</v>
      </c>
      <c r="D439">
        <f>Dashboard_Live_Data!K193</f>
        <v>-40784.269673397313</v>
      </c>
      <c r="E439">
        <f>Dashboard_Live_Data!I193</f>
        <v>0.59199999999999997</v>
      </c>
      <c r="F439">
        <f>Dashboard_Live_Data!L193</f>
        <v>-96812.058229060291</v>
      </c>
      <c r="G439">
        <f>Dashboard_Live_Data!I193</f>
        <v>0.59199999999999997</v>
      </c>
      <c r="H439">
        <f>Dashboard_Live_Data!M193</f>
        <v>-100094.54459469789</v>
      </c>
    </row>
    <row r="440" spans="1:8">
      <c r="A440">
        <f>Dashboard_Live_Data!I194</f>
        <v>0.6</v>
      </c>
      <c r="B440">
        <f>Dashboard_Live_Data!J194</f>
        <v>-4.780239127223922</v>
      </c>
      <c r="C440">
        <f>Dashboard_Live_Data!I194</f>
        <v>0.6</v>
      </c>
      <c r="D440">
        <f>Dashboard_Live_Data!K194</f>
        <v>-41765.370410184376</v>
      </c>
      <c r="E440">
        <f>Dashboard_Live_Data!I194</f>
        <v>0.6</v>
      </c>
      <c r="F440">
        <f>Dashboard_Live_Data!L194</f>
        <v>-98763.924239837128</v>
      </c>
      <c r="G440">
        <f>Dashboard_Live_Data!I194</f>
        <v>0.6</v>
      </c>
      <c r="H440">
        <f>Dashboard_Live_Data!M194</f>
        <v>-102072.18940950758</v>
      </c>
    </row>
    <row r="441" spans="1:8">
      <c r="A441">
        <f>Dashboard_Live_Data!I195</f>
        <v>0.60799999999999998</v>
      </c>
      <c r="B441">
        <f>Dashboard_Live_Data!J195</f>
        <v>-4.995883813084447</v>
      </c>
      <c r="C441">
        <f>Dashboard_Live_Data!I195</f>
        <v>0.60799999999999998</v>
      </c>
      <c r="D441">
        <f>Dashboard_Live_Data!K195</f>
        <v>-42752.441205505645</v>
      </c>
      <c r="E441">
        <f>Dashboard_Live_Data!I195</f>
        <v>0.60799999999999998</v>
      </c>
      <c r="F441">
        <f>Dashboard_Live_Data!L195</f>
        <v>-100717.0331168441</v>
      </c>
      <c r="G441">
        <f>Dashboard_Live_Data!I195</f>
        <v>0.60799999999999998</v>
      </c>
      <c r="H441">
        <f>Dashboard_Live_Data!M195</f>
        <v>-104050.49672552545</v>
      </c>
    </row>
    <row r="442" spans="1:8">
      <c r="A442">
        <f>Dashboard_Live_Data!I196</f>
        <v>0.61699999999999999</v>
      </c>
      <c r="B442">
        <f>Dashboard_Live_Data!J196</f>
        <v>-5.2474043572378832</v>
      </c>
      <c r="C442">
        <f>Dashboard_Live_Data!I196</f>
        <v>0.61699999999999999</v>
      </c>
      <c r="D442">
        <f>Dashboard_Live_Data!K196</f>
        <v>-43869.822519639056</v>
      </c>
      <c r="E442">
        <f>Dashboard_Live_Data!I196</f>
        <v>0.61699999999999999</v>
      </c>
      <c r="F442">
        <f>Dashboard_Live_Data!L196</f>
        <v>-102915.30156679449</v>
      </c>
      <c r="G442">
        <f>Dashboard_Live_Data!I196</f>
        <v>0.61699999999999999</v>
      </c>
      <c r="H442">
        <f>Dashboard_Live_Data!M196</f>
        <v>-106276.42770998081</v>
      </c>
    </row>
    <row r="443" spans="1:8">
      <c r="A443">
        <f>Dashboard_Live_Data!I197</f>
        <v>0.625</v>
      </c>
      <c r="B443">
        <f>Dashboard_Live_Data!J197</f>
        <v>-5.479103372775171</v>
      </c>
      <c r="C443">
        <f>Dashboard_Live_Data!I197</f>
        <v>0.625</v>
      </c>
      <c r="D443">
        <f>Dashboard_Live_Data!K197</f>
        <v>-44869.024435891464</v>
      </c>
      <c r="E443">
        <f>Dashboard_Live_Data!I197</f>
        <v>0.625</v>
      </c>
      <c r="F443">
        <f>Dashboard_Live_Data!L197</f>
        <v>-104869.82387216578</v>
      </c>
      <c r="G443">
        <f>Dashboard_Live_Data!I197</f>
        <v>0.625</v>
      </c>
      <c r="H443">
        <f>Dashboard_Live_Data!M197</f>
        <v>-108254.93665267841</v>
      </c>
    </row>
    <row r="444" spans="1:8">
      <c r="A444">
        <f>Dashboard_Live_Data!I198</f>
        <v>0.63300000000000001</v>
      </c>
      <c r="B444">
        <f>Dashboard_Live_Data!J198</f>
        <v>-5.7186363390651422</v>
      </c>
      <c r="C444">
        <f>Dashboard_Live_Data!I198</f>
        <v>0.63300000000000001</v>
      </c>
      <c r="D444">
        <f>Dashboard_Live_Data!K198</f>
        <v>-45873.679789055182</v>
      </c>
      <c r="E444">
        <f>Dashboard_Live_Data!I198</f>
        <v>0.63300000000000001</v>
      </c>
      <c r="F444">
        <f>Dashboard_Live_Data!L198</f>
        <v>-106824.4548063119</v>
      </c>
      <c r="G444">
        <f>Dashboard_Live_Data!I198</f>
        <v>0.63300000000000001</v>
      </c>
      <c r="H444">
        <f>Dashboard_Live_Data!M198</f>
        <v>-110232.99428005761</v>
      </c>
    </row>
    <row r="445" spans="1:8">
      <c r="A445">
        <f>Dashboard_Live_Data!I199</f>
        <v>0.64200000000000002</v>
      </c>
      <c r="B445">
        <f>Dashboard_Live_Data!J199</f>
        <v>-5.9977007769762167</v>
      </c>
      <c r="C445">
        <f>Dashboard_Live_Data!I199</f>
        <v>0.64200000000000002</v>
      </c>
      <c r="D445">
        <f>Dashboard_Live_Data!K199</f>
        <v>-47010.236953450061</v>
      </c>
      <c r="E445">
        <f>Dashboard_Live_Data!I199</f>
        <v>0.64200000000000002</v>
      </c>
      <c r="F445">
        <f>Dashboard_Live_Data!L199</f>
        <v>-109023.11773384197</v>
      </c>
      <c r="G445">
        <f>Dashboard_Live_Data!I199</f>
        <v>0.64200000000000002</v>
      </c>
      <c r="H445">
        <f>Dashboard_Live_Data!M199</f>
        <v>-112457.35129337219</v>
      </c>
    </row>
    <row r="446" spans="1:8">
      <c r="A446">
        <f>Dashboard_Live_Data!I200</f>
        <v>0.65</v>
      </c>
      <c r="B446">
        <f>Dashboard_Live_Data!J200</f>
        <v>-6.2544853914218947</v>
      </c>
      <c r="C446">
        <f>Dashboard_Live_Data!I200</f>
        <v>0.65</v>
      </c>
      <c r="D446">
        <f>Dashboard_Live_Data!K200</f>
        <v>-48025.954152811115</v>
      </c>
      <c r="E446">
        <f>Dashboard_Live_Data!I200</f>
        <v>0.65</v>
      </c>
      <c r="F446">
        <f>Dashboard_Live_Data!L200</f>
        <v>-110976.85216755129</v>
      </c>
      <c r="G446">
        <f>Dashboard_Live_Data!I200</f>
        <v>0.65</v>
      </c>
      <c r="H446">
        <f>Dashboard_Live_Data!M200</f>
        <v>-114433.34492030981</v>
      </c>
    </row>
    <row r="447" spans="1:8">
      <c r="A447">
        <f>Dashboard_Live_Data!I201</f>
        <v>0.65800000000000003</v>
      </c>
      <c r="B447">
        <f>Dashboard_Live_Data!J201</f>
        <v>-6.5196771902137698</v>
      </c>
      <c r="C447">
        <f>Dashboard_Live_Data!I201</f>
        <v>0.65800000000000003</v>
      </c>
      <c r="D447">
        <f>Dashboard_Live_Data!K201</f>
        <v>-49046.634821966058</v>
      </c>
      <c r="E447">
        <f>Dashboard_Live_Data!I201</f>
        <v>0.65800000000000003</v>
      </c>
      <c r="F447">
        <f>Dashboard_Live_Data!L201</f>
        <v>-112929.65387596656</v>
      </c>
      <c r="G447">
        <f>Dashboard_Live_Data!I201</f>
        <v>0.65800000000000003</v>
      </c>
      <c r="H447">
        <f>Dashboard_Live_Data!M201</f>
        <v>-116407.86707581836</v>
      </c>
    </row>
    <row r="448" spans="1:8">
      <c r="A448">
        <f>Dashboard_Live_Data!I202</f>
        <v>0.66700000000000004</v>
      </c>
      <c r="B448">
        <f>Dashboard_Live_Data!J202</f>
        <v>-6.8283007484997142</v>
      </c>
      <c r="C448">
        <f>Dashboard_Live_Data!I202</f>
        <v>0.66700000000000004</v>
      </c>
      <c r="D448">
        <f>Dashboard_Live_Data!K202</f>
        <v>-50200.645163369787</v>
      </c>
      <c r="E448">
        <f>Dashboard_Live_Data!I202</f>
        <v>0.66700000000000004</v>
      </c>
      <c r="F448">
        <f>Dashboard_Live_Data!L202</f>
        <v>-115125.04934461691</v>
      </c>
      <c r="G448">
        <f>Dashboard_Live_Data!I202</f>
        <v>0.66700000000000004</v>
      </c>
      <c r="H448">
        <f>Dashboard_Live_Data!M202</f>
        <v>-118627.06266188357</v>
      </c>
    </row>
    <row r="449" spans="1:8">
      <c r="A449">
        <f>Dashboard_Live_Data!I203</f>
        <v>0.67500000000000004</v>
      </c>
      <c r="B449">
        <f>Dashboard_Live_Data!J203</f>
        <v>-7.1119829201097673</v>
      </c>
      <c r="C449">
        <f>Dashboard_Live_Data!I203</f>
        <v>0.67500000000000004</v>
      </c>
      <c r="D449">
        <f>Dashboard_Live_Data!K203</f>
        <v>-51231.374010913656</v>
      </c>
      <c r="E449">
        <f>Dashboard_Live_Data!I203</f>
        <v>0.67500000000000004</v>
      </c>
      <c r="F449">
        <f>Dashboard_Live_Data!L203</f>
        <v>-117074.83465957025</v>
      </c>
      <c r="G449">
        <f>Dashboard_Live_Data!I203</f>
        <v>0.67500000000000004</v>
      </c>
      <c r="H449">
        <f>Dashboard_Live_Data!M203</f>
        <v>-120597.44652148281</v>
      </c>
    </row>
    <row r="450" spans="1:8">
      <c r="A450">
        <f>Dashboard_Live_Data!I204</f>
        <v>0.68300000000000005</v>
      </c>
      <c r="B450">
        <f>Dashboard_Live_Data!J204</f>
        <v>-7.4046648244461721</v>
      </c>
      <c r="C450">
        <f>Dashboard_Live_Data!I204</f>
        <v>0.68300000000000005</v>
      </c>
      <c r="D450">
        <f>Dashboard_Live_Data!K204</f>
        <v>-52266.602037422461</v>
      </c>
      <c r="E450">
        <f>Dashboard_Live_Data!I204</f>
        <v>0.68300000000000005</v>
      </c>
      <c r="F450">
        <f>Dashboard_Live_Data!L204</f>
        <v>-119022.73194468833</v>
      </c>
      <c r="G450">
        <f>Dashboard_Live_Data!I204</f>
        <v>0.68300000000000005</v>
      </c>
      <c r="H450">
        <f>Dashboard_Live_Data!M204</f>
        <v>-122565.42525707473</v>
      </c>
    </row>
    <row r="451" spans="1:8">
      <c r="A451">
        <f>Dashboard_Live_Data!I205</f>
        <v>0.69199999999999995</v>
      </c>
      <c r="B451">
        <f>Dashboard_Live_Data!J205</f>
        <v>-7.7449306373637228</v>
      </c>
      <c r="C451">
        <f>Dashboard_Live_Data!I205</f>
        <v>0.69199999999999995</v>
      </c>
      <c r="D451">
        <f>Dashboard_Live_Data!K205</f>
        <v>-53436.433148204567</v>
      </c>
      <c r="E451">
        <f>Dashboard_Live_Data!I205</f>
        <v>0.69199999999999995</v>
      </c>
      <c r="F451">
        <f>Dashboard_Live_Data!L205</f>
        <v>-121211.50058427514</v>
      </c>
      <c r="G451">
        <f>Dashboard_Live_Data!I205</f>
        <v>0.69199999999999995</v>
      </c>
      <c r="H451">
        <f>Dashboard_Live_Data!M205</f>
        <v>-124776.17612891932</v>
      </c>
    </row>
    <row r="452" spans="1:8">
      <c r="A452">
        <f>Dashboard_Live_Data!I206</f>
        <v>0.7</v>
      </c>
      <c r="B452">
        <f>Dashboard_Live_Data!J206</f>
        <v>-8.0573823215368066</v>
      </c>
      <c r="C452">
        <f>Dashboard_Live_Data!I206</f>
        <v>0.7</v>
      </c>
      <c r="D452">
        <f>Dashboard_Live_Data!K206</f>
        <v>-54480.749191198192</v>
      </c>
      <c r="E452">
        <f>Dashboard_Live_Data!I206</f>
        <v>0.7</v>
      </c>
      <c r="F452">
        <f>Dashboard_Live_Data!L206</f>
        <v>-123154.43747008915</v>
      </c>
      <c r="G452">
        <f>Dashboard_Live_Data!I206</f>
        <v>0.7</v>
      </c>
      <c r="H452">
        <f>Dashboard_Live_Data!M206</f>
        <v>-126738.11882360443</v>
      </c>
    </row>
    <row r="453" spans="1:8">
      <c r="A453">
        <f>Dashboard_Live_Data!I207</f>
        <v>0.70799999999999996</v>
      </c>
      <c r="B453">
        <f>Dashboard_Live_Data!J207</f>
        <v>-8.379445258978194</v>
      </c>
      <c r="C453">
        <f>Dashboard_Live_Data!I207</f>
        <v>0.70799999999999996</v>
      </c>
      <c r="D453">
        <f>Dashboard_Live_Data!K207</f>
        <v>-55529.124801208076</v>
      </c>
      <c r="E453">
        <f>Dashboard_Live_Data!I207</f>
        <v>0.70799999999999996</v>
      </c>
      <c r="F453">
        <f>Dashboard_Live_Data!L207</f>
        <v>-125094.61059367246</v>
      </c>
      <c r="G453">
        <f>Dashboard_Live_Data!I207</f>
        <v>0.70799999999999996</v>
      </c>
      <c r="H453">
        <f>Dashboard_Live_Data!M207</f>
        <v>-128696.80249462544</v>
      </c>
    </row>
    <row r="454" spans="1:8">
      <c r="A454">
        <f>Dashboard_Live_Data!I208</f>
        <v>0.71699999999999997</v>
      </c>
      <c r="B454">
        <f>Dashboard_Live_Data!J208</f>
        <v>-8.7535031569864259</v>
      </c>
      <c r="C454">
        <f>Dashboard_Live_Data!I208</f>
        <v>0.71699999999999997</v>
      </c>
      <c r="D454">
        <f>Dashboard_Live_Data!K208</f>
        <v>-56713.231033901524</v>
      </c>
      <c r="E454">
        <f>Dashboard_Live_Data!I208</f>
        <v>0.71699999999999997</v>
      </c>
      <c r="F454">
        <f>Dashboard_Live_Data!L208</f>
        <v>-127273.67283059817</v>
      </c>
      <c r="G454">
        <f>Dashboard_Live_Data!I208</f>
        <v>0.71699999999999997</v>
      </c>
      <c r="H454">
        <f>Dashboard_Live_Data!M208</f>
        <v>-130896.10580357289</v>
      </c>
    </row>
    <row r="455" spans="1:8">
      <c r="A455">
        <f>Dashboard_Live_Data!I209</f>
        <v>0.72499999999999998</v>
      </c>
      <c r="B455">
        <f>Dashboard_Live_Data!J209</f>
        <v>-9.0966552194690848</v>
      </c>
      <c r="C455">
        <f>Dashboard_Live_Data!I209</f>
        <v>0.72499999999999998</v>
      </c>
      <c r="D455">
        <f>Dashboard_Live_Data!K209</f>
        <v>-57769.785871170316</v>
      </c>
      <c r="E455">
        <f>Dashboard_Live_Data!I209</f>
        <v>0.72499999999999998</v>
      </c>
      <c r="F455">
        <f>Dashboard_Live_Data!L209</f>
        <v>-129207.10406628711</v>
      </c>
      <c r="G455">
        <f>Dashboard_Live_Data!I209</f>
        <v>0.72499999999999998</v>
      </c>
      <c r="H455">
        <f>Dashboard_Live_Data!M209</f>
        <v>-132847.0183380536</v>
      </c>
    </row>
    <row r="456" spans="1:8">
      <c r="A456">
        <f>Dashboard_Live_Data!I210</f>
        <v>0.73299999999999998</v>
      </c>
      <c r="B456">
        <f>Dashboard_Live_Data!J210</f>
        <v>-9.4500486732272293</v>
      </c>
      <c r="C456">
        <f>Dashboard_Live_Data!I210</f>
        <v>0.73299999999999998</v>
      </c>
      <c r="D456">
        <f>Dashboard_Live_Data!K210</f>
        <v>-58829.984333780376</v>
      </c>
      <c r="E456">
        <f>Dashboard_Live_Data!I210</f>
        <v>0.73299999999999998</v>
      </c>
      <c r="F456">
        <f>Dashboard_Live_Data!L210</f>
        <v>-131136.96927609123</v>
      </c>
      <c r="G456">
        <f>Dashboard_Live_Data!I210</f>
        <v>0.73299999999999998</v>
      </c>
      <c r="H456">
        <f>Dashboard_Live_Data!M210</f>
        <v>-134793.8913710381</v>
      </c>
    </row>
    <row r="457" spans="1:8">
      <c r="A457">
        <f>Dashboard_Live_Data!I211</f>
        <v>0.74199999999999999</v>
      </c>
      <c r="B457">
        <f>Dashboard_Live_Data!J211</f>
        <v>-9.8601139367465294</v>
      </c>
      <c r="C457">
        <f>Dashboard_Live_Data!I211</f>
        <v>0.74199999999999999</v>
      </c>
      <c r="D457">
        <f>Dashboard_Live_Data!K211</f>
        <v>-60026.903256236474</v>
      </c>
      <c r="E457">
        <f>Dashboard_Live_Data!I211</f>
        <v>0.74199999999999999</v>
      </c>
      <c r="F457">
        <f>Dashboard_Live_Data!L211</f>
        <v>-133303.50387707388</v>
      </c>
      <c r="G457">
        <f>Dashboard_Live_Data!I211</f>
        <v>0.74199999999999999</v>
      </c>
      <c r="H457">
        <f>Dashboard_Live_Data!M211</f>
        <v>-136979.00244933437</v>
      </c>
    </row>
    <row r="458" spans="1:8">
      <c r="A458">
        <f>Dashboard_Live_Data!I212</f>
        <v>0.75</v>
      </c>
      <c r="B458">
        <f>Dashboard_Live_Data!J212</f>
        <v>-10.235955038383963</v>
      </c>
      <c r="C458">
        <f>Dashboard_Live_Data!I212</f>
        <v>0.75</v>
      </c>
      <c r="D458">
        <f>Dashboard_Live_Data!K212</f>
        <v>-61094.421380709784</v>
      </c>
      <c r="E458">
        <f>Dashboard_Live_Data!I212</f>
        <v>0.75</v>
      </c>
      <c r="F458">
        <f>Dashboard_Live_Data!L212</f>
        <v>-135224.99566257387</v>
      </c>
      <c r="G458">
        <f>Dashboard_Live_Data!I212</f>
        <v>0.75</v>
      </c>
      <c r="H458">
        <f>Dashboard_Live_Data!M212</f>
        <v>-138916.51889518261</v>
      </c>
    </row>
    <row r="459" spans="1:8">
      <c r="A459">
        <f>Dashboard_Live_Data!I213</f>
        <v>0.75800000000000001</v>
      </c>
      <c r="B459">
        <f>Dashboard_Live_Data!J213</f>
        <v>-10.622685923482095</v>
      </c>
      <c r="C459">
        <f>Dashboard_Live_Data!I213</f>
        <v>0.75800000000000001</v>
      </c>
      <c r="D459">
        <f>Dashboard_Live_Data!K213</f>
        <v>-62165.189846866822</v>
      </c>
      <c r="E459">
        <f>Dashboard_Live_Data!I213</f>
        <v>0.75800000000000001</v>
      </c>
      <c r="F459">
        <f>Dashboard_Live_Data!L213</f>
        <v>-137142.1869054522</v>
      </c>
      <c r="G459">
        <f>Dashboard_Live_Data!I213</f>
        <v>0.75800000000000001</v>
      </c>
      <c r="H459">
        <f>Dashboard_Live_Data!M213</f>
        <v>-140849.28287495405</v>
      </c>
    </row>
    <row r="460" spans="1:8">
      <c r="A460">
        <f>Dashboard_Live_Data!I214</f>
        <v>0.76700000000000002</v>
      </c>
      <c r="B460">
        <f>Dashboard_Live_Data!J214</f>
        <v>-11.071038001998204</v>
      </c>
      <c r="C460">
        <f>Dashboard_Live_Data!I214</f>
        <v>0.76700000000000002</v>
      </c>
      <c r="D460">
        <f>Dashboard_Live_Data!K214</f>
        <v>-63373.538684469881</v>
      </c>
      <c r="E460">
        <f>Dashboard_Live_Data!I214</f>
        <v>0.76700000000000002</v>
      </c>
      <c r="F460">
        <f>Dashboard_Live_Data!L214</f>
        <v>-139293.61086167686</v>
      </c>
      <c r="G460">
        <f>Dashboard_Live_Data!I214</f>
        <v>0.76700000000000002</v>
      </c>
      <c r="H460">
        <f>Dashboard_Live_Data!M214</f>
        <v>-143017.69446274079</v>
      </c>
    </row>
    <row r="461" spans="1:8">
      <c r="A461">
        <f>Dashboard_Live_Data!I215</f>
        <v>0.77500000000000002</v>
      </c>
      <c r="B461">
        <f>Dashboard_Live_Data!J215</f>
        <v>-11.481613456182458</v>
      </c>
      <c r="C461">
        <f>Dashboard_Live_Data!I215</f>
        <v>0.77500000000000002</v>
      </c>
      <c r="D461">
        <f>Dashboard_Live_Data!K215</f>
        <v>-64450.814321778293</v>
      </c>
      <c r="E461">
        <f>Dashboard_Live_Data!I215</f>
        <v>0.77500000000000002</v>
      </c>
      <c r="F461">
        <f>Dashboard_Live_Data!L215</f>
        <v>-141200.93534309621</v>
      </c>
      <c r="G461">
        <f>Dashboard_Live_Data!I215</f>
        <v>0.77500000000000002</v>
      </c>
      <c r="H461">
        <f>Dashboard_Live_Data!M215</f>
        <v>-144939.65393967155</v>
      </c>
    </row>
    <row r="462" spans="1:8">
      <c r="A462">
        <f>Dashboard_Live_Data!I216</f>
        <v>0.78300000000000003</v>
      </c>
      <c r="B462">
        <f>Dashboard_Live_Data!J216</f>
        <v>-11.903744966717568</v>
      </c>
      <c r="C462">
        <f>Dashboard_Live_Data!I216</f>
        <v>0.78300000000000003</v>
      </c>
      <c r="D462">
        <f>Dashboard_Live_Data!K216</f>
        <v>-65530.968666103057</v>
      </c>
      <c r="E462">
        <f>Dashboard_Live_Data!I216</f>
        <v>0.78300000000000003</v>
      </c>
      <c r="F462">
        <f>Dashboard_Live_Data!L216</f>
        <v>-143103.28717150204</v>
      </c>
      <c r="G462">
        <f>Dashboard_Live_Data!I216</f>
        <v>0.78300000000000003</v>
      </c>
      <c r="H462">
        <f>Dashboard_Live_Data!M216</f>
        <v>-146856.21000814691</v>
      </c>
    </row>
    <row r="463" spans="1:8">
      <c r="A463">
        <f>Dashboard_Live_Data!I217</f>
        <v>0.79200000000000004</v>
      </c>
      <c r="B463">
        <f>Dashboard_Live_Data!J217</f>
        <v>-12.392726180069985</v>
      </c>
      <c r="C463">
        <f>Dashboard_Live_Data!I217</f>
        <v>0.79200000000000004</v>
      </c>
      <c r="D463">
        <f>Dashboard_Live_Data!K217</f>
        <v>-66749.440755261516</v>
      </c>
      <c r="E463">
        <f>Dashboard_Live_Data!I217</f>
        <v>0.79200000000000004</v>
      </c>
      <c r="F463">
        <f>Dashboard_Live_Data!L217</f>
        <v>-145237.23692226943</v>
      </c>
      <c r="G463">
        <f>Dashboard_Live_Data!I217</f>
        <v>0.79200000000000004</v>
      </c>
      <c r="H463">
        <f>Dashboard_Live_Data!M217</f>
        <v>-149005.63294747737</v>
      </c>
    </row>
    <row r="464" spans="1:8">
      <c r="A464">
        <f>Dashboard_Live_Data!I218</f>
        <v>0.8</v>
      </c>
      <c r="B464">
        <f>Dashboard_Live_Data!J218</f>
        <v>-12.840136776974759</v>
      </c>
      <c r="C464">
        <f>Dashboard_Live_Data!I218</f>
        <v>0.8</v>
      </c>
      <c r="D464">
        <f>Dashboard_Live_Data!K218</f>
        <v>-67835.334719187129</v>
      </c>
      <c r="E464">
        <f>Dashboard_Live_Data!I218</f>
        <v>0.8</v>
      </c>
      <c r="F464">
        <f>Dashboard_Live_Data!L218</f>
        <v>-147128.35590287362</v>
      </c>
      <c r="G464">
        <f>Dashboard_Live_Data!I218</f>
        <v>0.8</v>
      </c>
      <c r="H464">
        <f>Dashboard_Live_Data!M218</f>
        <v>-150910.062898851</v>
      </c>
    </row>
    <row r="465" spans="1:8">
      <c r="A465">
        <f>Dashboard_Live_Data!I219</f>
        <v>0.80800000000000005</v>
      </c>
      <c r="B465">
        <f>Dashboard_Live_Data!J219</f>
        <v>-13.299787208880844</v>
      </c>
      <c r="C465">
        <f>Dashboard_Live_Data!I219</f>
        <v>0.80800000000000005</v>
      </c>
      <c r="D465">
        <f>Dashboard_Live_Data!K219</f>
        <v>-68923.75640485117</v>
      </c>
      <c r="E465">
        <f>Dashboard_Live_Data!I219</f>
        <v>0.80800000000000005</v>
      </c>
      <c r="F465">
        <f>Dashboard_Live_Data!L219</f>
        <v>-149013.88756056636</v>
      </c>
      <c r="G465">
        <f>Dashboard_Live_Data!I219</f>
        <v>0.80800000000000005</v>
      </c>
      <c r="H465">
        <f>Dashboard_Live_Data!M219</f>
        <v>-152808.49543699686</v>
      </c>
    </row>
    <row r="466" spans="1:8">
      <c r="A466">
        <f>Dashboard_Live_Data!I220</f>
        <v>0.81699999999999995</v>
      </c>
      <c r="B466">
        <f>Dashboard_Live_Data!J220</f>
        <v>-13.831801402375277</v>
      </c>
      <c r="C466">
        <f>Dashboard_Live_Data!I220</f>
        <v>0.81699999999999995</v>
      </c>
      <c r="D466">
        <f>Dashboard_Live_Data!K220</f>
        <v>-70151.117679492658</v>
      </c>
      <c r="E466">
        <f>Dashboard_Live_Data!I220</f>
        <v>0.81699999999999995</v>
      </c>
      <c r="F466">
        <f>Dashboard_Live_Data!L220</f>
        <v>-151128.20153368788</v>
      </c>
      <c r="G466">
        <f>Dashboard_Live_Data!I220</f>
        <v>0.81699999999999995</v>
      </c>
      <c r="H466">
        <f>Dashboard_Live_Data!M220</f>
        <v>-154936.84079418762</v>
      </c>
    </row>
    <row r="467" spans="1:8">
      <c r="A467">
        <f>Dashboard_Live_Data!I221</f>
        <v>0.82499999999999996</v>
      </c>
      <c r="B467">
        <f>Dashboard_Live_Data!J221</f>
        <v>-14.318202220481453</v>
      </c>
      <c r="C467">
        <f>Dashboard_Live_Data!I221</f>
        <v>0.82499999999999996</v>
      </c>
      <c r="D467">
        <f>Dashboard_Live_Data!K221</f>
        <v>-71244.554262802048</v>
      </c>
      <c r="E467">
        <f>Dashboard_Live_Data!I221</f>
        <v>0.82499999999999996</v>
      </c>
      <c r="F467">
        <f>Dashboard_Live_Data!L221</f>
        <v>-153001.25134490427</v>
      </c>
      <c r="G467">
        <f>Dashboard_Live_Data!I221</f>
        <v>0.82499999999999996</v>
      </c>
      <c r="H467">
        <f>Dashboard_Live_Data!M221</f>
        <v>-156821.9415170548</v>
      </c>
    </row>
    <row r="468" spans="1:8">
      <c r="A468">
        <f>Dashboard_Live_Data!I222</f>
        <v>0.83299999999999996</v>
      </c>
      <c r="B468">
        <f>Dashboard_Live_Data!J222</f>
        <v>-14.817543761564139</v>
      </c>
      <c r="C468">
        <f>Dashboard_Live_Data!I222</f>
        <v>0.83299999999999996</v>
      </c>
      <c r="D468">
        <f>Dashboard_Live_Data!K222</f>
        <v>-72340.187247200345</v>
      </c>
      <c r="E468">
        <f>Dashboard_Live_Data!I222</f>
        <v>0.83299999999999996</v>
      </c>
      <c r="F468">
        <f>Dashboard_Live_Data!L222</f>
        <v>-154868.15200145351</v>
      </c>
      <c r="G468">
        <f>Dashboard_Live_Data!I222</f>
        <v>0.83299999999999996</v>
      </c>
      <c r="H468">
        <f>Dashboard_Live_Data!M222</f>
        <v>-158700.50306586799</v>
      </c>
    </row>
    <row r="469" spans="1:8">
      <c r="A469">
        <f>Dashboard_Live_Data!I223</f>
        <v>0.84199999999999997</v>
      </c>
      <c r="B469">
        <f>Dashboard_Live_Data!J223</f>
        <v>-15.39505495210642</v>
      </c>
      <c r="C469">
        <f>Dashboard_Live_Data!I223</f>
        <v>0.84199999999999997</v>
      </c>
      <c r="D469">
        <f>Dashboard_Live_Data!K223</f>
        <v>-73575.272777374368</v>
      </c>
      <c r="E469">
        <f>Dashboard_Live_Data!I223</f>
        <v>0.84199999999999997</v>
      </c>
      <c r="F469">
        <f>Dashboard_Live_Data!L223</f>
        <v>-156960.85443111658</v>
      </c>
      <c r="G469">
        <f>Dashboard_Live_Data!I223</f>
        <v>0.84199999999999997</v>
      </c>
      <c r="H469">
        <f>Dashboard_Live_Data!M223</f>
        <v>-160805.86562780722</v>
      </c>
    </row>
    <row r="470" spans="1:8">
      <c r="A470">
        <f>Dashboard_Live_Data!I224</f>
        <v>0.85</v>
      </c>
      <c r="B470">
        <f>Dashboard_Live_Data!J224</f>
        <v>-15.922654129073635</v>
      </c>
      <c r="C470">
        <f>Dashboard_Live_Data!I224</f>
        <v>0.85</v>
      </c>
      <c r="D470">
        <f>Dashboard_Live_Data!K224</f>
        <v>-74675.236694186082</v>
      </c>
      <c r="E470">
        <f>Dashboard_Live_Data!I224</f>
        <v>0.85</v>
      </c>
      <c r="F470">
        <f>Dashboard_Live_Data!L224</f>
        <v>-158814.13192459266</v>
      </c>
      <c r="G470">
        <f>Dashboard_Live_Data!I224</f>
        <v>0.85</v>
      </c>
      <c r="H470">
        <f>Dashboard_Live_Data!M224</f>
        <v>-162669.99600543149</v>
      </c>
    </row>
    <row r="471" spans="1:8">
      <c r="A471">
        <f>Dashboard_Live_Data!I225</f>
        <v>0.85799999999999998</v>
      </c>
      <c r="B471">
        <f>Dashboard_Live_Data!J225</f>
        <v>-16.463911639531943</v>
      </c>
      <c r="C471">
        <f>Dashboard_Live_Data!I225</f>
        <v>0.85799999999999998</v>
      </c>
      <c r="D471">
        <f>Dashboard_Live_Data!K225</f>
        <v>-75777.084390837059</v>
      </c>
      <c r="E471">
        <f>Dashboard_Live_Data!I225</f>
        <v>0.85799999999999998</v>
      </c>
      <c r="F471">
        <f>Dashboard_Live_Data!L225</f>
        <v>-160660.74701629803</v>
      </c>
      <c r="G471">
        <f>Dashboard_Live_Data!I225</f>
        <v>0.85799999999999998</v>
      </c>
      <c r="H471">
        <f>Dashboard_Live_Data!M225</f>
        <v>-164527.09337077409</v>
      </c>
    </row>
    <row r="472" spans="1:8">
      <c r="A472">
        <f>Dashboard_Live_Data!I226</f>
        <v>0.86699999999999999</v>
      </c>
      <c r="B472">
        <f>Dashboard_Live_Data!J226</f>
        <v>-17.089442616799715</v>
      </c>
      <c r="C472">
        <f>Dashboard_Live_Data!I226</f>
        <v>0.86699999999999999</v>
      </c>
      <c r="D472">
        <f>Dashboard_Live_Data!K226</f>
        <v>-77018.794989844479</v>
      </c>
      <c r="E472">
        <f>Dashboard_Live_Data!I226</f>
        <v>0.86699999999999999</v>
      </c>
      <c r="F472">
        <f>Dashboard_Live_Data!L226</f>
        <v>-162730.03298707728</v>
      </c>
      <c r="G472">
        <f>Dashboard_Live_Data!I226</f>
        <v>0.86699999999999999</v>
      </c>
      <c r="H472">
        <f>Dashboard_Live_Data!M226</f>
        <v>-166607.73644990035</v>
      </c>
    </row>
    <row r="473" spans="1:8">
      <c r="A473">
        <f>Dashboard_Live_Data!I227</f>
        <v>0.875</v>
      </c>
      <c r="B473">
        <f>Dashboard_Live_Data!J227</f>
        <v>-17.660500113955095</v>
      </c>
      <c r="C473">
        <f>Dashboard_Live_Data!I227</f>
        <v>0.875</v>
      </c>
      <c r="D473">
        <f>Dashboard_Live_Data!K227</f>
        <v>-78124.328383369575</v>
      </c>
      <c r="E473">
        <f>Dashboard_Live_Data!I227</f>
        <v>0.875</v>
      </c>
      <c r="F473">
        <f>Dashboard_Live_Data!L227</f>
        <v>-164561.98259931064</v>
      </c>
      <c r="G473">
        <f>Dashboard_Live_Data!I227</f>
        <v>0.875</v>
      </c>
      <c r="H473">
        <f>Dashboard_Live_Data!M227</f>
        <v>-168449.40082622971</v>
      </c>
    </row>
    <row r="474" spans="1:8">
      <c r="A474">
        <f>Dashboard_Live_Data!I228</f>
        <v>0.88300000000000001</v>
      </c>
      <c r="B474">
        <f>Dashboard_Live_Data!J228</f>
        <v>-18.245949870930872</v>
      </c>
      <c r="C474">
        <f>Dashboard_Live_Data!I228</f>
        <v>0.88300000000000001</v>
      </c>
      <c r="D474">
        <f>Dashboard_Live_Data!K228</f>
        <v>-79231.450693104271</v>
      </c>
      <c r="E474">
        <f>Dashboard_Live_Data!I228</f>
        <v>0.88300000000000001</v>
      </c>
      <c r="F474">
        <f>Dashboard_Live_Data!L228</f>
        <v>-166386.8012256964</v>
      </c>
      <c r="G474">
        <f>Dashboard_Live_Data!I228</f>
        <v>0.88300000000000001</v>
      </c>
      <c r="H474">
        <f>Dashboard_Live_Data!M228</f>
        <v>-170283.58230501931</v>
      </c>
    </row>
    <row r="475" spans="1:8">
      <c r="A475">
        <f>Dashboard_Live_Data!I229</f>
        <v>0.89200000000000002</v>
      </c>
      <c r="B475">
        <f>Dashboard_Live_Data!J229</f>
        <v>-18.922080788589938</v>
      </c>
      <c r="C475">
        <f>Dashboard_Live_Data!I229</f>
        <v>0.89200000000000002</v>
      </c>
      <c r="D475">
        <f>Dashboard_Live_Data!K229</f>
        <v>-80478.749607010046</v>
      </c>
      <c r="E475">
        <f>Dashboard_Live_Data!I229</f>
        <v>0.89200000000000002</v>
      </c>
      <c r="F475">
        <f>Dashboard_Live_Data!L229</f>
        <v>-168431.02288308344</v>
      </c>
      <c r="G475">
        <f>Dashboard_Live_Data!I229</f>
        <v>0.89200000000000002</v>
      </c>
      <c r="H475">
        <f>Dashboard_Live_Data!M229</f>
        <v>-172337.92378063095</v>
      </c>
    </row>
    <row r="476" spans="1:8">
      <c r="A476">
        <f>Dashboard_Live_Data!I230</f>
        <v>0.9</v>
      </c>
      <c r="B476">
        <f>Dashboard_Live_Data!J230</f>
        <v>-19.538907124212074</v>
      </c>
      <c r="C476">
        <f>Dashboard_Live_Data!I230</f>
        <v>0.9</v>
      </c>
      <c r="D476">
        <f>Dashboard_Live_Data!K230</f>
        <v>-81588.949134183073</v>
      </c>
      <c r="E476">
        <f>Dashboard_Live_Data!I230</f>
        <v>0.9</v>
      </c>
      <c r="F476">
        <f>Dashboard_Live_Data!L230</f>
        <v>-170240.22471774745</v>
      </c>
      <c r="G476">
        <f>Dashboard_Live_Data!I230</f>
        <v>0.9</v>
      </c>
      <c r="H476">
        <f>Dashboard_Live_Data!M230</f>
        <v>-174155.75991096892</v>
      </c>
    </row>
    <row r="477" spans="1:8">
      <c r="A477">
        <f>Dashboard_Live_Data!I231</f>
        <v>0.90800000000000003</v>
      </c>
      <c r="B477">
        <f>Dashboard_Live_Data!J231</f>
        <v>-20.170875551412792</v>
      </c>
      <c r="C477">
        <f>Dashboard_Live_Data!I231</f>
        <v>0.90800000000000003</v>
      </c>
      <c r="D477">
        <f>Dashboard_Live_Data!K231</f>
        <v>-82700.459556477144</v>
      </c>
      <c r="E477">
        <f>Dashboard_Live_Data!I231</f>
        <v>0.90800000000000003</v>
      </c>
      <c r="F477">
        <f>Dashboard_Live_Data!L231</f>
        <v>-172041.86803726552</v>
      </c>
      <c r="G477">
        <f>Dashboard_Live_Data!I231</f>
        <v>0.90800000000000003</v>
      </c>
      <c r="H477">
        <f>Dashboard_Live_Data!M231</f>
        <v>-175965.70357183574</v>
      </c>
    </row>
    <row r="478" spans="1:8">
      <c r="A478">
        <f>Dashboard_Live_Data!I232</f>
        <v>0.91700000000000004</v>
      </c>
      <c r="B478">
        <f>Dashboard_Live_Data!J232</f>
        <v>-20.900242486699881</v>
      </c>
      <c r="C478">
        <f>Dashboard_Live_Data!I232</f>
        <v>0.91700000000000004</v>
      </c>
      <c r="D478">
        <f>Dashboard_Live_Data!K232</f>
        <v>-83952.369247370851</v>
      </c>
      <c r="E478">
        <f>Dashboard_Live_Data!I232</f>
        <v>0.91700000000000004</v>
      </c>
      <c r="F478">
        <f>Dashboard_Live_Data!L232</f>
        <v>-174059.52189979836</v>
      </c>
      <c r="G478">
        <f>Dashboard_Live_Data!I232</f>
        <v>0.91700000000000004</v>
      </c>
      <c r="H478">
        <f>Dashboard_Live_Data!M232</f>
        <v>-177992.30309147591</v>
      </c>
    </row>
    <row r="479" spans="1:8">
      <c r="A479">
        <f>Dashboard_Live_Data!I233</f>
        <v>0.92500000000000004</v>
      </c>
      <c r="B479">
        <f>Dashboard_Live_Data!J233</f>
        <v>-21.565197447271657</v>
      </c>
      <c r="C479">
        <f>Dashboard_Live_Data!I233</f>
        <v>0.92500000000000004</v>
      </c>
      <c r="D479">
        <f>Dashboard_Live_Data!K233</f>
        <v>-85066.383249791965</v>
      </c>
      <c r="E479">
        <f>Dashboard_Live_Data!I233</f>
        <v>0.92500000000000004</v>
      </c>
      <c r="F479">
        <f>Dashboard_Live_Data!L233</f>
        <v>-175844.68076899392</v>
      </c>
      <c r="G479">
        <f>Dashboard_Live_Data!I233</f>
        <v>0.92500000000000004</v>
      </c>
      <c r="H479">
        <f>Dashboard_Live_Data!M233</f>
        <v>-179785.07110087413</v>
      </c>
    </row>
    <row r="480" spans="1:8">
      <c r="A480">
        <f>Dashboard_Live_Data!I234</f>
        <v>0.93300000000000005</v>
      </c>
      <c r="B480">
        <f>Dashboard_Live_Data!J234</f>
        <v>-22.246059825895372</v>
      </c>
      <c r="C480">
        <f>Dashboard_Live_Data!I234</f>
        <v>0.93300000000000005</v>
      </c>
      <c r="D480">
        <f>Dashboard_Live_Data!K234</f>
        <v>-86181.446082973955</v>
      </c>
      <c r="E480">
        <f>Dashboard_Live_Data!I234</f>
        <v>0.93300000000000005</v>
      </c>
      <c r="F480">
        <f>Dashboard_Live_Data!L234</f>
        <v>-177621.89133436125</v>
      </c>
      <c r="G480">
        <f>Dashboard_Live_Data!I234</f>
        <v>0.93300000000000005</v>
      </c>
      <c r="H480">
        <f>Dashboard_Live_Data!M234</f>
        <v>-181569.57405040326</v>
      </c>
    </row>
    <row r="481" spans="1:8">
      <c r="A481">
        <f>Dashboard_Live_Data!I235</f>
        <v>0.94199999999999995</v>
      </c>
      <c r="B481">
        <f>Dashboard_Live_Data!J235</f>
        <v>-23.031353320222479</v>
      </c>
      <c r="C481">
        <f>Dashboard_Live_Data!I235</f>
        <v>0.94199999999999995</v>
      </c>
      <c r="D481">
        <f>Dashboard_Live_Data!K235</f>
        <v>-87437.045115058572</v>
      </c>
      <c r="E481">
        <f>Dashboard_Live_Data!I235</f>
        <v>0.94199999999999995</v>
      </c>
      <c r="F481">
        <f>Dashboard_Live_Data!L235</f>
        <v>-179611.60663962277</v>
      </c>
      <c r="G481">
        <f>Dashboard_Live_Data!I235</f>
        <v>0.94199999999999995</v>
      </c>
      <c r="H481">
        <f>Dashboard_Live_Data!M235</f>
        <v>-183567.12131353328</v>
      </c>
    </row>
    <row r="482" spans="1:8">
      <c r="A482">
        <f>Dashboard_Live_Data!I236</f>
        <v>0.95</v>
      </c>
      <c r="B482">
        <f>Dashboard_Live_Data!J236</f>
        <v>-23.746844660086936</v>
      </c>
      <c r="C482">
        <f>Dashboard_Live_Data!I236</f>
        <v>0.95</v>
      </c>
      <c r="D482">
        <f>Dashboard_Live_Data!K236</f>
        <v>-88554.070883643246</v>
      </c>
      <c r="E482">
        <f>Dashboard_Live_Data!I236</f>
        <v>0.95</v>
      </c>
      <c r="F482">
        <f>Dashboard_Live_Data!L236</f>
        <v>-181371.54200338566</v>
      </c>
      <c r="G482">
        <f>Dashboard_Live_Data!I236</f>
        <v>0.95</v>
      </c>
      <c r="H482">
        <f>Dashboard_Live_Data!M236</f>
        <v>-185333.69359371395</v>
      </c>
    </row>
    <row r="483" spans="1:8">
      <c r="A483">
        <f>Dashboard_Live_Data!I237</f>
        <v>0.95799999999999996</v>
      </c>
      <c r="B483">
        <f>Dashboard_Live_Data!J237</f>
        <v>-24.47902381513677</v>
      </c>
      <c r="C483">
        <f>Dashboard_Live_Data!I237</f>
        <v>0.95799999999999996</v>
      </c>
      <c r="D483">
        <f>Dashboard_Live_Data!K237</f>
        <v>-89671.898520796967</v>
      </c>
      <c r="E483">
        <f>Dashboard_Live_Data!I237</f>
        <v>0.95799999999999996</v>
      </c>
      <c r="F483">
        <f>Dashboard_Live_Data!L237</f>
        <v>-183123.17397563395</v>
      </c>
      <c r="G483">
        <f>Dashboard_Live_Data!I237</f>
        <v>0.95799999999999996</v>
      </c>
      <c r="H483">
        <f>Dashboard_Live_Data!M237</f>
        <v>-187091.66215917439</v>
      </c>
    </row>
    <row r="484" spans="1:8">
      <c r="A484">
        <f>Dashboard_Live_Data!I238</f>
        <v>0.96699999999999997</v>
      </c>
      <c r="B484">
        <f>Dashboard_Live_Data!J238</f>
        <v>-25.322987391846254</v>
      </c>
      <c r="C484">
        <f>Dashboard_Live_Data!I238</f>
        <v>0.96699999999999997</v>
      </c>
      <c r="D484">
        <f>Dashboard_Live_Data!K238</f>
        <v>-90930.318556275321</v>
      </c>
      <c r="E484">
        <f>Dashboard_Live_Data!I238</f>
        <v>0.96699999999999997</v>
      </c>
      <c r="F484">
        <f>Dashboard_Live_Data!L238</f>
        <v>-185083.70199145714</v>
      </c>
      <c r="G484">
        <f>Dashboard_Live_Data!I238</f>
        <v>0.96699999999999997</v>
      </c>
      <c r="H484">
        <f>Dashboard_Live_Data!M238</f>
        <v>-189058.96620570039</v>
      </c>
    </row>
    <row r="485" spans="1:8">
      <c r="A485">
        <f>Dashboard_Live_Data!I239</f>
        <v>0.97499999999999998</v>
      </c>
      <c r="B485">
        <f>Dashboard_Live_Data!J239</f>
        <v>-26.091469511469313</v>
      </c>
      <c r="C485">
        <f>Dashboard_Live_Data!I239</f>
        <v>0.97499999999999998</v>
      </c>
      <c r="D485">
        <f>Dashboard_Live_Data!K239</f>
        <v>-92049.599695208031</v>
      </c>
      <c r="E485">
        <f>Dashboard_Live_Data!I239</f>
        <v>0.97499999999999998</v>
      </c>
      <c r="F485">
        <f>Dashboard_Live_Data!L239</f>
        <v>-186817.33873453335</v>
      </c>
      <c r="G485">
        <f>Dashboard_Live_Data!I239</f>
        <v>0.97499999999999998</v>
      </c>
      <c r="H485">
        <f>Dashboard_Live_Data!M239</f>
        <v>-190798.31818207764</v>
      </c>
    </row>
    <row r="486" spans="1:8">
      <c r="A486">
        <f>Dashboard_Live_Data!I240</f>
        <v>0.98299999999999998</v>
      </c>
      <c r="B486">
        <f>Dashboard_Live_Data!J240</f>
        <v>-26.877434485224512</v>
      </c>
      <c r="C486">
        <f>Dashboard_Live_Data!I240</f>
        <v>0.98299999999999998</v>
      </c>
      <c r="D486">
        <f>Dashboard_Live_Data!K240</f>
        <v>-93169.450020823526</v>
      </c>
      <c r="E486">
        <f>Dashboard_Live_Data!I240</f>
        <v>0.98299999999999998</v>
      </c>
      <c r="F486">
        <f>Dashboard_Live_Data!L240</f>
        <v>-188542.34891493848</v>
      </c>
      <c r="G486">
        <f>Dashboard_Live_Data!I240</f>
        <v>0.98299999999999998</v>
      </c>
      <c r="H486">
        <f>Dashboard_Live_Data!M240</f>
        <v>-192528.7589427018</v>
      </c>
    </row>
    <row r="487" spans="1:8">
      <c r="A487">
        <f>Dashboard_Live_Data!I241</f>
        <v>0.99199999999999999</v>
      </c>
      <c r="B487">
        <f>Dashboard_Live_Data!J241</f>
        <v>-27.782863149590867</v>
      </c>
      <c r="C487">
        <f>Dashboard_Live_Data!I241</f>
        <v>0.99199999999999999</v>
      </c>
      <c r="D487">
        <f>Dashboard_Live_Data!K241</f>
        <v>-94429.872930648256</v>
      </c>
      <c r="E487">
        <f>Dashboard_Live_Data!I241</f>
        <v>0.99199999999999999</v>
      </c>
      <c r="F487">
        <f>Dashboard_Live_Data!L241</f>
        <v>-190472.55314770059</v>
      </c>
      <c r="G487">
        <f>Dashboard_Live_Data!I241</f>
        <v>0.99199999999999999</v>
      </c>
      <c r="H487">
        <f>Dashboard_Live_Data!M241</f>
        <v>-194464.73837065237</v>
      </c>
    </row>
    <row r="488" spans="1:8">
      <c r="A488">
        <f>Dashboard_Live_Data!I242</f>
        <v>1</v>
      </c>
      <c r="B488">
        <f>Dashboard_Live_Data!J242</f>
        <v>-28.606835752051211</v>
      </c>
      <c r="C488">
        <f>Dashboard_Live_Data!I242</f>
        <v>1</v>
      </c>
      <c r="D488">
        <f>Dashboard_Live_Data!K242</f>
        <v>-95550.696824635204</v>
      </c>
      <c r="E488">
        <f>Dashboard_Live_Data!I242</f>
        <v>1</v>
      </c>
      <c r="F488">
        <f>Dashboard_Live_Data!L242</f>
        <v>-192178.91313344726</v>
      </c>
      <c r="G488">
        <f>Dashboard_Live_Data!I242</f>
        <v>1</v>
      </c>
      <c r="H488">
        <f>Dashboard_Live_Data!M242</f>
        <v>-196175.94007289349</v>
      </c>
    </row>
    <row r="491" spans="1:8">
      <c r="A491" t="s">
        <v>1072</v>
      </c>
    </row>
    <row r="492" spans="1:8">
      <c r="A492" t="s">
        <v>1073</v>
      </c>
      <c r="B492" t="s">
        <v>1074</v>
      </c>
    </row>
    <row r="493" spans="1:8">
      <c r="A493">
        <f>Dashboard_Live_Data!A2</f>
        <v>-60</v>
      </c>
      <c r="B493">
        <f>Dashboard_Live_Data!B2</f>
        <v>-5.1598139147735083</v>
      </c>
    </row>
    <row r="494" spans="1:8">
      <c r="A494">
        <f>Dashboard_Live_Data!A3</f>
        <v>-59.5</v>
      </c>
      <c r="B494">
        <f>Dashboard_Live_Data!B3</f>
        <v>-21.835331789793656</v>
      </c>
    </row>
    <row r="495" spans="1:8">
      <c r="A495">
        <f>Dashboard_Live_Data!A4</f>
        <v>-59</v>
      </c>
      <c r="B495">
        <f>Dashboard_Live_Data!B4</f>
        <v>-10.175549094884801</v>
      </c>
    </row>
    <row r="496" spans="1:8">
      <c r="A496">
        <f>Dashboard_Live_Data!A5</f>
        <v>-58.5</v>
      </c>
      <c r="B496">
        <f>Dashboard_Live_Data!B5</f>
        <v>-24.333979146785921</v>
      </c>
    </row>
    <row r="497" spans="1:2">
      <c r="A497">
        <f>Dashboard_Live_Data!A6</f>
        <v>-58</v>
      </c>
      <c r="B497">
        <f>Dashboard_Live_Data!B6</f>
        <v>-34.145943095855884</v>
      </c>
    </row>
    <row r="498" spans="1:2">
      <c r="A498">
        <f>Dashboard_Live_Data!A7</f>
        <v>-57.5</v>
      </c>
      <c r="B498">
        <f>Dashboard_Live_Data!B7</f>
        <v>-37.186207563963677</v>
      </c>
    </row>
    <row r="499" spans="1:2">
      <c r="A499">
        <f>Dashboard_Live_Data!A8</f>
        <v>-57</v>
      </c>
      <c r="B499">
        <f>Dashboard_Live_Data!B8</f>
        <v>-57.977783396987462</v>
      </c>
    </row>
    <row r="500" spans="1:2">
      <c r="A500">
        <f>Dashboard_Live_Data!A9</f>
        <v>-56.5</v>
      </c>
      <c r="B500">
        <f>Dashboard_Live_Data!B9</f>
        <v>-59.899357079548835</v>
      </c>
    </row>
    <row r="501" spans="1:2">
      <c r="A501">
        <f>Dashboard_Live_Data!A10</f>
        <v>-56</v>
      </c>
      <c r="B501">
        <f>Dashboard_Live_Data!B10</f>
        <v>-64.557130403286848</v>
      </c>
    </row>
    <row r="502" spans="1:2">
      <c r="A502">
        <f>Dashboard_Live_Data!A11</f>
        <v>-55.5</v>
      </c>
      <c r="B502">
        <f>Dashboard_Live_Data!B11</f>
        <v>-41.335684767984432</v>
      </c>
    </row>
    <row r="503" spans="1:2">
      <c r="A503">
        <f>Dashboard_Live_Data!A12</f>
        <v>-55</v>
      </c>
      <c r="B503">
        <f>Dashboard_Live_Data!B12</f>
        <v>-49.580950405175827</v>
      </c>
    </row>
    <row r="504" spans="1:2">
      <c r="A504">
        <f>Dashboard_Live_Data!A13</f>
        <v>-54.5</v>
      </c>
      <c r="B504">
        <f>Dashboard_Live_Data!B13</f>
        <v>-53.113671796019418</v>
      </c>
    </row>
    <row r="505" spans="1:2">
      <c r="A505">
        <f>Dashboard_Live_Data!A14</f>
        <v>-54</v>
      </c>
      <c r="B505">
        <f>Dashboard_Live_Data!B14</f>
        <v>-41.23963182688874</v>
      </c>
    </row>
    <row r="506" spans="1:2">
      <c r="A506">
        <f>Dashboard_Live_Data!A15</f>
        <v>-53.5</v>
      </c>
      <c r="B506">
        <f>Dashboard_Live_Data!B15</f>
        <v>-52.892029610175058</v>
      </c>
    </row>
    <row r="507" spans="1:2">
      <c r="A507">
        <f>Dashboard_Live_Data!A16</f>
        <v>-53</v>
      </c>
      <c r="B507">
        <f>Dashboard_Live_Data!B16</f>
        <v>-58.581245405273933</v>
      </c>
    </row>
    <row r="508" spans="1:2">
      <c r="A508">
        <f>Dashboard_Live_Data!A17</f>
        <v>-52.5</v>
      </c>
      <c r="B508">
        <f>Dashboard_Live_Data!B17</f>
        <v>-45.612087128365545</v>
      </c>
    </row>
    <row r="509" spans="1:2">
      <c r="A509">
        <f>Dashboard_Live_Data!A18</f>
        <v>-52</v>
      </c>
      <c r="B509">
        <f>Dashboard_Live_Data!B18</f>
        <v>-47.856017965662431</v>
      </c>
    </row>
    <row r="510" spans="1:2">
      <c r="A510">
        <f>Dashboard_Live_Data!A19</f>
        <v>-51.5</v>
      </c>
      <c r="B510">
        <f>Dashboard_Live_Data!B19</f>
        <v>-36.597181996407414</v>
      </c>
    </row>
    <row r="511" spans="1:2">
      <c r="A511">
        <f>Dashboard_Live_Data!A20</f>
        <v>-51</v>
      </c>
      <c r="B511">
        <f>Dashboard_Live_Data!B20</f>
        <v>-43.00623256223966</v>
      </c>
    </row>
    <row r="512" spans="1:2">
      <c r="A512">
        <f>Dashboard_Live_Data!A21</f>
        <v>-50.5</v>
      </c>
      <c r="B512">
        <f>Dashboard_Live_Data!B21</f>
        <v>-51.799677956981668</v>
      </c>
    </row>
    <row r="513" spans="1:2">
      <c r="A513">
        <f>Dashboard_Live_Data!A22</f>
        <v>-50</v>
      </c>
      <c r="B513">
        <f>Dashboard_Live_Data!B22</f>
        <v>-33.139884463778117</v>
      </c>
    </row>
    <row r="514" spans="1:2">
      <c r="A514">
        <f>Dashboard_Live_Data!A23</f>
        <v>-49.5</v>
      </c>
      <c r="B514">
        <f>Dashboard_Live_Data!B23</f>
        <v>-55.728002609540795</v>
      </c>
    </row>
    <row r="515" spans="1:2">
      <c r="A515">
        <f>Dashboard_Live_Data!A24</f>
        <v>-49</v>
      </c>
      <c r="B515">
        <f>Dashboard_Live_Data!B24</f>
        <v>-43.550598187846987</v>
      </c>
    </row>
    <row r="516" spans="1:2">
      <c r="A516">
        <f>Dashboard_Live_Data!A25</f>
        <v>-48.5</v>
      </c>
      <c r="B516">
        <f>Dashboard_Live_Data!B25</f>
        <v>-44.128409691697158</v>
      </c>
    </row>
    <row r="517" spans="1:2">
      <c r="A517">
        <f>Dashboard_Live_Data!A26</f>
        <v>-48</v>
      </c>
      <c r="B517">
        <f>Dashboard_Live_Data!B26</f>
        <v>-59.249334875028353</v>
      </c>
    </row>
    <row r="518" spans="1:2">
      <c r="A518">
        <f>Dashboard_Live_Data!A27</f>
        <v>-47.5</v>
      </c>
      <c r="B518">
        <f>Dashboard_Live_Data!B27</f>
        <v>-57.617087521215637</v>
      </c>
    </row>
    <row r="519" spans="1:2">
      <c r="A519">
        <f>Dashboard_Live_Data!A28</f>
        <v>-47</v>
      </c>
      <c r="B519">
        <f>Dashboard_Live_Data!B28</f>
        <v>-64.67682483280376</v>
      </c>
    </row>
    <row r="520" spans="1:2">
      <c r="A520">
        <f>Dashboard_Live_Data!A29</f>
        <v>-46.5</v>
      </c>
      <c r="B520">
        <f>Dashboard_Live_Data!B29</f>
        <v>-60.935373694277501</v>
      </c>
    </row>
    <row r="521" spans="1:2">
      <c r="A521">
        <f>Dashboard_Live_Data!A30</f>
        <v>-46</v>
      </c>
      <c r="B521">
        <f>Dashboard_Live_Data!B30</f>
        <v>-52.674234164719905</v>
      </c>
    </row>
    <row r="522" spans="1:2">
      <c r="A522">
        <f>Dashboard_Live_Data!A31</f>
        <v>-45.5</v>
      </c>
      <c r="B522">
        <f>Dashboard_Live_Data!B31</f>
        <v>-39.870802798509942</v>
      </c>
    </row>
    <row r="523" spans="1:2">
      <c r="A523">
        <f>Dashboard_Live_Data!A32</f>
        <v>-45</v>
      </c>
      <c r="B523">
        <f>Dashboard_Live_Data!B32</f>
        <v>-49.267020374654436</v>
      </c>
    </row>
    <row r="524" spans="1:2">
      <c r="A524">
        <f>Dashboard_Live_Data!A33</f>
        <v>-44.5</v>
      </c>
      <c r="B524">
        <f>Dashboard_Live_Data!B33</f>
        <v>-30.449261480925486</v>
      </c>
    </row>
    <row r="525" spans="1:2">
      <c r="A525">
        <f>Dashboard_Live_Data!A34</f>
        <v>-44</v>
      </c>
      <c r="B525">
        <f>Dashboard_Live_Data!B34</f>
        <v>-21.298233057130091</v>
      </c>
    </row>
    <row r="526" spans="1:2">
      <c r="A526">
        <f>Dashboard_Live_Data!A35</f>
        <v>-43.5</v>
      </c>
      <c r="B526">
        <f>Dashboard_Live_Data!B35</f>
        <v>-25.116904375128371</v>
      </c>
    </row>
    <row r="527" spans="1:2">
      <c r="A527">
        <f>Dashboard_Live_Data!A36</f>
        <v>-43</v>
      </c>
      <c r="B527">
        <f>Dashboard_Live_Data!B36</f>
        <v>-5.851868406506469</v>
      </c>
    </row>
    <row r="528" spans="1:2">
      <c r="A528">
        <f>Dashboard_Live_Data!A37</f>
        <v>-42.5</v>
      </c>
      <c r="B528">
        <f>Dashboard_Live_Data!B37</f>
        <v>-11.611992984345875</v>
      </c>
    </row>
    <row r="529" spans="1:2">
      <c r="A529">
        <f>Dashboard_Live_Data!A38</f>
        <v>-42</v>
      </c>
      <c r="B529">
        <f>Dashboard_Live_Data!B38</f>
        <v>6.7213152432573793</v>
      </c>
    </row>
    <row r="530" spans="1:2">
      <c r="A530">
        <f>Dashboard_Live_Data!A39</f>
        <v>-41.5</v>
      </c>
      <c r="B530">
        <f>Dashboard_Live_Data!B39</f>
        <v>13.847610350363624</v>
      </c>
    </row>
    <row r="531" spans="1:2">
      <c r="A531">
        <f>Dashboard_Live_Data!A40</f>
        <v>-41</v>
      </c>
      <c r="B531">
        <f>Dashboard_Live_Data!B40</f>
        <v>15.915812814890273</v>
      </c>
    </row>
    <row r="532" spans="1:2">
      <c r="A532">
        <f>Dashboard_Live_Data!A41</f>
        <v>-40.5</v>
      </c>
      <c r="B532">
        <f>Dashboard_Live_Data!B41</f>
        <v>12.946690285493901</v>
      </c>
    </row>
    <row r="533" spans="1:2">
      <c r="A533">
        <f>Dashboard_Live_Data!A42</f>
        <v>-40</v>
      </c>
      <c r="B533">
        <f>Dashboard_Live_Data!B42</f>
        <v>29.102694375902416</v>
      </c>
    </row>
    <row r="534" spans="1:2">
      <c r="A534">
        <f>Dashboard_Live_Data!A43</f>
        <v>-39.5</v>
      </c>
      <c r="B534">
        <f>Dashboard_Live_Data!B43</f>
        <v>31.11424964805272</v>
      </c>
    </row>
    <row r="535" spans="1:2">
      <c r="A535">
        <f>Dashboard_Live_Data!A44</f>
        <v>-39</v>
      </c>
      <c r="B535">
        <f>Dashboard_Live_Data!B44</f>
        <v>30.101673250917116</v>
      </c>
    </row>
    <row r="536" spans="1:2">
      <c r="A536">
        <f>Dashboard_Live_Data!A45</f>
        <v>-38.5</v>
      </c>
      <c r="B536">
        <f>Dashboard_Live_Data!B45</f>
        <v>32.133994706628584</v>
      </c>
    </row>
    <row r="537" spans="1:2">
      <c r="A537">
        <f>Dashboard_Live_Data!A46</f>
        <v>-38</v>
      </c>
      <c r="B537">
        <f>Dashboard_Live_Data!B46</f>
        <v>19.121723348470368</v>
      </c>
    </row>
    <row r="538" spans="1:2">
      <c r="A538">
        <f>Dashboard_Live_Data!A47</f>
        <v>-37.5</v>
      </c>
      <c r="B538">
        <f>Dashboard_Live_Data!B47</f>
        <v>16.336825651858959</v>
      </c>
    </row>
    <row r="539" spans="1:2">
      <c r="A539">
        <f>Dashboard_Live_Data!A48</f>
        <v>-37</v>
      </c>
      <c r="B539">
        <f>Dashboard_Live_Data!B48</f>
        <v>23.552479750778133</v>
      </c>
    </row>
    <row r="540" spans="1:2">
      <c r="A540">
        <f>Dashboard_Live_Data!A49</f>
        <v>-36.5</v>
      </c>
      <c r="B540">
        <f>Dashboard_Live_Data!B49</f>
        <v>19.031661238944139</v>
      </c>
    </row>
    <row r="541" spans="1:2">
      <c r="A541">
        <f>Dashboard_Live_Data!A50</f>
        <v>-36</v>
      </c>
      <c r="B541">
        <f>Dashboard_Live_Data!B50</f>
        <v>-0.26232181931044352</v>
      </c>
    </row>
    <row r="542" spans="1:2">
      <c r="A542">
        <f>Dashboard_Live_Data!A51</f>
        <v>-35.5</v>
      </c>
      <c r="B542">
        <f>Dashboard_Live_Data!B51</f>
        <v>-1.9757328739763693</v>
      </c>
    </row>
    <row r="543" spans="1:2">
      <c r="A543">
        <f>Dashboard_Live_Data!A52</f>
        <v>-35</v>
      </c>
      <c r="B543">
        <f>Dashboard_Live_Data!B52</f>
        <v>7.184875005316087</v>
      </c>
    </row>
    <row r="544" spans="1:2">
      <c r="A544">
        <f>Dashboard_Live_Data!A53</f>
        <v>-34.5</v>
      </c>
      <c r="B544">
        <f>Dashboard_Live_Data!B53</f>
        <v>7.0681567566898593</v>
      </c>
    </row>
    <row r="545" spans="1:2">
      <c r="A545">
        <f>Dashboard_Live_Data!A54</f>
        <v>-34</v>
      </c>
      <c r="B545">
        <f>Dashboard_Live_Data!B54</f>
        <v>-2.9998358134611181</v>
      </c>
    </row>
    <row r="546" spans="1:2">
      <c r="A546">
        <f>Dashboard_Live_Data!A55</f>
        <v>-33.5</v>
      </c>
      <c r="B546">
        <f>Dashboard_Live_Data!B55</f>
        <v>-11.292096223706039</v>
      </c>
    </row>
    <row r="547" spans="1:2">
      <c r="A547">
        <f>Dashboard_Live_Data!A56</f>
        <v>-33</v>
      </c>
      <c r="B547">
        <f>Dashboard_Live_Data!B56</f>
        <v>-15.738275591660624</v>
      </c>
    </row>
    <row r="548" spans="1:2">
      <c r="A548">
        <f>Dashboard_Live_Data!A57</f>
        <v>-32.5</v>
      </c>
      <c r="B548">
        <f>Dashboard_Live_Data!B57</f>
        <v>-17.069178766706841</v>
      </c>
    </row>
    <row r="549" spans="1:2">
      <c r="A549">
        <f>Dashboard_Live_Data!A58</f>
        <v>-32</v>
      </c>
      <c r="B549">
        <f>Dashboard_Live_Data!B58</f>
        <v>-8.4685070156908182</v>
      </c>
    </row>
    <row r="550" spans="1:2">
      <c r="A550">
        <f>Dashboard_Live_Data!A59</f>
        <v>-31.5</v>
      </c>
      <c r="B550">
        <f>Dashboard_Live_Data!B59</f>
        <v>-12.093868668153164</v>
      </c>
    </row>
    <row r="551" spans="1:2">
      <c r="A551">
        <f>Dashboard_Live_Data!A60</f>
        <v>-31</v>
      </c>
      <c r="B551">
        <f>Dashboard_Live_Data!B60</f>
        <v>10.459386000426377</v>
      </c>
    </row>
    <row r="552" spans="1:2">
      <c r="A552">
        <f>Dashboard_Live_Data!A61</f>
        <v>-30.5</v>
      </c>
      <c r="B552">
        <f>Dashboard_Live_Data!B61</f>
        <v>4.9000525429464119</v>
      </c>
    </row>
    <row r="553" spans="1:2">
      <c r="A553">
        <f>Dashboard_Live_Data!A62</f>
        <v>-30</v>
      </c>
      <c r="B553">
        <f>Dashboard_Live_Data!B62</f>
        <v>15.012442539728227</v>
      </c>
    </row>
    <row r="554" spans="1:2">
      <c r="A554">
        <f>Dashboard_Live_Data!A63</f>
        <v>-29.5</v>
      </c>
      <c r="B554">
        <f>Dashboard_Live_Data!B63</f>
        <v>33.788774492541393</v>
      </c>
    </row>
    <row r="555" spans="1:2">
      <c r="A555">
        <f>Dashboard_Live_Data!A64</f>
        <v>-29</v>
      </c>
      <c r="B555">
        <f>Dashboard_Live_Data!B64</f>
        <v>20.490290570501998</v>
      </c>
    </row>
    <row r="556" spans="1:2">
      <c r="A556">
        <f>Dashboard_Live_Data!A65</f>
        <v>-28.5</v>
      </c>
      <c r="B556">
        <f>Dashboard_Live_Data!B65</f>
        <v>27.555588112128021</v>
      </c>
    </row>
    <row r="557" spans="1:2">
      <c r="A557">
        <f>Dashboard_Live_Data!A66</f>
        <v>-28</v>
      </c>
      <c r="B557">
        <f>Dashboard_Live_Data!B66</f>
        <v>50.862978516004318</v>
      </c>
    </row>
    <row r="558" spans="1:2">
      <c r="A558">
        <f>Dashboard_Live_Data!A67</f>
        <v>-27.5</v>
      </c>
      <c r="B558">
        <f>Dashboard_Live_Data!B67</f>
        <v>61.019347257202469</v>
      </c>
    </row>
    <row r="559" spans="1:2">
      <c r="A559">
        <f>Dashboard_Live_Data!A68</f>
        <v>-27</v>
      </c>
      <c r="B559">
        <f>Dashboard_Live_Data!B68</f>
        <v>67.758402864302582</v>
      </c>
    </row>
    <row r="560" spans="1:2">
      <c r="A560">
        <f>Dashboard_Live_Data!A69</f>
        <v>-26.5</v>
      </c>
      <c r="B560">
        <f>Dashboard_Live_Data!B69</f>
        <v>76.235688003609084</v>
      </c>
    </row>
    <row r="561" spans="1:2">
      <c r="A561">
        <f>Dashboard_Live_Data!A70</f>
        <v>-26</v>
      </c>
      <c r="B561">
        <f>Dashboard_Live_Data!B70</f>
        <v>80.44622831250399</v>
      </c>
    </row>
    <row r="562" spans="1:2">
      <c r="A562">
        <f>Dashboard_Live_Data!A71</f>
        <v>-25.5</v>
      </c>
      <c r="B562">
        <f>Dashboard_Live_Data!B71</f>
        <v>102.62475841942188</v>
      </c>
    </row>
    <row r="563" spans="1:2">
      <c r="A563">
        <f>Dashboard_Live_Data!A72</f>
        <v>-25</v>
      </c>
      <c r="B563">
        <f>Dashboard_Live_Data!B72</f>
        <v>95.962728503082303</v>
      </c>
    </row>
    <row r="564" spans="1:2">
      <c r="A564">
        <f>Dashboard_Live_Data!A73</f>
        <v>-24.5</v>
      </c>
      <c r="B564">
        <f>Dashboard_Live_Data!B73</f>
        <v>111.95944336496797</v>
      </c>
    </row>
    <row r="565" spans="1:2">
      <c r="A565">
        <f>Dashboard_Live_Data!A74</f>
        <v>-24</v>
      </c>
      <c r="B565">
        <f>Dashboard_Live_Data!B74</f>
        <v>109.9110637934084</v>
      </c>
    </row>
    <row r="566" spans="1:2">
      <c r="A566">
        <f>Dashboard_Live_Data!A75</f>
        <v>-23.5</v>
      </c>
      <c r="B566">
        <f>Dashboard_Live_Data!B75</f>
        <v>124.07412737469122</v>
      </c>
    </row>
    <row r="567" spans="1:2">
      <c r="A567">
        <f>Dashboard_Live_Data!A76</f>
        <v>-23</v>
      </c>
      <c r="B567">
        <f>Dashboard_Live_Data!B76</f>
        <v>130.9673287407926</v>
      </c>
    </row>
    <row r="568" spans="1:2">
      <c r="A568">
        <f>Dashboard_Live_Data!A77</f>
        <v>-22.5</v>
      </c>
      <c r="B568">
        <f>Dashboard_Live_Data!B77</f>
        <v>136.70768045990502</v>
      </c>
    </row>
    <row r="569" spans="1:2">
      <c r="A569">
        <f>Dashboard_Live_Data!A78</f>
        <v>-22</v>
      </c>
      <c r="B569">
        <f>Dashboard_Live_Data!B78</f>
        <v>142.38034814799482</v>
      </c>
    </row>
    <row r="570" spans="1:2">
      <c r="A570">
        <f>Dashboard_Live_Data!A79</f>
        <v>-21.5</v>
      </c>
      <c r="B570">
        <f>Dashboard_Live_Data!B79</f>
        <v>155.16461387832436</v>
      </c>
    </row>
    <row r="571" spans="1:2">
      <c r="A571">
        <f>Dashboard_Live_Data!A80</f>
        <v>-21</v>
      </c>
      <c r="B571">
        <f>Dashboard_Live_Data!B80</f>
        <v>140.71817235691083</v>
      </c>
    </row>
    <row r="572" spans="1:2">
      <c r="A572">
        <f>Dashboard_Live_Data!A81</f>
        <v>-20.5</v>
      </c>
      <c r="B572">
        <f>Dashboard_Live_Data!B81</f>
        <v>138.79258237955816</v>
      </c>
    </row>
    <row r="573" spans="1:2">
      <c r="A573">
        <f>Dashboard_Live_Data!A82</f>
        <v>-20</v>
      </c>
      <c r="B573">
        <f>Dashboard_Live_Data!B82</f>
        <v>144.62990488789717</v>
      </c>
    </row>
    <row r="574" spans="1:2">
      <c r="A574">
        <f>Dashboard_Live_Data!A83</f>
        <v>-19.5</v>
      </c>
      <c r="B574">
        <f>Dashboard_Live_Data!B83</f>
        <v>138.25591202163065</v>
      </c>
    </row>
    <row r="575" spans="1:2">
      <c r="A575">
        <f>Dashboard_Live_Data!A84</f>
        <v>-19</v>
      </c>
      <c r="B575">
        <f>Dashboard_Live_Data!B84</f>
        <v>143.08942338681692</v>
      </c>
    </row>
    <row r="576" spans="1:2">
      <c r="A576">
        <f>Dashboard_Live_Data!A85</f>
        <v>-18.5</v>
      </c>
      <c r="B576">
        <f>Dashboard_Live_Data!B85</f>
        <v>134.92945436293479</v>
      </c>
    </row>
    <row r="577" spans="1:2">
      <c r="A577">
        <f>Dashboard_Live_Data!A86</f>
        <v>-18</v>
      </c>
      <c r="B577">
        <f>Dashboard_Live_Data!B86</f>
        <v>147.29813428303765</v>
      </c>
    </row>
    <row r="578" spans="1:2">
      <c r="A578">
        <f>Dashboard_Live_Data!A87</f>
        <v>-17.5</v>
      </c>
      <c r="B578">
        <f>Dashboard_Live_Data!B87</f>
        <v>137.25939183843724</v>
      </c>
    </row>
    <row r="579" spans="1:2">
      <c r="A579">
        <f>Dashboard_Live_Data!A88</f>
        <v>-17</v>
      </c>
      <c r="B579">
        <f>Dashboard_Live_Data!B88</f>
        <v>123.99875892548812</v>
      </c>
    </row>
    <row r="580" spans="1:2">
      <c r="A580">
        <f>Dashboard_Live_Data!A89</f>
        <v>-16.5</v>
      </c>
      <c r="B580">
        <f>Dashboard_Live_Data!B89</f>
        <v>122.1642571318593</v>
      </c>
    </row>
    <row r="581" spans="1:2">
      <c r="A581">
        <f>Dashboard_Live_Data!A90</f>
        <v>-16</v>
      </c>
      <c r="B581">
        <f>Dashboard_Live_Data!B90</f>
        <v>95.693433377809242</v>
      </c>
    </row>
    <row r="582" spans="1:2">
      <c r="A582">
        <f>Dashboard_Live_Data!A91</f>
        <v>-15.5</v>
      </c>
      <c r="B582">
        <f>Dashboard_Live_Data!B91</f>
        <v>107.59636634063799</v>
      </c>
    </row>
    <row r="583" spans="1:2">
      <c r="A583">
        <f>Dashboard_Live_Data!A92</f>
        <v>-15</v>
      </c>
      <c r="B583">
        <f>Dashboard_Live_Data!B92</f>
        <v>88.756788598213006</v>
      </c>
    </row>
    <row r="584" spans="1:2">
      <c r="A584">
        <f>Dashboard_Live_Data!A93</f>
        <v>-14.5</v>
      </c>
      <c r="B584">
        <f>Dashboard_Live_Data!B93</f>
        <v>84.908234970624108</v>
      </c>
    </row>
    <row r="585" spans="1:2">
      <c r="A585">
        <f>Dashboard_Live_Data!A94</f>
        <v>-14</v>
      </c>
      <c r="B585">
        <f>Dashboard_Live_Data!B94</f>
        <v>82.668820361240989</v>
      </c>
    </row>
    <row r="586" spans="1:2">
      <c r="A586">
        <f>Dashboard_Live_Data!A95</f>
        <v>-13.5</v>
      </c>
      <c r="B586">
        <f>Dashboard_Live_Data!B95</f>
        <v>59.371781486156976</v>
      </c>
    </row>
    <row r="587" spans="1:2">
      <c r="A587">
        <f>Dashboard_Live_Data!A96</f>
        <v>-13</v>
      </c>
      <c r="B587">
        <f>Dashboard_Live_Data!B96</f>
        <v>62.404091952712747</v>
      </c>
    </row>
    <row r="588" spans="1:2">
      <c r="A588">
        <f>Dashboard_Live_Data!A97</f>
        <v>-12.5</v>
      </c>
      <c r="B588">
        <f>Dashboard_Live_Data!B97</f>
        <v>68.461065372714472</v>
      </c>
    </row>
    <row r="589" spans="1:2">
      <c r="A589">
        <f>Dashboard_Live_Data!A98</f>
        <v>-12</v>
      </c>
      <c r="B589">
        <f>Dashboard_Live_Data!B98</f>
        <v>45.903038773874755</v>
      </c>
    </row>
    <row r="590" spans="1:2">
      <c r="A590">
        <f>Dashboard_Live_Data!A99</f>
        <v>-11.5</v>
      </c>
      <c r="B590">
        <f>Dashboard_Live_Data!B99</f>
        <v>46.360067612825787</v>
      </c>
    </row>
    <row r="591" spans="1:2">
      <c r="A591">
        <f>Dashboard_Live_Data!A100</f>
        <v>-11</v>
      </c>
      <c r="B591">
        <f>Dashboard_Live_Data!B100</f>
        <v>41.593952857360478</v>
      </c>
    </row>
    <row r="592" spans="1:2">
      <c r="A592">
        <f>Dashboard_Live_Data!A101</f>
        <v>-10.5</v>
      </c>
      <c r="B592">
        <f>Dashboard_Live_Data!B101</f>
        <v>50.397336839977299</v>
      </c>
    </row>
    <row r="593" spans="1:2">
      <c r="A593">
        <f>Dashboard_Live_Data!A102</f>
        <v>-10</v>
      </c>
      <c r="B593">
        <f>Dashboard_Live_Data!B102</f>
        <v>47.742627493343548</v>
      </c>
    </row>
    <row r="594" spans="1:2">
      <c r="A594">
        <f>Dashboard_Live_Data!A103</f>
        <v>-9.5</v>
      </c>
      <c r="B594">
        <f>Dashboard_Live_Data!B103</f>
        <v>30.622778156968423</v>
      </c>
    </row>
    <row r="595" spans="1:2">
      <c r="A595">
        <f>Dashboard_Live_Data!A104</f>
        <v>-9</v>
      </c>
      <c r="B595">
        <f>Dashboard_Live_Data!B104</f>
        <v>45.753063767806793</v>
      </c>
    </row>
    <row r="596" spans="1:2">
      <c r="A596">
        <f>Dashboard_Live_Data!A105</f>
        <v>-8.5</v>
      </c>
      <c r="B596">
        <f>Dashboard_Live_Data!B105</f>
        <v>60.269090797253341</v>
      </c>
    </row>
    <row r="597" spans="1:2">
      <c r="A597">
        <f>Dashboard_Live_Data!A106</f>
        <v>-8</v>
      </c>
      <c r="B597">
        <f>Dashboard_Live_Data!B106</f>
        <v>37.729285031690893</v>
      </c>
    </row>
    <row r="598" spans="1:2">
      <c r="A598">
        <f>Dashboard_Live_Data!A107</f>
        <v>-7.5</v>
      </c>
      <c r="B598">
        <f>Dashboard_Live_Data!B107</f>
        <v>41.648227056233168</v>
      </c>
    </row>
    <row r="599" spans="1:2">
      <c r="A599">
        <f>Dashboard_Live_Data!A108</f>
        <v>-7</v>
      </c>
      <c r="B599">
        <f>Dashboard_Live_Data!B108</f>
        <v>46.578034292227301</v>
      </c>
    </row>
    <row r="600" spans="1:2">
      <c r="A600">
        <f>Dashboard_Live_Data!A109</f>
        <v>-6.5</v>
      </c>
      <c r="B600">
        <f>Dashboard_Live_Data!B109</f>
        <v>57.970376646698242</v>
      </c>
    </row>
    <row r="601" spans="1:2">
      <c r="A601">
        <f>Dashboard_Live_Data!A110</f>
        <v>-6</v>
      </c>
      <c r="B601">
        <f>Dashboard_Live_Data!B110</f>
        <v>59.64286286593574</v>
      </c>
    </row>
    <row r="602" spans="1:2">
      <c r="A602">
        <f>Dashboard_Live_Data!A111</f>
        <v>-5.5</v>
      </c>
      <c r="B602">
        <f>Dashboard_Live_Data!B111</f>
        <v>62.181293006953979</v>
      </c>
    </row>
    <row r="603" spans="1:2">
      <c r="A603">
        <f>Dashboard_Live_Data!A112</f>
        <v>-5</v>
      </c>
      <c r="B603">
        <f>Dashboard_Live_Data!B112</f>
        <v>72.281939036210986</v>
      </c>
    </row>
    <row r="604" spans="1:2">
      <c r="A604">
        <f>Dashboard_Live_Data!A113</f>
        <v>-4.5</v>
      </c>
      <c r="B604">
        <f>Dashboard_Live_Data!B113</f>
        <v>71.745721400125433</v>
      </c>
    </row>
    <row r="605" spans="1:2">
      <c r="A605">
        <f>Dashboard_Live_Data!A114</f>
        <v>-4</v>
      </c>
      <c r="B605">
        <f>Dashboard_Live_Data!B114</f>
        <v>72.8933434872161</v>
      </c>
    </row>
    <row r="606" spans="1:2">
      <c r="A606">
        <f>Dashboard_Live_Data!A115</f>
        <v>-3.5</v>
      </c>
      <c r="B606">
        <f>Dashboard_Live_Data!B115</f>
        <v>77.379548586023645</v>
      </c>
    </row>
    <row r="607" spans="1:2">
      <c r="A607">
        <f>Dashboard_Live_Data!A116</f>
        <v>-3</v>
      </c>
      <c r="B607">
        <f>Dashboard_Live_Data!B116</f>
        <v>66.371488422262246</v>
      </c>
    </row>
    <row r="608" spans="1:2">
      <c r="A608">
        <f>Dashboard_Live_Data!A117</f>
        <v>-2.5</v>
      </c>
      <c r="B608">
        <f>Dashboard_Live_Data!B117</f>
        <v>48.52707596926308</v>
      </c>
    </row>
    <row r="609" spans="1:2">
      <c r="A609">
        <f>Dashboard_Live_Data!A118</f>
        <v>-2</v>
      </c>
      <c r="B609">
        <f>Dashboard_Live_Data!B118</f>
        <v>58.258002434762375</v>
      </c>
    </row>
    <row r="610" spans="1:2">
      <c r="A610">
        <f>Dashboard_Live_Data!A119</f>
        <v>-1.5</v>
      </c>
      <c r="B610">
        <f>Dashboard_Live_Data!B119</f>
        <v>32.824071586063098</v>
      </c>
    </row>
    <row r="611" spans="1:2">
      <c r="A611">
        <f>Dashboard_Live_Data!A120</f>
        <v>-1</v>
      </c>
      <c r="B611">
        <f>Dashboard_Live_Data!B120</f>
        <v>36.907458070122061</v>
      </c>
    </row>
    <row r="612" spans="1:2">
      <c r="A612">
        <f>Dashboard_Live_Data!A121</f>
        <v>-0.5</v>
      </c>
      <c r="B612">
        <f>Dashboard_Live_Data!B121</f>
        <v>14.490732066080454</v>
      </c>
    </row>
    <row r="613" spans="1:2">
      <c r="A613">
        <f>Dashboard_Live_Data!A122</f>
        <v>0</v>
      </c>
      <c r="B613">
        <f>Dashboard_Live_Data!B122</f>
        <v>3.4704730016699727</v>
      </c>
    </row>
    <row r="614" spans="1:2">
      <c r="A614">
        <f>Dashboard_Live_Data!A123</f>
        <v>0.5</v>
      </c>
      <c r="B614">
        <f>Dashboard_Live_Data!B123</f>
        <v>-3.7448872981941008</v>
      </c>
    </row>
    <row r="615" spans="1:2">
      <c r="A615">
        <f>Dashboard_Live_Data!A124</f>
        <v>1</v>
      </c>
      <c r="B615">
        <f>Dashboard_Live_Data!B124</f>
        <v>-44.609295210568973</v>
      </c>
    </row>
    <row r="616" spans="1:2">
      <c r="A616">
        <f>Dashboard_Live_Data!A125</f>
        <v>1.5</v>
      </c>
      <c r="B616">
        <f>Dashboard_Live_Data!B125</f>
        <v>-48.410441673202683</v>
      </c>
    </row>
    <row r="617" spans="1:2">
      <c r="A617">
        <f>Dashboard_Live_Data!A126</f>
        <v>2</v>
      </c>
      <c r="B617">
        <f>Dashboard_Live_Data!B126</f>
        <v>-67.212771614396502</v>
      </c>
    </row>
    <row r="618" spans="1:2">
      <c r="A618">
        <f>Dashboard_Live_Data!A127</f>
        <v>2.5</v>
      </c>
      <c r="B618">
        <f>Dashboard_Live_Data!B127</f>
        <v>-72.608719047947375</v>
      </c>
    </row>
    <row r="619" spans="1:2">
      <c r="A619">
        <f>Dashboard_Live_Data!A128</f>
        <v>3</v>
      </c>
      <c r="B619">
        <f>Dashboard_Live_Data!B128</f>
        <v>-83.795829514196839</v>
      </c>
    </row>
    <row r="620" spans="1:2">
      <c r="A620">
        <f>Dashboard_Live_Data!A129</f>
        <v>3.5</v>
      </c>
      <c r="B620">
        <f>Dashboard_Live_Data!B129</f>
        <v>-100.38174553044831</v>
      </c>
    </row>
    <row r="621" spans="1:2">
      <c r="A621">
        <f>Dashboard_Live_Data!A130</f>
        <v>4</v>
      </c>
      <c r="B621">
        <f>Dashboard_Live_Data!B130</f>
        <v>-98.134872256696838</v>
      </c>
    </row>
    <row r="622" spans="1:2">
      <c r="A622">
        <f>Dashboard_Live_Data!A131</f>
        <v>4.5</v>
      </c>
      <c r="B622">
        <f>Dashboard_Live_Data!B131</f>
        <v>-84.325591739787569</v>
      </c>
    </row>
    <row r="623" spans="1:2">
      <c r="A623">
        <f>Dashboard_Live_Data!A132</f>
        <v>5</v>
      </c>
      <c r="B623">
        <f>Dashboard_Live_Data!B132</f>
        <v>-100.70506580081894</v>
      </c>
    </row>
    <row r="624" spans="1:2">
      <c r="A624">
        <f>Dashboard_Live_Data!A133</f>
        <v>5.5</v>
      </c>
      <c r="B624">
        <f>Dashboard_Live_Data!B133</f>
        <v>-98.853802750612999</v>
      </c>
    </row>
    <row r="625" spans="1:2">
      <c r="A625">
        <f>Dashboard_Live_Data!A134</f>
        <v>6</v>
      </c>
      <c r="B625">
        <f>Dashboard_Live_Data!B134</f>
        <v>-72.078120228209968</v>
      </c>
    </row>
    <row r="626" spans="1:2">
      <c r="A626">
        <f>Dashboard_Live_Data!A135</f>
        <v>6.5</v>
      </c>
      <c r="B626">
        <f>Dashboard_Live_Data!B135</f>
        <v>-79.369364714509572</v>
      </c>
    </row>
    <row r="627" spans="1:2">
      <c r="A627">
        <f>Dashboard_Live_Data!A136</f>
        <v>7</v>
      </c>
      <c r="B627">
        <f>Dashboard_Live_Data!B136</f>
        <v>-68.687358696983324</v>
      </c>
    </row>
    <row r="628" spans="1:2">
      <c r="A628">
        <f>Dashboard_Live_Data!A137</f>
        <v>7.5</v>
      </c>
      <c r="B628">
        <f>Dashboard_Live_Data!B137</f>
        <v>-57.889061596077852</v>
      </c>
    </row>
    <row r="629" spans="1:2">
      <c r="A629">
        <f>Dashboard_Live_Data!A138</f>
        <v>8</v>
      </c>
      <c r="B629">
        <f>Dashboard_Live_Data!B138</f>
        <v>-47.678060396535784</v>
      </c>
    </row>
    <row r="630" spans="1:2">
      <c r="A630">
        <f>Dashboard_Live_Data!A139</f>
        <v>8.5</v>
      </c>
      <c r="B630">
        <f>Dashboard_Live_Data!B139</f>
        <v>-37.065595317726149</v>
      </c>
    </row>
    <row r="631" spans="1:2">
      <c r="A631">
        <f>Dashboard_Live_Data!A140</f>
        <v>9</v>
      </c>
      <c r="B631">
        <f>Dashboard_Live_Data!B140</f>
        <v>-31.298672514684142</v>
      </c>
    </row>
    <row r="632" spans="1:2">
      <c r="A632">
        <f>Dashboard_Live_Data!A141</f>
        <v>9.5</v>
      </c>
      <c r="B632">
        <f>Dashboard_Live_Data!B141</f>
        <v>-7.3318080667106642</v>
      </c>
    </row>
    <row r="633" spans="1:2">
      <c r="A633">
        <f>Dashboard_Live_Data!A142</f>
        <v>10</v>
      </c>
      <c r="B633">
        <f>Dashboard_Live_Data!B142</f>
        <v>6.950709341010338</v>
      </c>
    </row>
    <row r="634" spans="1:2">
      <c r="A634">
        <f>Dashboard_Live_Data!A143</f>
        <v>10.5</v>
      </c>
      <c r="B634">
        <f>Dashboard_Live_Data!B143</f>
        <v>-6.5189003511737269</v>
      </c>
    </row>
    <row r="635" spans="1:2">
      <c r="A635">
        <f>Dashboard_Live_Data!A144</f>
        <v>11</v>
      </c>
      <c r="B635">
        <f>Dashboard_Live_Data!B144</f>
        <v>-3.5716399061417405</v>
      </c>
    </row>
    <row r="636" spans="1:2">
      <c r="A636">
        <f>Dashboard_Live_Data!A145</f>
        <v>11.5</v>
      </c>
      <c r="B636">
        <f>Dashboard_Live_Data!B145</f>
        <v>-5.6614208329860958</v>
      </c>
    </row>
    <row r="637" spans="1:2">
      <c r="A637">
        <f>Dashboard_Live_Data!A146</f>
        <v>12</v>
      </c>
      <c r="B637">
        <f>Dashboard_Live_Data!B146</f>
        <v>-8.6714835805954635</v>
      </c>
    </row>
    <row r="638" spans="1:2">
      <c r="A638">
        <f>Dashboard_Live_Data!A147</f>
        <v>12.5</v>
      </c>
      <c r="B638">
        <f>Dashboard_Live_Data!B147</f>
        <v>4.0212494987608807</v>
      </c>
    </row>
    <row r="639" spans="1:2">
      <c r="A639">
        <f>Dashboard_Live_Data!A148</f>
        <v>13</v>
      </c>
      <c r="B639">
        <f>Dashboard_Live_Data!B148</f>
        <v>1.9459578878685306</v>
      </c>
    </row>
    <row r="640" spans="1:2">
      <c r="A640">
        <f>Dashboard_Live_Data!A149</f>
        <v>13.5</v>
      </c>
      <c r="B640">
        <f>Dashboard_Live_Data!B149</f>
        <v>-1.6666503235243226</v>
      </c>
    </row>
    <row r="641" spans="1:2">
      <c r="A641">
        <f>Dashboard_Live_Data!A150</f>
        <v>14</v>
      </c>
      <c r="B641">
        <f>Dashboard_Live_Data!B150</f>
        <v>-18.81128421623464</v>
      </c>
    </row>
    <row r="642" spans="1:2">
      <c r="A642">
        <f>Dashboard_Live_Data!A151</f>
        <v>14.5</v>
      </c>
      <c r="B642">
        <f>Dashboard_Live_Data!B151</f>
        <v>-29.029666399043833</v>
      </c>
    </row>
    <row r="643" spans="1:2">
      <c r="A643">
        <f>Dashboard_Live_Data!A152</f>
        <v>15</v>
      </c>
      <c r="B643">
        <f>Dashboard_Live_Data!B152</f>
        <v>-47.029230224199864</v>
      </c>
    </row>
    <row r="644" spans="1:2">
      <c r="A644">
        <f>Dashboard_Live_Data!A153</f>
        <v>15.5</v>
      </c>
      <c r="B644">
        <f>Dashboard_Live_Data!B153</f>
        <v>-50.770289839501061</v>
      </c>
    </row>
    <row r="645" spans="1:2">
      <c r="A645">
        <f>Dashboard_Live_Data!A154</f>
        <v>16</v>
      </c>
      <c r="B645">
        <f>Dashboard_Live_Data!B154</f>
        <v>-71.450922959813511</v>
      </c>
    </row>
    <row r="646" spans="1:2">
      <c r="A646">
        <f>Dashboard_Live_Data!A155</f>
        <v>16.5</v>
      </c>
      <c r="B646">
        <f>Dashboard_Live_Data!B155</f>
        <v>-73.29754339504791</v>
      </c>
    </row>
    <row r="647" spans="1:2">
      <c r="A647">
        <f>Dashboard_Live_Data!A156</f>
        <v>17</v>
      </c>
      <c r="B647">
        <f>Dashboard_Live_Data!B156</f>
        <v>-60.392783689960936</v>
      </c>
    </row>
    <row r="648" spans="1:2">
      <c r="A648">
        <f>Dashboard_Live_Data!A157</f>
        <v>17.5</v>
      </c>
      <c r="B648">
        <f>Dashboard_Live_Data!B157</f>
        <v>-67.596995005774716</v>
      </c>
    </row>
    <row r="649" spans="1:2">
      <c r="A649">
        <f>Dashboard_Live_Data!A158</f>
        <v>18</v>
      </c>
      <c r="B649">
        <f>Dashboard_Live_Data!B158</f>
        <v>-72.445528544479259</v>
      </c>
    </row>
    <row r="650" spans="1:2">
      <c r="A650">
        <f>Dashboard_Live_Data!A159</f>
        <v>18.5</v>
      </c>
      <c r="B650">
        <f>Dashboard_Live_Data!B159</f>
        <v>-86.117515031904816</v>
      </c>
    </row>
    <row r="651" spans="1:2">
      <c r="A651">
        <f>Dashboard_Live_Data!A160</f>
        <v>19</v>
      </c>
      <c r="B651">
        <f>Dashboard_Live_Data!B160</f>
        <v>-89.87063812898208</v>
      </c>
    </row>
    <row r="652" spans="1:2">
      <c r="A652">
        <f>Dashboard_Live_Data!A161</f>
        <v>19.5</v>
      </c>
      <c r="B652">
        <f>Dashboard_Live_Data!B161</f>
        <v>-82.237516127972413</v>
      </c>
    </row>
    <row r="653" spans="1:2">
      <c r="A653">
        <f>Dashboard_Live_Data!A162</f>
        <v>20</v>
      </c>
      <c r="B653">
        <f>Dashboard_Live_Data!B162</f>
        <v>-76.537047286753591</v>
      </c>
    </row>
    <row r="654" spans="1:2">
      <c r="A654">
        <f>Dashboard_Live_Data!A163</f>
        <v>20.5</v>
      </c>
      <c r="B654">
        <f>Dashboard_Live_Data!B163</f>
        <v>-79.34560005519478</v>
      </c>
    </row>
    <row r="655" spans="1:2">
      <c r="A655">
        <f>Dashboard_Live_Data!A164</f>
        <v>21</v>
      </c>
      <c r="B655">
        <f>Dashboard_Live_Data!B164</f>
        <v>-86.910470354337519</v>
      </c>
    </row>
    <row r="656" spans="1:2">
      <c r="A656">
        <f>Dashboard_Live_Data!A165</f>
        <v>21.5</v>
      </c>
      <c r="B656">
        <f>Dashboard_Live_Data!B165</f>
        <v>-86.016892507986825</v>
      </c>
    </row>
    <row r="657" spans="1:2">
      <c r="A657">
        <f>Dashboard_Live_Data!A166</f>
        <v>22</v>
      </c>
      <c r="B657">
        <f>Dashboard_Live_Data!B166</f>
        <v>-75.797704463875164</v>
      </c>
    </row>
    <row r="658" spans="1:2">
      <c r="A658">
        <f>Dashboard_Live_Data!A167</f>
        <v>22.5</v>
      </c>
      <c r="B658">
        <f>Dashboard_Live_Data!B167</f>
        <v>-76.314050678907279</v>
      </c>
    </row>
    <row r="659" spans="1:2">
      <c r="A659">
        <f>Dashboard_Live_Data!A168</f>
        <v>23</v>
      </c>
      <c r="B659">
        <f>Dashboard_Live_Data!B168</f>
        <v>-64.256336362316745</v>
      </c>
    </row>
    <row r="660" spans="1:2">
      <c r="A660">
        <f>Dashboard_Live_Data!A169</f>
        <v>23.5</v>
      </c>
      <c r="B660">
        <f>Dashboard_Live_Data!B169</f>
        <v>-73.472854012886899</v>
      </c>
    </row>
    <row r="661" spans="1:2">
      <c r="A661">
        <f>Dashboard_Live_Data!A170</f>
        <v>24</v>
      </c>
      <c r="B661">
        <f>Dashboard_Live_Data!B170</f>
        <v>-78.060971483419848</v>
      </c>
    </row>
    <row r="662" spans="1:2">
      <c r="A662">
        <f>Dashboard_Live_Data!A171</f>
        <v>24.5</v>
      </c>
      <c r="B662">
        <f>Dashboard_Live_Data!B171</f>
        <v>-82.777770367323853</v>
      </c>
    </row>
    <row r="663" spans="1:2">
      <c r="A663">
        <f>Dashboard_Live_Data!A172</f>
        <v>25</v>
      </c>
      <c r="B663">
        <f>Dashboard_Live_Data!B172</f>
        <v>-64.058600848829201</v>
      </c>
    </row>
    <row r="664" spans="1:2">
      <c r="A664">
        <f>Dashboard_Live_Data!A173</f>
        <v>25.5</v>
      </c>
      <c r="B664">
        <f>Dashboard_Live_Data!B173</f>
        <v>-70.334055130052491</v>
      </c>
    </row>
    <row r="665" spans="1:2">
      <c r="A665">
        <f>Dashboard_Live_Data!A174</f>
        <v>26</v>
      </c>
      <c r="B665">
        <f>Dashboard_Live_Data!B174</f>
        <v>-67.495623836873335</v>
      </c>
    </row>
    <row r="666" spans="1:2">
      <c r="A666">
        <f>Dashboard_Live_Data!A175</f>
        <v>26.5</v>
      </c>
      <c r="B666">
        <f>Dashboard_Live_Data!B175</f>
        <v>-72.003361039073809</v>
      </c>
    </row>
    <row r="667" spans="1:2">
      <c r="A667">
        <f>Dashboard_Live_Data!A176</f>
        <v>27</v>
      </c>
      <c r="B667">
        <f>Dashboard_Live_Data!B176</f>
        <v>-66.744062865204342</v>
      </c>
    </row>
    <row r="668" spans="1:2">
      <c r="A668">
        <f>Dashboard_Live_Data!A177</f>
        <v>27.5</v>
      </c>
      <c r="B668">
        <f>Dashboard_Live_Data!B177</f>
        <v>-48.058872961976704</v>
      </c>
    </row>
    <row r="669" spans="1:2">
      <c r="A669">
        <f>Dashboard_Live_Data!A178</f>
        <v>28</v>
      </c>
      <c r="B669">
        <f>Dashboard_Live_Data!B178</f>
        <v>-61.091364247969608</v>
      </c>
    </row>
    <row r="670" spans="1:2">
      <c r="A670">
        <f>Dashboard_Live_Data!A179</f>
        <v>28.5</v>
      </c>
      <c r="B670">
        <f>Dashboard_Live_Data!B179</f>
        <v>-55.904413669962196</v>
      </c>
    </row>
    <row r="671" spans="1:2">
      <c r="A671">
        <f>Dashboard_Live_Data!A180</f>
        <v>29</v>
      </c>
      <c r="B671">
        <f>Dashboard_Live_Data!B180</f>
        <v>-31.39290658082129</v>
      </c>
    </row>
    <row r="672" spans="1:2">
      <c r="A672">
        <f>Dashboard_Live_Data!A181</f>
        <v>29.5</v>
      </c>
      <c r="B672">
        <f>Dashboard_Live_Data!B181</f>
        <v>-22.367241319432367</v>
      </c>
    </row>
    <row r="673" spans="1:2">
      <c r="A673">
        <f>Dashboard_Live_Data!A182</f>
        <v>30</v>
      </c>
      <c r="B673">
        <f>Dashboard_Live_Data!B182</f>
        <v>-13.799924431809131</v>
      </c>
    </row>
    <row r="674" spans="1:2">
      <c r="A674">
        <f>Dashboard_Live_Data!A183</f>
        <v>30.5</v>
      </c>
      <c r="B674">
        <f>Dashboard_Live_Data!B183</f>
        <v>-6.1036281431614725</v>
      </c>
    </row>
    <row r="675" spans="1:2">
      <c r="A675">
        <f>Dashboard_Live_Data!A184</f>
        <v>31</v>
      </c>
      <c r="B675">
        <f>Dashboard_Live_Data!B184</f>
        <v>-20.543420099947923</v>
      </c>
    </row>
    <row r="676" spans="1:2">
      <c r="A676">
        <f>Dashboard_Live_Data!A185</f>
        <v>31.5</v>
      </c>
      <c r="B676">
        <f>Dashboard_Live_Data!B185</f>
        <v>-20.285394627742932</v>
      </c>
    </row>
    <row r="677" spans="1:2">
      <c r="A677">
        <f>Dashboard_Live_Data!A186</f>
        <v>32</v>
      </c>
      <c r="B677">
        <f>Dashboard_Live_Data!B186</f>
        <v>-0.42689792163008633</v>
      </c>
    </row>
    <row r="678" spans="1:2">
      <c r="A678">
        <f>Dashboard_Live_Data!A187</f>
        <v>32.5</v>
      </c>
      <c r="B678">
        <f>Dashboard_Live_Data!B187</f>
        <v>-7.7122295840595143</v>
      </c>
    </row>
    <row r="679" spans="1:2">
      <c r="A679">
        <f>Dashboard_Live_Data!A188</f>
        <v>33</v>
      </c>
      <c r="B679">
        <f>Dashboard_Live_Data!B188</f>
        <v>1.7249272045091288</v>
      </c>
    </row>
    <row r="680" spans="1:2">
      <c r="A680">
        <f>Dashboard_Live_Data!A189</f>
        <v>33.5</v>
      </c>
      <c r="B680">
        <f>Dashboard_Live_Data!B189</f>
        <v>-4.7420147805559338</v>
      </c>
    </row>
    <row r="681" spans="1:2">
      <c r="A681">
        <f>Dashboard_Live_Data!A190</f>
        <v>34</v>
      </c>
      <c r="B681">
        <f>Dashboard_Live_Data!B190</f>
        <v>-12.008270604959733</v>
      </c>
    </row>
    <row r="682" spans="1:2">
      <c r="A682">
        <f>Dashboard_Live_Data!A191</f>
        <v>34.5</v>
      </c>
      <c r="B682">
        <f>Dashboard_Live_Data!B191</f>
        <v>-24.501863179500816</v>
      </c>
    </row>
    <row r="683" spans="1:2">
      <c r="A683">
        <f>Dashboard_Live_Data!A192</f>
        <v>35</v>
      </c>
      <c r="B683">
        <f>Dashboard_Live_Data!B192</f>
        <v>-31.099457789278858</v>
      </c>
    </row>
    <row r="684" spans="1:2">
      <c r="A684">
        <f>Dashboard_Live_Data!A193</f>
        <v>35.5</v>
      </c>
      <c r="B684">
        <f>Dashboard_Live_Data!B193</f>
        <v>-34.449555771216552</v>
      </c>
    </row>
    <row r="685" spans="1:2">
      <c r="A685">
        <f>Dashboard_Live_Data!A194</f>
        <v>36</v>
      </c>
      <c r="B685">
        <f>Dashboard_Live_Data!B194</f>
        <v>-47.771784178639138</v>
      </c>
    </row>
    <row r="686" spans="1:2">
      <c r="A686">
        <f>Dashboard_Live_Data!A195</f>
        <v>36.5</v>
      </c>
      <c r="B686">
        <f>Dashboard_Live_Data!B195</f>
        <v>-47.588505005609107</v>
      </c>
    </row>
    <row r="687" spans="1:2">
      <c r="A687">
        <f>Dashboard_Live_Data!A196</f>
        <v>37</v>
      </c>
      <c r="B687">
        <f>Dashboard_Live_Data!B196</f>
        <v>-61.043912792825353</v>
      </c>
    </row>
    <row r="688" spans="1:2">
      <c r="A688">
        <f>Dashboard_Live_Data!A197</f>
        <v>37.5</v>
      </c>
      <c r="B688">
        <f>Dashboard_Live_Data!B197</f>
        <v>-58.846802725709239</v>
      </c>
    </row>
    <row r="689" spans="1:2">
      <c r="A689">
        <f>Dashboard_Live_Data!A198</f>
        <v>38</v>
      </c>
      <c r="B689">
        <f>Dashboard_Live_Data!B198</f>
        <v>-77.724391464355591</v>
      </c>
    </row>
    <row r="690" spans="1:2">
      <c r="A690">
        <f>Dashboard_Live_Data!A199</f>
        <v>38.5</v>
      </c>
      <c r="B690">
        <f>Dashboard_Live_Data!B199</f>
        <v>-84.408268775503075</v>
      </c>
    </row>
    <row r="691" spans="1:2">
      <c r="A691">
        <f>Dashboard_Live_Data!A200</f>
        <v>39</v>
      </c>
      <c r="B691">
        <f>Dashboard_Live_Data!B200</f>
        <v>-85.907004709544339</v>
      </c>
    </row>
    <row r="692" spans="1:2">
      <c r="A692">
        <f>Dashboard_Live_Data!A201</f>
        <v>39.5</v>
      </c>
      <c r="B692">
        <f>Dashboard_Live_Data!B201</f>
        <v>-79.47691436006437</v>
      </c>
    </row>
    <row r="693" spans="1:2">
      <c r="A693">
        <f>Dashboard_Live_Data!A202</f>
        <v>40</v>
      </c>
      <c r="B693">
        <f>Dashboard_Live_Data!B202</f>
        <v>-69.550122715753446</v>
      </c>
    </row>
    <row r="694" spans="1:2">
      <c r="A694">
        <f>Dashboard_Live_Data!A203</f>
        <v>40.5</v>
      </c>
      <c r="B694">
        <f>Dashboard_Live_Data!B203</f>
        <v>-63.44908989814266</v>
      </c>
    </row>
    <row r="695" spans="1:2">
      <c r="A695">
        <f>Dashboard_Live_Data!A204</f>
        <v>41</v>
      </c>
      <c r="B695">
        <f>Dashboard_Live_Data!B204</f>
        <v>-55.694686250897377</v>
      </c>
    </row>
    <row r="696" spans="1:2">
      <c r="A696">
        <f>Dashboard_Live_Data!A205</f>
        <v>41.5</v>
      </c>
      <c r="B696">
        <f>Dashboard_Live_Data!B205</f>
        <v>-61.436839734876884</v>
      </c>
    </row>
    <row r="697" spans="1:2">
      <c r="A697">
        <f>Dashboard_Live_Data!A206</f>
        <v>42</v>
      </c>
      <c r="B697">
        <f>Dashboard_Live_Data!B206</f>
        <v>-37.652302301928188</v>
      </c>
    </row>
    <row r="698" spans="1:2">
      <c r="A698">
        <f>Dashboard_Live_Data!A207</f>
        <v>42.5</v>
      </c>
      <c r="B698">
        <f>Dashboard_Live_Data!B207</f>
        <v>-43.302988348369951</v>
      </c>
    </row>
    <row r="699" spans="1:2">
      <c r="A699">
        <f>Dashboard_Live_Data!A208</f>
        <v>43</v>
      </c>
      <c r="B699">
        <f>Dashboard_Live_Data!B208</f>
        <v>-36.282442991945771</v>
      </c>
    </row>
    <row r="700" spans="1:2">
      <c r="A700">
        <f>Dashboard_Live_Data!A209</f>
        <v>43.5</v>
      </c>
      <c r="B700">
        <f>Dashboard_Live_Data!B209</f>
        <v>-23.261421172748356</v>
      </c>
    </row>
    <row r="701" spans="1:2">
      <c r="A701">
        <f>Dashboard_Live_Data!A210</f>
        <v>44</v>
      </c>
      <c r="B701">
        <f>Dashboard_Live_Data!B210</f>
        <v>-9.6325912578188309</v>
      </c>
    </row>
    <row r="702" spans="1:2">
      <c r="A702">
        <f>Dashboard_Live_Data!A211</f>
        <v>44.5</v>
      </c>
      <c r="B702">
        <f>Dashboard_Live_Data!B211</f>
        <v>1.0351428006268861</v>
      </c>
    </row>
    <row r="703" spans="1:2">
      <c r="A703">
        <f>Dashboard_Live_Data!A212</f>
        <v>45</v>
      </c>
      <c r="B703">
        <f>Dashboard_Live_Data!B212</f>
        <v>2.6350518935005312</v>
      </c>
    </row>
    <row r="704" spans="1:2">
      <c r="A704">
        <f>Dashboard_Live_Data!A213</f>
        <v>45.5</v>
      </c>
      <c r="B704">
        <f>Dashboard_Live_Data!B213</f>
        <v>2.7628297661277941</v>
      </c>
    </row>
    <row r="705" spans="1:2">
      <c r="A705">
        <f>Dashboard_Live_Data!A214</f>
        <v>46</v>
      </c>
      <c r="B705">
        <f>Dashboard_Live_Data!B214</f>
        <v>-1.8952716670484335</v>
      </c>
    </row>
    <row r="706" spans="1:2">
      <c r="A706">
        <f>Dashboard_Live_Data!A215</f>
        <v>46.5</v>
      </c>
      <c r="B706">
        <f>Dashboard_Live_Data!B215</f>
        <v>10.643125662069693</v>
      </c>
    </row>
    <row r="707" spans="1:2">
      <c r="A707">
        <f>Dashboard_Live_Data!A216</f>
        <v>47</v>
      </c>
      <c r="B707">
        <f>Dashboard_Live_Data!B216</f>
        <v>-7.2483720897441515</v>
      </c>
    </row>
    <row r="708" spans="1:2">
      <c r="A708">
        <f>Dashboard_Live_Data!A217</f>
        <v>47.5</v>
      </c>
      <c r="B708">
        <f>Dashboard_Live_Data!B217</f>
        <v>-6.2188489817701509</v>
      </c>
    </row>
    <row r="709" spans="1:2">
      <c r="A709">
        <f>Dashboard_Live_Data!A218</f>
        <v>48</v>
      </c>
      <c r="B709">
        <f>Dashboard_Live_Data!B218</f>
        <v>7.3169792390276314</v>
      </c>
    </row>
    <row r="710" spans="1:2">
      <c r="A710">
        <f>Dashboard_Live_Data!A219</f>
        <v>48.5</v>
      </c>
      <c r="B710">
        <f>Dashboard_Live_Data!B219</f>
        <v>0.40634772954453524</v>
      </c>
    </row>
    <row r="711" spans="1:2">
      <c r="A711">
        <f>Dashboard_Live_Data!A220</f>
        <v>49</v>
      </c>
      <c r="B711">
        <f>Dashboard_Live_Data!B220</f>
        <v>-12.02291335515622</v>
      </c>
    </row>
    <row r="712" spans="1:2">
      <c r="A712">
        <f>Dashboard_Live_Data!A221</f>
        <v>49.5</v>
      </c>
      <c r="B712">
        <f>Dashboard_Live_Data!B221</f>
        <v>0.56025338643667055</v>
      </c>
    </row>
    <row r="713" spans="1:2">
      <c r="A713">
        <f>Dashboard_Live_Data!A222</f>
        <v>50</v>
      </c>
      <c r="B713">
        <f>Dashboard_Live_Data!B222</f>
        <v>-9.9003402180450593</v>
      </c>
    </row>
    <row r="714" spans="1:2">
      <c r="A714">
        <f>Dashboard_Live_Data!A223</f>
        <v>50.5</v>
      </c>
      <c r="B714">
        <f>Dashboard_Live_Data!B223</f>
        <v>-9.2614082539395923</v>
      </c>
    </row>
    <row r="715" spans="1:2">
      <c r="A715">
        <f>Dashboard_Live_Data!A224</f>
        <v>51</v>
      </c>
      <c r="B715">
        <f>Dashboard_Live_Data!B224</f>
        <v>-13.645035215684629</v>
      </c>
    </row>
    <row r="716" spans="1:2">
      <c r="A716">
        <f>Dashboard_Live_Data!A225</f>
        <v>51.5</v>
      </c>
      <c r="B716">
        <f>Dashboard_Live_Data!B225</f>
        <v>2.0445562852635533</v>
      </c>
    </row>
    <row r="717" spans="1:2">
      <c r="A717">
        <f>Dashboard_Live_Data!A226</f>
        <v>52</v>
      </c>
      <c r="B717">
        <f>Dashboard_Live_Data!B226</f>
        <v>5.1886278057727964</v>
      </c>
    </row>
    <row r="718" spans="1:2">
      <c r="A718">
        <f>Dashboard_Live_Data!A227</f>
        <v>52.5</v>
      </c>
      <c r="B718">
        <f>Dashboard_Live_Data!B227</f>
        <v>-9.2437422691086795</v>
      </c>
    </row>
    <row r="719" spans="1:2">
      <c r="A719">
        <f>Dashboard_Live_Data!A228</f>
        <v>53</v>
      </c>
      <c r="B719">
        <f>Dashboard_Live_Data!B228</f>
        <v>-7.5236153525493137</v>
      </c>
    </row>
    <row r="720" spans="1:2">
      <c r="A720">
        <f>Dashboard_Live_Data!A229</f>
        <v>53.5</v>
      </c>
      <c r="B720">
        <f>Dashboard_Live_Data!B229</f>
        <v>-2.890955997517267</v>
      </c>
    </row>
    <row r="721" spans="1:2">
      <c r="A721">
        <f>Dashboard_Live_Data!A230</f>
        <v>54</v>
      </c>
      <c r="B721">
        <f>Dashboard_Live_Data!B230</f>
        <v>4.7804079838427356</v>
      </c>
    </row>
    <row r="722" spans="1:2">
      <c r="A722">
        <f>Dashboard_Live_Data!A231</f>
        <v>54.5</v>
      </c>
      <c r="B722">
        <f>Dashboard_Live_Data!B231</f>
        <v>7.8515926394764506</v>
      </c>
    </row>
    <row r="723" spans="1:2">
      <c r="A723">
        <f>Dashboard_Live_Data!A232</f>
        <v>55</v>
      </c>
      <c r="B723">
        <f>Dashboard_Live_Data!B232</f>
        <v>-0.54596068686731769</v>
      </c>
    </row>
    <row r="724" spans="1:2">
      <c r="A724">
        <f>Dashboard_Live_Data!A233</f>
        <v>55.5</v>
      </c>
      <c r="B724">
        <f>Dashboard_Live_Data!B233</f>
        <v>3.3103320554038476</v>
      </c>
    </row>
    <row r="725" spans="1:2">
      <c r="A725">
        <f>Dashboard_Live_Data!A234</f>
        <v>56</v>
      </c>
      <c r="B725">
        <f>Dashboard_Live_Data!B234</f>
        <v>1.0046162126672868</v>
      </c>
    </row>
    <row r="726" spans="1:2">
      <c r="A726">
        <f>Dashboard_Live_Data!A235</f>
        <v>56.5</v>
      </c>
      <c r="B726">
        <f>Dashboard_Live_Data!B235</f>
        <v>-25.174071050032467</v>
      </c>
    </row>
    <row r="727" spans="1:2">
      <c r="A727">
        <f>Dashboard_Live_Data!A236</f>
        <v>57</v>
      </c>
      <c r="B727">
        <f>Dashboard_Live_Data!B236</f>
        <v>-22.117718757033032</v>
      </c>
    </row>
    <row r="728" spans="1:2">
      <c r="A728">
        <f>Dashboard_Live_Data!A237</f>
        <v>57.5</v>
      </c>
      <c r="B728">
        <f>Dashboard_Live_Data!B237</f>
        <v>-29.305969865231276</v>
      </c>
    </row>
    <row r="729" spans="1:2">
      <c r="A729">
        <f>Dashboard_Live_Data!A238</f>
        <v>58</v>
      </c>
      <c r="B729">
        <f>Dashboard_Live_Data!B238</f>
        <v>-33.763162078350604</v>
      </c>
    </row>
    <row r="730" spans="1:2">
      <c r="A730">
        <f>Dashboard_Live_Data!A239</f>
        <v>58.5</v>
      </c>
      <c r="B730">
        <f>Dashboard_Live_Data!B239</f>
        <v>-32.050798541495539</v>
      </c>
    </row>
    <row r="731" spans="1:2">
      <c r="A731">
        <f>Dashboard_Live_Data!A240</f>
        <v>59</v>
      </c>
      <c r="B731">
        <f>Dashboard_Live_Data!B240</f>
        <v>-29.468701438210815</v>
      </c>
    </row>
    <row r="732" spans="1:2">
      <c r="A732">
        <f>Dashboard_Live_Data!A241</f>
        <v>59.5</v>
      </c>
      <c r="B732">
        <f>Dashboard_Live_Data!B241</f>
        <v>-49.025439433633863</v>
      </c>
    </row>
    <row r="733" spans="1:2">
      <c r="A733">
        <f>Dashboard_Live_Data!A242</f>
        <v>60</v>
      </c>
      <c r="B733">
        <f>Dashboard_Live_Data!B242</f>
        <v>-35.492154229102937</v>
      </c>
    </row>
    <row r="736" spans="1:2">
      <c r="A736" t="s">
        <v>890</v>
      </c>
    </row>
    <row r="737" spans="1:8">
      <c r="A737" t="s">
        <v>1075</v>
      </c>
      <c r="B737" t="s">
        <v>1076</v>
      </c>
      <c r="C737" t="s">
        <v>1077</v>
      </c>
      <c r="D737" t="s">
        <v>1078</v>
      </c>
      <c r="E737" t="s">
        <v>1079</v>
      </c>
      <c r="F737" t="s">
        <v>1080</v>
      </c>
      <c r="G737" t="s">
        <v>1081</v>
      </c>
      <c r="H737" t="s">
        <v>1082</v>
      </c>
    </row>
    <row r="738" spans="1:8">
      <c r="A738">
        <f>Chart_Data!P2</f>
        <v>-60</v>
      </c>
      <c r="B738">
        <f>Chart_Data!Q2</f>
        <v>502.89823360690207</v>
      </c>
      <c r="C738">
        <f>Chart_Data!P2</f>
        <v>-60</v>
      </c>
      <c r="D738">
        <f>Chart_Data!R2</f>
        <v>475.61823144969821</v>
      </c>
      <c r="E738">
        <f>Chart_Data!P2</f>
        <v>-60</v>
      </c>
      <c r="F738">
        <f>Chart_Data!S2</f>
        <v>75.510245286321634</v>
      </c>
      <c r="G738">
        <f>Chart_Data!P2</f>
        <v>-60</v>
      </c>
      <c r="H738">
        <f>Chart_Data!T2</f>
        <v>71.414148866321057</v>
      </c>
    </row>
    <row r="739" spans="1:8">
      <c r="A739">
        <f>Chart_Data!P3</f>
        <v>-59.5</v>
      </c>
      <c r="B739">
        <f>Chart_Data!Q3</f>
        <v>500.86301291985365</v>
      </c>
      <c r="C739">
        <f>Chart_Data!P3</f>
        <v>-59.5</v>
      </c>
      <c r="D739">
        <f>Chart_Data!R3</f>
        <v>490.87300120690998</v>
      </c>
      <c r="E739">
        <f>Chart_Data!P3</f>
        <v>-59.5</v>
      </c>
      <c r="F739">
        <f>Chart_Data!S3</f>
        <v>75.204656594572626</v>
      </c>
      <c r="G739">
        <f>Chart_Data!P3</f>
        <v>-59.5</v>
      </c>
      <c r="H739">
        <f>Chart_Data!T3</f>
        <v>73.704654835872375</v>
      </c>
    </row>
    <row r="740" spans="1:8">
      <c r="A740">
        <f>Chart_Data!P4</f>
        <v>-59</v>
      </c>
      <c r="B740">
        <f>Chart_Data!Q4</f>
        <v>496.79091042789878</v>
      </c>
      <c r="C740">
        <f>Chart_Data!P4</f>
        <v>-59</v>
      </c>
      <c r="D740">
        <f>Chart_Data!R4</f>
        <v>534.06021494492961</v>
      </c>
      <c r="E740">
        <f>Chart_Data!P4</f>
        <v>-59</v>
      </c>
      <c r="F740">
        <f>Chart_Data!S4</f>
        <v>74.593229793978807</v>
      </c>
      <c r="G740">
        <f>Chart_Data!P4</f>
        <v>-59</v>
      </c>
      <c r="H740">
        <f>Chart_Data!T4</f>
        <v>80.189221463202657</v>
      </c>
    </row>
    <row r="741" spans="1:8">
      <c r="A741">
        <f>Chart_Data!P5</f>
        <v>-58.5</v>
      </c>
      <c r="B741">
        <f>Chart_Data!Q5</f>
        <v>492.71549658133154</v>
      </c>
      <c r="C741">
        <f>Chart_Data!P5</f>
        <v>-58.5</v>
      </c>
      <c r="D741">
        <f>Chart_Data!R5</f>
        <v>503.92094620310672</v>
      </c>
      <c r="E741">
        <f>Chart_Data!P5</f>
        <v>-58.5</v>
      </c>
      <c r="F741">
        <f>Chart_Data!S5</f>
        <v>73.981305792992728</v>
      </c>
      <c r="G741">
        <f>Chart_Data!P5</f>
        <v>-58.5</v>
      </c>
      <c r="H741">
        <f>Chart_Data!T5</f>
        <v>75.663805736202221</v>
      </c>
    </row>
    <row r="742" spans="1:8">
      <c r="A742">
        <f>Chart_Data!P6</f>
        <v>-58</v>
      </c>
      <c r="B742">
        <f>Chart_Data!Q6</f>
        <v>488.63679323794713</v>
      </c>
      <c r="C742">
        <f>Chart_Data!P6</f>
        <v>-58</v>
      </c>
      <c r="D742">
        <f>Chart_Data!R6</f>
        <v>495.84077516028628</v>
      </c>
      <c r="E742">
        <f>Chart_Data!P6</f>
        <v>-58</v>
      </c>
      <c r="F742">
        <f>Chart_Data!S6</f>
        <v>73.36888787356564</v>
      </c>
      <c r="G742">
        <f>Chart_Data!P6</f>
        <v>-58</v>
      </c>
      <c r="H742">
        <f>Chart_Data!T6</f>
        <v>74.450566840883837</v>
      </c>
    </row>
    <row r="743" spans="1:8">
      <c r="A743">
        <f>Chart_Data!P7</f>
        <v>-57.5</v>
      </c>
      <c r="B743">
        <f>Chart_Data!Q7</f>
        <v>484.55482240278798</v>
      </c>
      <c r="C743">
        <f>Chart_Data!P7</f>
        <v>-57.5</v>
      </c>
      <c r="D743">
        <f>Chart_Data!R7</f>
        <v>511.9766582025477</v>
      </c>
      <c r="E743">
        <f>Chart_Data!P7</f>
        <v>-57.5</v>
      </c>
      <c r="F743">
        <f>Chart_Data!S7</f>
        <v>72.755979339757957</v>
      </c>
      <c r="G743">
        <f>Chart_Data!P7</f>
        <v>-57.5</v>
      </c>
      <c r="H743">
        <f>Chart_Data!T7</f>
        <v>76.873372102484652</v>
      </c>
    </row>
    <row r="744" spans="1:8">
      <c r="A744">
        <f>Chart_Data!P8</f>
        <v>-57</v>
      </c>
      <c r="B744">
        <f>Chart_Data!Q8</f>
        <v>480.46960621077233</v>
      </c>
      <c r="C744">
        <f>Chart_Data!P8</f>
        <v>-57</v>
      </c>
      <c r="D744">
        <f>Chart_Data!R8</f>
        <v>484.59834303475873</v>
      </c>
      <c r="E744">
        <f>Chart_Data!P8</f>
        <v>-57</v>
      </c>
      <c r="F744">
        <f>Chart_Data!S8</f>
        <v>72.14258351513098</v>
      </c>
      <c r="G744">
        <f>Chart_Data!P8</f>
        <v>-57</v>
      </c>
      <c r="H744">
        <f>Chart_Data!T8</f>
        <v>72.762513969183004</v>
      </c>
    </row>
    <row r="745" spans="1:8">
      <c r="A745">
        <f>Chart_Data!P9</f>
        <v>-56.5</v>
      </c>
      <c r="B745">
        <f>Chart_Data!Q9</f>
        <v>476.38116695534336</v>
      </c>
      <c r="C745">
        <f>Chart_Data!P9</f>
        <v>-56.5</v>
      </c>
      <c r="D745">
        <f>Chart_Data!R9</f>
        <v>523.08281493560571</v>
      </c>
      <c r="E745">
        <f>Chart_Data!P9</f>
        <v>-56.5</v>
      </c>
      <c r="F745">
        <f>Chart_Data!S9</f>
        <v>71.528703747048553</v>
      </c>
      <c r="G745">
        <f>Chart_Data!P9</f>
        <v>-56.5</v>
      </c>
      <c r="H745">
        <f>Chart_Data!T9</f>
        <v>78.540963203544408</v>
      </c>
    </row>
    <row r="746" spans="1:8">
      <c r="A746">
        <f>Chart_Data!P10</f>
        <v>-56</v>
      </c>
      <c r="B746">
        <f>Chart_Data!Q10</f>
        <v>472.28952705690972</v>
      </c>
      <c r="C746">
        <f>Chart_Data!P10</f>
        <v>-56</v>
      </c>
      <c r="D746">
        <f>Chart_Data!R10</f>
        <v>502.46266903932337</v>
      </c>
      <c r="E746">
        <f>Chart_Data!P10</f>
        <v>-56</v>
      </c>
      <c r="F746">
        <f>Chart_Data!S10</f>
        <v>70.914343401938396</v>
      </c>
      <c r="G746">
        <f>Chart_Data!P10</f>
        <v>-56</v>
      </c>
      <c r="H746">
        <f>Chart_Data!T10</f>
        <v>75.444845201099611</v>
      </c>
    </row>
    <row r="747" spans="1:8">
      <c r="A747">
        <f>Chart_Data!P11</f>
        <v>-55.5</v>
      </c>
      <c r="B747">
        <f>Chart_Data!Q11</f>
        <v>468.1947090801259</v>
      </c>
      <c r="C747">
        <f>Chart_Data!P11</f>
        <v>-55.5</v>
      </c>
      <c r="D747">
        <f>Chart_Data!R11</f>
        <v>482.47165665998182</v>
      </c>
      <c r="E747">
        <f>Chart_Data!P11</f>
        <v>-55.5</v>
      </c>
      <c r="F747">
        <f>Chart_Data!S11</f>
        <v>70.299505867886779</v>
      </c>
      <c r="G747">
        <f>Chart_Data!P11</f>
        <v>-55.5</v>
      </c>
      <c r="H747">
        <f>Chart_Data!T11</f>
        <v>72.443191690687968</v>
      </c>
    </row>
    <row r="748" spans="1:8">
      <c r="A748">
        <f>Chart_Data!P12</f>
        <v>-55</v>
      </c>
      <c r="B748">
        <f>Chart_Data!Q12</f>
        <v>464.09673573907639</v>
      </c>
      <c r="C748">
        <f>Chart_Data!P12</f>
        <v>-55</v>
      </c>
      <c r="D748">
        <f>Chart_Data!R12</f>
        <v>517.4251021308919</v>
      </c>
      <c r="E748">
        <f>Chart_Data!P12</f>
        <v>-55</v>
      </c>
      <c r="F748">
        <f>Chart_Data!S12</f>
        <v>69.68419455541688</v>
      </c>
      <c r="G748">
        <f>Chart_Data!P12</f>
        <v>-55</v>
      </c>
      <c r="H748">
        <f>Chart_Data!T12</f>
        <v>77.691456776410206</v>
      </c>
    </row>
    <row r="749" spans="1:8">
      <c r="A749">
        <f>Chart_Data!P13</f>
        <v>-54.5</v>
      </c>
      <c r="B749">
        <f>Chart_Data!Q13</f>
        <v>459.99562987453828</v>
      </c>
      <c r="C749">
        <f>Chart_Data!P13</f>
        <v>-54.5</v>
      </c>
      <c r="D749">
        <f>Chart_Data!R13</f>
        <v>492.04615879461926</v>
      </c>
      <c r="E749">
        <f>Chart_Data!P13</f>
        <v>-54.5</v>
      </c>
      <c r="F749">
        <f>Chart_Data!S13</f>
        <v>69.068412894074825</v>
      </c>
      <c r="G749">
        <f>Chart_Data!P13</f>
        <v>-54.5</v>
      </c>
      <c r="H749">
        <f>Chart_Data!T13</f>
        <v>73.880804623816715</v>
      </c>
    </row>
    <row r="750" spans="1:8">
      <c r="A750">
        <f>Chart_Data!P14</f>
        <v>-54</v>
      </c>
      <c r="B750">
        <f>Chart_Data!Q14</f>
        <v>455.89141447326256</v>
      </c>
      <c r="C750">
        <f>Chart_Data!P14</f>
        <v>-54</v>
      </c>
      <c r="D750">
        <f>Chart_Data!R14</f>
        <v>488.51245490695874</v>
      </c>
      <c r="E750">
        <f>Chart_Data!P14</f>
        <v>-54</v>
      </c>
      <c r="F750">
        <f>Chart_Data!S14</f>
        <v>68.45216433532471</v>
      </c>
      <c r="G750">
        <f>Chart_Data!P14</f>
        <v>-54</v>
      </c>
      <c r="H750">
        <f>Chart_Data!T14</f>
        <v>73.350218454498318</v>
      </c>
    </row>
    <row r="751" spans="1:8">
      <c r="A751">
        <f>Chart_Data!P15</f>
        <v>-53.5</v>
      </c>
      <c r="B751">
        <f>Chart_Data!Q15</f>
        <v>451.78411265633258</v>
      </c>
      <c r="C751">
        <f>Chart_Data!P15</f>
        <v>-53.5</v>
      </c>
      <c r="D751">
        <f>Chart_Data!R15</f>
        <v>489.52310187305557</v>
      </c>
      <c r="E751">
        <f>Chart_Data!P15</f>
        <v>-53.5</v>
      </c>
      <c r="F751">
        <f>Chart_Data!S15</f>
        <v>67.835452350800693</v>
      </c>
      <c r="G751">
        <f>Chart_Data!P15</f>
        <v>-53.5</v>
      </c>
      <c r="H751">
        <f>Chart_Data!T15</f>
        <v>73.501967248206554</v>
      </c>
    </row>
    <row r="752" spans="1:8">
      <c r="A752">
        <f>Chart_Data!P16</f>
        <v>-53</v>
      </c>
      <c r="B752">
        <f>Chart_Data!Q16</f>
        <v>447.67374769307935</v>
      </c>
      <c r="C752">
        <f>Chart_Data!P16</f>
        <v>-53</v>
      </c>
      <c r="D752">
        <f>Chart_Data!R16</f>
        <v>468.99927804070103</v>
      </c>
      <c r="E752">
        <f>Chart_Data!P16</f>
        <v>-53</v>
      </c>
      <c r="F752">
        <f>Chart_Data!S16</f>
        <v>67.218280434396306</v>
      </c>
      <c r="G752">
        <f>Chart_Data!P16</f>
        <v>-53</v>
      </c>
      <c r="H752">
        <f>Chart_Data!T16</f>
        <v>70.420312018123283</v>
      </c>
    </row>
    <row r="753" spans="1:8">
      <c r="A753">
        <f>Chart_Data!P17</f>
        <v>-52.5</v>
      </c>
      <c r="B753">
        <f>Chart_Data!Q17</f>
        <v>443.56034297125007</v>
      </c>
      <c r="C753">
        <f>Chart_Data!P17</f>
        <v>-52.5</v>
      </c>
      <c r="D753">
        <f>Chart_Data!R17</f>
        <v>476.74103321733128</v>
      </c>
      <c r="E753">
        <f>Chart_Data!P17</f>
        <v>-52.5</v>
      </c>
      <c r="F753">
        <f>Chart_Data!S17</f>
        <v>66.6006520977853</v>
      </c>
      <c r="G753">
        <f>Chart_Data!P17</f>
        <v>-52.5</v>
      </c>
      <c r="H753">
        <f>Chart_Data!T17</f>
        <v>71.582737720320011</v>
      </c>
    </row>
    <row r="754" spans="1:8">
      <c r="A754">
        <f>Chart_Data!P18</f>
        <v>-52</v>
      </c>
      <c r="B754">
        <f>Chart_Data!Q18</f>
        <v>439.44392201619848</v>
      </c>
      <c r="C754">
        <f>Chart_Data!P18</f>
        <v>-52</v>
      </c>
      <c r="D754">
        <f>Chart_Data!R18</f>
        <v>491.44939474927014</v>
      </c>
      <c r="E754">
        <f>Chart_Data!P18</f>
        <v>-52</v>
      </c>
      <c r="F754">
        <f>Chart_Data!S18</f>
        <v>65.982570873303075</v>
      </c>
      <c r="G754">
        <f>Chart_Data!P18</f>
        <v>-52</v>
      </c>
      <c r="H754">
        <f>Chart_Data!T18</f>
        <v>73.791200412803335</v>
      </c>
    </row>
    <row r="755" spans="1:8">
      <c r="A755">
        <f>Chart_Data!P19</f>
        <v>-51.5</v>
      </c>
      <c r="B755">
        <f>Chart_Data!Q19</f>
        <v>435.32450851025715</v>
      </c>
      <c r="C755">
        <f>Chart_Data!P19</f>
        <v>-51.5</v>
      </c>
      <c r="D755">
        <f>Chart_Data!R19</f>
        <v>452.40092921339965</v>
      </c>
      <c r="E755">
        <f>Chart_Data!P19</f>
        <v>-51.5</v>
      </c>
      <c r="F755">
        <f>Chart_Data!S19</f>
        <v>65.364040316855437</v>
      </c>
      <c r="G755">
        <f>Chart_Data!P19</f>
        <v>-51.5</v>
      </c>
      <c r="H755">
        <f>Chart_Data!T19</f>
        <v>67.928067449459419</v>
      </c>
    </row>
    <row r="756" spans="1:8">
      <c r="A756">
        <f>Chart_Data!P20</f>
        <v>-51</v>
      </c>
      <c r="B756">
        <f>Chart_Data!Q20</f>
        <v>431.2021262460803</v>
      </c>
      <c r="C756">
        <f>Chart_Data!P20</f>
        <v>-51</v>
      </c>
      <c r="D756">
        <f>Chart_Data!R20</f>
        <v>413.01562584385465</v>
      </c>
      <c r="E756">
        <f>Chart_Data!P20</f>
        <v>-51</v>
      </c>
      <c r="F756">
        <f>Chart_Data!S20</f>
        <v>64.745064000912961</v>
      </c>
      <c r="G756">
        <f>Chart_Data!P20</f>
        <v>-51</v>
      </c>
      <c r="H756">
        <f>Chart_Data!T20</f>
        <v>62.014358234813017</v>
      </c>
    </row>
    <row r="757" spans="1:8">
      <c r="A757">
        <f>Chart_Data!P21</f>
        <v>-50.5</v>
      </c>
      <c r="B757">
        <f>Chart_Data!Q21</f>
        <v>427.07679916102279</v>
      </c>
      <c r="C757">
        <f>Chart_Data!P21</f>
        <v>-50.5</v>
      </c>
      <c r="D757">
        <f>Chart_Data!R21</f>
        <v>461.54026138738118</v>
      </c>
      <c r="E757">
        <f>Chart_Data!P21</f>
        <v>-50.5</v>
      </c>
      <c r="F757">
        <f>Chart_Data!S21</f>
        <v>64.1256455196731</v>
      </c>
      <c r="G757">
        <f>Chart_Data!P21</f>
        <v>-50.5</v>
      </c>
      <c r="H757">
        <f>Chart_Data!T21</f>
        <v>69.300339547654843</v>
      </c>
    </row>
    <row r="758" spans="1:8">
      <c r="A758">
        <f>Chart_Data!P22</f>
        <v>-50</v>
      </c>
      <c r="B758">
        <f>Chart_Data!Q22</f>
        <v>422.94855132149678</v>
      </c>
      <c r="C758">
        <f>Chart_Data!P22</f>
        <v>-50</v>
      </c>
      <c r="D758">
        <f>Chart_Data!R22</f>
        <v>437.62067462193954</v>
      </c>
      <c r="E758">
        <f>Chart_Data!P22</f>
        <v>-50</v>
      </c>
      <c r="F758">
        <f>Chart_Data!S22</f>
        <v>63.505788486711232</v>
      </c>
      <c r="G758">
        <f>Chart_Data!P22</f>
        <v>-50</v>
      </c>
      <c r="H758">
        <f>Chart_Data!T22</f>
        <v>65.708810003294232</v>
      </c>
    </row>
    <row r="759" spans="1:8">
      <c r="A759">
        <f>Chart_Data!P23</f>
        <v>-49.5</v>
      </c>
      <c r="B759">
        <f>Chart_Data!Q23</f>
        <v>418.81740692178937</v>
      </c>
      <c r="C759">
        <f>Chart_Data!P23</f>
        <v>-49.5</v>
      </c>
      <c r="D759">
        <f>Chart_Data!R23</f>
        <v>411.25840737959152</v>
      </c>
      <c r="E759">
        <f>Chart_Data!P23</f>
        <v>-49.5</v>
      </c>
      <c r="F759">
        <f>Chart_Data!S23</f>
        <v>62.885496534803217</v>
      </c>
      <c r="G759">
        <f>Chart_Data!P23</f>
        <v>-49.5</v>
      </c>
      <c r="H759">
        <f>Chart_Data!T23</f>
        <v>61.75051161855729</v>
      </c>
    </row>
    <row r="760" spans="1:8">
      <c r="A760">
        <f>Chart_Data!P24</f>
        <v>-49</v>
      </c>
      <c r="B760">
        <f>Chart_Data!Q24</f>
        <v>414.68339030034258</v>
      </c>
      <c r="C760">
        <f>Chart_Data!P24</f>
        <v>-49</v>
      </c>
      <c r="D760">
        <f>Chart_Data!R24</f>
        <v>425.2262899123707</v>
      </c>
      <c r="E760">
        <f>Chart_Data!P24</f>
        <v>-49</v>
      </c>
      <c r="F760">
        <f>Chart_Data!S24</f>
        <v>62.264773318369762</v>
      </c>
      <c r="G760">
        <f>Chart_Data!P24</f>
        <v>-49</v>
      </c>
      <c r="H760">
        <f>Chart_Data!T24</f>
        <v>63.847791278133748</v>
      </c>
    </row>
    <row r="761" spans="1:8">
      <c r="A761">
        <f>Chart_Data!P25</f>
        <v>-48.5</v>
      </c>
      <c r="B761">
        <f>Chart_Data!Q25</f>
        <v>410.54652591110425</v>
      </c>
      <c r="C761">
        <f>Chart_Data!P25</f>
        <v>-48.5</v>
      </c>
      <c r="D761">
        <f>Chart_Data!R25</f>
        <v>386.8337905608314</v>
      </c>
      <c r="E761">
        <f>Chart_Data!P25</f>
        <v>-48.5</v>
      </c>
      <c r="F761">
        <f>Chart_Data!S25</f>
        <v>61.643622509174818</v>
      </c>
      <c r="G761">
        <f>Chart_Data!P25</f>
        <v>-48.5</v>
      </c>
      <c r="H761">
        <f>Chart_Data!T25</f>
        <v>58.083151735860575</v>
      </c>
    </row>
    <row r="762" spans="1:8">
      <c r="A762">
        <f>Chart_Data!P26</f>
        <v>-48</v>
      </c>
      <c r="B762">
        <f>Chart_Data!Q26</f>
        <v>406.40683834462834</v>
      </c>
      <c r="C762">
        <f>Chart_Data!P26</f>
        <v>-48</v>
      </c>
      <c r="D762">
        <f>Chart_Data!R26</f>
        <v>402.29372467574649</v>
      </c>
      <c r="E762">
        <f>Chart_Data!P26</f>
        <v>-48</v>
      </c>
      <c r="F762">
        <f>Chart_Data!S26</f>
        <v>61.022047799493748</v>
      </c>
      <c r="G762">
        <f>Chart_Data!P26</f>
        <v>-48</v>
      </c>
      <c r="H762">
        <f>Chart_Data!T26</f>
        <v>60.404463164526504</v>
      </c>
    </row>
    <row r="763" spans="1:8">
      <c r="A763">
        <f>Chart_Data!P27</f>
        <v>-47.5</v>
      </c>
      <c r="B763">
        <f>Chart_Data!Q27</f>
        <v>402.26435232361837</v>
      </c>
      <c r="C763">
        <f>Chart_Data!P27</f>
        <v>-47.5</v>
      </c>
      <c r="D763">
        <f>Chart_Data!R27</f>
        <v>402.88305029025651</v>
      </c>
      <c r="E763">
        <f>Chart_Data!P27</f>
        <v>-47.5</v>
      </c>
      <c r="F763">
        <f>Chart_Data!S27</f>
        <v>60.400052901444205</v>
      </c>
      <c r="G763">
        <f>Chart_Data!P27</f>
        <v>-47.5</v>
      </c>
      <c r="H763">
        <f>Chart_Data!T27</f>
        <v>60.492950494032513</v>
      </c>
    </row>
    <row r="764" spans="1:8">
      <c r="A764">
        <f>Chart_Data!P28</f>
        <v>-47</v>
      </c>
      <c r="B764">
        <f>Chart_Data!Q28</f>
        <v>398.11909268910313</v>
      </c>
      <c r="C764">
        <f>Chart_Data!P28</f>
        <v>-47</v>
      </c>
      <c r="D764">
        <f>Chart_Data!R28</f>
        <v>384.08704497660437</v>
      </c>
      <c r="E764">
        <f>Chart_Data!P28</f>
        <v>-47</v>
      </c>
      <c r="F764">
        <f>Chart_Data!S28</f>
        <v>59.777641544910388</v>
      </c>
      <c r="G764">
        <f>Chart_Data!P28</f>
        <v>-47</v>
      </c>
      <c r="H764">
        <f>Chart_Data!T28</f>
        <v>57.670727473964625</v>
      </c>
    </row>
    <row r="765" spans="1:8">
      <c r="A765">
        <f>Chart_Data!P29</f>
        <v>-46.5</v>
      </c>
      <c r="B765">
        <f>Chart_Data!Q29</f>
        <v>393.9710844109868</v>
      </c>
      <c r="C765">
        <f>Chart_Data!P29</f>
        <v>-46.5</v>
      </c>
      <c r="D765">
        <f>Chart_Data!R29</f>
        <v>368.08092998808206</v>
      </c>
      <c r="E765">
        <f>Chart_Data!P29</f>
        <v>-46.5</v>
      </c>
      <c r="F765">
        <f>Chart_Data!S29</f>
        <v>59.154817479127153</v>
      </c>
      <c r="G765">
        <f>Chart_Data!P29</f>
        <v>-46.5</v>
      </c>
      <c r="H765">
        <f>Chart_Data!T29</f>
        <v>55.267406905117433</v>
      </c>
    </row>
    <row r="766" spans="1:8">
      <c r="A766">
        <f>Chart_Data!P30</f>
        <v>-46</v>
      </c>
      <c r="B766">
        <f>Chart_Data!Q30</f>
        <v>389.82035258295582</v>
      </c>
      <c r="C766">
        <f>Chart_Data!P30</f>
        <v>-46</v>
      </c>
      <c r="D766">
        <f>Chart_Data!R30</f>
        <v>352.54798840351214</v>
      </c>
      <c r="E766">
        <f>Chart_Data!P30</f>
        <v>-46</v>
      </c>
      <c r="F766">
        <f>Chart_Data!S30</f>
        <v>58.531584471915295</v>
      </c>
      <c r="G766">
        <f>Chart_Data!P30</f>
        <v>-46</v>
      </c>
      <c r="H766">
        <f>Chart_Data!T30</f>
        <v>52.935133393920744</v>
      </c>
    </row>
    <row r="767" spans="1:8">
      <c r="A767">
        <f>Chart_Data!P31</f>
        <v>-45.5</v>
      </c>
      <c r="B767">
        <f>Chart_Data!Q31</f>
        <v>385.66692243821308</v>
      </c>
      <c r="C767">
        <f>Chart_Data!P31</f>
        <v>-45.5</v>
      </c>
      <c r="D767">
        <f>Chart_Data!R31</f>
        <v>340.68148825299431</v>
      </c>
      <c r="E767">
        <f>Chart_Data!P31</f>
        <v>-45.5</v>
      </c>
      <c r="F767">
        <f>Chart_Data!S31</f>
        <v>57.907946312044011</v>
      </c>
      <c r="G767">
        <f>Chart_Data!P31</f>
        <v>-45.5</v>
      </c>
      <c r="H767">
        <f>Chart_Data!T31</f>
        <v>51.153376614563712</v>
      </c>
    </row>
    <row r="768" spans="1:8">
      <c r="A768">
        <f>Chart_Data!P32</f>
        <v>-45</v>
      </c>
      <c r="B768">
        <f>Chart_Data!Q32</f>
        <v>381.5108193193737</v>
      </c>
      <c r="C768">
        <f>Chart_Data!P32</f>
        <v>-45</v>
      </c>
      <c r="D768">
        <f>Chart_Data!R32</f>
        <v>336.84334510871849</v>
      </c>
      <c r="E768">
        <f>Chart_Data!P32</f>
        <v>-45</v>
      </c>
      <c r="F768">
        <f>Chart_Data!S32</f>
        <v>57.283906804710767</v>
      </c>
      <c r="G768">
        <f>Chart_Data!P32</f>
        <v>-45</v>
      </c>
      <c r="H768">
        <f>Chart_Data!T32</f>
        <v>50.577078845152933</v>
      </c>
    </row>
    <row r="769" spans="1:8">
      <c r="A769">
        <f>Chart_Data!P33</f>
        <v>-44.5</v>
      </c>
      <c r="B769">
        <f>Chart_Data!Q33</f>
        <v>377.35206869019748</v>
      </c>
      <c r="C769">
        <f>Chart_Data!P33</f>
        <v>-44.5</v>
      </c>
      <c r="D769">
        <f>Chart_Data!R33</f>
        <v>363.73558277491611</v>
      </c>
      <c r="E769">
        <f>Chart_Data!P33</f>
        <v>-44.5</v>
      </c>
      <c r="F769">
        <f>Chart_Data!S33</f>
        <v>56.659469773302931</v>
      </c>
      <c r="G769">
        <f>Chart_Data!P33</f>
        <v>-44.5</v>
      </c>
      <c r="H769">
        <f>Chart_Data!T33</f>
        <v>54.614952368606026</v>
      </c>
    </row>
    <row r="770" spans="1:8">
      <c r="A770">
        <f>Chart_Data!P34</f>
        <v>-44</v>
      </c>
      <c r="B770">
        <f>Chart_Data!Q34</f>
        <v>373.19069614577529</v>
      </c>
      <c r="C770">
        <f>Chart_Data!P34</f>
        <v>-44</v>
      </c>
      <c r="D770">
        <f>Chart_Data!R34</f>
        <v>387.84031539016723</v>
      </c>
      <c r="E770">
        <f>Chart_Data!P34</f>
        <v>-44</v>
      </c>
      <c r="F770">
        <f>Chart_Data!S34</f>
        <v>56.034639060927226</v>
      </c>
      <c r="G770">
        <f>Chart_Data!P34</f>
        <v>-44</v>
      </c>
      <c r="H770">
        <f>Chart_Data!T34</f>
        <v>58.234281590115202</v>
      </c>
    </row>
    <row r="771" spans="1:8">
      <c r="A771">
        <f>Chart_Data!P35</f>
        <v>-43.5</v>
      </c>
      <c r="B771">
        <f>Chart_Data!Q35</f>
        <v>369.02672739852278</v>
      </c>
      <c r="C771">
        <f>Chart_Data!P35</f>
        <v>-43.5</v>
      </c>
      <c r="D771">
        <f>Chart_Data!R35</f>
        <v>338.23828722279359</v>
      </c>
      <c r="E771">
        <f>Chart_Data!P35</f>
        <v>-43.5</v>
      </c>
      <c r="F771">
        <f>Chart_Data!S35</f>
        <v>55.40941852830673</v>
      </c>
      <c r="G771">
        <f>Chart_Data!P35</f>
        <v>-43.5</v>
      </c>
      <c r="H771">
        <f>Chart_Data!T35</f>
        <v>50.786529613032073</v>
      </c>
    </row>
    <row r="772" spans="1:8">
      <c r="A772">
        <f>Chart_Data!P36</f>
        <v>-43</v>
      </c>
      <c r="B772">
        <f>Chart_Data!Q36</f>
        <v>364.86018827936277</v>
      </c>
      <c r="C772">
        <f>Chart_Data!P36</f>
        <v>-43</v>
      </c>
      <c r="D772">
        <f>Chart_Data!R36</f>
        <v>318.95368214236441</v>
      </c>
      <c r="E772">
        <f>Chart_Data!P36</f>
        <v>-43</v>
      </c>
      <c r="F772">
        <f>Chart_Data!S36</f>
        <v>54.783812053958378</v>
      </c>
      <c r="G772">
        <f>Chart_Data!P36</f>
        <v>-43</v>
      </c>
      <c r="H772">
        <f>Chart_Data!T36</f>
        <v>47.890943264619288</v>
      </c>
    </row>
    <row r="773" spans="1:8">
      <c r="A773">
        <f>Chart_Data!P37</f>
        <v>-42.5</v>
      </c>
      <c r="B773">
        <f>Chart_Data!Q37</f>
        <v>360.69110474018089</v>
      </c>
      <c r="C773">
        <f>Chart_Data!P37</f>
        <v>-42.5</v>
      </c>
      <c r="D773">
        <f>Chart_Data!R37</f>
        <v>345.1024300021345</v>
      </c>
      <c r="E773">
        <f>Chart_Data!P37</f>
        <v>-42.5</v>
      </c>
      <c r="F773">
        <f>Chart_Data!S37</f>
        <v>54.1578235345617</v>
      </c>
      <c r="G773">
        <f>Chart_Data!P37</f>
        <v>-42.5</v>
      </c>
      <c r="H773">
        <f>Chart_Data!T37</f>
        <v>51.817181682002179</v>
      </c>
    </row>
    <row r="774" spans="1:8">
      <c r="A774">
        <f>Chart_Data!P38</f>
        <v>-42</v>
      </c>
      <c r="B774">
        <f>Chart_Data!Q38</f>
        <v>356.5195028526432</v>
      </c>
      <c r="C774">
        <f>Chart_Data!P38</f>
        <v>-42</v>
      </c>
      <c r="D774">
        <f>Chart_Data!R38</f>
        <v>340.27294612515107</v>
      </c>
      <c r="E774">
        <f>Chart_Data!P38</f>
        <v>-42</v>
      </c>
      <c r="F774">
        <f>Chart_Data!S38</f>
        <v>53.531456884781264</v>
      </c>
      <c r="G774">
        <f>Chart_Data!P38</f>
        <v>-42</v>
      </c>
      <c r="H774">
        <f>Chart_Data!T38</f>
        <v>51.092033952725387</v>
      </c>
    </row>
    <row r="775" spans="1:8">
      <c r="A775">
        <f>Chart_Data!P39</f>
        <v>-41.5</v>
      </c>
      <c r="B775">
        <f>Chart_Data!Q39</f>
        <v>352.34540879673659</v>
      </c>
      <c r="C775">
        <f>Chart_Data!P39</f>
        <v>-41.5</v>
      </c>
      <c r="D775">
        <f>Chart_Data!R39</f>
        <v>362.00557364745691</v>
      </c>
      <c r="E775">
        <f>Chart_Data!P39</f>
        <v>-41.5</v>
      </c>
      <c r="F775">
        <f>Chart_Data!S39</f>
        <v>52.904716035546038</v>
      </c>
      <c r="G775">
        <f>Chart_Data!P39</f>
        <v>-41.5</v>
      </c>
      <c r="H775">
        <f>Chart_Data!T39</f>
        <v>54.355191238356902</v>
      </c>
    </row>
    <row r="776" spans="1:8">
      <c r="A776">
        <f>Chart_Data!P40</f>
        <v>-41</v>
      </c>
      <c r="B776">
        <f>Chart_Data!Q40</f>
        <v>348.16884888314235</v>
      </c>
      <c r="C776">
        <f>Chart_Data!P40</f>
        <v>-41</v>
      </c>
      <c r="D776">
        <f>Chart_Data!R40</f>
        <v>379.70420348410698</v>
      </c>
      <c r="E776">
        <f>Chart_Data!P40</f>
        <v>-41</v>
      </c>
      <c r="F776">
        <f>Chart_Data!S40</f>
        <v>52.277604937408768</v>
      </c>
      <c r="G776">
        <f>Chart_Data!P40</f>
        <v>-41</v>
      </c>
      <c r="H776">
        <f>Chart_Data!T40</f>
        <v>57.012643165781832</v>
      </c>
    </row>
    <row r="777" spans="1:8">
      <c r="A777">
        <f>Chart_Data!P41</f>
        <v>-40.5</v>
      </c>
      <c r="B777">
        <f>Chart_Data!Q41</f>
        <v>343.98984952458704</v>
      </c>
      <c r="C777">
        <f>Chart_Data!P41</f>
        <v>-40.5</v>
      </c>
      <c r="D777">
        <f>Chart_Data!R41</f>
        <v>377.33507918992473</v>
      </c>
      <c r="E777">
        <f>Chart_Data!P41</f>
        <v>-40.5</v>
      </c>
      <c r="F777">
        <f>Chart_Data!S41</f>
        <v>51.650127556244307</v>
      </c>
      <c r="G777">
        <f>Chart_Data!P41</f>
        <v>-40.5</v>
      </c>
      <c r="H777">
        <f>Chart_Data!T41</f>
        <v>56.656918797285996</v>
      </c>
    </row>
    <row r="778" spans="1:8">
      <c r="A778">
        <f>Chart_Data!P42</f>
        <v>-40</v>
      </c>
      <c r="B778">
        <f>Chart_Data!Q42</f>
        <v>339.80843724993974</v>
      </c>
      <c r="C778">
        <f>Chart_Data!P42</f>
        <v>-40</v>
      </c>
      <c r="D778">
        <f>Chart_Data!R42</f>
        <v>355.33588521257116</v>
      </c>
      <c r="E778">
        <f>Chart_Data!P42</f>
        <v>-40</v>
      </c>
      <c r="F778">
        <f>Chart_Data!S42</f>
        <v>51.022287875366331</v>
      </c>
      <c r="G778">
        <f>Chart_Data!P42</f>
        <v>-40</v>
      </c>
      <c r="H778">
        <f>Chart_Data!T42</f>
        <v>53.353736518404084</v>
      </c>
    </row>
    <row r="779" spans="1:8">
      <c r="A779">
        <f>Chart_Data!P43</f>
        <v>-39.5</v>
      </c>
      <c r="B779">
        <f>Chart_Data!Q43</f>
        <v>335.62463871039654</v>
      </c>
      <c r="C779">
        <f>Chart_Data!P43</f>
        <v>-39.5</v>
      </c>
      <c r="D779">
        <f>Chart_Data!R43</f>
        <v>314.96723845502856</v>
      </c>
      <c r="E779">
        <f>Chart_Data!P43</f>
        <v>-39.5</v>
      </c>
      <c r="F779">
        <f>Chart_Data!S43</f>
        <v>50.394089896455938</v>
      </c>
      <c r="G779">
        <f>Chart_Data!P43</f>
        <v>-39.5</v>
      </c>
      <c r="H779">
        <f>Chart_Data!T43</f>
        <v>47.292378146400686</v>
      </c>
    </row>
    <row r="780" spans="1:8">
      <c r="A780">
        <f>Chart_Data!P44</f>
        <v>-39</v>
      </c>
      <c r="B780">
        <f>Chart_Data!Q44</f>
        <v>331.43848065974453</v>
      </c>
      <c r="C780">
        <f>Chart_Data!P44</f>
        <v>-39</v>
      </c>
      <c r="D780">
        <f>Chart_Data!R44</f>
        <v>348.42733635496188</v>
      </c>
      <c r="E780">
        <f>Chart_Data!P44</f>
        <v>-39</v>
      </c>
      <c r="F780">
        <f>Chart_Data!S44</f>
        <v>49.765537636598282</v>
      </c>
      <c r="G780">
        <f>Chart_Data!P44</f>
        <v>-39</v>
      </c>
      <c r="H780">
        <f>Chart_Data!T44</f>
        <v>52.316416870114402</v>
      </c>
    </row>
    <row r="781" spans="1:8">
      <c r="A781">
        <f>Chart_Data!P45</f>
        <v>-38.5</v>
      </c>
      <c r="B781">
        <f>Chart_Data!Q45</f>
        <v>327.24998996245631</v>
      </c>
      <c r="C781">
        <f>Chart_Data!P45</f>
        <v>-38.5</v>
      </c>
      <c r="D781">
        <f>Chart_Data!R45</f>
        <v>356.49037925559242</v>
      </c>
      <c r="E781">
        <f>Chart_Data!P45</f>
        <v>-38.5</v>
      </c>
      <c r="F781">
        <f>Chart_Data!S45</f>
        <v>49.136635129497947</v>
      </c>
      <c r="G781">
        <f>Chart_Data!P45</f>
        <v>-38.5</v>
      </c>
      <c r="H781">
        <f>Chart_Data!T45</f>
        <v>53.527083972311175</v>
      </c>
    </row>
    <row r="782" spans="1:8">
      <c r="A782">
        <f>Chart_Data!P46</f>
        <v>-38</v>
      </c>
      <c r="B782">
        <f>Chart_Data!Q46</f>
        <v>323.05919359660038</v>
      </c>
      <c r="C782">
        <f>Chart_Data!P46</f>
        <v>-38</v>
      </c>
      <c r="D782">
        <f>Chart_Data!R46</f>
        <v>366.83142083111306</v>
      </c>
      <c r="E782">
        <f>Chart_Data!P46</f>
        <v>-38</v>
      </c>
      <c r="F782">
        <f>Chart_Data!S46</f>
        <v>48.507386425915975</v>
      </c>
      <c r="G782">
        <f>Chart_Data!P46</f>
        <v>-38</v>
      </c>
      <c r="H782">
        <f>Chart_Data!T46</f>
        <v>55.079792917584548</v>
      </c>
    </row>
    <row r="783" spans="1:8">
      <c r="A783">
        <f>Chart_Data!P47</f>
        <v>-37.5</v>
      </c>
      <c r="B783">
        <f>Chart_Data!Q47</f>
        <v>318.86611864902079</v>
      </c>
      <c r="C783">
        <f>Chart_Data!P47</f>
        <v>-37.5</v>
      </c>
      <c r="D783">
        <f>Chart_Data!R47</f>
        <v>371.67029926577015</v>
      </c>
      <c r="E783">
        <f>Chart_Data!P47</f>
        <v>-37.5</v>
      </c>
      <c r="F783">
        <f>Chart_Data!S47</f>
        <v>47.877795592946072</v>
      </c>
      <c r="G783">
        <f>Chart_Data!P47</f>
        <v>-37.5</v>
      </c>
      <c r="H783">
        <f>Chart_Data!T47</f>
        <v>55.806351241106633</v>
      </c>
    </row>
    <row r="784" spans="1:8">
      <c r="A784">
        <f>Chart_Data!P48</f>
        <v>-37</v>
      </c>
      <c r="B784">
        <f>Chart_Data!Q48</f>
        <v>314.67079231433672</v>
      </c>
      <c r="C784">
        <f>Chart_Data!P48</f>
        <v>-37</v>
      </c>
      <c r="D784">
        <f>Chart_Data!R48</f>
        <v>355.48139120546693</v>
      </c>
      <c r="E784">
        <f>Chart_Data!P48</f>
        <v>-37</v>
      </c>
      <c r="F784">
        <f>Chart_Data!S48</f>
        <v>47.247866713864376</v>
      </c>
      <c r="G784">
        <f>Chart_Data!P48</f>
        <v>-37</v>
      </c>
      <c r="H784">
        <f>Chart_Data!T48</f>
        <v>53.375584265085131</v>
      </c>
    </row>
    <row r="785" spans="1:8">
      <c r="A785">
        <f>Chart_Data!P49</f>
        <v>-36.5</v>
      </c>
      <c r="B785">
        <f>Chart_Data!Q49</f>
        <v>310.47324188575658</v>
      </c>
      <c r="C785">
        <f>Chart_Data!P49</f>
        <v>-36.5</v>
      </c>
      <c r="D785">
        <f>Chart_Data!R49</f>
        <v>369.34297482257534</v>
      </c>
      <c r="E785">
        <f>Chart_Data!P49</f>
        <v>-36.5</v>
      </c>
      <c r="F785">
        <f>Chart_Data!S49</f>
        <v>46.617603886750238</v>
      </c>
      <c r="G785">
        <f>Chart_Data!P49</f>
        <v>-36.5</v>
      </c>
      <c r="H785">
        <f>Chart_Data!T49</f>
        <v>55.45690312651282</v>
      </c>
    </row>
    <row r="786" spans="1:8">
      <c r="A786">
        <f>Chart_Data!P50</f>
        <v>-36</v>
      </c>
      <c r="B786">
        <f>Chart_Data!Q50</f>
        <v>306.2734947710851</v>
      </c>
      <c r="C786">
        <f>Chart_Data!P50</f>
        <v>-36</v>
      </c>
      <c r="D786">
        <f>Chart_Data!R50</f>
        <v>338.28247547235151</v>
      </c>
      <c r="E786">
        <f>Chart_Data!P50</f>
        <v>-36</v>
      </c>
      <c r="F786">
        <f>Chart_Data!S50</f>
        <v>45.987011226889656</v>
      </c>
      <c r="G786">
        <f>Chart_Data!P50</f>
        <v>-36</v>
      </c>
      <c r="H786">
        <f>Chart_Data!T50</f>
        <v>50.793164485338067</v>
      </c>
    </row>
    <row r="787" spans="1:8">
      <c r="A787">
        <f>Chart_Data!P51</f>
        <v>-35.5</v>
      </c>
      <c r="B787">
        <f>Chart_Data!Q51</f>
        <v>302.07157848089992</v>
      </c>
      <c r="C787">
        <f>Chart_Data!P51</f>
        <v>-35.5</v>
      </c>
      <c r="D787">
        <f>Chart_Data!R51</f>
        <v>314.05984233133495</v>
      </c>
      <c r="E787">
        <f>Chart_Data!P51</f>
        <v>-35.5</v>
      </c>
      <c r="F787">
        <f>Chart_Data!S51</f>
        <v>45.356092864999994</v>
      </c>
      <c r="G787">
        <f>Chart_Data!P51</f>
        <v>-35.5</v>
      </c>
      <c r="H787">
        <f>Chart_Data!T51</f>
        <v>47.156132482182429</v>
      </c>
    </row>
    <row r="788" spans="1:8">
      <c r="A788">
        <f>Chart_Data!P52</f>
        <v>-35</v>
      </c>
      <c r="B788">
        <f>Chart_Data!Q52</f>
        <v>297.86752062109372</v>
      </c>
      <c r="C788">
        <f>Chart_Data!P52</f>
        <v>-35</v>
      </c>
      <c r="D788">
        <f>Chart_Data!R52</f>
        <v>347.75645538547906</v>
      </c>
      <c r="E788">
        <f>Chart_Data!P52</f>
        <v>-35</v>
      </c>
      <c r="F788">
        <f>Chart_Data!S52</f>
        <v>44.724852946110168</v>
      </c>
      <c r="G788">
        <f>Chart_Data!P52</f>
        <v>-35</v>
      </c>
      <c r="H788">
        <f>Chart_Data!T52</f>
        <v>52.215683991813677</v>
      </c>
    </row>
    <row r="789" spans="1:8">
      <c r="A789">
        <f>Chart_Data!P53</f>
        <v>-34.5</v>
      </c>
      <c r="B789">
        <f>Chart_Data!Q53</f>
        <v>293.66134891224647</v>
      </c>
      <c r="C789">
        <f>Chart_Data!P53</f>
        <v>-34.5</v>
      </c>
      <c r="D789">
        <f>Chart_Data!R53</f>
        <v>355.19551341312763</v>
      </c>
      <c r="E789">
        <f>Chart_Data!P53</f>
        <v>-34.5</v>
      </c>
      <c r="F789">
        <f>Chart_Data!S53</f>
        <v>44.093295632469442</v>
      </c>
      <c r="G789">
        <f>Chart_Data!P53</f>
        <v>-34.5</v>
      </c>
      <c r="H789">
        <f>Chart_Data!T53</f>
        <v>53.332659671640791</v>
      </c>
    </row>
    <row r="790" spans="1:8">
      <c r="A790">
        <f>Chart_Data!P54</f>
        <v>-34</v>
      </c>
      <c r="B790">
        <f>Chart_Data!Q54</f>
        <v>289.4530911666152</v>
      </c>
      <c r="C790">
        <f>Chart_Data!P54</f>
        <v>-34</v>
      </c>
      <c r="D790">
        <f>Chart_Data!R54</f>
        <v>308.86032495109248</v>
      </c>
      <c r="E790">
        <f>Chart_Data!P54</f>
        <v>-34</v>
      </c>
      <c r="F790">
        <f>Chart_Data!S54</f>
        <v>43.461425100092377</v>
      </c>
      <c r="G790">
        <f>Chart_Data!P54</f>
        <v>-34</v>
      </c>
      <c r="H790">
        <f>Chart_Data!T54</f>
        <v>46.375424166830705</v>
      </c>
    </row>
    <row r="791" spans="1:8">
      <c r="A791">
        <f>Chart_Data!P55</f>
        <v>-33.5</v>
      </c>
      <c r="B791">
        <f>Chart_Data!Q55</f>
        <v>285.24277529395476</v>
      </c>
      <c r="C791">
        <f>Chart_Data!P55</f>
        <v>-33.5</v>
      </c>
      <c r="D791">
        <f>Chart_Data!R55</f>
        <v>321.33106228302495</v>
      </c>
      <c r="E791">
        <f>Chart_Data!P55</f>
        <v>-33.5</v>
      </c>
      <c r="F791">
        <f>Chart_Data!S55</f>
        <v>42.829245539632851</v>
      </c>
      <c r="G791">
        <f>Chart_Data!P55</f>
        <v>-33.5</v>
      </c>
      <c r="H791">
        <f>Chart_Data!T55</f>
        <v>48.247907249703452</v>
      </c>
    </row>
    <row r="792" spans="1:8">
      <c r="A792">
        <f>Chart_Data!P56</f>
        <v>-33</v>
      </c>
      <c r="B792">
        <f>Chart_Data!Q56</f>
        <v>281.0304293043373</v>
      </c>
      <c r="C792">
        <f>Chart_Data!P56</f>
        <v>-33</v>
      </c>
      <c r="D792">
        <f>Chart_Data!R56</f>
        <v>316.859491910418</v>
      </c>
      <c r="E792">
        <f>Chart_Data!P56</f>
        <v>-33</v>
      </c>
      <c r="F792">
        <f>Chart_Data!S56</f>
        <v>42.196761156807405</v>
      </c>
      <c r="G792">
        <f>Chart_Data!P56</f>
        <v>-33</v>
      </c>
      <c r="H792">
        <f>Chart_Data!T56</f>
        <v>47.576500286849551</v>
      </c>
    </row>
    <row r="793" spans="1:8">
      <c r="A793">
        <f>Chart_Data!P57</f>
        <v>-32.5</v>
      </c>
      <c r="B793">
        <f>Chart_Data!Q57</f>
        <v>276.81608131206303</v>
      </c>
      <c r="C793">
        <f>Chart_Data!P57</f>
        <v>-32.5</v>
      </c>
      <c r="D793">
        <f>Chart_Data!R57</f>
        <v>275.17658723500062</v>
      </c>
      <c r="E793">
        <f>Chart_Data!P57</f>
        <v>-32.5</v>
      </c>
      <c r="F793">
        <f>Chart_Data!S57</f>
        <v>41.563976172982443</v>
      </c>
      <c r="G793">
        <f>Chart_Data!P57</f>
        <v>-32.5</v>
      </c>
      <c r="H793">
        <f>Chart_Data!T57</f>
        <v>41.317805891141241</v>
      </c>
    </row>
    <row r="794" spans="1:8">
      <c r="A794">
        <f>Chart_Data!P58</f>
        <v>-32</v>
      </c>
      <c r="B794">
        <f>Chart_Data!Q58</f>
        <v>272.59975951992601</v>
      </c>
      <c r="C794">
        <f>Chart_Data!P58</f>
        <v>-32</v>
      </c>
      <c r="D794">
        <f>Chart_Data!R58</f>
        <v>279.49268607053455</v>
      </c>
      <c r="E794">
        <f>Chart_Data!P58</f>
        <v>-32</v>
      </c>
      <c r="F794">
        <f>Chart_Data!S58</f>
        <v>40.930894822811716</v>
      </c>
      <c r="G794">
        <f>Chart_Data!P58</f>
        <v>-32</v>
      </c>
      <c r="H794">
        <f>Chart_Data!T58</f>
        <v>41.965868779359546</v>
      </c>
    </row>
    <row r="795" spans="1:8">
      <c r="A795">
        <f>Chart_Data!P59</f>
        <v>-31.5</v>
      </c>
      <c r="B795">
        <f>Chart_Data!Q59</f>
        <v>268.38149222203356</v>
      </c>
      <c r="C795">
        <f>Chart_Data!P59</f>
        <v>-31.5</v>
      </c>
      <c r="D795">
        <f>Chart_Data!R59</f>
        <v>288.14417854828207</v>
      </c>
      <c r="E795">
        <f>Chart_Data!P59</f>
        <v>-31.5</v>
      </c>
      <c r="F795">
        <f>Chart_Data!S59</f>
        <v>40.297521354659693</v>
      </c>
      <c r="G795">
        <f>Chart_Data!P59</f>
        <v>-31.5</v>
      </c>
      <c r="H795">
        <f>Chart_Data!T59</f>
        <v>43.264891673916232</v>
      </c>
    </row>
    <row r="796" spans="1:8">
      <c r="A796">
        <f>Chart_Data!P60</f>
        <v>-31</v>
      </c>
      <c r="B796">
        <f>Chart_Data!Q60</f>
        <v>264.16130781663014</v>
      </c>
      <c r="C796">
        <f>Chart_Data!P60</f>
        <v>-31</v>
      </c>
      <c r="D796">
        <f>Chart_Data!R60</f>
        <v>238.13849277175905</v>
      </c>
      <c r="E796">
        <f>Chart_Data!P60</f>
        <v>-31</v>
      </c>
      <c r="F796">
        <f>Chart_Data!S60</f>
        <v>39.663860032527054</v>
      </c>
      <c r="G796">
        <f>Chart_Data!P60</f>
        <v>-31</v>
      </c>
      <c r="H796">
        <f>Chart_Data!T60</f>
        <v>35.756530446210071</v>
      </c>
    </row>
    <row r="797" spans="1:8">
      <c r="A797">
        <f>Chart_Data!P61</f>
        <v>-30.5</v>
      </c>
      <c r="B797">
        <f>Chart_Data!Q61</f>
        <v>259.93923478881698</v>
      </c>
      <c r="C797">
        <f>Chart_Data!P61</f>
        <v>-30.5</v>
      </c>
      <c r="D797">
        <f>Chart_Data!R61</f>
        <v>234.24333788807417</v>
      </c>
      <c r="E797">
        <f>Chart_Data!P61</f>
        <v>-30.5</v>
      </c>
      <c r="F797">
        <f>Chart_Data!S61</f>
        <v>39.029915133456008</v>
      </c>
      <c r="G797">
        <f>Chart_Data!P61</f>
        <v>-30.5</v>
      </c>
      <c r="H797">
        <f>Chart_Data!T61</f>
        <v>35.171672355566692</v>
      </c>
    </row>
    <row r="798" spans="1:8">
      <c r="A798">
        <f>Chart_Data!P62</f>
        <v>-30</v>
      </c>
      <c r="B798">
        <f>Chart_Data!Q62</f>
        <v>255.71530170509504</v>
      </c>
      <c r="C798">
        <f>Chart_Data!P62</f>
        <v>-30</v>
      </c>
      <c r="D798">
        <f>Chart_Data!R62</f>
        <v>236.16063340596156</v>
      </c>
      <c r="E798">
        <f>Chart_Data!P62</f>
        <v>-30</v>
      </c>
      <c r="F798">
        <f>Chart_Data!S62</f>
        <v>38.395690946710971</v>
      </c>
      <c r="G798">
        <f>Chart_Data!P62</f>
        <v>-30</v>
      </c>
      <c r="H798">
        <f>Chart_Data!T62</f>
        <v>35.459554565459698</v>
      </c>
    </row>
    <row r="799" spans="1:8">
      <c r="A799">
        <f>Chart_Data!P63</f>
        <v>-29.5</v>
      </c>
      <c r="B799">
        <f>Chart_Data!Q63</f>
        <v>251.48953723855811</v>
      </c>
      <c r="C799">
        <f>Chart_Data!P63</f>
        <v>-29.5</v>
      </c>
      <c r="D799">
        <f>Chart_Data!R63</f>
        <v>243.54226020022907</v>
      </c>
      <c r="E799">
        <f>Chart_Data!P63</f>
        <v>-29.5</v>
      </c>
      <c r="F799">
        <f>Chart_Data!S63</f>
        <v>37.76119177756128</v>
      </c>
      <c r="G799">
        <f>Chart_Data!P63</f>
        <v>-29.5</v>
      </c>
      <c r="H799">
        <f>Chart_Data!T63</f>
        <v>36.567906936971333</v>
      </c>
    </row>
    <row r="800" spans="1:8">
      <c r="A800">
        <f>Chart_Data!P64</f>
        <v>-29</v>
      </c>
      <c r="B800">
        <f>Chart_Data!Q64</f>
        <v>247.26197014497302</v>
      </c>
      <c r="C800">
        <f>Chart_Data!P64</f>
        <v>-29</v>
      </c>
      <c r="D800">
        <f>Chart_Data!R64</f>
        <v>221.97951412254042</v>
      </c>
      <c r="E800">
        <f>Chart_Data!P64</f>
        <v>-29</v>
      </c>
      <c r="F800">
        <f>Chart_Data!S64</f>
        <v>37.126421943689643</v>
      </c>
      <c r="G800">
        <f>Chart_Data!P64</f>
        <v>-29</v>
      </c>
      <c r="H800">
        <f>Chart_Data!T64</f>
        <v>33.330257375756823</v>
      </c>
    </row>
    <row r="801" spans="1:8">
      <c r="A801">
        <f>Chart_Data!P65</f>
        <v>-28.5</v>
      </c>
      <c r="B801">
        <f>Chart_Data!Q65</f>
        <v>243.03262925423041</v>
      </c>
      <c r="C801">
        <f>Chart_Data!P65</f>
        <v>-28.5</v>
      </c>
      <c r="D801">
        <f>Chart_Data!R65</f>
        <v>213.63232481835439</v>
      </c>
      <c r="E801">
        <f>Chart_Data!P65</f>
        <v>-28.5</v>
      </c>
      <c r="F801">
        <f>Chart_Data!S65</f>
        <v>36.491385773908476</v>
      </c>
      <c r="G801">
        <f>Chart_Data!P65</f>
        <v>-28.5</v>
      </c>
      <c r="H801">
        <f>Chart_Data!T65</f>
        <v>32.076925648401563</v>
      </c>
    </row>
    <row r="802" spans="1:8">
      <c r="A802">
        <f>Chart_Data!P66</f>
        <v>-28</v>
      </c>
      <c r="B802">
        <f>Chart_Data!Q66</f>
        <v>238.80154350053999</v>
      </c>
      <c r="C802">
        <f>Chart_Data!P66</f>
        <v>-28</v>
      </c>
      <c r="D802">
        <f>Chart_Data!R66</f>
        <v>217.6420816668724</v>
      </c>
      <c r="E802">
        <f>Chart_Data!P66</f>
        <v>-28</v>
      </c>
      <c r="F802">
        <f>Chart_Data!S66</f>
        <v>35.856087612693699</v>
      </c>
      <c r="G802">
        <f>Chart_Data!P66</f>
        <v>-28</v>
      </c>
      <c r="H802">
        <f>Chart_Data!T66</f>
        <v>32.678991241272136</v>
      </c>
    </row>
    <row r="803" spans="1:8">
      <c r="A803">
        <f>Chart_Data!P67</f>
        <v>-27.5</v>
      </c>
      <c r="B803">
        <f>Chart_Data!Q67</f>
        <v>234.56874188968868</v>
      </c>
      <c r="C803">
        <f>Chart_Data!P67</f>
        <v>-27.5</v>
      </c>
      <c r="D803">
        <f>Chart_Data!R67</f>
        <v>196.64953141873411</v>
      </c>
      <c r="E803">
        <f>Chart_Data!P67</f>
        <v>-27.5</v>
      </c>
      <c r="F803">
        <f>Chart_Data!S67</f>
        <v>35.220531815268572</v>
      </c>
      <c r="G803">
        <f>Chart_Data!P67</f>
        <v>-27.5</v>
      </c>
      <c r="H803">
        <f>Chart_Data!T67</f>
        <v>29.526956669479599</v>
      </c>
    </row>
    <row r="804" spans="1:8">
      <c r="A804">
        <f>Chart_Data!P68</f>
        <v>-27</v>
      </c>
      <c r="B804">
        <f>Chart_Data!Q68</f>
        <v>230.3342535144111</v>
      </c>
      <c r="C804">
        <f>Chart_Data!P68</f>
        <v>-27</v>
      </c>
      <c r="D804">
        <f>Chart_Data!R68</f>
        <v>220.46869172654624</v>
      </c>
      <c r="E804">
        <f>Chart_Data!P68</f>
        <v>-27</v>
      </c>
      <c r="F804">
        <f>Chart_Data!S68</f>
        <v>34.584722749911577</v>
      </c>
      <c r="G804">
        <f>Chart_Data!P68</f>
        <v>-27</v>
      </c>
      <c r="H804">
        <f>Chart_Data!T68</f>
        <v>33.103407166148088</v>
      </c>
    </row>
    <row r="805" spans="1:8">
      <c r="A805">
        <f>Chart_Data!P69</f>
        <v>-26.5</v>
      </c>
      <c r="B805">
        <f>Chart_Data!Q69</f>
        <v>226.0981075584823</v>
      </c>
      <c r="C805">
        <f>Chart_Data!P69</f>
        <v>-26.5</v>
      </c>
      <c r="D805">
        <f>Chart_Data!R69</f>
        <v>198.23751812764385</v>
      </c>
      <c r="E805">
        <f>Chart_Data!P69</f>
        <v>-26.5</v>
      </c>
      <c r="F805">
        <f>Chart_Data!S69</f>
        <v>33.948664798570917</v>
      </c>
      <c r="G805">
        <f>Chart_Data!P69</f>
        <v>-26.5</v>
      </c>
      <c r="H805">
        <f>Chart_Data!T69</f>
        <v>29.765393112258838</v>
      </c>
    </row>
    <row r="806" spans="1:8">
      <c r="A806">
        <f>Chart_Data!P70</f>
        <v>-26</v>
      </c>
      <c r="B806">
        <f>Chart_Data!Q70</f>
        <v>221.86033326770485</v>
      </c>
      <c r="C806">
        <f>Chart_Data!P70</f>
        <v>-26</v>
      </c>
      <c r="D806">
        <f>Chart_Data!R70</f>
        <v>192.02568655455252</v>
      </c>
      <c r="E806">
        <f>Chart_Data!P70</f>
        <v>-26</v>
      </c>
      <c r="F806">
        <f>Chart_Data!S70</f>
        <v>33.312362352508238</v>
      </c>
      <c r="G806">
        <f>Chart_Data!P70</f>
        <v>-26</v>
      </c>
      <c r="H806">
        <f>Chart_Data!T70</f>
        <v>28.832685668851731</v>
      </c>
    </row>
    <row r="807" spans="1:8">
      <c r="A807">
        <f>Chart_Data!P71</f>
        <v>-25.5</v>
      </c>
      <c r="B807">
        <f>Chart_Data!Q71</f>
        <v>217.62095997992219</v>
      </c>
      <c r="C807">
        <f>Chart_Data!P71</f>
        <v>-25.5</v>
      </c>
      <c r="D807">
        <f>Chart_Data!R71</f>
        <v>199.48475681912896</v>
      </c>
      <c r="E807">
        <f>Chart_Data!P71</f>
        <v>-25.5</v>
      </c>
      <c r="F807">
        <f>Chart_Data!S71</f>
        <v>32.675819816805138</v>
      </c>
      <c r="G807">
        <f>Chart_Data!P71</f>
        <v>-25.5</v>
      </c>
      <c r="H807">
        <f>Chart_Data!T71</f>
        <v>29.952666189058405</v>
      </c>
    </row>
    <row r="808" spans="1:8">
      <c r="A808">
        <f>Chart_Data!P72</f>
        <v>-25</v>
      </c>
      <c r="B808">
        <f>Chart_Data!Q72</f>
        <v>213.38001711119432</v>
      </c>
      <c r="C808">
        <f>Chart_Data!P72</f>
        <v>-25</v>
      </c>
      <c r="D808">
        <f>Chart_Data!R72</f>
        <v>221.07258972082491</v>
      </c>
      <c r="E808">
        <f>Chart_Data!P72</f>
        <v>-25</v>
      </c>
      <c r="F808">
        <f>Chart_Data!S72</f>
        <v>32.039041608287441</v>
      </c>
      <c r="G808">
        <f>Chart_Data!P72</f>
        <v>-25</v>
      </c>
      <c r="H808">
        <f>Chart_Data!T72</f>
        <v>33.194082540664404</v>
      </c>
    </row>
    <row r="809" spans="1:8">
      <c r="A809">
        <f>Chart_Data!P73</f>
        <v>-24.5</v>
      </c>
      <c r="B809">
        <f>Chart_Data!Q73</f>
        <v>209.13753414824896</v>
      </c>
      <c r="C809">
        <f>Chart_Data!P73</f>
        <v>-24.5</v>
      </c>
      <c r="D809">
        <f>Chart_Data!R73</f>
        <v>222.45043993452782</v>
      </c>
      <c r="E809">
        <f>Chart_Data!P73</f>
        <v>-24.5</v>
      </c>
      <c r="F809">
        <f>Chart_Data!S73</f>
        <v>31.402032154391737</v>
      </c>
      <c r="G809">
        <f>Chart_Data!P73</f>
        <v>-24.5</v>
      </c>
      <c r="H809">
        <f>Chart_Data!T73</f>
        <v>33.400966957136312</v>
      </c>
    </row>
    <row r="810" spans="1:8">
      <c r="A810">
        <f>Chart_Data!P74</f>
        <v>-24</v>
      </c>
      <c r="B810">
        <f>Chart_Data!Q74</f>
        <v>204.89354065312</v>
      </c>
      <c r="C810">
        <f>Chart_Data!P74</f>
        <v>-24</v>
      </c>
      <c r="D810">
        <f>Chart_Data!R74</f>
        <v>200.92529767707674</v>
      </c>
      <c r="E810">
        <f>Chart_Data!P74</f>
        <v>-24</v>
      </c>
      <c r="F810">
        <f>Chart_Data!S74</f>
        <v>30.764795893861866</v>
      </c>
      <c r="G810">
        <f>Chart_Data!P74</f>
        <v>-24</v>
      </c>
      <c r="H810">
        <f>Chart_Data!T74</f>
        <v>30.16896361517669</v>
      </c>
    </row>
    <row r="811" spans="1:8">
      <c r="A811">
        <f>Chart_Data!P75</f>
        <v>-23.5</v>
      </c>
      <c r="B811">
        <f>Chart_Data!Q75</f>
        <v>200.64806626696736</v>
      </c>
      <c r="C811">
        <f>Chart_Data!P75</f>
        <v>-23.5</v>
      </c>
      <c r="D811">
        <f>Chart_Data!R75</f>
        <v>218.20922536780927</v>
      </c>
      <c r="E811">
        <f>Chart_Data!P75</f>
        <v>-23.5</v>
      </c>
      <c r="F811">
        <f>Chart_Data!S75</f>
        <v>30.127337277322429</v>
      </c>
      <c r="G811">
        <f>Chart_Data!P75</f>
        <v>-23.5</v>
      </c>
      <c r="H811">
        <f>Chart_Data!T75</f>
        <v>32.764147953124514</v>
      </c>
    </row>
    <row r="812" spans="1:8">
      <c r="A812">
        <f>Chart_Data!P76</f>
        <v>-23</v>
      </c>
      <c r="B812">
        <f>Chart_Data!Q76</f>
        <v>196.40114070170966</v>
      </c>
      <c r="C812">
        <f>Chart_Data!P76</f>
        <v>-23</v>
      </c>
      <c r="D812">
        <f>Chart_Data!R76</f>
        <v>216.80914002981808</v>
      </c>
      <c r="E812">
        <f>Chart_Data!P76</f>
        <v>-23</v>
      </c>
      <c r="F812">
        <f>Chart_Data!S76</f>
        <v>29.489660766022475</v>
      </c>
      <c r="G812">
        <f>Chart_Data!P76</f>
        <v>-23</v>
      </c>
      <c r="H812">
        <f>Chart_Data!T76</f>
        <v>32.553924929402115</v>
      </c>
    </row>
    <row r="813" spans="1:8">
      <c r="A813">
        <f>Chart_Data!P77</f>
        <v>-22.5</v>
      </c>
      <c r="B813">
        <f>Chart_Data!Q77</f>
        <v>192.15279373456724</v>
      </c>
      <c r="C813">
        <f>Chart_Data!P77</f>
        <v>-22.5</v>
      </c>
      <c r="D813">
        <f>Chart_Data!R77</f>
        <v>251.21183481469416</v>
      </c>
      <c r="E813">
        <f>Chart_Data!P77</f>
        <v>-22.5</v>
      </c>
      <c r="F813">
        <f>Chart_Data!S77</f>
        <v>28.851770831016104</v>
      </c>
      <c r="G813">
        <f>Chart_Data!P77</f>
        <v>-22.5</v>
      </c>
      <c r="H813">
        <f>Chart_Data!T77</f>
        <v>37.719494716921048</v>
      </c>
    </row>
    <row r="814" spans="1:8">
      <c r="A814">
        <f>Chart_Data!P78</f>
        <v>-22</v>
      </c>
      <c r="B814">
        <f>Chart_Data!Q78</f>
        <v>187.90305521988557</v>
      </c>
      <c r="C814">
        <f>Chart_Data!P78</f>
        <v>-22</v>
      </c>
      <c r="D814">
        <f>Chart_Data!R78</f>
        <v>260.81096796797283</v>
      </c>
      <c r="E814">
        <f>Chart_Data!P78</f>
        <v>-22</v>
      </c>
      <c r="F814">
        <f>Chart_Data!S78</f>
        <v>28.213671954937777</v>
      </c>
      <c r="G814">
        <f>Chart_Data!P78</f>
        <v>-22</v>
      </c>
      <c r="H814">
        <f>Chart_Data!T78</f>
        <v>39.160806001197123</v>
      </c>
    </row>
    <row r="815" spans="1:8">
      <c r="A815">
        <f>Chart_Data!P79</f>
        <v>-21.5</v>
      </c>
      <c r="B815">
        <f>Chart_Data!Q79</f>
        <v>183.65195507121825</v>
      </c>
      <c r="C815">
        <f>Chart_Data!P79</f>
        <v>-21.5</v>
      </c>
      <c r="D815">
        <f>Chart_Data!R79</f>
        <v>185.84239228039223</v>
      </c>
      <c r="E815">
        <f>Chart_Data!P79</f>
        <v>-21.5</v>
      </c>
      <c r="F815">
        <f>Chart_Data!S79</f>
        <v>27.575368629312052</v>
      </c>
      <c r="G815">
        <f>Chart_Data!P79</f>
        <v>-21.5</v>
      </c>
      <c r="H815">
        <f>Chart_Data!T79</f>
        <v>27.904263105164002</v>
      </c>
    </row>
    <row r="816" spans="1:8">
      <c r="A816">
        <f>Chart_Data!P80</f>
        <v>-21</v>
      </c>
      <c r="B816">
        <f>Chart_Data!Q80</f>
        <v>179.3995232830639</v>
      </c>
      <c r="C816">
        <f>Chart_Data!P80</f>
        <v>-21</v>
      </c>
      <c r="D816">
        <f>Chart_Data!R80</f>
        <v>196.90678698616466</v>
      </c>
      <c r="E816">
        <f>Chart_Data!P80</f>
        <v>-21</v>
      </c>
      <c r="F816">
        <f>Chart_Data!S80</f>
        <v>26.936865357817403</v>
      </c>
      <c r="G816">
        <f>Chart_Data!P80</f>
        <v>-21</v>
      </c>
      <c r="H816">
        <f>Chart_Data!T80</f>
        <v>29.565583631556258</v>
      </c>
    </row>
    <row r="817" spans="1:8">
      <c r="A817">
        <f>Chart_Data!P81</f>
        <v>-20.5</v>
      </c>
      <c r="B817">
        <f>Chart_Data!Q81</f>
        <v>175.14578990121663</v>
      </c>
      <c r="C817">
        <f>Chart_Data!P81</f>
        <v>-20.5</v>
      </c>
      <c r="D817">
        <f>Chart_Data!R81</f>
        <v>207.46841210884668</v>
      </c>
      <c r="E817">
        <f>Chart_Data!P81</f>
        <v>-20.5</v>
      </c>
      <c r="F817">
        <f>Chart_Data!S81</f>
        <v>26.298166651834332</v>
      </c>
      <c r="G817">
        <f>Chart_Data!P81</f>
        <v>-20.5</v>
      </c>
      <c r="H817">
        <f>Chart_Data!T81</f>
        <v>31.15141322955656</v>
      </c>
    </row>
    <row r="818" spans="1:8">
      <c r="A818">
        <f>Chart_Data!P82</f>
        <v>-20</v>
      </c>
      <c r="B818">
        <f>Chart_Data!Q82</f>
        <v>170.89078503895507</v>
      </c>
      <c r="C818">
        <f>Chart_Data!P82</f>
        <v>-20</v>
      </c>
      <c r="D818">
        <f>Chart_Data!R82</f>
        <v>203.53163798381502</v>
      </c>
      <c r="E818">
        <f>Chart_Data!P82</f>
        <v>-20</v>
      </c>
      <c r="F818">
        <f>Chart_Data!S82</f>
        <v>25.65927703287614</v>
      </c>
      <c r="G818">
        <f>Chart_Data!P82</f>
        <v>-20</v>
      </c>
      <c r="H818">
        <f>Chart_Data!T82</f>
        <v>30.560306003575832</v>
      </c>
    </row>
    <row r="819" spans="1:8">
      <c r="A819">
        <f>Chart_Data!P83</f>
        <v>-19.5</v>
      </c>
      <c r="B819">
        <f>Chart_Data!Q83</f>
        <v>166.6345388791342</v>
      </c>
      <c r="C819">
        <f>Chart_Data!P83</f>
        <v>-19.5</v>
      </c>
      <c r="D819">
        <f>Chart_Data!R83</f>
        <v>219.32626696543593</v>
      </c>
      <c r="E819">
        <f>Chart_Data!P83</f>
        <v>-19.5</v>
      </c>
      <c r="F819">
        <f>Chart_Data!S83</f>
        <v>25.020201032903035</v>
      </c>
      <c r="G819">
        <f>Chart_Data!P83</f>
        <v>-19.5</v>
      </c>
      <c r="H819">
        <f>Chart_Data!T83</f>
        <v>32.931871916732128</v>
      </c>
    </row>
    <row r="820" spans="1:8">
      <c r="A820">
        <f>Chart_Data!P84</f>
        <v>-19</v>
      </c>
      <c r="B820">
        <f>Chart_Data!Q84</f>
        <v>162.37708165526783</v>
      </c>
      <c r="C820">
        <f>Chart_Data!P84</f>
        <v>-19</v>
      </c>
      <c r="D820">
        <f>Chart_Data!R84</f>
        <v>165.46845659795508</v>
      </c>
      <c r="E820">
        <f>Chart_Data!P84</f>
        <v>-19</v>
      </c>
      <c r="F820">
        <f>Chart_Data!S84</f>
        <v>24.380943191481659</v>
      </c>
      <c r="G820">
        <f>Chart_Data!P84</f>
        <v>-19</v>
      </c>
      <c r="H820">
        <f>Chart_Data!T84</f>
        <v>24.845113603296561</v>
      </c>
    </row>
    <row r="821" spans="1:8">
      <c r="A821">
        <f>Chart_Data!P85</f>
        <v>-18.5</v>
      </c>
      <c r="B821">
        <f>Chart_Data!Q85</f>
        <v>158.1184436692638</v>
      </c>
      <c r="C821">
        <f>Chart_Data!P85</f>
        <v>-18.5</v>
      </c>
      <c r="D821">
        <f>Chart_Data!R85</f>
        <v>191.40687485532908</v>
      </c>
      <c r="E821">
        <f>Chart_Data!P85</f>
        <v>-18.5</v>
      </c>
      <c r="F821">
        <f>Chart_Data!S85</f>
        <v>23.741508058448019</v>
      </c>
      <c r="G821">
        <f>Chart_Data!P85</f>
        <v>-18.5</v>
      </c>
      <c r="H821">
        <f>Chart_Data!T85</f>
        <v>28.739770999298663</v>
      </c>
    </row>
    <row r="822" spans="1:8">
      <c r="A822">
        <f>Chart_Data!P86</f>
        <v>-18</v>
      </c>
      <c r="B822">
        <f>Chart_Data!Q86</f>
        <v>153.85865527787246</v>
      </c>
      <c r="C822">
        <f>Chart_Data!P86</f>
        <v>-18</v>
      </c>
      <c r="D822">
        <f>Chart_Data!R86</f>
        <v>203.94346546299857</v>
      </c>
      <c r="E822">
        <f>Chart_Data!P86</f>
        <v>-18</v>
      </c>
      <c r="F822">
        <f>Chart_Data!S86</f>
        <v>23.101900191872744</v>
      </c>
      <c r="G822">
        <f>Chart_Data!P86</f>
        <v>-18</v>
      </c>
      <c r="H822">
        <f>Chart_Data!T86</f>
        <v>30.622141961411199</v>
      </c>
    </row>
    <row r="823" spans="1:8">
      <c r="A823">
        <f>Chart_Data!P87</f>
        <v>-17.5</v>
      </c>
      <c r="B823">
        <f>Chart_Data!Q87</f>
        <v>149.59774689641563</v>
      </c>
      <c r="C823">
        <f>Chart_Data!P87</f>
        <v>-17.5</v>
      </c>
      <c r="D823">
        <f>Chart_Data!R87</f>
        <v>132.74258327064672</v>
      </c>
      <c r="E823">
        <f>Chart_Data!P87</f>
        <v>-17.5</v>
      </c>
      <c r="F823">
        <f>Chart_Data!S87</f>
        <v>22.462124158620966</v>
      </c>
      <c r="G823">
        <f>Chart_Data!P87</f>
        <v>-17.5</v>
      </c>
      <c r="H823">
        <f>Chart_Data!T87</f>
        <v>19.931318809406417</v>
      </c>
    </row>
    <row r="824" spans="1:8">
      <c r="A824">
        <f>Chart_Data!P88</f>
        <v>-17</v>
      </c>
      <c r="B824">
        <f>Chart_Data!Q88</f>
        <v>145.33574898605366</v>
      </c>
      <c r="C824">
        <f>Chart_Data!P88</f>
        <v>-17</v>
      </c>
      <c r="D824">
        <f>Chart_Data!R88</f>
        <v>129.62617697667156</v>
      </c>
      <c r="E824">
        <f>Chart_Data!P88</f>
        <v>-17</v>
      </c>
      <c r="F824">
        <f>Chart_Data!S88</f>
        <v>21.822184532440492</v>
      </c>
      <c r="G824">
        <f>Chart_Data!P88</f>
        <v>-17</v>
      </c>
      <c r="H824">
        <f>Chart_Data!T88</f>
        <v>19.463389936437174</v>
      </c>
    </row>
    <row r="825" spans="1:8">
      <c r="A825">
        <f>Chart_Data!P89</f>
        <v>-16.5</v>
      </c>
      <c r="B825">
        <f>Chart_Data!Q89</f>
        <v>141.07269207324862</v>
      </c>
      <c r="C825">
        <f>Chart_Data!P89</f>
        <v>-16.5</v>
      </c>
      <c r="D825">
        <f>Chart_Data!R89</f>
        <v>192.02559108462083</v>
      </c>
      <c r="E825">
        <f>Chart_Data!P89</f>
        <v>-16.5</v>
      </c>
      <c r="F825">
        <f>Chart_Data!S89</f>
        <v>21.182085896884178</v>
      </c>
      <c r="G825">
        <f>Chart_Data!P89</f>
        <v>-16.5</v>
      </c>
      <c r="H825">
        <f>Chart_Data!T89</f>
        <v>28.832671334027154</v>
      </c>
    </row>
    <row r="826" spans="1:8">
      <c r="A826">
        <f>Chart_Data!P90</f>
        <v>-16</v>
      </c>
      <c r="B826">
        <f>Chart_Data!Q90</f>
        <v>136.80860673657662</v>
      </c>
      <c r="C826">
        <f>Chart_Data!P90</f>
        <v>-16</v>
      </c>
      <c r="D826">
        <f>Chart_Data!R90</f>
        <v>165.6403437944391</v>
      </c>
      <c r="E826">
        <f>Chart_Data!P90</f>
        <v>-16</v>
      </c>
      <c r="F826">
        <f>Chart_Data!S90</f>
        <v>20.541832843329825</v>
      </c>
      <c r="G826">
        <f>Chart_Data!P90</f>
        <v>-16</v>
      </c>
      <c r="H826">
        <f>Chart_Data!T90</f>
        <v>24.870922491657524</v>
      </c>
    </row>
    <row r="827" spans="1:8">
      <c r="A827">
        <f>Chart_Data!P91</f>
        <v>-15.5</v>
      </c>
      <c r="B827">
        <f>Chart_Data!Q91</f>
        <v>132.5435235945406</v>
      </c>
      <c r="C827">
        <f>Chart_Data!P91</f>
        <v>-15.5</v>
      </c>
      <c r="D827">
        <f>Chart_Data!R91</f>
        <v>137.95639615773325</v>
      </c>
      <c r="E827">
        <f>Chart_Data!P91</f>
        <v>-15.5</v>
      </c>
      <c r="F827">
        <f>Chart_Data!S91</f>
        <v>19.901429969150243</v>
      </c>
      <c r="G827">
        <f>Chart_Data!P91</f>
        <v>-15.5</v>
      </c>
      <c r="H827">
        <f>Chart_Data!T91</f>
        <v>20.714173597257247</v>
      </c>
    </row>
    <row r="828" spans="1:8">
      <c r="A828">
        <f>Chart_Data!P92</f>
        <v>-15</v>
      </c>
      <c r="B828">
        <f>Chart_Data!Q92</f>
        <v>128.2774733243059</v>
      </c>
      <c r="C828">
        <f>Chart_Data!P92</f>
        <v>-15</v>
      </c>
      <c r="D828">
        <f>Chart_Data!R92</f>
        <v>160.45491747245251</v>
      </c>
      <c r="E828">
        <f>Chart_Data!P92</f>
        <v>-15</v>
      </c>
      <c r="F828">
        <f>Chart_Data!S92</f>
        <v>19.260881880526412</v>
      </c>
      <c r="G828">
        <f>Chart_Data!P92</f>
        <v>-15</v>
      </c>
      <c r="H828">
        <f>Chart_Data!T92</f>
        <v>24.092329950818698</v>
      </c>
    </row>
    <row r="829" spans="1:8">
      <c r="A829">
        <f>Chart_Data!P93</f>
        <v>-14.5</v>
      </c>
      <c r="B829">
        <f>Chart_Data!Q93</f>
        <v>124.0104866564252</v>
      </c>
      <c r="C829">
        <f>Chart_Data!P93</f>
        <v>-14.5</v>
      </c>
      <c r="D829">
        <f>Chart_Data!R93</f>
        <v>131.00044031953075</v>
      </c>
      <c r="E829">
        <f>Chart_Data!P93</f>
        <v>-14.5</v>
      </c>
      <c r="F829">
        <f>Chart_Data!S93</f>
        <v>18.620193191655439</v>
      </c>
      <c r="G829">
        <f>Chart_Data!P93</f>
        <v>-14.5</v>
      </c>
      <c r="H829">
        <f>Chart_Data!T93</f>
        <v>19.669735783713328</v>
      </c>
    </row>
    <row r="830" spans="1:8">
      <c r="A830">
        <f>Chart_Data!P94</f>
        <v>-14</v>
      </c>
      <c r="B830">
        <f>Chart_Data!Q94</f>
        <v>119.74259435310159</v>
      </c>
      <c r="C830">
        <f>Chart_Data!P94</f>
        <v>-14</v>
      </c>
      <c r="D830">
        <f>Chart_Data!R94</f>
        <v>109.40700518340236</v>
      </c>
      <c r="E830">
        <f>Chart_Data!P94</f>
        <v>-14</v>
      </c>
      <c r="F830">
        <f>Chart_Data!S94</f>
        <v>17.979368521486727</v>
      </c>
      <c r="G830">
        <f>Chart_Data!P94</f>
        <v>-14</v>
      </c>
      <c r="H830">
        <f>Chart_Data!T94</f>
        <v>16.427478255766122</v>
      </c>
    </row>
    <row r="831" spans="1:8">
      <c r="A831">
        <f>Chart_Data!P95</f>
        <v>-13.5</v>
      </c>
      <c r="B831">
        <f>Chart_Data!Q95</f>
        <v>115.47382722346811</v>
      </c>
      <c r="C831">
        <f>Chart_Data!P95</f>
        <v>-13.5</v>
      </c>
      <c r="D831">
        <f>Chart_Data!R95</f>
        <v>134.57088687846408</v>
      </c>
      <c r="E831">
        <f>Chart_Data!P95</f>
        <v>-13.5</v>
      </c>
      <c r="F831">
        <f>Chart_Data!S95</f>
        <v>17.338412496016232</v>
      </c>
      <c r="G831">
        <f>Chart_Data!P95</f>
        <v>-13.5</v>
      </c>
      <c r="H831">
        <f>Chart_Data!T95</f>
        <v>20.205838870640253</v>
      </c>
    </row>
    <row r="832" spans="1:8">
      <c r="A832">
        <f>Chart_Data!P96</f>
        <v>-13</v>
      </c>
      <c r="B832">
        <f>Chart_Data!Q96</f>
        <v>111.20421613486542</v>
      </c>
      <c r="C832">
        <f>Chart_Data!P96</f>
        <v>-13</v>
      </c>
      <c r="D832">
        <f>Chart_Data!R96</f>
        <v>159.26135976260412</v>
      </c>
      <c r="E832">
        <f>Chart_Data!P96</f>
        <v>-13</v>
      </c>
      <c r="F832">
        <f>Chart_Data!S96</f>
        <v>16.697329749979794</v>
      </c>
      <c r="G832">
        <f>Chart_Data!P96</f>
        <v>-13</v>
      </c>
      <c r="H832">
        <f>Chart_Data!T96</f>
        <v>23.913117081472091</v>
      </c>
    </row>
    <row r="833" spans="1:8">
      <c r="A833">
        <f>Chart_Data!P97</f>
        <v>-12.5</v>
      </c>
      <c r="B833">
        <f>Chart_Data!Q97</f>
        <v>106.9337919834652</v>
      </c>
      <c r="C833">
        <f>Chart_Data!P97</f>
        <v>-12.5</v>
      </c>
      <c r="D833">
        <f>Chart_Data!R97</f>
        <v>115.15921534473819</v>
      </c>
      <c r="E833">
        <f>Chart_Data!P97</f>
        <v>-12.5</v>
      </c>
      <c r="F833">
        <f>Chart_Data!S97</f>
        <v>16.056124922442223</v>
      </c>
      <c r="G833">
        <f>Chart_Data!P97</f>
        <v>-12.5</v>
      </c>
      <c r="H833">
        <f>Chart_Data!T97</f>
        <v>17.291173475185914</v>
      </c>
    </row>
    <row r="834" spans="1:8">
      <c r="A834">
        <f>Chart_Data!P98</f>
        <v>-12</v>
      </c>
      <c r="B834">
        <f>Chart_Data!Q98</f>
        <v>102.66258570945865</v>
      </c>
      <c r="C834">
        <f>Chart_Data!P98</f>
        <v>-12</v>
      </c>
      <c r="D834">
        <f>Chart_Data!R98</f>
        <v>118.75489251451654</v>
      </c>
      <c r="E834">
        <f>Chart_Data!P98</f>
        <v>-12</v>
      </c>
      <c r="F834">
        <f>Chart_Data!S98</f>
        <v>15.414802659077877</v>
      </c>
      <c r="G834">
        <f>Chart_Data!P98</f>
        <v>-12</v>
      </c>
      <c r="H834">
        <f>Chart_Data!T98</f>
        <v>17.831064942119603</v>
      </c>
    </row>
    <row r="835" spans="1:8">
      <c r="A835">
        <f>Chart_Data!P99</f>
        <v>-11.5</v>
      </c>
      <c r="B835">
        <f>Chart_Data!Q99</f>
        <v>98.390628288507287</v>
      </c>
      <c r="C835">
        <f>Chart_Data!P99</f>
        <v>-11.5</v>
      </c>
      <c r="D835">
        <f>Chart_Data!R99</f>
        <v>137.60402670786789</v>
      </c>
      <c r="E835">
        <f>Chart_Data!P99</f>
        <v>-11.5</v>
      </c>
      <c r="F835">
        <f>Chart_Data!S99</f>
        <v>14.77336761088698</v>
      </c>
      <c r="G835">
        <f>Chart_Data!P99</f>
        <v>-11.5</v>
      </c>
      <c r="H835">
        <f>Chart_Data!T99</f>
        <v>20.661265271451636</v>
      </c>
    </row>
    <row r="836" spans="1:8">
      <c r="A836">
        <f>Chart_Data!P100</f>
        <v>-11</v>
      </c>
      <c r="B836">
        <f>Chart_Data!Q100</f>
        <v>94.117950739109801</v>
      </c>
      <c r="C836">
        <f>Chart_Data!P100</f>
        <v>-11</v>
      </c>
      <c r="D836">
        <f>Chart_Data!R100</f>
        <v>112.0371558296938</v>
      </c>
      <c r="E836">
        <f>Chart_Data!P100</f>
        <v>-11</v>
      </c>
      <c r="F836">
        <f>Chart_Data!S100</f>
        <v>14.131824435301773</v>
      </c>
      <c r="G836">
        <f>Chart_Data!P100</f>
        <v>-11</v>
      </c>
      <c r="H836">
        <f>Chart_Data!T100</f>
        <v>16.822395770224297</v>
      </c>
    </row>
    <row r="837" spans="1:8">
      <c r="A837">
        <f>Chart_Data!P101</f>
        <v>-10.5</v>
      </c>
      <c r="B837">
        <f>Chart_Data!Q101</f>
        <v>89.844584113598103</v>
      </c>
      <c r="C837">
        <f>Chart_Data!P101</f>
        <v>-10.5</v>
      </c>
      <c r="D837">
        <f>Chart_Data!R101</f>
        <v>104.22636697594498</v>
      </c>
      <c r="E837">
        <f>Chart_Data!P101</f>
        <v>-10.5</v>
      </c>
      <c r="F837">
        <f>Chart_Data!S101</f>
        <v>13.490177794834551</v>
      </c>
      <c r="G837">
        <f>Chart_Data!P101</f>
        <v>-10.5</v>
      </c>
      <c r="H837">
        <f>Chart_Data!T101</f>
        <v>15.649604651042791</v>
      </c>
    </row>
    <row r="838" spans="1:8">
      <c r="A838">
        <f>Chart_Data!P102</f>
        <v>-10</v>
      </c>
      <c r="B838">
        <f>Chart_Data!Q102</f>
        <v>85.570559497045906</v>
      </c>
      <c r="C838">
        <f>Chart_Data!P102</f>
        <v>-10</v>
      </c>
      <c r="D838">
        <f>Chart_Data!R102</f>
        <v>86.409183252544608</v>
      </c>
      <c r="E838">
        <f>Chart_Data!P102</f>
        <v>-10</v>
      </c>
      <c r="F838">
        <f>Chart_Data!S102</f>
        <v>12.848432356913801</v>
      </c>
      <c r="G838">
        <f>Chart_Data!P102</f>
        <v>-10</v>
      </c>
      <c r="H838">
        <f>Chart_Data!T102</f>
        <v>12.974351839721415</v>
      </c>
    </row>
    <row r="839" spans="1:8">
      <c r="A839">
        <f>Chart_Data!P103</f>
        <v>-9.5</v>
      </c>
      <c r="B839">
        <f>Chart_Data!Q103</f>
        <v>81.295908014544693</v>
      </c>
      <c r="C839">
        <f>Chart_Data!P103</f>
        <v>-9.5</v>
      </c>
      <c r="D839">
        <f>Chart_Data!R103</f>
        <v>95.881338013350614</v>
      </c>
      <c r="E839">
        <f>Chart_Data!P103</f>
        <v>-9.5</v>
      </c>
      <c r="F839">
        <f>Chart_Data!S103</f>
        <v>12.206592794976682</v>
      </c>
      <c r="G839">
        <f>Chart_Data!P103</f>
        <v>-9.5</v>
      </c>
      <c r="H839">
        <f>Chart_Data!T103</f>
        <v>14.396597299301895</v>
      </c>
    </row>
    <row r="840" spans="1:8">
      <c r="A840">
        <f>Chart_Data!P104</f>
        <v>-9</v>
      </c>
      <c r="B840">
        <f>Chart_Data!Q104</f>
        <v>77.020660807465902</v>
      </c>
      <c r="C840">
        <f>Chart_Data!P104</f>
        <v>-9</v>
      </c>
      <c r="D840">
        <f>Chart_Data!R104</f>
        <v>61.203996322819876</v>
      </c>
      <c r="E840">
        <f>Chart_Data!P104</f>
        <v>-9</v>
      </c>
      <c r="F840">
        <f>Chart_Data!S104</f>
        <v>11.564663784904791</v>
      </c>
      <c r="G840">
        <f>Chart_Data!P104</f>
        <v>-9</v>
      </c>
      <c r="H840">
        <f>Chart_Data!T104</f>
        <v>9.1897892376606425</v>
      </c>
    </row>
    <row r="841" spans="1:8">
      <c r="A841">
        <f>Chart_Data!P105</f>
        <v>-8.5</v>
      </c>
      <c r="B841">
        <f>Chart_Data!Q105</f>
        <v>72.74484905628924</v>
      </c>
      <c r="C841">
        <f>Chart_Data!P105</f>
        <v>-8.5</v>
      </c>
      <c r="D841">
        <f>Chart_Data!R105</f>
        <v>64.911788341123611</v>
      </c>
      <c r="E841">
        <f>Chart_Data!P105</f>
        <v>-8.5</v>
      </c>
      <c r="F841">
        <f>Chart_Data!S105</f>
        <v>10.922650008451839</v>
      </c>
      <c r="G841">
        <f>Chart_Data!P105</f>
        <v>-8.5</v>
      </c>
      <c r="H841">
        <f>Chart_Data!T105</f>
        <v>9.7465147659344762</v>
      </c>
    </row>
    <row r="842" spans="1:8">
      <c r="A842">
        <f>Chart_Data!P106</f>
        <v>-8</v>
      </c>
      <c r="B842">
        <f>Chart_Data!Q106</f>
        <v>68.468503971689643</v>
      </c>
      <c r="C842">
        <f>Chart_Data!P106</f>
        <v>-8</v>
      </c>
      <c r="D842">
        <f>Chart_Data!R106</f>
        <v>83.903915255632455</v>
      </c>
      <c r="E842">
        <f>Chart_Data!P106</f>
        <v>-8</v>
      </c>
      <c r="F842">
        <f>Chart_Data!S106</f>
        <v>10.280556151905353</v>
      </c>
      <c r="G842">
        <f>Chart_Data!P106</f>
        <v>-8</v>
      </c>
      <c r="H842">
        <f>Chart_Data!T106</f>
        <v>12.598185473818688</v>
      </c>
    </row>
    <row r="843" spans="1:8">
      <c r="A843">
        <f>Chart_Data!P107</f>
        <v>-7.5</v>
      </c>
      <c r="B843">
        <f>Chart_Data!Q107</f>
        <v>64.191656785078521</v>
      </c>
      <c r="C843">
        <f>Chart_Data!P107</f>
        <v>-7.5</v>
      </c>
      <c r="D843">
        <f>Chart_Data!R107</f>
        <v>12.086959146927256</v>
      </c>
      <c r="E843">
        <f>Chart_Data!P107</f>
        <v>-7.5</v>
      </c>
      <c r="F843">
        <f>Chart_Data!S107</f>
        <v>9.6383869046664454</v>
      </c>
      <c r="G843">
        <f>Chart_Data!P107</f>
        <v>-7.5</v>
      </c>
      <c r="H843">
        <f>Chart_Data!T107</f>
        <v>1.8148587307698585</v>
      </c>
    </row>
    <row r="844" spans="1:8">
      <c r="A844">
        <f>Chart_Data!P108</f>
        <v>-7</v>
      </c>
      <c r="B844">
        <f>Chart_Data!Q108</f>
        <v>59.914338766157016</v>
      </c>
      <c r="C844">
        <f>Chart_Data!P108</f>
        <v>-7</v>
      </c>
      <c r="D844">
        <f>Chart_Data!R108</f>
        <v>36.915314910220332</v>
      </c>
      <c r="E844">
        <f>Chart_Data!P108</f>
        <v>-7</v>
      </c>
      <c r="F844">
        <f>Chart_Data!S108</f>
        <v>8.9961469618854384</v>
      </c>
      <c r="G844">
        <f>Chart_Data!P108</f>
        <v>-7</v>
      </c>
      <c r="H844">
        <f>Chart_Data!T108</f>
        <v>5.5428400766096599</v>
      </c>
    </row>
    <row r="845" spans="1:8">
      <c r="A845">
        <f>Chart_Data!P109</f>
        <v>-6.5</v>
      </c>
      <c r="B845">
        <f>Chart_Data!Q109</f>
        <v>55.636581189355638</v>
      </c>
      <c r="C845">
        <f>Chart_Data!P109</f>
        <v>-6.5</v>
      </c>
      <c r="D845">
        <f>Chart_Data!R109</f>
        <v>63.330796538775758</v>
      </c>
      <c r="E845">
        <f>Chart_Data!P109</f>
        <v>-6.5</v>
      </c>
      <c r="F845">
        <f>Chart_Data!S109</f>
        <v>8.3538410194227684</v>
      </c>
      <c r="G845">
        <f>Chart_Data!P109</f>
        <v>-6.5</v>
      </c>
      <c r="H845">
        <f>Chart_Data!T109</f>
        <v>9.5091286094257903</v>
      </c>
    </row>
    <row r="846" spans="1:8">
      <c r="A846">
        <f>Chart_Data!P110</f>
        <v>-6</v>
      </c>
      <c r="B846">
        <f>Chart_Data!Q110</f>
        <v>51.358415358663478</v>
      </c>
      <c r="C846">
        <f>Chart_Data!P110</f>
        <v>-6</v>
      </c>
      <c r="D846">
        <f>Chart_Data!R110</f>
        <v>21.772271344889305</v>
      </c>
      <c r="E846">
        <f>Chart_Data!P110</f>
        <v>-6</v>
      </c>
      <c r="F846">
        <f>Chart_Data!S110</f>
        <v>7.7114737775770994</v>
      </c>
      <c r="G846">
        <f>Chart_Data!P110</f>
        <v>-6</v>
      </c>
      <c r="H846">
        <f>Chart_Data!T110</f>
        <v>3.2691098115449408</v>
      </c>
    </row>
    <row r="847" spans="1:8">
      <c r="A847">
        <f>Chart_Data!P111</f>
        <v>-5.5</v>
      </c>
      <c r="B847">
        <f>Chart_Data!Q111</f>
        <v>47.079872609538143</v>
      </c>
      <c r="C847">
        <f>Chart_Data!P111</f>
        <v>-5.5</v>
      </c>
      <c r="D847">
        <f>Chart_Data!R111</f>
        <v>13.213910555714392</v>
      </c>
      <c r="E847">
        <f>Chart_Data!P111</f>
        <v>-5.5</v>
      </c>
      <c r="F847">
        <f>Chart_Data!S111</f>
        <v>7.0690499413720937</v>
      </c>
      <c r="G847">
        <f>Chart_Data!P111</f>
        <v>-5.5</v>
      </c>
      <c r="H847">
        <f>Chart_Data!T111</f>
        <v>1.9840706540111701</v>
      </c>
    </row>
    <row r="848" spans="1:8">
      <c r="A848">
        <f>Chart_Data!P112</f>
        <v>-5</v>
      </c>
      <c r="B848">
        <f>Chart_Data!Q112</f>
        <v>42.800984273890208</v>
      </c>
      <c r="C848">
        <f>Chart_Data!P112</f>
        <v>-5</v>
      </c>
      <c r="D848">
        <f>Chart_Data!R112</f>
        <v>20.623816407260165</v>
      </c>
      <c r="E848">
        <f>Chart_Data!P112</f>
        <v>-5</v>
      </c>
      <c r="F848">
        <f>Chart_Data!S112</f>
        <v>6.4265742152988308</v>
      </c>
      <c r="G848">
        <f>Chart_Data!P112</f>
        <v>-5</v>
      </c>
      <c r="H848">
        <f>Chart_Data!T112</f>
        <v>3.0966691302192442</v>
      </c>
    </row>
    <row r="849" spans="1:8">
      <c r="A849">
        <f>Chart_Data!P113</f>
        <v>-4.5</v>
      </c>
      <c r="B849">
        <f>Chart_Data!Q113</f>
        <v>38.521781712279335</v>
      </c>
      <c r="C849">
        <f>Chart_Data!P113</f>
        <v>-4.5</v>
      </c>
      <c r="D849">
        <f>Chart_Data!R113</f>
        <v>37.785662231453898</v>
      </c>
      <c r="E849">
        <f>Chart_Data!P113</f>
        <v>-4.5</v>
      </c>
      <c r="F849">
        <f>Chart_Data!S113</f>
        <v>5.7840513081500511</v>
      </c>
      <c r="G849">
        <f>Chart_Data!P113</f>
        <v>-4.5</v>
      </c>
      <c r="H849">
        <f>Chart_Data!T113</f>
        <v>5.6735228575756604</v>
      </c>
    </row>
    <row r="850" spans="1:8">
      <c r="A850">
        <f>Chart_Data!P114</f>
        <v>-4</v>
      </c>
      <c r="B850">
        <f>Chart_Data!Q114</f>
        <v>34.242296315551357</v>
      </c>
      <c r="C850">
        <f>Chart_Data!P114</f>
        <v>-4</v>
      </c>
      <c r="D850">
        <f>Chart_Data!R114</f>
        <v>5.0158617579654674</v>
      </c>
      <c r="E850">
        <f>Chart_Data!P114</f>
        <v>-4</v>
      </c>
      <c r="F850">
        <f>Chart_Data!S114</f>
        <v>5.1414859332659697</v>
      </c>
      <c r="G850">
        <f>Chart_Data!P114</f>
        <v>-4</v>
      </c>
      <c r="H850">
        <f>Chart_Data!T114</f>
        <v>0.75313239609091109</v>
      </c>
    </row>
    <row r="851" spans="1:8">
      <c r="A851">
        <f>Chart_Data!P115</f>
        <v>-3.5</v>
      </c>
      <c r="B851">
        <f>Chart_Data!Q115</f>
        <v>29.962559468549443</v>
      </c>
      <c r="C851">
        <f>Chart_Data!P115</f>
        <v>-3.5</v>
      </c>
      <c r="D851">
        <f>Chart_Data!R115</f>
        <v>20.627472613523423</v>
      </c>
      <c r="E851">
        <f>Chart_Data!P115</f>
        <v>-3.5</v>
      </c>
      <c r="F851">
        <f>Chart_Data!S115</f>
        <v>4.4988828030855021</v>
      </c>
      <c r="G851">
        <f>Chart_Data!P115</f>
        <v>-3.5</v>
      </c>
      <c r="H851">
        <f>Chart_Data!T115</f>
        <v>3.0972181101386522</v>
      </c>
    </row>
    <row r="852" spans="1:8">
      <c r="A852">
        <f>Chart_Data!P116</f>
        <v>-3</v>
      </c>
      <c r="B852">
        <f>Chart_Data!Q116</f>
        <v>25.682602570395829</v>
      </c>
      <c r="C852">
        <f>Chart_Data!P116</f>
        <v>-3</v>
      </c>
      <c r="D852">
        <f>Chart_Data!R116</f>
        <v>51.23987584029237</v>
      </c>
      <c r="E852">
        <f>Chart_Data!P116</f>
        <v>-3</v>
      </c>
      <c r="F852">
        <f>Chart_Data!S116</f>
        <v>3.8562466321915663</v>
      </c>
      <c r="G852">
        <f>Chart_Data!P116</f>
        <v>-3</v>
      </c>
      <c r="H852">
        <f>Chart_Data!T116</f>
        <v>7.6936750510949512</v>
      </c>
    </row>
    <row r="853" spans="1:8">
      <c r="A853">
        <f>Chart_Data!P117</f>
        <v>-2.5</v>
      </c>
      <c r="B853">
        <f>Chart_Data!Q117</f>
        <v>21.402457042222522</v>
      </c>
      <c r="C853">
        <f>Chart_Data!P117</f>
        <v>-2.5</v>
      </c>
      <c r="D853">
        <f>Chart_Data!R117</f>
        <v>46.6773382615429</v>
      </c>
      <c r="E853">
        <f>Chart_Data!P117</f>
        <v>-2.5</v>
      </c>
      <c r="F853">
        <f>Chart_Data!S117</f>
        <v>3.2135821384718506</v>
      </c>
      <c r="G853">
        <f>Chart_Data!P117</f>
        <v>-2.5</v>
      </c>
      <c r="H853">
        <f>Chart_Data!T117</f>
        <v>7.0086093485800154</v>
      </c>
    </row>
    <row r="854" spans="1:8">
      <c r="A854">
        <f>Chart_Data!P118</f>
        <v>-2</v>
      </c>
      <c r="B854">
        <f>Chart_Data!Q118</f>
        <v>17.12215430170545</v>
      </c>
      <c r="C854">
        <f>Chart_Data!P118</f>
        <v>-2</v>
      </c>
      <c r="D854">
        <f>Chart_Data!R118</f>
        <v>33.292559234359942</v>
      </c>
      <c r="E854">
        <f>Chart_Data!P118</f>
        <v>-2</v>
      </c>
      <c r="F854">
        <f>Chart_Data!S118</f>
        <v>2.570894039295113</v>
      </c>
      <c r="G854">
        <f>Chart_Data!P118</f>
        <v>-2</v>
      </c>
      <c r="H854">
        <f>Chart_Data!T118</f>
        <v>4.9988827679219137</v>
      </c>
    </row>
    <row r="855" spans="1:8">
      <c r="A855">
        <f>Chart_Data!P119</f>
        <v>-1.5</v>
      </c>
      <c r="B855">
        <f>Chart_Data!Q119</f>
        <v>12.841725789530756</v>
      </c>
      <c r="C855">
        <f>Chart_Data!P119</f>
        <v>-1.5</v>
      </c>
      <c r="D855">
        <f>Chart_Data!R119</f>
        <v>20.845477274997393</v>
      </c>
      <c r="E855">
        <f>Chart_Data!P119</f>
        <v>-1.5</v>
      </c>
      <c r="F855">
        <f>Chart_Data!S119</f>
        <v>1.9281870554850986</v>
      </c>
      <c r="G855">
        <f>Chart_Data!P119</f>
        <v>-1.5</v>
      </c>
      <c r="H855">
        <f>Chart_Data!T119</f>
        <v>3.1299515427924014</v>
      </c>
    </row>
    <row r="856" spans="1:8">
      <c r="A856">
        <f>Chart_Data!P120</f>
        <v>-1</v>
      </c>
      <c r="B856">
        <f>Chart_Data!Q120</f>
        <v>8.5612029411095136</v>
      </c>
      <c r="C856">
        <f>Chart_Data!P120</f>
        <v>-1</v>
      </c>
      <c r="D856">
        <f>Chart_Data!R120</f>
        <v>77.358582702800049</v>
      </c>
      <c r="E856">
        <f>Chart_Data!P120</f>
        <v>-1</v>
      </c>
      <c r="F856">
        <f>Chart_Data!S120</f>
        <v>1.2854659070735006</v>
      </c>
      <c r="G856">
        <f>Chart_Data!P120</f>
        <v>-1</v>
      </c>
      <c r="H856">
        <f>Chart_Data!T120</f>
        <v>11.615402808228236</v>
      </c>
    </row>
    <row r="857" spans="1:8">
      <c r="A857">
        <f>Chart_Data!P121</f>
        <v>-0.5</v>
      </c>
      <c r="B857">
        <f>Chart_Data!Q121</f>
        <v>4.2806171930351411</v>
      </c>
      <c r="C857">
        <f>Chart_Data!P121</f>
        <v>-0.5</v>
      </c>
      <c r="D857">
        <f>Chart_Data!R121</f>
        <v>67.215495240452583</v>
      </c>
      <c r="E857">
        <f>Chart_Data!P121</f>
        <v>-0.5</v>
      </c>
      <c r="F857">
        <f>Chart_Data!S121</f>
        <v>0.64273531426954078</v>
      </c>
      <c r="G857">
        <f>Chart_Data!P121</f>
        <v>-0.5</v>
      </c>
      <c r="H857">
        <f>Chart_Data!T121</f>
        <v>10.092416702770659</v>
      </c>
    </row>
    <row r="858" spans="1:8">
      <c r="A858">
        <f>Chart_Data!P122</f>
        <v>0</v>
      </c>
      <c r="B858">
        <f>Chart_Data!Q122</f>
        <v>0</v>
      </c>
      <c r="C858">
        <f>Chart_Data!P122</f>
        <v>0</v>
      </c>
      <c r="D858">
        <f>Chart_Data!R122</f>
        <v>13.577875871487777</v>
      </c>
      <c r="E858">
        <f>Chart_Data!P122</f>
        <v>0</v>
      </c>
      <c r="F858">
        <f>Chart_Data!S122</f>
        <v>0</v>
      </c>
      <c r="G858">
        <f>Chart_Data!P122</f>
        <v>0</v>
      </c>
      <c r="H858">
        <f>Chart_Data!T122</f>
        <v>2.0387201008239906</v>
      </c>
    </row>
    <row r="859" spans="1:8">
      <c r="A859">
        <f>Chart_Data!P123</f>
        <v>0.5</v>
      </c>
      <c r="B859">
        <f>Chart_Data!Q123</f>
        <v>-4.2806171930351411</v>
      </c>
      <c r="C859">
        <f>Chart_Data!P123</f>
        <v>0.5</v>
      </c>
      <c r="D859">
        <f>Chart_Data!R123</f>
        <v>23.04487073324708</v>
      </c>
      <c r="E859">
        <f>Chart_Data!P123</f>
        <v>0.5</v>
      </c>
      <c r="F859">
        <f>Chart_Data!S123</f>
        <v>-0.64273531426954078</v>
      </c>
      <c r="G859">
        <f>Chart_Data!P123</f>
        <v>0.5</v>
      </c>
      <c r="H859">
        <f>Chart_Data!T123</f>
        <v>3.4601908007878501</v>
      </c>
    </row>
    <row r="860" spans="1:8">
      <c r="A860">
        <f>Chart_Data!P124</f>
        <v>1</v>
      </c>
      <c r="B860">
        <f>Chart_Data!Q124</f>
        <v>-8.5612029411095136</v>
      </c>
      <c r="C860">
        <f>Chart_Data!P124</f>
        <v>1</v>
      </c>
      <c r="D860">
        <f>Chart_Data!R124</f>
        <v>45.852821853259229</v>
      </c>
      <c r="E860">
        <f>Chart_Data!P124</f>
        <v>1</v>
      </c>
      <c r="F860">
        <f>Chart_Data!S124</f>
        <v>-1.2854659070735006</v>
      </c>
      <c r="G860">
        <f>Chart_Data!P124</f>
        <v>1</v>
      </c>
      <c r="H860">
        <f>Chart_Data!T124</f>
        <v>6.8848080860749601</v>
      </c>
    </row>
    <row r="861" spans="1:8">
      <c r="A861">
        <f>Chart_Data!P125</f>
        <v>1.5</v>
      </c>
      <c r="B861">
        <f>Chart_Data!Q125</f>
        <v>-12.841725789530756</v>
      </c>
      <c r="C861">
        <f>Chart_Data!P125</f>
        <v>1.5</v>
      </c>
      <c r="D861">
        <f>Chart_Data!R125</f>
        <v>46.043212136100919</v>
      </c>
      <c r="E861">
        <f>Chart_Data!P125</f>
        <v>1.5</v>
      </c>
      <c r="F861">
        <f>Chart_Data!S125</f>
        <v>-1.9281870554850986</v>
      </c>
      <c r="G861">
        <f>Chart_Data!P125</f>
        <v>1.5</v>
      </c>
      <c r="H861">
        <f>Chart_Data!T125</f>
        <v>6.9133952156307696</v>
      </c>
    </row>
    <row r="862" spans="1:8">
      <c r="A862">
        <f>Chart_Data!P126</f>
        <v>2</v>
      </c>
      <c r="B862">
        <f>Chart_Data!Q126</f>
        <v>-17.12215430170545</v>
      </c>
      <c r="C862">
        <f>Chart_Data!P126</f>
        <v>2</v>
      </c>
      <c r="D862">
        <f>Chart_Data!R126</f>
        <v>35.28480728100476</v>
      </c>
      <c r="E862">
        <f>Chart_Data!P126</f>
        <v>2</v>
      </c>
      <c r="F862">
        <f>Chart_Data!S126</f>
        <v>-2.570894039295113</v>
      </c>
      <c r="G862">
        <f>Chart_Data!P126</f>
        <v>2</v>
      </c>
      <c r="H862">
        <f>Chart_Data!T126</f>
        <v>5.2980191112619766</v>
      </c>
    </row>
    <row r="863" spans="1:8">
      <c r="A863">
        <f>Chart_Data!P127</f>
        <v>2.5</v>
      </c>
      <c r="B863">
        <f>Chart_Data!Q127</f>
        <v>-21.402457042222522</v>
      </c>
      <c r="C863">
        <f>Chart_Data!P127</f>
        <v>2.5</v>
      </c>
      <c r="D863">
        <f>Chart_Data!R127</f>
        <v>-17.696456895737356</v>
      </c>
      <c r="E863">
        <f>Chart_Data!P127</f>
        <v>2.5</v>
      </c>
      <c r="F863">
        <f>Chart_Data!S127</f>
        <v>-3.2135821384718506</v>
      </c>
      <c r="G863">
        <f>Chart_Data!P127</f>
        <v>2.5</v>
      </c>
      <c r="H863">
        <f>Chart_Data!T127</f>
        <v>-2.6571256600206241</v>
      </c>
    </row>
    <row r="864" spans="1:8">
      <c r="A864">
        <f>Chart_Data!P128</f>
        <v>3</v>
      </c>
      <c r="B864">
        <f>Chart_Data!Q128</f>
        <v>-25.682602570395829</v>
      </c>
      <c r="C864">
        <f>Chart_Data!P128</f>
        <v>3</v>
      </c>
      <c r="D864">
        <f>Chart_Data!R128</f>
        <v>-4.6735498308407841</v>
      </c>
      <c r="E864">
        <f>Chart_Data!P128</f>
        <v>3</v>
      </c>
      <c r="F864">
        <f>Chart_Data!S128</f>
        <v>-3.8562466321915663</v>
      </c>
      <c r="G864">
        <f>Chart_Data!P128</f>
        <v>3</v>
      </c>
      <c r="H864">
        <f>Chart_Data!T128</f>
        <v>-0.70173420883495263</v>
      </c>
    </row>
    <row r="865" spans="1:8">
      <c r="A865">
        <f>Chart_Data!P129</f>
        <v>3.5</v>
      </c>
      <c r="B865">
        <f>Chart_Data!Q129</f>
        <v>-29.962559468549443</v>
      </c>
      <c r="C865">
        <f>Chart_Data!P129</f>
        <v>3.5</v>
      </c>
      <c r="D865">
        <f>Chart_Data!R129</f>
        <v>9.6052323767253256</v>
      </c>
      <c r="E865">
        <f>Chart_Data!P129</f>
        <v>3.5</v>
      </c>
      <c r="F865">
        <f>Chart_Data!S129</f>
        <v>-4.4988828030855021</v>
      </c>
      <c r="G865">
        <f>Chart_Data!P129</f>
        <v>3.5</v>
      </c>
      <c r="H865">
        <f>Chart_Data!T129</f>
        <v>1.4422270835923914</v>
      </c>
    </row>
    <row r="866" spans="1:8">
      <c r="A866">
        <f>Chart_Data!P130</f>
        <v>4</v>
      </c>
      <c r="B866">
        <f>Chart_Data!Q130</f>
        <v>-34.242296315551357</v>
      </c>
      <c r="C866">
        <f>Chart_Data!P130</f>
        <v>4</v>
      </c>
      <c r="D866">
        <f>Chart_Data!R130</f>
        <v>-25.147264343559073</v>
      </c>
      <c r="E866">
        <f>Chart_Data!P130</f>
        <v>4</v>
      </c>
      <c r="F866">
        <f>Chart_Data!S130</f>
        <v>-5.1414859332659697</v>
      </c>
      <c r="G866">
        <f>Chart_Data!P130</f>
        <v>4</v>
      </c>
      <c r="H866">
        <f>Chart_Data!T130</f>
        <v>-3.7758655170509123</v>
      </c>
    </row>
    <row r="867" spans="1:8">
      <c r="A867">
        <f>Chart_Data!P131</f>
        <v>4.5</v>
      </c>
      <c r="B867">
        <f>Chart_Data!Q131</f>
        <v>-38.521781712279335</v>
      </c>
      <c r="C867">
        <f>Chart_Data!P131</f>
        <v>4.5</v>
      </c>
      <c r="D867">
        <f>Chart_Data!R131</f>
        <v>-59.063574608717317</v>
      </c>
      <c r="E867">
        <f>Chart_Data!P131</f>
        <v>4.5</v>
      </c>
      <c r="F867">
        <f>Chart_Data!S131</f>
        <v>-5.7840513081500511</v>
      </c>
      <c r="G867">
        <f>Chart_Data!P131</f>
        <v>4.5</v>
      </c>
      <c r="H867">
        <f>Chart_Data!T131</f>
        <v>-8.8684045959035025</v>
      </c>
    </row>
    <row r="868" spans="1:8">
      <c r="A868">
        <f>Chart_Data!P132</f>
        <v>5</v>
      </c>
      <c r="B868">
        <f>Chart_Data!Q132</f>
        <v>-42.800984273890208</v>
      </c>
      <c r="C868">
        <f>Chart_Data!P132</f>
        <v>5</v>
      </c>
      <c r="D868">
        <f>Chart_Data!R132</f>
        <v>-89.290796032310027</v>
      </c>
      <c r="E868">
        <f>Chart_Data!P132</f>
        <v>5</v>
      </c>
      <c r="F868">
        <f>Chart_Data!S132</f>
        <v>-6.4265742152988308</v>
      </c>
      <c r="G868">
        <f>Chart_Data!P132</f>
        <v>5</v>
      </c>
      <c r="H868">
        <f>Chart_Data!T132</f>
        <v>-13.407026431277783</v>
      </c>
    </row>
    <row r="869" spans="1:8">
      <c r="A869">
        <f>Chart_Data!P133</f>
        <v>5.5</v>
      </c>
      <c r="B869">
        <f>Chart_Data!Q133</f>
        <v>-47.079872609538143</v>
      </c>
      <c r="C869">
        <f>Chart_Data!P133</f>
        <v>5.5</v>
      </c>
      <c r="D869">
        <f>Chart_Data!R133</f>
        <v>-71.244503725029062</v>
      </c>
      <c r="E869">
        <f>Chart_Data!P133</f>
        <v>5.5</v>
      </c>
      <c r="F869">
        <f>Chart_Data!S133</f>
        <v>-7.0690499413720937</v>
      </c>
      <c r="G869">
        <f>Chart_Data!P133</f>
        <v>5.5</v>
      </c>
      <c r="H869">
        <f>Chart_Data!T133</f>
        <v>-10.697372931686047</v>
      </c>
    </row>
    <row r="870" spans="1:8">
      <c r="A870">
        <f>Chart_Data!P134</f>
        <v>6</v>
      </c>
      <c r="B870">
        <f>Chart_Data!Q134</f>
        <v>-51.358415358663478</v>
      </c>
      <c r="C870">
        <f>Chart_Data!P134</f>
        <v>6</v>
      </c>
      <c r="D870">
        <f>Chart_Data!R134</f>
        <v>-75.481501977537846</v>
      </c>
      <c r="E870">
        <f>Chart_Data!P134</f>
        <v>6</v>
      </c>
      <c r="F870">
        <f>Chart_Data!S134</f>
        <v>-7.7114737775770994</v>
      </c>
      <c r="G870">
        <f>Chart_Data!P134</f>
        <v>6</v>
      </c>
      <c r="H870">
        <f>Chart_Data!T134</f>
        <v>-11.333558855486164</v>
      </c>
    </row>
    <row r="871" spans="1:8">
      <c r="A871">
        <f>Chart_Data!P135</f>
        <v>6.5</v>
      </c>
      <c r="B871">
        <f>Chart_Data!Q135</f>
        <v>-55.636581189355638</v>
      </c>
      <c r="C871">
        <f>Chart_Data!P135</f>
        <v>6.5</v>
      </c>
      <c r="D871">
        <f>Chart_Data!R135</f>
        <v>-54.549400817177229</v>
      </c>
      <c r="E871">
        <f>Chart_Data!P135</f>
        <v>6.5</v>
      </c>
      <c r="F871">
        <f>Chart_Data!S135</f>
        <v>-8.3538410194227684</v>
      </c>
      <c r="G871">
        <f>Chart_Data!P135</f>
        <v>6.5</v>
      </c>
      <c r="H871">
        <f>Chart_Data!T135</f>
        <v>-8.1906007232998856</v>
      </c>
    </row>
    <row r="872" spans="1:8">
      <c r="A872">
        <f>Chart_Data!P136</f>
        <v>7</v>
      </c>
      <c r="B872">
        <f>Chart_Data!Q136</f>
        <v>-59.914338766157016</v>
      </c>
      <c r="C872">
        <f>Chart_Data!P136</f>
        <v>7</v>
      </c>
      <c r="D872">
        <f>Chart_Data!R136</f>
        <v>-93.367447274067672</v>
      </c>
      <c r="E872">
        <f>Chart_Data!P136</f>
        <v>7</v>
      </c>
      <c r="F872">
        <f>Chart_Data!S136</f>
        <v>-8.9961469618854384</v>
      </c>
      <c r="G872">
        <f>Chart_Data!P136</f>
        <v>7</v>
      </c>
      <c r="H872">
        <f>Chart_Data!T136</f>
        <v>-14.019136227337489</v>
      </c>
    </row>
    <row r="873" spans="1:8">
      <c r="A873">
        <f>Chart_Data!P137</f>
        <v>7.5</v>
      </c>
      <c r="B873">
        <f>Chart_Data!Q137</f>
        <v>-64.191656785078521</v>
      </c>
      <c r="C873">
        <f>Chart_Data!P137</f>
        <v>7.5</v>
      </c>
      <c r="D873">
        <f>Chart_Data!R137</f>
        <v>-123.54267273130972</v>
      </c>
      <c r="E873">
        <f>Chart_Data!P137</f>
        <v>7.5</v>
      </c>
      <c r="F873">
        <f>Chart_Data!S137</f>
        <v>-9.6383869046664454</v>
      </c>
      <c r="G873">
        <f>Chart_Data!P137</f>
        <v>7.5</v>
      </c>
      <c r="H873">
        <f>Chart_Data!T137</f>
        <v>-18.549950860557018</v>
      </c>
    </row>
    <row r="874" spans="1:8">
      <c r="A874">
        <f>Chart_Data!P138</f>
        <v>8</v>
      </c>
      <c r="B874">
        <f>Chart_Data!Q138</f>
        <v>-68.468503971689643</v>
      </c>
      <c r="C874">
        <f>Chart_Data!P138</f>
        <v>8</v>
      </c>
      <c r="D874">
        <f>Chart_Data!R138</f>
        <v>-106.61121304219705</v>
      </c>
      <c r="E874">
        <f>Chart_Data!P138</f>
        <v>8</v>
      </c>
      <c r="F874">
        <f>Chart_Data!S138</f>
        <v>-10.280556151905353</v>
      </c>
      <c r="G874">
        <f>Chart_Data!P138</f>
        <v>8</v>
      </c>
      <c r="H874">
        <f>Chart_Data!T138</f>
        <v>-16.007689645975535</v>
      </c>
    </row>
    <row r="875" spans="1:8">
      <c r="A875">
        <f>Chart_Data!P139</f>
        <v>8.5</v>
      </c>
      <c r="B875">
        <f>Chart_Data!Q139</f>
        <v>-72.74484905628924</v>
      </c>
      <c r="C875">
        <f>Chart_Data!P139</f>
        <v>8.5</v>
      </c>
      <c r="D875">
        <f>Chart_Data!R139</f>
        <v>-98.322835190447222</v>
      </c>
      <c r="E875">
        <f>Chart_Data!P139</f>
        <v>8.5</v>
      </c>
      <c r="F875">
        <f>Chart_Data!S139</f>
        <v>-10.922650008451839</v>
      </c>
      <c r="G875">
        <f>Chart_Data!P139</f>
        <v>8.5</v>
      </c>
      <c r="H875">
        <f>Chart_Data!T139</f>
        <v>-14.763188467034119</v>
      </c>
    </row>
    <row r="876" spans="1:8">
      <c r="A876">
        <f>Chart_Data!P140</f>
        <v>9</v>
      </c>
      <c r="B876">
        <f>Chart_Data!Q140</f>
        <v>-77.020660807465902</v>
      </c>
      <c r="C876">
        <f>Chart_Data!P140</f>
        <v>9</v>
      </c>
      <c r="D876">
        <f>Chart_Data!R140</f>
        <v>-79.196808406777564</v>
      </c>
      <c r="E876">
        <f>Chart_Data!P140</f>
        <v>9</v>
      </c>
      <c r="F876">
        <f>Chart_Data!S140</f>
        <v>-11.564663784904791</v>
      </c>
      <c r="G876">
        <f>Chart_Data!P140</f>
        <v>9</v>
      </c>
      <c r="H876">
        <f>Chart_Data!T140</f>
        <v>-11.891412673690326</v>
      </c>
    </row>
    <row r="877" spans="1:8">
      <c r="A877">
        <f>Chart_Data!P141</f>
        <v>9.5</v>
      </c>
      <c r="B877">
        <f>Chart_Data!Q141</f>
        <v>-81.295908014544693</v>
      </c>
      <c r="C877">
        <f>Chart_Data!P141</f>
        <v>9.5</v>
      </c>
      <c r="D877">
        <f>Chart_Data!R141</f>
        <v>-124.45092927709993</v>
      </c>
      <c r="E877">
        <f>Chart_Data!P141</f>
        <v>9.5</v>
      </c>
      <c r="F877">
        <f>Chart_Data!S141</f>
        <v>-12.206592794976682</v>
      </c>
      <c r="G877">
        <f>Chart_Data!P141</f>
        <v>9.5</v>
      </c>
      <c r="H877">
        <f>Chart_Data!T141</f>
        <v>-18.686325717282273</v>
      </c>
    </row>
    <row r="878" spans="1:8">
      <c r="A878">
        <f>Chart_Data!P142</f>
        <v>10</v>
      </c>
      <c r="B878">
        <f>Chart_Data!Q142</f>
        <v>-85.570559497045906</v>
      </c>
      <c r="C878">
        <f>Chart_Data!P142</f>
        <v>10</v>
      </c>
      <c r="D878">
        <f>Chart_Data!R142</f>
        <v>-149.95775995867007</v>
      </c>
      <c r="E878">
        <f>Chart_Data!P142</f>
        <v>10</v>
      </c>
      <c r="F878">
        <f>Chart_Data!S142</f>
        <v>-12.848432356913801</v>
      </c>
      <c r="G878">
        <f>Chart_Data!P142</f>
        <v>10</v>
      </c>
      <c r="H878">
        <f>Chart_Data!T142</f>
        <v>-22.516180173974487</v>
      </c>
    </row>
    <row r="879" spans="1:8">
      <c r="A879">
        <f>Chart_Data!P143</f>
        <v>10.5</v>
      </c>
      <c r="B879">
        <f>Chart_Data!Q143</f>
        <v>-89.844584113598103</v>
      </c>
      <c r="C879">
        <f>Chart_Data!P143</f>
        <v>10.5</v>
      </c>
      <c r="D879">
        <f>Chart_Data!R143</f>
        <v>-104.68639668342803</v>
      </c>
      <c r="E879">
        <f>Chart_Data!P143</f>
        <v>10.5</v>
      </c>
      <c r="F879">
        <f>Chart_Data!S143</f>
        <v>-13.490177794834551</v>
      </c>
      <c r="G879">
        <f>Chart_Data!P143</f>
        <v>10.5</v>
      </c>
      <c r="H879">
        <f>Chart_Data!T143</f>
        <v>-15.718678180694901</v>
      </c>
    </row>
    <row r="880" spans="1:8">
      <c r="A880">
        <f>Chart_Data!P144</f>
        <v>11</v>
      </c>
      <c r="B880">
        <f>Chart_Data!Q144</f>
        <v>-94.117950739109801</v>
      </c>
      <c r="C880">
        <f>Chart_Data!P144</f>
        <v>11</v>
      </c>
      <c r="D880">
        <f>Chart_Data!R144</f>
        <v>-99.761806059996161</v>
      </c>
      <c r="E880">
        <f>Chart_Data!P144</f>
        <v>11</v>
      </c>
      <c r="F880">
        <f>Chart_Data!S144</f>
        <v>-14.131824435301773</v>
      </c>
      <c r="G880">
        <f>Chart_Data!P144</f>
        <v>11</v>
      </c>
      <c r="H880">
        <f>Chart_Data!T144</f>
        <v>-14.979250159158584</v>
      </c>
    </row>
    <row r="881" spans="1:8">
      <c r="A881">
        <f>Chart_Data!P145</f>
        <v>11.5</v>
      </c>
      <c r="B881">
        <f>Chart_Data!Q145</f>
        <v>-98.390628288507287</v>
      </c>
      <c r="C881">
        <f>Chart_Data!P145</f>
        <v>11.5</v>
      </c>
      <c r="D881">
        <f>Chart_Data!R145</f>
        <v>-133.6965623294418</v>
      </c>
      <c r="E881">
        <f>Chart_Data!P145</f>
        <v>11.5</v>
      </c>
      <c r="F881">
        <f>Chart_Data!S145</f>
        <v>-14.77336761088698</v>
      </c>
      <c r="G881">
        <f>Chart_Data!P145</f>
        <v>11.5</v>
      </c>
      <c r="H881">
        <f>Chart_Data!T145</f>
        <v>-20.074558908324597</v>
      </c>
    </row>
    <row r="882" spans="1:8">
      <c r="A882">
        <f>Chart_Data!P146</f>
        <v>12</v>
      </c>
      <c r="B882">
        <f>Chart_Data!Q146</f>
        <v>-102.66258570945865</v>
      </c>
      <c r="C882">
        <f>Chart_Data!P146</f>
        <v>12</v>
      </c>
      <c r="D882">
        <f>Chart_Data!R146</f>
        <v>-103.25466974927622</v>
      </c>
      <c r="E882">
        <f>Chart_Data!P146</f>
        <v>12</v>
      </c>
      <c r="F882">
        <f>Chart_Data!S146</f>
        <v>-15.414802659077877</v>
      </c>
      <c r="G882">
        <f>Chart_Data!P146</f>
        <v>12</v>
      </c>
      <c r="H882">
        <f>Chart_Data!T146</f>
        <v>-15.503704166557991</v>
      </c>
    </row>
    <row r="883" spans="1:8">
      <c r="A883">
        <f>Chart_Data!P147</f>
        <v>12.5</v>
      </c>
      <c r="B883">
        <f>Chart_Data!Q147</f>
        <v>-106.9337919834652</v>
      </c>
      <c r="C883">
        <f>Chart_Data!P147</f>
        <v>12.5</v>
      </c>
      <c r="D883">
        <f>Chart_Data!R147</f>
        <v>-97.459329212961165</v>
      </c>
      <c r="E883">
        <f>Chart_Data!P147</f>
        <v>12.5</v>
      </c>
      <c r="F883">
        <f>Chart_Data!S147</f>
        <v>-16.056124922442223</v>
      </c>
      <c r="G883">
        <f>Chart_Data!P147</f>
        <v>12.5</v>
      </c>
      <c r="H883">
        <f>Chart_Data!T147</f>
        <v>-14.633532914859035</v>
      </c>
    </row>
    <row r="884" spans="1:8">
      <c r="A884">
        <f>Chart_Data!P148</f>
        <v>13</v>
      </c>
      <c r="B884">
        <f>Chart_Data!Q148</f>
        <v>-111.20421613486542</v>
      </c>
      <c r="C884">
        <f>Chart_Data!P148</f>
        <v>13</v>
      </c>
      <c r="D884">
        <f>Chart_Data!R148</f>
        <v>-151.57657912886862</v>
      </c>
      <c r="E884">
        <f>Chart_Data!P148</f>
        <v>13</v>
      </c>
      <c r="F884">
        <f>Chart_Data!S148</f>
        <v>-16.697329749979794</v>
      </c>
      <c r="G884">
        <f>Chart_Data!P148</f>
        <v>13</v>
      </c>
      <c r="H884">
        <f>Chart_Data!T148</f>
        <v>-22.759246115445741</v>
      </c>
    </row>
    <row r="885" spans="1:8">
      <c r="A885">
        <f>Chart_Data!P149</f>
        <v>13.5</v>
      </c>
      <c r="B885">
        <f>Chart_Data!Q149</f>
        <v>-115.47382722346811</v>
      </c>
      <c r="C885">
        <f>Chart_Data!P149</f>
        <v>13.5</v>
      </c>
      <c r="D885">
        <f>Chart_Data!R149</f>
        <v>-141.51365191682999</v>
      </c>
      <c r="E885">
        <f>Chart_Data!P149</f>
        <v>13.5</v>
      </c>
      <c r="F885">
        <f>Chart_Data!S149</f>
        <v>-17.338412496016232</v>
      </c>
      <c r="G885">
        <f>Chart_Data!P149</f>
        <v>13.5</v>
      </c>
      <c r="H885">
        <f>Chart_Data!T149</f>
        <v>-21.248296083608107</v>
      </c>
    </row>
    <row r="886" spans="1:8">
      <c r="A886">
        <f>Chart_Data!P150</f>
        <v>14</v>
      </c>
      <c r="B886">
        <f>Chart_Data!Q150</f>
        <v>-119.74259435310159</v>
      </c>
      <c r="C886">
        <f>Chart_Data!P150</f>
        <v>14</v>
      </c>
      <c r="D886">
        <f>Chart_Data!R150</f>
        <v>-109.12181689409408</v>
      </c>
      <c r="E886">
        <f>Chart_Data!P150</f>
        <v>14</v>
      </c>
      <c r="F886">
        <f>Chart_Data!S150</f>
        <v>-17.979368521486727</v>
      </c>
      <c r="G886">
        <f>Chart_Data!P150</f>
        <v>14</v>
      </c>
      <c r="H886">
        <f>Chart_Data!T150</f>
        <v>-16.384657191305418</v>
      </c>
    </row>
    <row r="887" spans="1:8">
      <c r="A887">
        <f>Chart_Data!P151</f>
        <v>14.5</v>
      </c>
      <c r="B887">
        <f>Chart_Data!Q151</f>
        <v>-124.0104866564252</v>
      </c>
      <c r="C887">
        <f>Chart_Data!P151</f>
        <v>14.5</v>
      </c>
      <c r="D887">
        <f>Chart_Data!R151</f>
        <v>-145.14355631799845</v>
      </c>
      <c r="E887">
        <f>Chart_Data!P151</f>
        <v>14.5</v>
      </c>
      <c r="F887">
        <f>Chart_Data!S151</f>
        <v>-18.620193191655439</v>
      </c>
      <c r="G887">
        <f>Chart_Data!P151</f>
        <v>14.5</v>
      </c>
      <c r="H887">
        <f>Chart_Data!T151</f>
        <v>-21.793326774474242</v>
      </c>
    </row>
    <row r="888" spans="1:8">
      <c r="A888">
        <f>Chart_Data!P152</f>
        <v>15</v>
      </c>
      <c r="B888">
        <f>Chart_Data!Q152</f>
        <v>-128.2774733243059</v>
      </c>
      <c r="C888">
        <f>Chart_Data!P152</f>
        <v>15</v>
      </c>
      <c r="D888">
        <f>Chart_Data!R152</f>
        <v>-160.16073489608971</v>
      </c>
      <c r="E888">
        <f>Chart_Data!P152</f>
        <v>15</v>
      </c>
      <c r="F888">
        <f>Chart_Data!S152</f>
        <v>-19.260881880526412</v>
      </c>
      <c r="G888">
        <f>Chart_Data!P152</f>
        <v>15</v>
      </c>
      <c r="H888">
        <f>Chart_Data!T152</f>
        <v>-24.048158392806265</v>
      </c>
    </row>
    <row r="889" spans="1:8">
      <c r="A889">
        <f>Chart_Data!P153</f>
        <v>15.5</v>
      </c>
      <c r="B889">
        <f>Chart_Data!Q153</f>
        <v>-132.5435235945406</v>
      </c>
      <c r="C889">
        <f>Chart_Data!P153</f>
        <v>15.5</v>
      </c>
      <c r="D889">
        <f>Chart_Data!R153</f>
        <v>-131.10580275870234</v>
      </c>
      <c r="E889">
        <f>Chart_Data!P153</f>
        <v>15.5</v>
      </c>
      <c r="F889">
        <f>Chart_Data!S153</f>
        <v>-19.901429969150243</v>
      </c>
      <c r="G889">
        <f>Chart_Data!P153</f>
        <v>15.5</v>
      </c>
      <c r="H889">
        <f>Chart_Data!T153</f>
        <v>-19.685555969775127</v>
      </c>
    </row>
    <row r="890" spans="1:8">
      <c r="A890">
        <f>Chart_Data!P154</f>
        <v>16</v>
      </c>
      <c r="B890">
        <f>Chart_Data!Q154</f>
        <v>-136.80860673657662</v>
      </c>
      <c r="C890">
        <f>Chart_Data!P154</f>
        <v>16</v>
      </c>
      <c r="D890">
        <f>Chart_Data!R154</f>
        <v>-120.04510651404416</v>
      </c>
      <c r="E890">
        <f>Chart_Data!P154</f>
        <v>16</v>
      </c>
      <c r="F890">
        <f>Chart_Data!S154</f>
        <v>-20.541832843329825</v>
      </c>
      <c r="G890">
        <f>Chart_Data!P154</f>
        <v>16</v>
      </c>
      <c r="H890">
        <f>Chart_Data!T154</f>
        <v>-18.024790767874499</v>
      </c>
    </row>
    <row r="891" spans="1:8">
      <c r="A891">
        <f>Chart_Data!P155</f>
        <v>16.5</v>
      </c>
      <c r="B891">
        <f>Chart_Data!Q155</f>
        <v>-141.07269207324862</v>
      </c>
      <c r="C891">
        <f>Chart_Data!P155</f>
        <v>16.5</v>
      </c>
      <c r="D891">
        <f>Chart_Data!R155</f>
        <v>-137.05256517414455</v>
      </c>
      <c r="E891">
        <f>Chart_Data!P155</f>
        <v>16.5</v>
      </c>
      <c r="F891">
        <f>Chart_Data!S155</f>
        <v>-21.182085896884178</v>
      </c>
      <c r="G891">
        <f>Chart_Data!P155</f>
        <v>16.5</v>
      </c>
      <c r="H891">
        <f>Chart_Data!T155</f>
        <v>-20.578463239361046</v>
      </c>
    </row>
    <row r="892" spans="1:8">
      <c r="A892">
        <f>Chart_Data!P156</f>
        <v>17</v>
      </c>
      <c r="B892">
        <f>Chart_Data!Q156</f>
        <v>-145.33574898605366</v>
      </c>
      <c r="C892">
        <f>Chart_Data!P156</f>
        <v>17</v>
      </c>
      <c r="D892">
        <f>Chart_Data!R156</f>
        <v>-135.2580367196424</v>
      </c>
      <c r="E892">
        <f>Chart_Data!P156</f>
        <v>17</v>
      </c>
      <c r="F892">
        <f>Chart_Data!S156</f>
        <v>-21.822184532440492</v>
      </c>
      <c r="G892">
        <f>Chart_Data!P156</f>
        <v>17</v>
      </c>
      <c r="H892">
        <f>Chart_Data!T156</f>
        <v>-20.309014522468832</v>
      </c>
    </row>
    <row r="893" spans="1:8">
      <c r="A893">
        <f>Chart_Data!P157</f>
        <v>17.5</v>
      </c>
      <c r="B893">
        <f>Chart_Data!Q157</f>
        <v>-149.59774689641563</v>
      </c>
      <c r="C893">
        <f>Chart_Data!P157</f>
        <v>17.5</v>
      </c>
      <c r="D893">
        <f>Chart_Data!R157</f>
        <v>-126.66363410589838</v>
      </c>
      <c r="E893">
        <f>Chart_Data!P157</f>
        <v>17.5</v>
      </c>
      <c r="F893">
        <f>Chart_Data!S157</f>
        <v>-22.462124158620966</v>
      </c>
      <c r="G893">
        <f>Chart_Data!P157</f>
        <v>17.5</v>
      </c>
      <c r="H893">
        <f>Chart_Data!T157</f>
        <v>-19.018563679564323</v>
      </c>
    </row>
    <row r="894" spans="1:8">
      <c r="A894">
        <f>Chart_Data!P158</f>
        <v>18</v>
      </c>
      <c r="B894">
        <f>Chart_Data!Q158</f>
        <v>-153.85865527787246</v>
      </c>
      <c r="C894">
        <f>Chart_Data!P158</f>
        <v>18</v>
      </c>
      <c r="D894">
        <f>Chart_Data!R158</f>
        <v>-151.69053844329028</v>
      </c>
      <c r="E894">
        <f>Chart_Data!P158</f>
        <v>18</v>
      </c>
      <c r="F894">
        <f>Chart_Data!S158</f>
        <v>-23.101900191872744</v>
      </c>
      <c r="G894">
        <f>Chart_Data!P158</f>
        <v>18</v>
      </c>
      <c r="H894">
        <f>Chart_Data!T158</f>
        <v>-22.77635712361716</v>
      </c>
    </row>
    <row r="895" spans="1:8">
      <c r="A895">
        <f>Chart_Data!P159</f>
        <v>18.5</v>
      </c>
      <c r="B895">
        <f>Chart_Data!Q159</f>
        <v>-158.1184436692638</v>
      </c>
      <c r="C895">
        <f>Chart_Data!P159</f>
        <v>18.5</v>
      </c>
      <c r="D895">
        <f>Chart_Data!R159</f>
        <v>-139.17571677347951</v>
      </c>
      <c r="E895">
        <f>Chart_Data!P159</f>
        <v>18.5</v>
      </c>
      <c r="F895">
        <f>Chart_Data!S159</f>
        <v>-23.741508058448019</v>
      </c>
      <c r="G895">
        <f>Chart_Data!P159</f>
        <v>18.5</v>
      </c>
      <c r="H895">
        <f>Chart_Data!T159</f>
        <v>-20.897254770792721</v>
      </c>
    </row>
    <row r="896" spans="1:8">
      <c r="A896">
        <f>Chart_Data!P160</f>
        <v>19</v>
      </c>
      <c r="B896">
        <f>Chart_Data!Q160</f>
        <v>-162.37708165526783</v>
      </c>
      <c r="C896">
        <f>Chart_Data!P160</f>
        <v>19</v>
      </c>
      <c r="D896">
        <f>Chart_Data!R160</f>
        <v>-126.46437359499032</v>
      </c>
      <c r="E896">
        <f>Chart_Data!P160</f>
        <v>19</v>
      </c>
      <c r="F896">
        <f>Chart_Data!S160</f>
        <v>-24.380943191481659</v>
      </c>
      <c r="G896">
        <f>Chart_Data!P160</f>
        <v>19</v>
      </c>
      <c r="H896">
        <f>Chart_Data!T160</f>
        <v>-18.988644683932481</v>
      </c>
    </row>
    <row r="897" spans="1:8">
      <c r="A897">
        <f>Chart_Data!P161</f>
        <v>19.5</v>
      </c>
      <c r="B897">
        <f>Chart_Data!Q161</f>
        <v>-166.6345388791342</v>
      </c>
      <c r="C897">
        <f>Chart_Data!P161</f>
        <v>19.5</v>
      </c>
      <c r="D897">
        <f>Chart_Data!R161</f>
        <v>-151.36712018684193</v>
      </c>
      <c r="E897">
        <f>Chart_Data!P161</f>
        <v>19.5</v>
      </c>
      <c r="F897">
        <f>Chart_Data!S161</f>
        <v>-25.020201032903035</v>
      </c>
      <c r="G897">
        <f>Chart_Data!P161</f>
        <v>19.5</v>
      </c>
      <c r="H897">
        <f>Chart_Data!T161</f>
        <v>-22.727795823850141</v>
      </c>
    </row>
    <row r="898" spans="1:8">
      <c r="A898">
        <f>Chart_Data!P162</f>
        <v>20</v>
      </c>
      <c r="B898">
        <f>Chart_Data!Q162</f>
        <v>-170.89078503895507</v>
      </c>
      <c r="C898">
        <f>Chart_Data!P162</f>
        <v>20</v>
      </c>
      <c r="D898">
        <f>Chart_Data!R162</f>
        <v>-162.90904520274125</v>
      </c>
      <c r="E898">
        <f>Chart_Data!P162</f>
        <v>20</v>
      </c>
      <c r="F898">
        <f>Chart_Data!S162</f>
        <v>-25.65927703287614</v>
      </c>
      <c r="G898">
        <f>Chart_Data!P162</f>
        <v>20</v>
      </c>
      <c r="H898">
        <f>Chart_Data!T162</f>
        <v>-24.4608175980092</v>
      </c>
    </row>
    <row r="899" spans="1:8">
      <c r="A899">
        <f>Chart_Data!P163</f>
        <v>20.5</v>
      </c>
      <c r="B899">
        <f>Chart_Data!Q163</f>
        <v>-175.14578990121663</v>
      </c>
      <c r="C899">
        <f>Chart_Data!P163</f>
        <v>20.5</v>
      </c>
      <c r="D899">
        <f>Chart_Data!R163</f>
        <v>-171.71634810874821</v>
      </c>
      <c r="E899">
        <f>Chart_Data!P163</f>
        <v>20.5</v>
      </c>
      <c r="F899">
        <f>Chart_Data!S163</f>
        <v>-26.298166651834332</v>
      </c>
      <c r="G899">
        <f>Chart_Data!P163</f>
        <v>20.5</v>
      </c>
      <c r="H899">
        <f>Chart_Data!T163</f>
        <v>-25.783235451763996</v>
      </c>
    </row>
    <row r="900" spans="1:8">
      <c r="A900">
        <f>Chart_Data!P164</f>
        <v>21</v>
      </c>
      <c r="B900">
        <f>Chart_Data!Q164</f>
        <v>-179.3995232830639</v>
      </c>
      <c r="C900">
        <f>Chart_Data!P164</f>
        <v>21</v>
      </c>
      <c r="D900">
        <f>Chart_Data!R164</f>
        <v>-175.76256821785137</v>
      </c>
      <c r="E900">
        <f>Chart_Data!P164</f>
        <v>21</v>
      </c>
      <c r="F900">
        <f>Chart_Data!S164</f>
        <v>-26.936865357817403</v>
      </c>
      <c r="G900">
        <f>Chart_Data!P164</f>
        <v>21</v>
      </c>
      <c r="H900">
        <f>Chart_Data!T164</f>
        <v>-26.390776008686395</v>
      </c>
    </row>
    <row r="901" spans="1:8">
      <c r="A901">
        <f>Chart_Data!P165</f>
        <v>21.5</v>
      </c>
      <c r="B901">
        <f>Chart_Data!Q165</f>
        <v>-183.65195507121825</v>
      </c>
      <c r="C901">
        <f>Chart_Data!P165</f>
        <v>21.5</v>
      </c>
      <c r="D901">
        <f>Chart_Data!R165</f>
        <v>-173.41463906941499</v>
      </c>
      <c r="E901">
        <f>Chart_Data!P165</f>
        <v>21.5</v>
      </c>
      <c r="F901">
        <f>Chart_Data!S165</f>
        <v>-27.575368629312052</v>
      </c>
      <c r="G901">
        <f>Chart_Data!P165</f>
        <v>21.5</v>
      </c>
      <c r="H901">
        <f>Chart_Data!T165</f>
        <v>-26.038234094506759</v>
      </c>
    </row>
    <row r="902" spans="1:8">
      <c r="A902">
        <f>Chart_Data!P166</f>
        <v>22</v>
      </c>
      <c r="B902">
        <f>Chart_Data!Q166</f>
        <v>-187.90305521988557</v>
      </c>
      <c r="C902">
        <f>Chart_Data!P166</f>
        <v>22</v>
      </c>
      <c r="D902">
        <f>Chart_Data!R166</f>
        <v>-190.64828334176127</v>
      </c>
      <c r="E902">
        <f>Chart_Data!P166</f>
        <v>22</v>
      </c>
      <c r="F902">
        <f>Chart_Data!S166</f>
        <v>-28.213671954937777</v>
      </c>
      <c r="G902">
        <f>Chart_Data!P166</f>
        <v>22</v>
      </c>
      <c r="H902">
        <f>Chart_Data!T166</f>
        <v>-28.625868369633828</v>
      </c>
    </row>
    <row r="903" spans="1:8">
      <c r="A903">
        <f>Chart_Data!P167</f>
        <v>22.5</v>
      </c>
      <c r="B903">
        <f>Chart_Data!Q167</f>
        <v>-192.15279373456724</v>
      </c>
      <c r="C903">
        <f>Chart_Data!P167</f>
        <v>22.5</v>
      </c>
      <c r="D903">
        <f>Chart_Data!R167</f>
        <v>-207.66237126308624</v>
      </c>
      <c r="E903">
        <f>Chart_Data!P167</f>
        <v>22.5</v>
      </c>
      <c r="F903">
        <f>Chart_Data!S167</f>
        <v>-28.851770831016104</v>
      </c>
      <c r="G903">
        <f>Chart_Data!P167</f>
        <v>22.5</v>
      </c>
      <c r="H903">
        <f>Chart_Data!T167</f>
        <v>-31.180536225688627</v>
      </c>
    </row>
    <row r="904" spans="1:8">
      <c r="A904">
        <f>Chart_Data!P168</f>
        <v>23</v>
      </c>
      <c r="B904">
        <f>Chart_Data!Q168</f>
        <v>-196.40114070170966</v>
      </c>
      <c r="C904">
        <f>Chart_Data!P168</f>
        <v>23</v>
      </c>
      <c r="D904">
        <f>Chart_Data!R168</f>
        <v>-214.52838117938882</v>
      </c>
      <c r="E904">
        <f>Chart_Data!P168</f>
        <v>23</v>
      </c>
      <c r="F904">
        <f>Chart_Data!S168</f>
        <v>-29.489660766022475</v>
      </c>
      <c r="G904">
        <f>Chart_Data!P168</f>
        <v>23</v>
      </c>
      <c r="H904">
        <f>Chart_Data!T168</f>
        <v>-32.211468645553879</v>
      </c>
    </row>
    <row r="905" spans="1:8">
      <c r="A905">
        <f>Chart_Data!P169</f>
        <v>23.5</v>
      </c>
      <c r="B905">
        <f>Chart_Data!Q169</f>
        <v>-200.64806626696736</v>
      </c>
      <c r="C905">
        <f>Chart_Data!P169</f>
        <v>23.5</v>
      </c>
      <c r="D905">
        <f>Chart_Data!R169</f>
        <v>-195.82322653741357</v>
      </c>
      <c r="E905">
        <f>Chart_Data!P169</f>
        <v>23.5</v>
      </c>
      <c r="F905">
        <f>Chart_Data!S169</f>
        <v>-30.127337277322429</v>
      </c>
      <c r="G905">
        <f>Chart_Data!P169</f>
        <v>23.5</v>
      </c>
      <c r="H905">
        <f>Chart_Data!T169</f>
        <v>-29.40288686747952</v>
      </c>
    </row>
    <row r="906" spans="1:8">
      <c r="A906">
        <f>Chart_Data!P170</f>
        <v>24</v>
      </c>
      <c r="B906">
        <f>Chart_Data!Q170</f>
        <v>-204.89354065312</v>
      </c>
      <c r="C906">
        <f>Chart_Data!P170</f>
        <v>24</v>
      </c>
      <c r="D906">
        <f>Chart_Data!R170</f>
        <v>-230.14401414493477</v>
      </c>
      <c r="E906">
        <f>Chart_Data!P170</f>
        <v>24</v>
      </c>
      <c r="F906">
        <f>Chart_Data!S170</f>
        <v>-30.764795893861866</v>
      </c>
      <c r="G906">
        <f>Chart_Data!P170</f>
        <v>24</v>
      </c>
      <c r="H906">
        <f>Chart_Data!T170</f>
        <v>-34.556158280020242</v>
      </c>
    </row>
    <row r="907" spans="1:8">
      <c r="A907">
        <f>Chart_Data!P171</f>
        <v>24.5</v>
      </c>
      <c r="B907">
        <f>Chart_Data!Q171</f>
        <v>-209.13753414824896</v>
      </c>
      <c r="C907">
        <f>Chart_Data!P171</f>
        <v>24.5</v>
      </c>
      <c r="D907">
        <f>Chart_Data!R171</f>
        <v>-244.97379562135393</v>
      </c>
      <c r="E907">
        <f>Chart_Data!P171</f>
        <v>24.5</v>
      </c>
      <c r="F907">
        <f>Chart_Data!S171</f>
        <v>-31.402032154391737</v>
      </c>
      <c r="G907">
        <f>Chart_Data!P171</f>
        <v>24.5</v>
      </c>
      <c r="H907">
        <f>Chart_Data!T171</f>
        <v>-36.78285219539849</v>
      </c>
    </row>
    <row r="908" spans="1:8">
      <c r="A908">
        <f>Chart_Data!P172</f>
        <v>25</v>
      </c>
      <c r="B908">
        <f>Chart_Data!Q172</f>
        <v>-213.38001711119432</v>
      </c>
      <c r="C908">
        <f>Chart_Data!P172</f>
        <v>25</v>
      </c>
      <c r="D908">
        <f>Chart_Data!R172</f>
        <v>-253.73623064069761</v>
      </c>
      <c r="E908">
        <f>Chart_Data!P172</f>
        <v>25</v>
      </c>
      <c r="F908">
        <f>Chart_Data!S172</f>
        <v>-32.039041608287441</v>
      </c>
      <c r="G908">
        <f>Chart_Data!P172</f>
        <v>25</v>
      </c>
      <c r="H908">
        <f>Chart_Data!T172</f>
        <v>-38.098533129233878</v>
      </c>
    </row>
    <row r="909" spans="1:8">
      <c r="A909">
        <f>Chart_Data!P173</f>
        <v>25.5</v>
      </c>
      <c r="B909">
        <f>Chart_Data!Q173</f>
        <v>-217.62095997992219</v>
      </c>
      <c r="C909">
        <f>Chart_Data!P173</f>
        <v>25.5</v>
      </c>
      <c r="D909">
        <f>Chart_Data!R173</f>
        <v>-267.79701353816563</v>
      </c>
      <c r="E909">
        <f>Chart_Data!P173</f>
        <v>25.5</v>
      </c>
      <c r="F909">
        <f>Chart_Data!S173</f>
        <v>-32.675819816805138</v>
      </c>
      <c r="G909">
        <f>Chart_Data!P173</f>
        <v>25.5</v>
      </c>
      <c r="H909">
        <f>Chart_Data!T173</f>
        <v>-40.209761792517362</v>
      </c>
    </row>
    <row r="910" spans="1:8">
      <c r="A910">
        <f>Chart_Data!P174</f>
        <v>26</v>
      </c>
      <c r="B910">
        <f>Chart_Data!Q174</f>
        <v>-221.86033326770485</v>
      </c>
      <c r="C910">
        <f>Chart_Data!P174</f>
        <v>26</v>
      </c>
      <c r="D910">
        <f>Chart_Data!R174</f>
        <v>-232.61930903145185</v>
      </c>
      <c r="E910">
        <f>Chart_Data!P174</f>
        <v>26</v>
      </c>
      <c r="F910">
        <f>Chart_Data!S174</f>
        <v>-33.312362352508238</v>
      </c>
      <c r="G910">
        <f>Chart_Data!P174</f>
        <v>26</v>
      </c>
      <c r="H910">
        <f>Chart_Data!T174</f>
        <v>-34.927824178896678</v>
      </c>
    </row>
    <row r="911" spans="1:8">
      <c r="A911">
        <f>Chart_Data!P175</f>
        <v>26.5</v>
      </c>
      <c r="B911">
        <f>Chart_Data!Q175</f>
        <v>-226.0981075584823</v>
      </c>
      <c r="C911">
        <f>Chart_Data!P175</f>
        <v>26.5</v>
      </c>
      <c r="D911">
        <f>Chart_Data!R175</f>
        <v>-291.65466653967087</v>
      </c>
      <c r="E911">
        <f>Chart_Data!P175</f>
        <v>26.5</v>
      </c>
      <c r="F911">
        <f>Chart_Data!S175</f>
        <v>-33.948664798570917</v>
      </c>
      <c r="G911">
        <f>Chart_Data!P175</f>
        <v>26.5</v>
      </c>
      <c r="H911">
        <f>Chart_Data!T175</f>
        <v>-43.791991972923554</v>
      </c>
    </row>
    <row r="912" spans="1:8">
      <c r="A912">
        <f>Chart_Data!P176</f>
        <v>27</v>
      </c>
      <c r="B912">
        <f>Chart_Data!Q176</f>
        <v>-230.3342535144111</v>
      </c>
      <c r="C912">
        <f>Chart_Data!P176</f>
        <v>27</v>
      </c>
      <c r="D912">
        <f>Chart_Data!R176</f>
        <v>-304.31541811476563</v>
      </c>
      <c r="E912">
        <f>Chart_Data!P176</f>
        <v>27</v>
      </c>
      <c r="F912">
        <f>Chart_Data!S176</f>
        <v>-34.584722749911577</v>
      </c>
      <c r="G912">
        <f>Chart_Data!P176</f>
        <v>27</v>
      </c>
      <c r="H912">
        <f>Chart_Data!T176</f>
        <v>-45.693005722937784</v>
      </c>
    </row>
    <row r="913" spans="1:8">
      <c r="A913">
        <f>Chart_Data!P177</f>
        <v>27.5</v>
      </c>
      <c r="B913">
        <f>Chart_Data!Q177</f>
        <v>-234.56874188968868</v>
      </c>
      <c r="C913">
        <f>Chart_Data!P177</f>
        <v>27.5</v>
      </c>
      <c r="D913">
        <f>Chart_Data!R177</f>
        <v>-288.8126042343174</v>
      </c>
      <c r="E913">
        <f>Chart_Data!P177</f>
        <v>27.5</v>
      </c>
      <c r="F913">
        <f>Chart_Data!S177</f>
        <v>-35.220531815268572</v>
      </c>
      <c r="G913">
        <f>Chart_Data!P177</f>
        <v>27.5</v>
      </c>
      <c r="H913">
        <f>Chart_Data!T177</f>
        <v>-43.36525589103865</v>
      </c>
    </row>
    <row r="914" spans="1:8">
      <c r="A914">
        <f>Chart_Data!P178</f>
        <v>28</v>
      </c>
      <c r="B914">
        <f>Chart_Data!Q178</f>
        <v>-238.80154350053999</v>
      </c>
      <c r="C914">
        <f>Chart_Data!P178</f>
        <v>28</v>
      </c>
      <c r="D914">
        <f>Chart_Data!R178</f>
        <v>-281.15917075083416</v>
      </c>
      <c r="E914">
        <f>Chart_Data!P178</f>
        <v>28</v>
      </c>
      <c r="F914">
        <f>Chart_Data!S178</f>
        <v>-35.856087612693699</v>
      </c>
      <c r="G914">
        <f>Chart_Data!P178</f>
        <v>28</v>
      </c>
      <c r="H914">
        <f>Chart_Data!T178</f>
        <v>-42.216091704329457</v>
      </c>
    </row>
    <row r="915" spans="1:8">
      <c r="A915">
        <f>Chart_Data!P179</f>
        <v>28.5</v>
      </c>
      <c r="B915">
        <f>Chart_Data!Q179</f>
        <v>-243.03262925423041</v>
      </c>
      <c r="C915">
        <f>Chart_Data!P179</f>
        <v>28.5</v>
      </c>
      <c r="D915">
        <f>Chart_Data!R179</f>
        <v>-287.96985247545308</v>
      </c>
      <c r="E915">
        <f>Chart_Data!P179</f>
        <v>28.5</v>
      </c>
      <c r="F915">
        <f>Chart_Data!S179</f>
        <v>-36.491385773908476</v>
      </c>
      <c r="G915">
        <f>Chart_Data!P179</f>
        <v>28.5</v>
      </c>
      <c r="H915">
        <f>Chart_Data!T179</f>
        <v>-43.23871658790587</v>
      </c>
    </row>
    <row r="916" spans="1:8">
      <c r="A916">
        <f>Chart_Data!P180</f>
        <v>29</v>
      </c>
      <c r="B916">
        <f>Chart_Data!Q180</f>
        <v>-247.26197014497302</v>
      </c>
      <c r="C916">
        <f>Chart_Data!P180</f>
        <v>29</v>
      </c>
      <c r="D916">
        <f>Chart_Data!R180</f>
        <v>-321.95858402801605</v>
      </c>
      <c r="E916">
        <f>Chart_Data!P180</f>
        <v>29</v>
      </c>
      <c r="F916">
        <f>Chart_Data!S180</f>
        <v>-37.126421943689643</v>
      </c>
      <c r="G916">
        <f>Chart_Data!P180</f>
        <v>29</v>
      </c>
      <c r="H916">
        <f>Chart_Data!T180</f>
        <v>-48.342129733936346</v>
      </c>
    </row>
    <row r="917" spans="1:8">
      <c r="A917">
        <f>Chart_Data!P181</f>
        <v>29.5</v>
      </c>
      <c r="B917">
        <f>Chart_Data!Q181</f>
        <v>-251.48953723855811</v>
      </c>
      <c r="C917">
        <f>Chart_Data!P181</f>
        <v>29.5</v>
      </c>
      <c r="D917">
        <f>Chart_Data!R181</f>
        <v>-292.27470798450668</v>
      </c>
      <c r="E917">
        <f>Chart_Data!P181</f>
        <v>29.5</v>
      </c>
      <c r="F917">
        <f>Chart_Data!S181</f>
        <v>-37.76119177756128</v>
      </c>
      <c r="G917">
        <f>Chart_Data!P181</f>
        <v>29.5</v>
      </c>
      <c r="H917">
        <f>Chart_Data!T181</f>
        <v>-43.885091288964972</v>
      </c>
    </row>
    <row r="918" spans="1:8">
      <c r="A918">
        <f>Chart_Data!P182</f>
        <v>30</v>
      </c>
      <c r="B918">
        <f>Chart_Data!Q182</f>
        <v>-255.71530170509504</v>
      </c>
      <c r="C918">
        <f>Chart_Data!P182</f>
        <v>30</v>
      </c>
      <c r="D918">
        <f>Chart_Data!R182</f>
        <v>-293.21279433806922</v>
      </c>
      <c r="E918">
        <f>Chart_Data!P182</f>
        <v>30</v>
      </c>
      <c r="F918">
        <f>Chart_Data!S182</f>
        <v>-38.395690946710971</v>
      </c>
      <c r="G918">
        <f>Chart_Data!P182</f>
        <v>30</v>
      </c>
      <c r="H918">
        <f>Chart_Data!T182</f>
        <v>-44.025945095806193</v>
      </c>
    </row>
    <row r="919" spans="1:8">
      <c r="A919">
        <f>Chart_Data!P183</f>
        <v>30.5</v>
      </c>
      <c r="B919">
        <f>Chart_Data!Q183</f>
        <v>-259.93923478881698</v>
      </c>
      <c r="C919">
        <f>Chart_Data!P183</f>
        <v>30.5</v>
      </c>
      <c r="D919">
        <f>Chart_Data!R183</f>
        <v>-289.90851073058366</v>
      </c>
      <c r="E919">
        <f>Chart_Data!P183</f>
        <v>30.5</v>
      </c>
      <c r="F919">
        <f>Chart_Data!S183</f>
        <v>-39.029915133456008</v>
      </c>
      <c r="G919">
        <f>Chart_Data!P183</f>
        <v>30.5</v>
      </c>
      <c r="H919">
        <f>Chart_Data!T183</f>
        <v>-43.529806416003559</v>
      </c>
    </row>
    <row r="920" spans="1:8">
      <c r="A920">
        <f>Chart_Data!P184</f>
        <v>31</v>
      </c>
      <c r="B920">
        <f>Chart_Data!Q184</f>
        <v>-264.16130781663014</v>
      </c>
      <c r="C920">
        <f>Chart_Data!P184</f>
        <v>31</v>
      </c>
      <c r="D920">
        <f>Chart_Data!R184</f>
        <v>-301.45943187817466</v>
      </c>
      <c r="E920">
        <f>Chart_Data!P184</f>
        <v>31</v>
      </c>
      <c r="F920">
        <f>Chart_Data!S184</f>
        <v>-39.663860032527054</v>
      </c>
      <c r="G920">
        <f>Chart_Data!P184</f>
        <v>31</v>
      </c>
      <c r="H920">
        <f>Chart_Data!T184</f>
        <v>-45.264178960686891</v>
      </c>
    </row>
    <row r="921" spans="1:8">
      <c r="A921">
        <f>Chart_Data!P185</f>
        <v>31.5</v>
      </c>
      <c r="B921">
        <f>Chart_Data!Q185</f>
        <v>-268.38149222203356</v>
      </c>
      <c r="C921">
        <f>Chart_Data!P185</f>
        <v>31.5</v>
      </c>
      <c r="D921">
        <f>Chart_Data!R185</f>
        <v>-295.70542531273531</v>
      </c>
      <c r="E921">
        <f>Chart_Data!P185</f>
        <v>31.5</v>
      </c>
      <c r="F921">
        <f>Chart_Data!S185</f>
        <v>-40.297521354659693</v>
      </c>
      <c r="G921">
        <f>Chart_Data!P185</f>
        <v>31.5</v>
      </c>
      <c r="H921">
        <f>Chart_Data!T185</f>
        <v>-44.400214010921225</v>
      </c>
    </row>
    <row r="922" spans="1:8">
      <c r="A922">
        <f>Chart_Data!P186</f>
        <v>32</v>
      </c>
      <c r="B922">
        <f>Chart_Data!Q186</f>
        <v>-272.59975951992601</v>
      </c>
      <c r="C922">
        <f>Chart_Data!P186</f>
        <v>32</v>
      </c>
      <c r="D922">
        <f>Chart_Data!R186</f>
        <v>-254.59907467848097</v>
      </c>
      <c r="E922">
        <f>Chart_Data!P186</f>
        <v>32</v>
      </c>
      <c r="F922">
        <f>Chart_Data!S186</f>
        <v>-40.930894822811716</v>
      </c>
      <c r="G922">
        <f>Chart_Data!P186</f>
        <v>32</v>
      </c>
      <c r="H922">
        <f>Chart_Data!T186</f>
        <v>-38.228089291063213</v>
      </c>
    </row>
    <row r="923" spans="1:8">
      <c r="A923">
        <f>Chart_Data!P187</f>
        <v>32.5</v>
      </c>
      <c r="B923">
        <f>Chart_Data!Q187</f>
        <v>-276.81608131206303</v>
      </c>
      <c r="C923">
        <f>Chart_Data!P187</f>
        <v>32.5</v>
      </c>
      <c r="D923">
        <f>Chart_Data!R187</f>
        <v>-271.14112996578115</v>
      </c>
      <c r="E923">
        <f>Chart_Data!P187</f>
        <v>32.5</v>
      </c>
      <c r="F923">
        <f>Chart_Data!S187</f>
        <v>-41.563976172982443</v>
      </c>
      <c r="G923">
        <f>Chart_Data!P187</f>
        <v>32.5</v>
      </c>
      <c r="H923">
        <f>Chart_Data!T187</f>
        <v>-40.711881376243419</v>
      </c>
    </row>
    <row r="924" spans="1:8">
      <c r="A924">
        <f>Chart_Data!P188</f>
        <v>33</v>
      </c>
      <c r="B924">
        <f>Chart_Data!Q188</f>
        <v>-281.0304293043373</v>
      </c>
      <c r="C924">
        <f>Chart_Data!P188</f>
        <v>33</v>
      </c>
      <c r="D924">
        <f>Chart_Data!R188</f>
        <v>-283.89382672230568</v>
      </c>
      <c r="E924">
        <f>Chart_Data!P188</f>
        <v>33</v>
      </c>
      <c r="F924">
        <f>Chart_Data!S188</f>
        <v>-42.196761156807405</v>
      </c>
      <c r="G924">
        <f>Chart_Data!P188</f>
        <v>33</v>
      </c>
      <c r="H924">
        <f>Chart_Data!T188</f>
        <v>-42.626700709054909</v>
      </c>
    </row>
    <row r="925" spans="1:8">
      <c r="A925">
        <f>Chart_Data!P189</f>
        <v>33.5</v>
      </c>
      <c r="B925">
        <f>Chart_Data!Q189</f>
        <v>-285.24277529395476</v>
      </c>
      <c r="C925">
        <f>Chart_Data!P189</f>
        <v>33.5</v>
      </c>
      <c r="D925">
        <f>Chart_Data!R189</f>
        <v>-258.09890866003116</v>
      </c>
      <c r="E925">
        <f>Chart_Data!P189</f>
        <v>33.5</v>
      </c>
      <c r="F925">
        <f>Chart_Data!S189</f>
        <v>-42.829245539632851</v>
      </c>
      <c r="G925">
        <f>Chart_Data!P189</f>
        <v>33.5</v>
      </c>
      <c r="H925">
        <f>Chart_Data!T189</f>
        <v>-38.753589888893572</v>
      </c>
    </row>
    <row r="926" spans="1:8">
      <c r="A926">
        <f>Chart_Data!P190</f>
        <v>34</v>
      </c>
      <c r="B926">
        <f>Chart_Data!Q190</f>
        <v>-289.4530911666152</v>
      </c>
      <c r="C926">
        <f>Chart_Data!P190</f>
        <v>34</v>
      </c>
      <c r="D926">
        <f>Chart_Data!R190</f>
        <v>-253.72673676783961</v>
      </c>
      <c r="E926">
        <f>Chart_Data!P190</f>
        <v>34</v>
      </c>
      <c r="F926">
        <f>Chart_Data!S190</f>
        <v>-43.461425100092377</v>
      </c>
      <c r="G926">
        <f>Chart_Data!P190</f>
        <v>34</v>
      </c>
      <c r="H926">
        <f>Chart_Data!T190</f>
        <v>-38.097107622798745</v>
      </c>
    </row>
    <row r="927" spans="1:8">
      <c r="A927">
        <f>Chart_Data!P191</f>
        <v>34.5</v>
      </c>
      <c r="B927">
        <f>Chart_Data!Q191</f>
        <v>-293.66134891224647</v>
      </c>
      <c r="C927">
        <f>Chart_Data!P191</f>
        <v>34.5</v>
      </c>
      <c r="D927">
        <f>Chart_Data!R191</f>
        <v>-295.78985259904584</v>
      </c>
      <c r="E927">
        <f>Chart_Data!P191</f>
        <v>34.5</v>
      </c>
      <c r="F927">
        <f>Chart_Data!S191</f>
        <v>-44.093295632469442</v>
      </c>
      <c r="G927">
        <f>Chart_Data!P191</f>
        <v>34.5</v>
      </c>
      <c r="H927">
        <f>Chart_Data!T191</f>
        <v>-44.412890780637518</v>
      </c>
    </row>
    <row r="928" spans="1:8">
      <c r="A928">
        <f>Chart_Data!P192</f>
        <v>35</v>
      </c>
      <c r="B928">
        <f>Chart_Data!Q192</f>
        <v>-297.86752062109372</v>
      </c>
      <c r="C928">
        <f>Chart_Data!P192</f>
        <v>35</v>
      </c>
      <c r="D928">
        <f>Chart_Data!R192</f>
        <v>-307.83523316185892</v>
      </c>
      <c r="E928">
        <f>Chart_Data!P192</f>
        <v>35</v>
      </c>
      <c r="F928">
        <f>Chart_Data!S192</f>
        <v>-44.724852946110168</v>
      </c>
      <c r="G928">
        <f>Chart_Data!P192</f>
        <v>35</v>
      </c>
      <c r="H928">
        <f>Chart_Data!T192</f>
        <v>-46.221506480759601</v>
      </c>
    </row>
    <row r="929" spans="1:8">
      <c r="A929">
        <f>Chart_Data!P193</f>
        <v>35.5</v>
      </c>
      <c r="B929">
        <f>Chart_Data!Q193</f>
        <v>-302.07157848089992</v>
      </c>
      <c r="C929">
        <f>Chart_Data!P193</f>
        <v>35.5</v>
      </c>
      <c r="D929">
        <f>Chart_Data!R193</f>
        <v>-286.60699439151358</v>
      </c>
      <c r="E929">
        <f>Chart_Data!P193</f>
        <v>35.5</v>
      </c>
      <c r="F929">
        <f>Chart_Data!S193</f>
        <v>-45.356092864999994</v>
      </c>
      <c r="G929">
        <f>Chart_Data!P193</f>
        <v>35.5</v>
      </c>
      <c r="H929">
        <f>Chart_Data!T193</f>
        <v>-43.034083241969007</v>
      </c>
    </row>
    <row r="930" spans="1:8">
      <c r="A930">
        <f>Chart_Data!P194</f>
        <v>36</v>
      </c>
      <c r="B930">
        <f>Chart_Data!Q194</f>
        <v>-306.2734947710851</v>
      </c>
      <c r="C930">
        <f>Chart_Data!P194</f>
        <v>36</v>
      </c>
      <c r="D930">
        <f>Chart_Data!R194</f>
        <v>-256.20808419480454</v>
      </c>
      <c r="E930">
        <f>Chart_Data!P194</f>
        <v>36</v>
      </c>
      <c r="F930">
        <f>Chart_Data!S194</f>
        <v>-45.987011226889656</v>
      </c>
      <c r="G930">
        <f>Chart_Data!P194</f>
        <v>36</v>
      </c>
      <c r="H930">
        <f>Chart_Data!T194</f>
        <v>-38.469682311532218</v>
      </c>
    </row>
    <row r="931" spans="1:8">
      <c r="A931">
        <f>Chart_Data!P195</f>
        <v>36.5</v>
      </c>
      <c r="B931">
        <f>Chart_Data!Q195</f>
        <v>-310.47324188575658</v>
      </c>
      <c r="C931">
        <f>Chart_Data!P195</f>
        <v>36.5</v>
      </c>
      <c r="D931">
        <f>Chart_Data!R195</f>
        <v>-270.33211644011317</v>
      </c>
      <c r="E931">
        <f>Chart_Data!P195</f>
        <v>36.5</v>
      </c>
      <c r="F931">
        <f>Chart_Data!S195</f>
        <v>-46.617603886750238</v>
      </c>
      <c r="G931">
        <f>Chart_Data!P195</f>
        <v>36.5</v>
      </c>
      <c r="H931">
        <f>Chart_Data!T195</f>
        <v>-40.590407873890868</v>
      </c>
    </row>
    <row r="932" spans="1:8">
      <c r="A932">
        <f>Chart_Data!P196</f>
        <v>37</v>
      </c>
      <c r="B932">
        <f>Chart_Data!Q196</f>
        <v>-314.67079231433672</v>
      </c>
      <c r="C932">
        <f>Chart_Data!P196</f>
        <v>37</v>
      </c>
      <c r="D932">
        <f>Chart_Data!R196</f>
        <v>-304.73200256828932</v>
      </c>
      <c r="E932">
        <f>Chart_Data!P196</f>
        <v>37</v>
      </c>
      <c r="F932">
        <f>Chart_Data!S196</f>
        <v>-47.247866713864376</v>
      </c>
      <c r="G932">
        <f>Chart_Data!P196</f>
        <v>37</v>
      </c>
      <c r="H932">
        <f>Chart_Data!T196</f>
        <v>-45.755555941184589</v>
      </c>
    </row>
    <row r="933" spans="1:8">
      <c r="A933">
        <f>Chart_Data!P197</f>
        <v>37.5</v>
      </c>
      <c r="B933">
        <f>Chart_Data!Q197</f>
        <v>-318.86611864902079</v>
      </c>
      <c r="C933">
        <f>Chart_Data!P197</f>
        <v>37.5</v>
      </c>
      <c r="D933">
        <f>Chart_Data!R197</f>
        <v>-310.94330885744057</v>
      </c>
      <c r="E933">
        <f>Chart_Data!P197</f>
        <v>37.5</v>
      </c>
      <c r="F933">
        <f>Chart_Data!S197</f>
        <v>-47.877795592946072</v>
      </c>
      <c r="G933">
        <f>Chart_Data!P197</f>
        <v>37.5</v>
      </c>
      <c r="H933">
        <f>Chart_Data!T197</f>
        <v>-46.688184513129215</v>
      </c>
    </row>
    <row r="934" spans="1:8">
      <c r="A934">
        <f>Chart_Data!P198</f>
        <v>38</v>
      </c>
      <c r="B934">
        <f>Chart_Data!Q198</f>
        <v>-323.05919359660038</v>
      </c>
      <c r="C934">
        <f>Chart_Data!P198</f>
        <v>38</v>
      </c>
      <c r="D934">
        <f>Chart_Data!R198</f>
        <v>-274.92396347497561</v>
      </c>
      <c r="E934">
        <f>Chart_Data!P198</f>
        <v>38</v>
      </c>
      <c r="F934">
        <f>Chart_Data!S198</f>
        <v>-48.507386425915975</v>
      </c>
      <c r="G934">
        <f>Chart_Data!P198</f>
        <v>38</v>
      </c>
      <c r="H934">
        <f>Chart_Data!T198</f>
        <v>-41.27987439564199</v>
      </c>
    </row>
    <row r="935" spans="1:8">
      <c r="A935">
        <f>Chart_Data!P199</f>
        <v>38.5</v>
      </c>
      <c r="B935">
        <f>Chart_Data!Q199</f>
        <v>-327.24998996245631</v>
      </c>
      <c r="C935">
        <f>Chart_Data!P199</f>
        <v>38.5</v>
      </c>
      <c r="D935">
        <f>Chart_Data!R199</f>
        <v>-295.00116253339002</v>
      </c>
      <c r="E935">
        <f>Chart_Data!P199</f>
        <v>38.5</v>
      </c>
      <c r="F935">
        <f>Chart_Data!S199</f>
        <v>-49.136635129497947</v>
      </c>
      <c r="G935">
        <f>Chart_Data!P199</f>
        <v>38.5</v>
      </c>
      <c r="H935">
        <f>Chart_Data!T199</f>
        <v>-44.294468848857363</v>
      </c>
    </row>
    <row r="936" spans="1:8">
      <c r="A936">
        <f>Chart_Data!P200</f>
        <v>39</v>
      </c>
      <c r="B936">
        <f>Chart_Data!Q200</f>
        <v>-331.43848065974453</v>
      </c>
      <c r="C936">
        <f>Chart_Data!P200</f>
        <v>39</v>
      </c>
      <c r="D936">
        <f>Chart_Data!R200</f>
        <v>-351.01909148434061</v>
      </c>
      <c r="E936">
        <f>Chart_Data!P200</f>
        <v>39</v>
      </c>
      <c r="F936">
        <f>Chart_Data!S200</f>
        <v>-49.765537636598282</v>
      </c>
      <c r="G936">
        <f>Chart_Data!P200</f>
        <v>39</v>
      </c>
      <c r="H936">
        <f>Chart_Data!T200</f>
        <v>-52.705569291943036</v>
      </c>
    </row>
    <row r="937" spans="1:8">
      <c r="A937">
        <f>Chart_Data!P201</f>
        <v>39.5</v>
      </c>
      <c r="B937">
        <f>Chart_Data!Q201</f>
        <v>-335.62463871039654</v>
      </c>
      <c r="C937">
        <f>Chart_Data!P201</f>
        <v>39.5</v>
      </c>
      <c r="D937">
        <f>Chart_Data!R201</f>
        <v>-332.67603342701477</v>
      </c>
      <c r="E937">
        <f>Chart_Data!P201</f>
        <v>39.5</v>
      </c>
      <c r="F937">
        <f>Chart_Data!S201</f>
        <v>-50.394089896455938</v>
      </c>
      <c r="G937">
        <f>Chart_Data!P201</f>
        <v>39.5</v>
      </c>
      <c r="H937">
        <f>Chart_Data!T201</f>
        <v>-49.951356370422644</v>
      </c>
    </row>
    <row r="938" spans="1:8">
      <c r="A938">
        <f>Chart_Data!P202</f>
        <v>40</v>
      </c>
      <c r="B938">
        <f>Chart_Data!Q202</f>
        <v>-339.80843724993974</v>
      </c>
      <c r="C938">
        <f>Chart_Data!P202</f>
        <v>40</v>
      </c>
      <c r="D938">
        <f>Chart_Data!R202</f>
        <v>-337.19177191396739</v>
      </c>
      <c r="E938">
        <f>Chart_Data!P202</f>
        <v>40</v>
      </c>
      <c r="F938">
        <f>Chart_Data!S202</f>
        <v>-51.022287875366331</v>
      </c>
      <c r="G938">
        <f>Chart_Data!P202</f>
        <v>40</v>
      </c>
      <c r="H938">
        <f>Chart_Data!T202</f>
        <v>-50.629395182277392</v>
      </c>
    </row>
    <row r="939" spans="1:8">
      <c r="A939">
        <f>Chart_Data!P203</f>
        <v>40.5</v>
      </c>
      <c r="B939">
        <f>Chart_Data!Q203</f>
        <v>-343.98984952458704</v>
      </c>
      <c r="C939">
        <f>Chart_Data!P203</f>
        <v>40.5</v>
      </c>
      <c r="D939">
        <f>Chart_Data!R203</f>
        <v>-388.89445723843892</v>
      </c>
      <c r="E939">
        <f>Chart_Data!P203</f>
        <v>40.5</v>
      </c>
      <c r="F939">
        <f>Chart_Data!S203</f>
        <v>-51.650127556244307</v>
      </c>
      <c r="G939">
        <f>Chart_Data!P203</f>
        <v>40.5</v>
      </c>
      <c r="H939">
        <f>Chart_Data!T203</f>
        <v>-58.392561146912755</v>
      </c>
    </row>
    <row r="940" spans="1:8">
      <c r="A940">
        <f>Chart_Data!P204</f>
        <v>41</v>
      </c>
      <c r="B940">
        <f>Chart_Data!Q204</f>
        <v>-348.16884888314235</v>
      </c>
      <c r="C940">
        <f>Chart_Data!P204</f>
        <v>41</v>
      </c>
      <c r="D940">
        <f>Chart_Data!R204</f>
        <v>-398.15439784842965</v>
      </c>
      <c r="E940">
        <f>Chart_Data!P204</f>
        <v>41</v>
      </c>
      <c r="F940">
        <f>Chart_Data!S204</f>
        <v>-52.277604937408768</v>
      </c>
      <c r="G940">
        <f>Chart_Data!P204</f>
        <v>41</v>
      </c>
      <c r="H940">
        <f>Chart_Data!T204</f>
        <v>-59.782942619884338</v>
      </c>
    </row>
    <row r="941" spans="1:8">
      <c r="A941">
        <f>Chart_Data!P205</f>
        <v>41.5</v>
      </c>
      <c r="B941">
        <f>Chart_Data!Q205</f>
        <v>-352.34540879673659</v>
      </c>
      <c r="C941">
        <f>Chart_Data!P205</f>
        <v>41.5</v>
      </c>
      <c r="D941">
        <f>Chart_Data!R205</f>
        <v>-361.10799848111128</v>
      </c>
      <c r="E941">
        <f>Chart_Data!P205</f>
        <v>41.5</v>
      </c>
      <c r="F941">
        <f>Chart_Data!S205</f>
        <v>-52.904716035546038</v>
      </c>
      <c r="G941">
        <f>Chart_Data!P205</f>
        <v>41.5</v>
      </c>
      <c r="H941">
        <f>Chart_Data!T205</f>
        <v>-54.220420192359057</v>
      </c>
    </row>
    <row r="942" spans="1:8">
      <c r="A942">
        <f>Chart_Data!P206</f>
        <v>42</v>
      </c>
      <c r="B942">
        <f>Chart_Data!Q206</f>
        <v>-356.5195028526432</v>
      </c>
      <c r="C942">
        <f>Chart_Data!P206</f>
        <v>42</v>
      </c>
      <c r="D942">
        <f>Chart_Data!R206</f>
        <v>-371.61471890167377</v>
      </c>
      <c r="E942">
        <f>Chart_Data!P206</f>
        <v>42</v>
      </c>
      <c r="F942">
        <f>Chart_Data!S206</f>
        <v>-53.531456884781264</v>
      </c>
      <c r="G942">
        <f>Chart_Data!P206</f>
        <v>42</v>
      </c>
      <c r="H942">
        <f>Chart_Data!T206</f>
        <v>-55.798005841092163</v>
      </c>
    </row>
    <row r="943" spans="1:8">
      <c r="A943">
        <f>Chart_Data!P207</f>
        <v>42.5</v>
      </c>
      <c r="B943">
        <f>Chart_Data!Q207</f>
        <v>-360.69110474018089</v>
      </c>
      <c r="C943">
        <f>Chart_Data!P207</f>
        <v>42.5</v>
      </c>
      <c r="D943">
        <f>Chart_Data!R207</f>
        <v>-398.58972229558276</v>
      </c>
      <c r="E943">
        <f>Chart_Data!P207</f>
        <v>42.5</v>
      </c>
      <c r="F943">
        <f>Chart_Data!S207</f>
        <v>-54.1578235345617</v>
      </c>
      <c r="G943">
        <f>Chart_Data!P207</f>
        <v>42.5</v>
      </c>
      <c r="H943">
        <f>Chart_Data!T207</f>
        <v>-59.848306650988405</v>
      </c>
    </row>
    <row r="944" spans="1:8">
      <c r="A944">
        <f>Chart_Data!P208</f>
        <v>43</v>
      </c>
      <c r="B944">
        <f>Chart_Data!Q208</f>
        <v>-364.86018827936277</v>
      </c>
      <c r="C944">
        <f>Chart_Data!P208</f>
        <v>43</v>
      </c>
      <c r="D944">
        <f>Chart_Data!R208</f>
        <v>-419.43352169901118</v>
      </c>
      <c r="E944">
        <f>Chart_Data!P208</f>
        <v>43</v>
      </c>
      <c r="F944">
        <f>Chart_Data!S208</f>
        <v>-54.783812053958378</v>
      </c>
      <c r="G944">
        <f>Chart_Data!P208</f>
        <v>43</v>
      </c>
      <c r="H944">
        <f>Chart_Data!T208</f>
        <v>-62.978006261112796</v>
      </c>
    </row>
    <row r="945" spans="1:8">
      <c r="A945">
        <f>Chart_Data!P209</f>
        <v>43.5</v>
      </c>
      <c r="B945">
        <f>Chart_Data!Q209</f>
        <v>-369.02672739852278</v>
      </c>
      <c r="C945">
        <f>Chart_Data!P209</f>
        <v>43.5</v>
      </c>
      <c r="D945">
        <f>Chart_Data!R209</f>
        <v>-429.90518775532109</v>
      </c>
      <c r="E945">
        <f>Chart_Data!P209</f>
        <v>43.5</v>
      </c>
      <c r="F945">
        <f>Chart_Data!S209</f>
        <v>-55.40941852830673</v>
      </c>
      <c r="G945">
        <f>Chart_Data!P209</f>
        <v>43.5</v>
      </c>
      <c r="H945">
        <f>Chart_Data!T209</f>
        <v>-64.550328491789955</v>
      </c>
    </row>
    <row r="946" spans="1:8">
      <c r="A946">
        <f>Chart_Data!P210</f>
        <v>44</v>
      </c>
      <c r="B946">
        <f>Chart_Data!Q210</f>
        <v>-373.19069614577529</v>
      </c>
      <c r="C946">
        <f>Chart_Data!P210</f>
        <v>44</v>
      </c>
      <c r="D946">
        <f>Chart_Data!R210</f>
        <v>-446.63456761463749</v>
      </c>
      <c r="E946">
        <f>Chart_Data!P210</f>
        <v>44</v>
      </c>
      <c r="F946">
        <f>Chart_Data!S210</f>
        <v>-56.034639060927226</v>
      </c>
      <c r="G946">
        <f>Chart_Data!P210</f>
        <v>44</v>
      </c>
      <c r="H946">
        <f>Chart_Data!T210</f>
        <v>-67.06224738958521</v>
      </c>
    </row>
    <row r="947" spans="1:8">
      <c r="A947">
        <f>Chart_Data!P211</f>
        <v>44.5</v>
      </c>
      <c r="B947">
        <f>Chart_Data!Q211</f>
        <v>-377.35206869019748</v>
      </c>
      <c r="C947">
        <f>Chart_Data!P211</f>
        <v>44.5</v>
      </c>
      <c r="D947">
        <f>Chart_Data!R211</f>
        <v>-446.31989555336986</v>
      </c>
      <c r="E947">
        <f>Chart_Data!P211</f>
        <v>44.5</v>
      </c>
      <c r="F947">
        <f>Chart_Data!S211</f>
        <v>-56.659469773302931</v>
      </c>
      <c r="G947">
        <f>Chart_Data!P211</f>
        <v>44.5</v>
      </c>
      <c r="H947">
        <f>Chart_Data!T211</f>
        <v>-67.014999332337823</v>
      </c>
    </row>
    <row r="948" spans="1:8">
      <c r="A948">
        <f>Chart_Data!P212</f>
        <v>45</v>
      </c>
      <c r="B948">
        <f>Chart_Data!Q212</f>
        <v>-381.5108193193737</v>
      </c>
      <c r="C948">
        <f>Chart_Data!P212</f>
        <v>45</v>
      </c>
      <c r="D948">
        <f>Chart_Data!R212</f>
        <v>-397.70995031030907</v>
      </c>
      <c r="E948">
        <f>Chart_Data!P212</f>
        <v>45</v>
      </c>
      <c r="F948">
        <f>Chart_Data!S212</f>
        <v>-57.283906804710767</v>
      </c>
      <c r="G948">
        <f>Chart_Data!P212</f>
        <v>45</v>
      </c>
      <c r="H948">
        <f>Chart_Data!T212</f>
        <v>-59.716208755301665</v>
      </c>
    </row>
    <row r="949" spans="1:8">
      <c r="A949">
        <f>Chart_Data!P213</f>
        <v>45.5</v>
      </c>
      <c r="B949">
        <f>Chart_Data!Q213</f>
        <v>-385.66692243821308</v>
      </c>
      <c r="C949">
        <f>Chart_Data!P213</f>
        <v>45.5</v>
      </c>
      <c r="D949">
        <f>Chart_Data!R213</f>
        <v>-414.26594574604678</v>
      </c>
      <c r="E949">
        <f>Chart_Data!P213</f>
        <v>45.5</v>
      </c>
      <c r="F949">
        <f>Chart_Data!S213</f>
        <v>-57.907946312044011</v>
      </c>
      <c r="G949">
        <f>Chart_Data!P213</f>
        <v>45.5</v>
      </c>
      <c r="H949">
        <f>Chart_Data!T213</f>
        <v>-62.202093955862885</v>
      </c>
    </row>
    <row r="950" spans="1:8">
      <c r="A950">
        <f>Chart_Data!P214</f>
        <v>46</v>
      </c>
      <c r="B950">
        <f>Chart_Data!Q214</f>
        <v>-389.82035258295582</v>
      </c>
      <c r="C950">
        <f>Chart_Data!P214</f>
        <v>46</v>
      </c>
      <c r="D950">
        <f>Chart_Data!R214</f>
        <v>-458.6307151440451</v>
      </c>
      <c r="E950">
        <f>Chart_Data!P214</f>
        <v>46</v>
      </c>
      <c r="F950">
        <f>Chart_Data!S214</f>
        <v>-58.531584471915295</v>
      </c>
      <c r="G950">
        <f>Chart_Data!P214</f>
        <v>46</v>
      </c>
      <c r="H950">
        <f>Chart_Data!T214</f>
        <v>-68.863470742349122</v>
      </c>
    </row>
    <row r="951" spans="1:8">
      <c r="A951">
        <f>Chart_Data!P215</f>
        <v>46.5</v>
      </c>
      <c r="B951">
        <f>Chart_Data!Q215</f>
        <v>-393.9710844109868</v>
      </c>
      <c r="C951">
        <f>Chart_Data!P215</f>
        <v>46.5</v>
      </c>
      <c r="D951">
        <f>Chart_Data!R215</f>
        <v>-438.49745370152959</v>
      </c>
      <c r="E951">
        <f>Chart_Data!P215</f>
        <v>46.5</v>
      </c>
      <c r="F951">
        <f>Chart_Data!S215</f>
        <v>-59.154817479127153</v>
      </c>
      <c r="G951">
        <f>Chart_Data!P215</f>
        <v>46.5</v>
      </c>
      <c r="H951">
        <f>Chart_Data!T215</f>
        <v>-65.840458513743187</v>
      </c>
    </row>
    <row r="952" spans="1:8">
      <c r="A952">
        <f>Chart_Data!P216</f>
        <v>47</v>
      </c>
      <c r="B952">
        <f>Chart_Data!Q216</f>
        <v>-398.11909268910313</v>
      </c>
      <c r="C952">
        <f>Chart_Data!P216</f>
        <v>47</v>
      </c>
      <c r="D952">
        <f>Chart_Data!R216</f>
        <v>-425.83713410422206</v>
      </c>
      <c r="E952">
        <f>Chart_Data!P216</f>
        <v>47</v>
      </c>
      <c r="F952">
        <f>Chart_Data!S216</f>
        <v>-59.777641544910388</v>
      </c>
      <c r="G952">
        <f>Chart_Data!P216</f>
        <v>47</v>
      </c>
      <c r="H952">
        <f>Chart_Data!T216</f>
        <v>-63.939509625258573</v>
      </c>
    </row>
    <row r="953" spans="1:8">
      <c r="A953">
        <f>Chart_Data!P217</f>
        <v>47.5</v>
      </c>
      <c r="B953">
        <f>Chart_Data!Q217</f>
        <v>-402.26435232361837</v>
      </c>
      <c r="C953">
        <f>Chart_Data!P217</f>
        <v>47.5</v>
      </c>
      <c r="D953">
        <f>Chart_Data!R217</f>
        <v>-393.00673283623837</v>
      </c>
      <c r="E953">
        <f>Chart_Data!P217</f>
        <v>47.5</v>
      </c>
      <c r="F953">
        <f>Chart_Data!S217</f>
        <v>-60.400052901444205</v>
      </c>
      <c r="G953">
        <f>Chart_Data!P217</f>
        <v>47.5</v>
      </c>
      <c r="H953">
        <f>Chart_Data!T217</f>
        <v>-59.010019945381138</v>
      </c>
    </row>
    <row r="954" spans="1:8">
      <c r="A954">
        <f>Chart_Data!P218</f>
        <v>48</v>
      </c>
      <c r="B954">
        <f>Chart_Data!Q218</f>
        <v>-406.40683834462834</v>
      </c>
      <c r="C954">
        <f>Chart_Data!P218</f>
        <v>48</v>
      </c>
      <c r="D954">
        <f>Chart_Data!R218</f>
        <v>-396.2138094164402</v>
      </c>
      <c r="E954">
        <f>Chart_Data!P218</f>
        <v>48</v>
      </c>
      <c r="F954">
        <f>Chart_Data!S218</f>
        <v>-61.022047799493748</v>
      </c>
      <c r="G954">
        <f>Chart_Data!P218</f>
        <v>48</v>
      </c>
      <c r="H954">
        <f>Chart_Data!T218</f>
        <v>-59.491562975441475</v>
      </c>
    </row>
    <row r="955" spans="1:8">
      <c r="A955">
        <f>Chart_Data!P219</f>
        <v>48.5</v>
      </c>
      <c r="B955">
        <f>Chart_Data!Q219</f>
        <v>-410.54652591110425</v>
      </c>
      <c r="C955">
        <f>Chart_Data!P219</f>
        <v>48.5</v>
      </c>
      <c r="D955">
        <f>Chart_Data!R219</f>
        <v>-435.00265504499112</v>
      </c>
      <c r="E955">
        <f>Chart_Data!P219</f>
        <v>48.5</v>
      </c>
      <c r="F955">
        <f>Chart_Data!S219</f>
        <v>-61.643622509174818</v>
      </c>
      <c r="G955">
        <f>Chart_Data!P219</f>
        <v>48.5</v>
      </c>
      <c r="H955">
        <f>Chart_Data!T219</f>
        <v>-65.315713970719386</v>
      </c>
    </row>
    <row r="956" spans="1:8">
      <c r="A956">
        <f>Chart_Data!P220</f>
        <v>49</v>
      </c>
      <c r="B956">
        <f>Chart_Data!Q220</f>
        <v>-414.68339030034258</v>
      </c>
      <c r="C956">
        <f>Chart_Data!P220</f>
        <v>49</v>
      </c>
      <c r="D956">
        <f>Chart_Data!R220</f>
        <v>-412.31740714465559</v>
      </c>
      <c r="E956">
        <f>Chart_Data!P220</f>
        <v>49</v>
      </c>
      <c r="F956">
        <f>Chart_Data!S220</f>
        <v>-62.264773318369762</v>
      </c>
      <c r="G956">
        <f>Chart_Data!P220</f>
        <v>49</v>
      </c>
      <c r="H956">
        <f>Chart_Data!T220</f>
        <v>-61.909520592290633</v>
      </c>
    </row>
    <row r="957" spans="1:8">
      <c r="A957">
        <f>Chart_Data!P221</f>
        <v>49.5</v>
      </c>
      <c r="B957">
        <f>Chart_Data!Q221</f>
        <v>-418.81740692178937</v>
      </c>
      <c r="C957">
        <f>Chart_Data!P221</f>
        <v>49.5</v>
      </c>
      <c r="D957">
        <f>Chart_Data!R221</f>
        <v>-409.92882733689839</v>
      </c>
      <c r="E957">
        <f>Chart_Data!P221</f>
        <v>49.5</v>
      </c>
      <c r="F957">
        <f>Chart_Data!S221</f>
        <v>-62.885496534803217</v>
      </c>
      <c r="G957">
        <f>Chart_Data!P221</f>
        <v>49.5</v>
      </c>
      <c r="H957">
        <f>Chart_Data!T221</f>
        <v>-61.550874975510276</v>
      </c>
    </row>
    <row r="958" spans="1:8">
      <c r="A958">
        <f>Chart_Data!P222</f>
        <v>50</v>
      </c>
      <c r="B958">
        <f>Chart_Data!Q222</f>
        <v>-422.94855132149678</v>
      </c>
      <c r="C958">
        <f>Chart_Data!P222</f>
        <v>50</v>
      </c>
      <c r="D958">
        <f>Chart_Data!R222</f>
        <v>-389.68272555466683</v>
      </c>
      <c r="E958">
        <f>Chart_Data!P222</f>
        <v>50</v>
      </c>
      <c r="F958">
        <f>Chart_Data!S222</f>
        <v>-63.505788486711232</v>
      </c>
      <c r="G958">
        <f>Chart_Data!P222</f>
        <v>50</v>
      </c>
      <c r="H958">
        <f>Chart_Data!T222</f>
        <v>-58.510919752952979</v>
      </c>
    </row>
    <row r="959" spans="1:8">
      <c r="A959">
        <f>Chart_Data!P223</f>
        <v>50.5</v>
      </c>
      <c r="B959">
        <f>Chart_Data!Q223</f>
        <v>-427.07679916102279</v>
      </c>
      <c r="C959">
        <f>Chart_Data!P223</f>
        <v>50.5</v>
      </c>
      <c r="D959">
        <f>Chart_Data!R223</f>
        <v>-392.74784064245978</v>
      </c>
      <c r="E959">
        <f>Chart_Data!P223</f>
        <v>50.5</v>
      </c>
      <c r="F959">
        <f>Chart_Data!S223</f>
        <v>-64.1256455196731</v>
      </c>
      <c r="G959">
        <f>Chart_Data!P223</f>
        <v>50.5</v>
      </c>
      <c r="H959">
        <f>Chart_Data!T223</f>
        <v>-58.971147243612585</v>
      </c>
    </row>
    <row r="960" spans="1:8">
      <c r="A960">
        <f>Chart_Data!P224</f>
        <v>51</v>
      </c>
      <c r="B960">
        <f>Chart_Data!Q224</f>
        <v>-431.2021262460803</v>
      </c>
      <c r="C960">
        <f>Chart_Data!P224</f>
        <v>51</v>
      </c>
      <c r="D960">
        <f>Chart_Data!R224</f>
        <v>-395.66337661017315</v>
      </c>
      <c r="E960">
        <f>Chart_Data!P224</f>
        <v>51</v>
      </c>
      <c r="F960">
        <f>Chart_Data!S224</f>
        <v>-64.745064000912961</v>
      </c>
      <c r="G960">
        <f>Chart_Data!P224</f>
        <v>51</v>
      </c>
      <c r="H960">
        <f>Chart_Data!T224</f>
        <v>-59.408915406932913</v>
      </c>
    </row>
    <row r="961" spans="1:8">
      <c r="A961">
        <f>Chart_Data!P225</f>
        <v>51.5</v>
      </c>
      <c r="B961">
        <f>Chart_Data!Q225</f>
        <v>-435.32450851025715</v>
      </c>
      <c r="C961">
        <f>Chart_Data!P225</f>
        <v>51.5</v>
      </c>
      <c r="D961">
        <f>Chart_Data!R225</f>
        <v>-388.33618470589499</v>
      </c>
      <c r="E961">
        <f>Chart_Data!P225</f>
        <v>51.5</v>
      </c>
      <c r="F961">
        <f>Chart_Data!S225</f>
        <v>-65.364040316855437</v>
      </c>
      <c r="G961">
        <f>Chart_Data!P225</f>
        <v>51.5</v>
      </c>
      <c r="H961">
        <f>Chart_Data!T225</f>
        <v>-58.308736442326584</v>
      </c>
    </row>
    <row r="962" spans="1:8">
      <c r="A962">
        <f>Chart_Data!P226</f>
        <v>52</v>
      </c>
      <c r="B962">
        <f>Chart_Data!Q226</f>
        <v>-439.44392201619848</v>
      </c>
      <c r="C962">
        <f>Chart_Data!P226</f>
        <v>52</v>
      </c>
      <c r="D962">
        <f>Chart_Data!R226</f>
        <v>-432.56215303044883</v>
      </c>
      <c r="E962">
        <f>Chart_Data!P226</f>
        <v>52</v>
      </c>
      <c r="F962">
        <f>Chart_Data!S226</f>
        <v>-65.982570873303075</v>
      </c>
      <c r="G962">
        <f>Chart_Data!P226</f>
        <v>52</v>
      </c>
      <c r="H962">
        <f>Chart_Data!T226</f>
        <v>-64.949272226794122</v>
      </c>
    </row>
    <row r="963" spans="1:8">
      <c r="A963">
        <f>Chart_Data!P227</f>
        <v>52.5</v>
      </c>
      <c r="B963">
        <f>Chart_Data!Q227</f>
        <v>-443.56034297125007</v>
      </c>
      <c r="C963">
        <f>Chart_Data!P227</f>
        <v>52.5</v>
      </c>
      <c r="D963">
        <f>Chart_Data!R227</f>
        <v>-417.67672557143669</v>
      </c>
      <c r="E963">
        <f>Chart_Data!P227</f>
        <v>52.5</v>
      </c>
      <c r="F963">
        <f>Chart_Data!S227</f>
        <v>-66.6006520977853</v>
      </c>
      <c r="G963">
        <f>Chart_Data!P227</f>
        <v>52.5</v>
      </c>
      <c r="H963">
        <f>Chart_Data!T227</f>
        <v>-62.71422305877428</v>
      </c>
    </row>
    <row r="964" spans="1:8">
      <c r="A964">
        <f>Chart_Data!P228</f>
        <v>53</v>
      </c>
      <c r="B964">
        <f>Chart_Data!Q228</f>
        <v>-447.67374769307935</v>
      </c>
      <c r="C964">
        <f>Chart_Data!P228</f>
        <v>53</v>
      </c>
      <c r="D964">
        <f>Chart_Data!R228</f>
        <v>-421.09802518143624</v>
      </c>
      <c r="E964">
        <f>Chart_Data!P228</f>
        <v>53</v>
      </c>
      <c r="F964">
        <f>Chart_Data!S228</f>
        <v>-67.218280434396306</v>
      </c>
      <c r="G964">
        <f>Chart_Data!P228</f>
        <v>53</v>
      </c>
      <c r="H964">
        <f>Chart_Data!T228</f>
        <v>-63.227931708924366</v>
      </c>
    </row>
    <row r="965" spans="1:8">
      <c r="A965">
        <f>Chart_Data!P229</f>
        <v>53.5</v>
      </c>
      <c r="B965">
        <f>Chart_Data!Q229</f>
        <v>-451.78411265633258</v>
      </c>
      <c r="C965">
        <f>Chart_Data!P229</f>
        <v>53.5</v>
      </c>
      <c r="D965">
        <f>Chart_Data!R229</f>
        <v>-455.04595231805069</v>
      </c>
      <c r="E965">
        <f>Chart_Data!P229</f>
        <v>53.5</v>
      </c>
      <c r="F965">
        <f>Chart_Data!S229</f>
        <v>-67.835452350800693</v>
      </c>
      <c r="G965">
        <f>Chart_Data!P229</f>
        <v>53.5</v>
      </c>
      <c r="H965">
        <f>Chart_Data!T229</f>
        <v>-68.325218065773385</v>
      </c>
    </row>
    <row r="966" spans="1:8">
      <c r="A966">
        <f>Chart_Data!P230</f>
        <v>54</v>
      </c>
      <c r="B966">
        <f>Chart_Data!Q230</f>
        <v>-455.89141447326256</v>
      </c>
      <c r="C966">
        <f>Chart_Data!P230</f>
        <v>54</v>
      </c>
      <c r="D966">
        <f>Chart_Data!R230</f>
        <v>-462.89568268011863</v>
      </c>
      <c r="E966">
        <f>Chart_Data!P230</f>
        <v>54</v>
      </c>
      <c r="F966">
        <f>Chart_Data!S230</f>
        <v>-68.45216433532471</v>
      </c>
      <c r="G966">
        <f>Chart_Data!P230</f>
        <v>54</v>
      </c>
      <c r="H966">
        <f>Chart_Data!T230</f>
        <v>-69.503856258276073</v>
      </c>
    </row>
    <row r="967" spans="1:8">
      <c r="A967">
        <f>Chart_Data!P231</f>
        <v>54.5</v>
      </c>
      <c r="B967">
        <f>Chart_Data!Q231</f>
        <v>-459.99562987453828</v>
      </c>
      <c r="C967">
        <f>Chart_Data!P231</f>
        <v>54.5</v>
      </c>
      <c r="D967">
        <f>Chart_Data!R231</f>
        <v>-449.19318341535472</v>
      </c>
      <c r="E967">
        <f>Chart_Data!P231</f>
        <v>54.5</v>
      </c>
      <c r="F967">
        <f>Chart_Data!S231</f>
        <v>-69.068412894074825</v>
      </c>
      <c r="G967">
        <f>Chart_Data!P231</f>
        <v>54.5</v>
      </c>
      <c r="H967">
        <f>Chart_Data!T231</f>
        <v>-67.446423936239455</v>
      </c>
    </row>
    <row r="968" spans="1:8">
      <c r="A968">
        <f>Chart_Data!P232</f>
        <v>55</v>
      </c>
      <c r="B968">
        <f>Chart_Data!Q232</f>
        <v>-464.09673573907639</v>
      </c>
      <c r="C968">
        <f>Chart_Data!P232</f>
        <v>55</v>
      </c>
      <c r="D968">
        <f>Chart_Data!R232</f>
        <v>-455.00982441953965</v>
      </c>
      <c r="E968">
        <f>Chart_Data!P232</f>
        <v>55</v>
      </c>
      <c r="F968">
        <f>Chart_Data!S232</f>
        <v>-69.68419455541688</v>
      </c>
      <c r="G968">
        <f>Chart_Data!P232</f>
        <v>55</v>
      </c>
      <c r="H968">
        <f>Chart_Data!T232</f>
        <v>-68.319793456387345</v>
      </c>
    </row>
    <row r="969" spans="1:8">
      <c r="A969">
        <f>Chart_Data!P233</f>
        <v>55.5</v>
      </c>
      <c r="B969">
        <f>Chart_Data!Q233</f>
        <v>-468.1947090801259</v>
      </c>
      <c r="C969">
        <f>Chart_Data!P233</f>
        <v>55.5</v>
      </c>
      <c r="D969">
        <f>Chart_Data!R233</f>
        <v>-470.86624457688231</v>
      </c>
      <c r="E969">
        <f>Chart_Data!P233</f>
        <v>55.5</v>
      </c>
      <c r="F969">
        <f>Chart_Data!S233</f>
        <v>-70.299505867886779</v>
      </c>
      <c r="G969">
        <f>Chart_Data!P233</f>
        <v>55.5</v>
      </c>
      <c r="H969">
        <f>Chart_Data!T233</f>
        <v>-70.700637323856213</v>
      </c>
    </row>
    <row r="970" spans="1:8">
      <c r="A970">
        <f>Chart_Data!P234</f>
        <v>56</v>
      </c>
      <c r="B970">
        <f>Chart_Data!Q234</f>
        <v>-472.28952705690972</v>
      </c>
      <c r="C970">
        <f>Chart_Data!P234</f>
        <v>56</v>
      </c>
      <c r="D970">
        <f>Chart_Data!R234</f>
        <v>-460.62955620191133</v>
      </c>
      <c r="E970">
        <f>Chart_Data!P234</f>
        <v>56</v>
      </c>
      <c r="F970">
        <f>Chart_Data!S234</f>
        <v>-70.914343401938396</v>
      </c>
      <c r="G970">
        <f>Chart_Data!P234</f>
        <v>56</v>
      </c>
      <c r="H970">
        <f>Chart_Data!T234</f>
        <v>-69.163597027314026</v>
      </c>
    </row>
    <row r="971" spans="1:8">
      <c r="A971">
        <f>Chart_Data!P235</f>
        <v>56.5</v>
      </c>
      <c r="B971">
        <f>Chart_Data!Q235</f>
        <v>-476.38116695534336</v>
      </c>
      <c r="C971">
        <f>Chart_Data!P235</f>
        <v>56.5</v>
      </c>
      <c r="D971">
        <f>Chart_Data!R235</f>
        <v>-454.89450199102066</v>
      </c>
      <c r="E971">
        <f>Chart_Data!P235</f>
        <v>56.5</v>
      </c>
      <c r="F971">
        <f>Chart_Data!S235</f>
        <v>-71.528703747048553</v>
      </c>
      <c r="G971">
        <f>Chart_Data!P235</f>
        <v>56.5</v>
      </c>
      <c r="H971">
        <f>Chart_Data!T235</f>
        <v>-68.302477776429541</v>
      </c>
    </row>
    <row r="972" spans="1:8">
      <c r="A972">
        <f>Chart_Data!P236</f>
        <v>57</v>
      </c>
      <c r="B972">
        <f>Chart_Data!Q236</f>
        <v>-480.46960621077233</v>
      </c>
      <c r="C972">
        <f>Chart_Data!P236</f>
        <v>57</v>
      </c>
      <c r="D972">
        <f>Chart_Data!R236</f>
        <v>-499.14395786781824</v>
      </c>
      <c r="E972">
        <f>Chart_Data!P236</f>
        <v>57</v>
      </c>
      <c r="F972">
        <f>Chart_Data!S236</f>
        <v>-72.14258351513098</v>
      </c>
      <c r="G972">
        <f>Chart_Data!P236</f>
        <v>57</v>
      </c>
      <c r="H972">
        <f>Chart_Data!T236</f>
        <v>-74.946540220393132</v>
      </c>
    </row>
    <row r="973" spans="1:8">
      <c r="A973">
        <f>Chart_Data!P237</f>
        <v>57.5</v>
      </c>
      <c r="B973">
        <f>Chart_Data!Q237</f>
        <v>-484.55482240278798</v>
      </c>
      <c r="C973">
        <f>Chart_Data!P237</f>
        <v>57.5</v>
      </c>
      <c r="D973">
        <f>Chart_Data!R237</f>
        <v>-494.38777510722502</v>
      </c>
      <c r="E973">
        <f>Chart_Data!P237</f>
        <v>57.5</v>
      </c>
      <c r="F973">
        <f>Chart_Data!S237</f>
        <v>-72.755979339757957</v>
      </c>
      <c r="G973">
        <f>Chart_Data!P237</f>
        <v>57.5</v>
      </c>
      <c r="H973">
        <f>Chart_Data!T237</f>
        <v>-74.232398664748501</v>
      </c>
    </row>
    <row r="974" spans="1:8">
      <c r="A974">
        <f>Chart_Data!P238</f>
        <v>58</v>
      </c>
      <c r="B974">
        <f>Chart_Data!Q238</f>
        <v>-488.63679323794713</v>
      </c>
      <c r="C974">
        <f>Chart_Data!P238</f>
        <v>58</v>
      </c>
      <c r="D974">
        <f>Chart_Data!R238</f>
        <v>-473.01087533796817</v>
      </c>
      <c r="E974">
        <f>Chart_Data!P238</f>
        <v>58</v>
      </c>
      <c r="F974">
        <f>Chart_Data!S238</f>
        <v>-73.36888787356564</v>
      </c>
      <c r="G974">
        <f>Chart_Data!P238</f>
        <v>58</v>
      </c>
      <c r="H974">
        <f>Chart_Data!T238</f>
        <v>-71.022653954649883</v>
      </c>
    </row>
    <row r="975" spans="1:8">
      <c r="A975">
        <f>Chart_Data!P239</f>
        <v>58.5</v>
      </c>
      <c r="B975">
        <f>Chart_Data!Q239</f>
        <v>-492.71549658133154</v>
      </c>
      <c r="C975">
        <f>Chart_Data!P239</f>
        <v>58.5</v>
      </c>
      <c r="D975">
        <f>Chart_Data!R239</f>
        <v>-494.11679295681097</v>
      </c>
      <c r="E975">
        <f>Chart_Data!P239</f>
        <v>58.5</v>
      </c>
      <c r="F975">
        <f>Chart_Data!S239</f>
        <v>-73.981305792992728</v>
      </c>
      <c r="G975">
        <f>Chart_Data!P239</f>
        <v>58.5</v>
      </c>
      <c r="H975">
        <f>Chart_Data!T239</f>
        <v>-74.191710654175822</v>
      </c>
    </row>
    <row r="976" spans="1:8">
      <c r="A976">
        <f>Chart_Data!P240</f>
        <v>59</v>
      </c>
      <c r="B976">
        <f>Chart_Data!Q240</f>
        <v>-496.79091042789878</v>
      </c>
      <c r="C976">
        <f>Chart_Data!P240</f>
        <v>59</v>
      </c>
      <c r="D976">
        <f>Chart_Data!R240</f>
        <v>-527.30541229520895</v>
      </c>
      <c r="E976">
        <f>Chart_Data!P240</f>
        <v>59</v>
      </c>
      <c r="F976">
        <f>Chart_Data!S240</f>
        <v>-74.593229793978807</v>
      </c>
      <c r="G976">
        <f>Chart_Data!P240</f>
        <v>59</v>
      </c>
      <c r="H976">
        <f>Chart_Data!T240</f>
        <v>-79.174986831112463</v>
      </c>
    </row>
    <row r="977" spans="1:8">
      <c r="A977">
        <f>Chart_Data!P241</f>
        <v>59.5</v>
      </c>
      <c r="B977">
        <f>Chart_Data!Q241</f>
        <v>-500.86301291985365</v>
      </c>
      <c r="C977">
        <f>Chart_Data!P241</f>
        <v>59.5</v>
      </c>
      <c r="D977">
        <f>Chart_Data!R241</f>
        <v>-523.59581887167224</v>
      </c>
      <c r="E977">
        <f>Chart_Data!P241</f>
        <v>59.5</v>
      </c>
      <c r="F977">
        <f>Chart_Data!S241</f>
        <v>-75.204656594572626</v>
      </c>
      <c r="G977">
        <f>Chart_Data!P241</f>
        <v>59.5</v>
      </c>
      <c r="H977">
        <f>Chart_Data!T241</f>
        <v>-78.61799082157242</v>
      </c>
    </row>
    <row r="978" spans="1:8">
      <c r="A978">
        <f>Chart_Data!P242</f>
        <v>60</v>
      </c>
      <c r="B978">
        <f>Chart_Data!Q242</f>
        <v>-502.89823360690207</v>
      </c>
      <c r="C978">
        <f>Chart_Data!P242</f>
        <v>60</v>
      </c>
      <c r="D978">
        <f>Chart_Data!R242</f>
        <v>-470.52756543034775</v>
      </c>
      <c r="E978">
        <f>Chart_Data!P242</f>
        <v>60</v>
      </c>
      <c r="F978">
        <f>Chart_Data!S242</f>
        <v>-75.510245286321634</v>
      </c>
      <c r="G978">
        <f>Chart_Data!P242</f>
        <v>60</v>
      </c>
      <c r="H978">
        <f>Chart_Data!T242</f>
        <v>-70.649784599151317</v>
      </c>
    </row>
    <row r="981" spans="1:8">
      <c r="A981" t="s">
        <v>1083</v>
      </c>
    </row>
    <row r="982" spans="1:8">
      <c r="A982" t="s">
        <v>1064</v>
      </c>
      <c r="B982" t="s">
        <v>1065</v>
      </c>
      <c r="C982" t="s">
        <v>1066</v>
      </c>
      <c r="D982" t="s">
        <v>1067</v>
      </c>
      <c r="E982" t="s">
        <v>1068</v>
      </c>
      <c r="F982" t="s">
        <v>1069</v>
      </c>
      <c r="G982" t="s">
        <v>1070</v>
      </c>
      <c r="H982" t="s">
        <v>1071</v>
      </c>
    </row>
    <row r="983" spans="1:8">
      <c r="A983">
        <f>Dashboard_Live_Data!O2</f>
        <v>-60</v>
      </c>
      <c r="B983">
        <f>Dashboard_Live_Data!P2</f>
        <v>2695.1978892010684</v>
      </c>
      <c r="C983">
        <f>Dashboard_Live_Data!Q2</f>
        <v>-400</v>
      </c>
      <c r="D983">
        <f>Dashboard_Live_Data!R2</f>
        <v>2668.5127615852166</v>
      </c>
      <c r="E983">
        <f>Dashboard_Live_Data!S2</f>
        <v>-800</v>
      </c>
      <c r="F983">
        <f>Dashboard_Live_Data!T2</f>
        <v>6671.2819039630413</v>
      </c>
      <c r="G983">
        <f>Dashboard_Live_Data!U2</f>
        <v>-800</v>
      </c>
      <c r="H983">
        <f>Dashboard_Live_Data!V2</f>
        <v>6671.2819039630413</v>
      </c>
    </row>
    <row r="984" spans="1:8">
      <c r="A984">
        <f>Dashboard_Live_Data!O3</f>
        <v>-59.519999999999996</v>
      </c>
      <c r="B984">
        <f>Dashboard_Live_Data!P3</f>
        <v>2694.7726350073826</v>
      </c>
      <c r="C984">
        <f>Dashboard_Live_Data!Q3</f>
        <v>-396.8</v>
      </c>
      <c r="D984">
        <f>Dashboard_Live_Data!R3</f>
        <v>2629.7083164113487</v>
      </c>
      <c r="E984">
        <f>Dashboard_Live_Data!S3</f>
        <v>-793.6</v>
      </c>
      <c r="F984">
        <f>Dashboard_Live_Data!T3</f>
        <v>6568.6893297362412</v>
      </c>
      <c r="G984">
        <f>Dashboard_Live_Data!U3</f>
        <v>-793.6</v>
      </c>
      <c r="H984">
        <f>Dashboard_Live_Data!V3</f>
        <v>6567.6261942520241</v>
      </c>
    </row>
    <row r="985" spans="1:8">
      <c r="A985">
        <f>Dashboard_Live_Data!O4</f>
        <v>-58.98</v>
      </c>
      <c r="B985">
        <f>Dashboard_Live_Data!P4</f>
        <v>2694.2983068640106</v>
      </c>
      <c r="C985">
        <f>Dashboard_Live_Data!Q4</f>
        <v>-393.2</v>
      </c>
      <c r="D985">
        <f>Dashboard_Live_Data!R4</f>
        <v>2586.4258733286742</v>
      </c>
      <c r="E985">
        <f>Dashboard_Live_Data!S4</f>
        <v>-786.4</v>
      </c>
      <c r="F985">
        <f>Dashboard_Live_Data!T4</f>
        <v>6454.2576651478003</v>
      </c>
      <c r="G985">
        <f>Dashboard_Live_Data!U4</f>
        <v>-786.4</v>
      </c>
      <c r="H985">
        <f>Dashboard_Live_Data!V4</f>
        <v>6452.0087093051552</v>
      </c>
    </row>
    <row r="986" spans="1:8">
      <c r="A986">
        <f>Dashboard_Live_Data!O5</f>
        <v>-58.5</v>
      </c>
      <c r="B986">
        <f>Dashboard_Live_Data!P5</f>
        <v>2693.8803110250356</v>
      </c>
      <c r="C986">
        <f>Dashboard_Live_Data!Q5</f>
        <v>-390</v>
      </c>
      <c r="D986">
        <f>Dashboard_Live_Data!R5</f>
        <v>2548.2837530222323</v>
      </c>
      <c r="E986">
        <f>Dashboard_Live_Data!S5</f>
        <v>-780</v>
      </c>
      <c r="F986">
        <f>Dashboard_Live_Data!T5</f>
        <v>6353.4161689951516</v>
      </c>
      <c r="G986">
        <f>Dashboard_Live_Data!U5</f>
        <v>-780</v>
      </c>
      <c r="H986">
        <f>Dashboard_Live_Data!V5</f>
        <v>6350.1222235550704</v>
      </c>
    </row>
    <row r="987" spans="1:8">
      <c r="A987">
        <f>Dashboard_Live_Data!O6</f>
        <v>-58.019999999999996</v>
      </c>
      <c r="B987">
        <f>Dashboard_Live_Data!P6</f>
        <v>2693.4657308823962</v>
      </c>
      <c r="C987">
        <f>Dashboard_Live_Data!Q6</f>
        <v>-386.8</v>
      </c>
      <c r="D987">
        <f>Dashboard_Live_Data!R6</f>
        <v>2510.4533150063435</v>
      </c>
      <c r="E987">
        <f>Dashboard_Live_Data!S6</f>
        <v>-773.6</v>
      </c>
      <c r="F987">
        <f>Dashboard_Live_Data!T6</f>
        <v>6253.3987095832817</v>
      </c>
      <c r="G987">
        <f>Dashboard_Live_Data!U6</f>
        <v>-773.6</v>
      </c>
      <c r="H987">
        <f>Dashboard_Live_Data!V6</f>
        <v>6249.0683137866017</v>
      </c>
    </row>
    <row r="988" spans="1:8">
      <c r="A988">
        <f>Dashboard_Live_Data!O7</f>
        <v>-57.48</v>
      </c>
      <c r="B988">
        <f>Dashboard_Live_Data!P7</f>
        <v>2693.0034110464517</v>
      </c>
      <c r="C988">
        <f>Dashboard_Live_Data!Q7</f>
        <v>-383.2</v>
      </c>
      <c r="D988">
        <f>Dashboard_Live_Data!R7</f>
        <v>2468.2666299763951</v>
      </c>
      <c r="E988">
        <f>Dashboard_Live_Data!S7</f>
        <v>-766.4</v>
      </c>
      <c r="F988">
        <f>Dashboard_Live_Data!T7</f>
        <v>6141.864049161637</v>
      </c>
      <c r="G988">
        <f>Dashboard_Live_Data!U7</f>
        <v>-766.4</v>
      </c>
      <c r="H988">
        <f>Dashboard_Live_Data!V7</f>
        <v>6136.3778537750932</v>
      </c>
    </row>
    <row r="989" spans="1:8">
      <c r="A989">
        <f>Dashboard_Live_Data!O8</f>
        <v>-57</v>
      </c>
      <c r="B989">
        <f>Dashboard_Live_Data!P8</f>
        <v>2692.5960892585231</v>
      </c>
      <c r="C989">
        <f>Dashboard_Live_Data!Q8</f>
        <v>-380</v>
      </c>
      <c r="D989">
        <f>Dashboard_Live_Data!R8</f>
        <v>2431.0985168279312</v>
      </c>
      <c r="E989">
        <f>Dashboard_Live_Data!S8</f>
        <v>-760</v>
      </c>
      <c r="F989">
        <f>Dashboard_Live_Data!T8</f>
        <v>6043.5976678239176</v>
      </c>
      <c r="G989">
        <f>Dashboard_Live_Data!U8</f>
        <v>-760</v>
      </c>
      <c r="H989">
        <f>Dashboard_Live_Data!V8</f>
        <v>6037.0931679675541</v>
      </c>
    </row>
    <row r="990" spans="1:8">
      <c r="A990">
        <f>Dashboard_Live_Data!O9</f>
        <v>-56.519999999999996</v>
      </c>
      <c r="B990">
        <f>Dashboard_Live_Data!P9</f>
        <v>2692.1921831669297</v>
      </c>
      <c r="C990">
        <f>Dashboard_Live_Data!Q9</f>
        <v>-376.79999999999995</v>
      </c>
      <c r="D990">
        <f>Dashboard_Live_Data!R9</f>
        <v>2394.2420859700205</v>
      </c>
      <c r="E990">
        <f>Dashboard_Live_Data!S9</f>
        <v>-753.59999999999991</v>
      </c>
      <c r="F990">
        <f>Dashboard_Live_Data!T9</f>
        <v>5946.1553232269753</v>
      </c>
      <c r="G990">
        <f>Dashboard_Live_Data!U9</f>
        <v>-753.59999999999991</v>
      </c>
      <c r="H990">
        <f>Dashboard_Live_Data!V9</f>
        <v>5938.6410581416285</v>
      </c>
    </row>
    <row r="991" spans="1:8">
      <c r="A991">
        <f>Dashboard_Live_Data!O10</f>
        <v>-55.980000000000004</v>
      </c>
      <c r="B991">
        <f>Dashboard_Live_Data!P10</f>
        <v>2691.7418716384122</v>
      </c>
      <c r="C991">
        <f>Dashboard_Live_Data!Q10</f>
        <v>-373.20000000000005</v>
      </c>
      <c r="D991">
        <f>Dashboard_Live_Data!R10</f>
        <v>2353.1511589928</v>
      </c>
      <c r="E991">
        <f>Dashboard_Live_Data!S10</f>
        <v>-746.40000000000009</v>
      </c>
      <c r="F991">
        <f>Dashboard_Live_Data!T10</f>
        <v>5837.5176669721304</v>
      </c>
      <c r="G991">
        <f>Dashboard_Live_Data!U10</f>
        <v>-746.40000000000009</v>
      </c>
      <c r="H991">
        <f>Dashboard_Live_Data!V10</f>
        <v>5828.8776230654903</v>
      </c>
    </row>
    <row r="992" spans="1:8">
      <c r="A992">
        <f>Dashboard_Live_Data!O11</f>
        <v>-55.5</v>
      </c>
      <c r="B992">
        <f>Dashboard_Live_Data!P11</f>
        <v>2691.3452239015301</v>
      </c>
      <c r="C992">
        <f>Dashboard_Live_Data!Q11</f>
        <v>-370</v>
      </c>
      <c r="D992">
        <f>Dashboard_Live_Data!R11</f>
        <v>2316.9570530023138</v>
      </c>
      <c r="E992">
        <f>Dashboard_Live_Data!S11</f>
        <v>-740</v>
      </c>
      <c r="F992">
        <f>Dashboard_Live_Data!T11</f>
        <v>5741.8264004493403</v>
      </c>
      <c r="G992">
        <f>Dashboard_Live_Data!U11</f>
        <v>-740</v>
      </c>
      <c r="H992">
        <f>Dashboard_Live_Data!V11</f>
        <v>5732.1947372004943</v>
      </c>
    </row>
    <row r="993" spans="1:8">
      <c r="A993">
        <f>Dashboard_Live_Data!O12</f>
        <v>-55.02</v>
      </c>
      <c r="B993">
        <f>Dashboard_Live_Data!P12</f>
        <v>2690.9519918609831</v>
      </c>
      <c r="C993">
        <f>Dashboard_Live_Data!Q12</f>
        <v>-366.8</v>
      </c>
      <c r="D993">
        <f>Dashboard_Live_Data!R12</f>
        <v>2281.0746293023826</v>
      </c>
      <c r="E993">
        <f>Dashboard_Live_Data!S12</f>
        <v>-733.6</v>
      </c>
      <c r="F993">
        <f>Dashboard_Live_Data!T12</f>
        <v>5646.9591706673291</v>
      </c>
      <c r="G993">
        <f>Dashboard_Live_Data!U12</f>
        <v>-733.6</v>
      </c>
      <c r="H993">
        <f>Dashboard_Live_Data!V12</f>
        <v>5636.3444273171144</v>
      </c>
    </row>
    <row r="994" spans="1:8">
      <c r="A994">
        <f>Dashboard_Live_Data!O13</f>
        <v>-54.480000000000004</v>
      </c>
      <c r="B994">
        <f>Dashboard_Live_Data!P13</f>
        <v>2690.5136886398923</v>
      </c>
      <c r="C994">
        <f>Dashboard_Live_Data!Q13</f>
        <v>-363.2</v>
      </c>
      <c r="D994">
        <f>Dashboard_Live_Data!R13</f>
        <v>2241.0794603778854</v>
      </c>
      <c r="E994">
        <f>Dashboard_Live_Data!S13</f>
        <v>-726.4</v>
      </c>
      <c r="F994">
        <f>Dashboard_Live_Data!T13</f>
        <v>5541.218518579276</v>
      </c>
      <c r="G994">
        <f>Dashboard_Live_Data!U13</f>
        <v>-726.4</v>
      </c>
      <c r="H994">
        <f>Dashboard_Live_Data!V13</f>
        <v>5529.5080171763357</v>
      </c>
    </row>
    <row r="995" spans="1:8">
      <c r="A995">
        <f>Dashboard_Live_Data!O14</f>
        <v>-54</v>
      </c>
      <c r="B995">
        <f>Dashboard_Live_Data!P14</f>
        <v>2690.1277149540565</v>
      </c>
      <c r="C995">
        <f>Dashboard_Live_Data!Q14</f>
        <v>-360</v>
      </c>
      <c r="D995">
        <f>Dashboard_Live_Data!R14</f>
        <v>2205.8593615453797</v>
      </c>
      <c r="E995">
        <f>Dashboard_Live_Data!S14</f>
        <v>-720</v>
      </c>
      <c r="F995">
        <f>Dashboard_Live_Data!T14</f>
        <v>5448.1023668714188</v>
      </c>
      <c r="G995">
        <f>Dashboard_Live_Data!U14</f>
        <v>-720</v>
      </c>
      <c r="H995">
        <f>Dashboard_Live_Data!V14</f>
        <v>5435.4269312538872</v>
      </c>
    </row>
    <row r="996" spans="1:8">
      <c r="A996">
        <f>Dashboard_Live_Data!O15</f>
        <v>-53.52</v>
      </c>
      <c r="B996">
        <f>Dashboard_Live_Data!P15</f>
        <v>2689.7451569645559</v>
      </c>
      <c r="C996">
        <f>Dashboard_Live_Data!Q15</f>
        <v>-356.8</v>
      </c>
      <c r="D996">
        <f>Dashboard_Live_Data!R15</f>
        <v>2170.9509450034266</v>
      </c>
      <c r="E996">
        <f>Dashboard_Live_Data!S15</f>
        <v>-713.6</v>
      </c>
      <c r="F996">
        <f>Dashboard_Live_Data!T15</f>
        <v>5355.8102519043368</v>
      </c>
      <c r="G996">
        <f>Dashboard_Live_Data!U15</f>
        <v>-713.6</v>
      </c>
      <c r="H996">
        <f>Dashboard_Live_Data!V15</f>
        <v>5342.1784213130541</v>
      </c>
    </row>
    <row r="997" spans="1:8">
      <c r="A997">
        <f>Dashboard_Live_Data!O16</f>
        <v>-52.980000000000004</v>
      </c>
      <c r="B997">
        <f>Dashboard_Live_Data!P16</f>
        <v>2689.3188620508927</v>
      </c>
      <c r="C997">
        <f>Dashboard_Live_Data!Q16</f>
        <v>-353.2</v>
      </c>
      <c r="D997">
        <f>Dashboard_Live_Data!R16</f>
        <v>2132.0515341316559</v>
      </c>
      <c r="E997">
        <f>Dashboard_Live_Data!S16</f>
        <v>-706.4</v>
      </c>
      <c r="F997">
        <f>Dashboard_Live_Data!T16</f>
        <v>5252.966603983079</v>
      </c>
      <c r="G997">
        <f>Dashboard_Live_Data!U16</f>
        <v>-706.4</v>
      </c>
      <c r="H997">
        <f>Dashboard_Live_Data!V16</f>
        <v>5238.2690361076393</v>
      </c>
    </row>
    <row r="998" spans="1:8">
      <c r="A998">
        <f>Dashboard_Live_Data!O17</f>
        <v>-52.5</v>
      </c>
      <c r="B998">
        <f>Dashboard_Live_Data!P17</f>
        <v>2688.9435624161033</v>
      </c>
      <c r="C998">
        <f>Dashboard_Live_Data!Q17</f>
        <v>-350</v>
      </c>
      <c r="D998">
        <f>Dashboard_Live_Data!R17</f>
        <v>2097.8054424571283</v>
      </c>
      <c r="E998">
        <f>Dashboard_Live_Data!S17</f>
        <v>-700</v>
      </c>
      <c r="F998">
        <f>Dashboard_Live_Data!T17</f>
        <v>5162.4255670901503</v>
      </c>
      <c r="G998">
        <f>Dashboard_Live_Data!U17</f>
        <v>-700</v>
      </c>
      <c r="H998">
        <f>Dashboard_Live_Data!V17</f>
        <v>5146.7897501277366</v>
      </c>
    </row>
    <row r="999" spans="1:8">
      <c r="A999">
        <f>Dashboard_Live_Data!O18</f>
        <v>-52.019999999999996</v>
      </c>
      <c r="B999">
        <f>Dashboard_Live_Data!P18</f>
        <v>2688.5716784776487</v>
      </c>
      <c r="C999">
        <f>Dashboard_Live_Data!Q18</f>
        <v>-346.8</v>
      </c>
      <c r="D999">
        <f>Dashboard_Live_Data!R18</f>
        <v>2063.8710330731533</v>
      </c>
      <c r="E999">
        <f>Dashboard_Live_Data!S18</f>
        <v>-693.6</v>
      </c>
      <c r="F999">
        <f>Dashboard_Live_Data!T18</f>
        <v>5072.7085669379976</v>
      </c>
      <c r="G999">
        <f>Dashboard_Live_Data!U18</f>
        <v>-693.6</v>
      </c>
      <c r="H999">
        <f>Dashboard_Live_Data!V18</f>
        <v>5056.1430401294483</v>
      </c>
    </row>
    <row r="1000" spans="1:8">
      <c r="A1000">
        <f>Dashboard_Live_Data!O19</f>
        <v>-51.48</v>
      </c>
      <c r="B1000">
        <f>Dashboard_Live_Data!P19</f>
        <v>2688.1573918714125</v>
      </c>
      <c r="C1000">
        <f>Dashboard_Live_Data!Q19</f>
        <v>-343.2</v>
      </c>
      <c r="D1000">
        <f>Dashboard_Live_Data!R19</f>
        <v>2026.0673802541089</v>
      </c>
      <c r="E1000">
        <f>Dashboard_Live_Data!S19</f>
        <v>-686.4</v>
      </c>
      <c r="F1000">
        <f>Dashboard_Live_Data!T19</f>
        <v>4972.7619231835379</v>
      </c>
      <c r="G1000">
        <f>Dashboard_Live_Data!U19</f>
        <v>-686.4</v>
      </c>
      <c r="H1000">
        <f>Dashboard_Live_Data!V19</f>
        <v>4955.1606798593975</v>
      </c>
    </row>
    <row r="1001" spans="1:8">
      <c r="A1001">
        <f>Dashboard_Live_Data!O20</f>
        <v>-51</v>
      </c>
      <c r="B1001">
        <f>Dashboard_Live_Data!P20</f>
        <v>2687.7927662876696</v>
      </c>
      <c r="C1001">
        <f>Dashboard_Live_Data!Q20</f>
        <v>-340</v>
      </c>
      <c r="D1001">
        <f>Dashboard_Live_Data!R20</f>
        <v>1992.7952957375599</v>
      </c>
      <c r="E1001">
        <f>Dashboard_Live_Data!S20</f>
        <v>-680</v>
      </c>
      <c r="F1001">
        <f>Dashboard_Live_Data!T20</f>
        <v>4884.7960011055375</v>
      </c>
      <c r="G1001">
        <f>Dashboard_Live_Data!U20</f>
        <v>-680</v>
      </c>
      <c r="H1001">
        <f>Dashboard_Live_Data!V20</f>
        <v>4866.2831938220397</v>
      </c>
    </row>
    <row r="1002" spans="1:8">
      <c r="A1002">
        <f>Dashboard_Live_Data!O21</f>
        <v>-50.519999999999996</v>
      </c>
      <c r="B1002">
        <f>Dashboard_Live_Data!P21</f>
        <v>2687.4315564002609</v>
      </c>
      <c r="C1002">
        <f>Dashboard_Live_Data!Q21</f>
        <v>-336.8</v>
      </c>
      <c r="D1002">
        <f>Dashboard_Live_Data!R21</f>
        <v>1959.8348935115644</v>
      </c>
      <c r="E1002">
        <f>Dashboard_Live_Data!S21</f>
        <v>-673.6</v>
      </c>
      <c r="F1002">
        <f>Dashboard_Live_Data!T21</f>
        <v>4797.6541157683168</v>
      </c>
      <c r="G1002">
        <f>Dashboard_Live_Data!U21</f>
        <v>-673.6</v>
      </c>
      <c r="H1002">
        <f>Dashboard_Live_Data!V21</f>
        <v>4778.238283766299</v>
      </c>
    </row>
    <row r="1003" spans="1:8">
      <c r="A1003">
        <f>Dashboard_Live_Data!O22</f>
        <v>-49.98</v>
      </c>
      <c r="B1003">
        <f>Dashboard_Live_Data!P22</f>
        <v>2687.0292781014527</v>
      </c>
      <c r="C1003">
        <f>Dashboard_Live_Data!Q22</f>
        <v>-333.2</v>
      </c>
      <c r="D1003">
        <f>Dashboard_Live_Data!R22</f>
        <v>1923.1269987452456</v>
      </c>
      <c r="E1003">
        <f>Dashboard_Live_Data!S22</f>
        <v>-666.4</v>
      </c>
      <c r="F1003">
        <f>Dashboard_Live_Data!T22</f>
        <v>4700.6044761806515</v>
      </c>
      <c r="G1003">
        <f>Dashboard_Live_Data!U22</f>
        <v>-666.4</v>
      </c>
      <c r="H1003">
        <f>Dashboard_Live_Data!V22</f>
        <v>4680.1829484316113</v>
      </c>
    </row>
    <row r="1004" spans="1:8">
      <c r="A1004">
        <f>Dashboard_Live_Data!O23</f>
        <v>-49.5</v>
      </c>
      <c r="B1004">
        <f>Dashboard_Live_Data!P23</f>
        <v>2686.6753265687557</v>
      </c>
      <c r="C1004">
        <f>Dashboard_Live_Data!Q23</f>
        <v>-330</v>
      </c>
      <c r="D1004">
        <f>Dashboard_Live_Data!R23</f>
        <v>1890.8289213866744</v>
      </c>
      <c r="E1004">
        <f>Dashboard_Live_Data!S23</f>
        <v>-660</v>
      </c>
      <c r="F1004">
        <f>Dashboard_Live_Data!T23</f>
        <v>4615.2136689175813</v>
      </c>
      <c r="G1004">
        <f>Dashboard_Live_Data!U23</f>
        <v>-660</v>
      </c>
      <c r="H1004">
        <f>Dashboard_Live_Data!V23</f>
        <v>4593.9072623367983</v>
      </c>
    </row>
    <row r="1005" spans="1:8">
      <c r="A1005">
        <f>Dashboard_Live_Data!O24</f>
        <v>-49.019999999999996</v>
      </c>
      <c r="B1005">
        <f>Dashboard_Live_Data!P24</f>
        <v>2686.3247907323939</v>
      </c>
      <c r="C1005">
        <f>Dashboard_Live_Data!Q24</f>
        <v>-326.79999999999995</v>
      </c>
      <c r="D1005">
        <f>Dashboard_Live_Data!R24</f>
        <v>1858.8425263186568</v>
      </c>
      <c r="E1005">
        <f>Dashboard_Live_Data!S24</f>
        <v>-653.59999999999991</v>
      </c>
      <c r="F1005">
        <f>Dashboard_Live_Data!T24</f>
        <v>4530.6468983952882</v>
      </c>
      <c r="G1005">
        <f>Dashboard_Live_Data!U24</f>
        <v>-653.59999999999991</v>
      </c>
      <c r="H1005">
        <f>Dashboard_Live_Data!V24</f>
        <v>4508.4641522236016</v>
      </c>
    </row>
    <row r="1006" spans="1:8">
      <c r="A1006">
        <f>Dashboard_Live_Data!O25</f>
        <v>-48.480000000000004</v>
      </c>
      <c r="B1006">
        <f>Dashboard_Live_Data!P25</f>
        <v>2685.9345207410115</v>
      </c>
      <c r="C1006">
        <f>Dashboard_Live_Data!Q25</f>
        <v>-323.20000000000005</v>
      </c>
      <c r="D1006">
        <f>Dashboard_Live_Data!R25</f>
        <v>1823.2303896050653</v>
      </c>
      <c r="E1006">
        <f>Dashboard_Live_Data!S25</f>
        <v>-646.40000000000009</v>
      </c>
      <c r="F1006">
        <f>Dashboard_Live_Data!T25</f>
        <v>4436.4942629744219</v>
      </c>
      <c r="G1006">
        <f>Dashboard_Live_Data!U25</f>
        <v>-646.40000000000009</v>
      </c>
      <c r="H1006">
        <f>Dashboard_Live_Data!V25</f>
        <v>4413.3358418242815</v>
      </c>
    </row>
    <row r="1007" spans="1:8">
      <c r="A1007">
        <f>Dashboard_Live_Data!O26</f>
        <v>-48</v>
      </c>
      <c r="B1007">
        <f>Dashboard_Live_Data!P26</f>
        <v>2685.5912432593618</v>
      </c>
      <c r="C1007">
        <f>Dashboard_Live_Data!Q26</f>
        <v>-320</v>
      </c>
      <c r="D1007">
        <f>Dashboard_Live_Data!R26</f>
        <v>1791.9063194044727</v>
      </c>
      <c r="E1007">
        <f>Dashboard_Live_Data!S26</f>
        <v>-640</v>
      </c>
      <c r="F1007">
        <f>Dashboard_Live_Data!T26</f>
        <v>4353.678570526281</v>
      </c>
      <c r="G1007">
        <f>Dashboard_Live_Data!U26</f>
        <v>-640</v>
      </c>
      <c r="H1007">
        <f>Dashboard_Live_Data!V26</f>
        <v>4329.6619556720143</v>
      </c>
    </row>
    <row r="1008" spans="1:8">
      <c r="A1008">
        <f>Dashboard_Live_Data!O27</f>
        <v>-47.52</v>
      </c>
      <c r="B1008">
        <f>Dashboard_Live_Data!P27</f>
        <v>2685.251381474046</v>
      </c>
      <c r="C1008">
        <f>Dashboard_Live_Data!Q27</f>
        <v>-316.8</v>
      </c>
      <c r="D1008">
        <f>Dashboard_Live_Data!R27</f>
        <v>1760.8939314944344</v>
      </c>
      <c r="E1008">
        <f>Dashboard_Live_Data!S27</f>
        <v>-633.6</v>
      </c>
      <c r="F1008">
        <f>Dashboard_Live_Data!T27</f>
        <v>4271.6869148189189</v>
      </c>
      <c r="G1008">
        <f>Dashboard_Live_Data!U27</f>
        <v>-633.6</v>
      </c>
      <c r="H1008">
        <f>Dashboard_Live_Data!V27</f>
        <v>4246.8206455013624</v>
      </c>
    </row>
    <row r="1009" spans="1:8">
      <c r="A1009">
        <f>Dashboard_Live_Data!O28</f>
        <v>-46.980000000000004</v>
      </c>
      <c r="B1009">
        <f>Dashboard_Live_Data!P28</f>
        <v>2684.873119790092</v>
      </c>
      <c r="C1009">
        <f>Dashboard_Live_Data!Q28</f>
        <v>-313.20000000000005</v>
      </c>
      <c r="D1009">
        <f>Dashboard_Live_Data!R28</f>
        <v>1726.3775528335677</v>
      </c>
      <c r="E1009">
        <f>Dashboard_Live_Data!S28</f>
        <v>-626.40000000000009</v>
      </c>
      <c r="F1009">
        <f>Dashboard_Live_Data!T28</f>
        <v>4180.431283564847</v>
      </c>
      <c r="G1009">
        <f>Dashboard_Live_Data!U28</f>
        <v>-626.40000000000009</v>
      </c>
      <c r="H1009">
        <f>Dashboard_Live_Data!V28</f>
        <v>4154.6193600374036</v>
      </c>
    </row>
    <row r="1010" spans="1:8">
      <c r="A1010">
        <f>Dashboard_Live_Data!O29</f>
        <v>-46.5</v>
      </c>
      <c r="B1010">
        <f>Dashboard_Live_Data!P29</f>
        <v>2684.5405163594878</v>
      </c>
      <c r="C1010">
        <f>Dashboard_Live_Data!Q29</f>
        <v>-310</v>
      </c>
      <c r="D1010">
        <f>Dashboard_Live_Data!R29</f>
        <v>1696.0274897909542</v>
      </c>
      <c r="E1010">
        <f>Dashboard_Live_Data!S29</f>
        <v>-620</v>
      </c>
      <c r="F1010">
        <f>Dashboard_Live_Data!T29</f>
        <v>4100.1907059316354</v>
      </c>
      <c r="G1010">
        <f>Dashboard_Live_Data!U29</f>
        <v>-620</v>
      </c>
      <c r="H1010">
        <f>Dashboard_Live_Data!V29</f>
        <v>4073.5472738276831</v>
      </c>
    </row>
    <row r="1011" spans="1:8">
      <c r="A1011">
        <f>Dashboard_Live_Data!O30</f>
        <v>-46.02</v>
      </c>
      <c r="B1011">
        <f>Dashboard_Live_Data!P30</f>
        <v>2684.2113286252188</v>
      </c>
      <c r="C1011">
        <f>Dashboard_Live_Data!Q30</f>
        <v>-306.8</v>
      </c>
      <c r="D1011">
        <f>Dashboard_Live_Data!R30</f>
        <v>1665.989109038894</v>
      </c>
      <c r="E1011">
        <f>Dashboard_Live_Data!S30</f>
        <v>-613.6</v>
      </c>
      <c r="F1011">
        <f>Dashboard_Live_Data!T30</f>
        <v>4020.7741650392022</v>
      </c>
      <c r="G1011">
        <f>Dashboard_Live_Data!U30</f>
        <v>-613.6</v>
      </c>
      <c r="H1011">
        <f>Dashboard_Live_Data!V30</f>
        <v>3993.3077635995774</v>
      </c>
    </row>
    <row r="1012" spans="1:8">
      <c r="A1012">
        <f>Dashboard_Live_Data!O31</f>
        <v>-45.480000000000004</v>
      </c>
      <c r="B1012">
        <f>Dashboard_Live_Data!P31</f>
        <v>2683.8450752486906</v>
      </c>
      <c r="C1012">
        <f>Dashboard_Live_Data!Q31</f>
        <v>-303.2</v>
      </c>
      <c r="D1012">
        <f>Dashboard_Live_Data!R31</f>
        <v>1632.568488430753</v>
      </c>
      <c r="E1012">
        <f>Dashboard_Live_Data!S31</f>
        <v>-606.4</v>
      </c>
      <c r="F1012">
        <f>Dashboard_Live_Data!T31</f>
        <v>3932.4155379519252</v>
      </c>
      <c r="G1012">
        <f>Dashboard_Live_Data!U31</f>
        <v>-606.4</v>
      </c>
      <c r="H1012">
        <f>Dashboard_Live_Data!V31</f>
        <v>3904.0335030709807</v>
      </c>
    </row>
    <row r="1013" spans="1:8">
      <c r="A1013">
        <f>Dashboard_Live_Data!O32</f>
        <v>-45</v>
      </c>
      <c r="B1013">
        <f>Dashboard_Live_Data!P32</f>
        <v>2683.5231458691333</v>
      </c>
      <c r="C1013">
        <f>Dashboard_Live_Data!Q32</f>
        <v>-300</v>
      </c>
      <c r="D1013">
        <f>Dashboard_Live_Data!R32</f>
        <v>1603.1924325461182</v>
      </c>
      <c r="E1013">
        <f>Dashboard_Live_Data!S32</f>
        <v>-600</v>
      </c>
      <c r="F1013">
        <f>Dashboard_Live_Data!T32</f>
        <v>3854.7500751336447</v>
      </c>
      <c r="G1013">
        <f>Dashboard_Live_Data!U32</f>
        <v>-600</v>
      </c>
      <c r="H1013">
        <f>Dashboard_Live_Data!V32</f>
        <v>3825.5632168038064</v>
      </c>
    </row>
    <row r="1014" spans="1:8">
      <c r="A1014">
        <f>Dashboard_Live_Data!O33</f>
        <v>-44.519999999999996</v>
      </c>
      <c r="B1014">
        <f>Dashboard_Live_Data!P33</f>
        <v>2683.2046321859102</v>
      </c>
      <c r="C1014">
        <f>Dashboard_Live_Data!Q33</f>
        <v>-296.8</v>
      </c>
      <c r="D1014">
        <f>Dashboard_Live_Data!R33</f>
        <v>1574.1280589520366</v>
      </c>
      <c r="E1014">
        <f>Dashboard_Live_Data!S33</f>
        <v>-593.6</v>
      </c>
      <c r="F1014">
        <f>Dashboard_Live_Data!T33</f>
        <v>3777.9086490561408</v>
      </c>
      <c r="G1014">
        <f>Dashboard_Live_Data!U33</f>
        <v>-593.6</v>
      </c>
      <c r="H1014">
        <f>Dashboard_Live_Data!V33</f>
        <v>3747.925506518246</v>
      </c>
    </row>
    <row r="1015" spans="1:8">
      <c r="A1015">
        <f>Dashboard_Live_Data!O34</f>
        <v>-43.980000000000004</v>
      </c>
      <c r="B1015">
        <f>Dashboard_Live_Data!P34</f>
        <v>2682.85038711681</v>
      </c>
      <c r="C1015">
        <f>Dashboard_Live_Data!Q34</f>
        <v>-293.2</v>
      </c>
      <c r="D1015">
        <f>Dashboard_Live_Data!R34</f>
        <v>1541.8031963966218</v>
      </c>
      <c r="E1015">
        <f>Dashboard_Live_Data!S34</f>
        <v>-586.4</v>
      </c>
      <c r="F1015">
        <f>Dashboard_Live_Data!T34</f>
        <v>3692.447026135661</v>
      </c>
      <c r="G1015">
        <f>Dashboard_Live_Data!U34</f>
        <v>-586.4</v>
      </c>
      <c r="H1015">
        <f>Dashboard_Live_Data!V34</f>
        <v>3661.5782709250147</v>
      </c>
    </row>
    <row r="1016" spans="1:8">
      <c r="A1016">
        <f>Dashboard_Live_Data!O35</f>
        <v>-43.5</v>
      </c>
      <c r="B1016">
        <f>Dashboard_Live_Data!P35</f>
        <v>2682.5391317882991</v>
      </c>
      <c r="C1016">
        <f>Dashboard_Live_Data!Q35</f>
        <v>-290</v>
      </c>
      <c r="D1016">
        <f>Dashboard_Live_Data!R35</f>
        <v>1513.4011476699659</v>
      </c>
      <c r="E1016">
        <f>Dashboard_Live_Data!S35</f>
        <v>-580</v>
      </c>
      <c r="F1016">
        <f>Dashboard_Live_Data!T35</f>
        <v>3617.3566781323107</v>
      </c>
      <c r="G1016">
        <f>Dashboard_Live_Data!U35</f>
        <v>-580</v>
      </c>
      <c r="H1016">
        <f>Dashboard_Live_Data!V35</f>
        <v>3585.7097846003849</v>
      </c>
    </row>
    <row r="1017" spans="1:8">
      <c r="A1017">
        <f>Dashboard_Live_Data!O36</f>
        <v>-43.019999999999996</v>
      </c>
      <c r="B1017">
        <f>Dashboard_Live_Data!P36</f>
        <v>2682.231292156122</v>
      </c>
      <c r="C1017">
        <f>Dashboard_Live_Data!Q36</f>
        <v>-286.79999999999995</v>
      </c>
      <c r="D1017">
        <f>Dashboard_Live_Data!R36</f>
        <v>1485.3107812338621</v>
      </c>
      <c r="E1017">
        <f>Dashboard_Live_Data!S36</f>
        <v>-573.59999999999991</v>
      </c>
      <c r="F1017">
        <f>Dashboard_Live_Data!T36</f>
        <v>3543.0903668697347</v>
      </c>
      <c r="G1017">
        <f>Dashboard_Live_Data!U36</f>
        <v>-573.59999999999991</v>
      </c>
      <c r="H1017">
        <f>Dashboard_Live_Data!V36</f>
        <v>3510.6738742573698</v>
      </c>
    </row>
    <row r="1018" spans="1:8">
      <c r="A1018">
        <f>Dashboard_Live_Data!O37</f>
        <v>-42.48</v>
      </c>
      <c r="B1018">
        <f>Dashboard_Live_Data!P37</f>
        <v>2681.8890553944493</v>
      </c>
      <c r="C1018">
        <f>Dashboard_Live_Data!Q37</f>
        <v>-283.2</v>
      </c>
      <c r="D1018">
        <f>Dashboard_Live_Data!R37</f>
        <v>1454.0816767311737</v>
      </c>
      <c r="E1018">
        <f>Dashboard_Live_Data!S37</f>
        <v>-566.4</v>
      </c>
      <c r="F1018">
        <f>Dashboard_Live_Data!T37</f>
        <v>3460.5257481160511</v>
      </c>
      <c r="G1018">
        <f>Dashboard_Live_Data!U37</f>
        <v>-566.4</v>
      </c>
      <c r="H1018">
        <f>Dashboard_Live_Data!V37</f>
        <v>3427.2536635995016</v>
      </c>
    </row>
    <row r="1019" spans="1:8">
      <c r="A1019">
        <f>Dashboard_Live_Data!O38</f>
        <v>-42</v>
      </c>
      <c r="B1019">
        <f>Dashboard_Live_Data!P38</f>
        <v>2681.5884741169839</v>
      </c>
      <c r="C1019">
        <f>Dashboard_Live_Data!Q38</f>
        <v>-280</v>
      </c>
      <c r="D1019">
        <f>Dashboard_Live_Data!R38</f>
        <v>1426.6536351624961</v>
      </c>
      <c r="E1019">
        <f>Dashboard_Live_Data!S38</f>
        <v>-560</v>
      </c>
      <c r="F1019">
        <f>Dashboard_Live_Data!T38</f>
        <v>3388.0105149276301</v>
      </c>
      <c r="G1019">
        <f>Dashboard_Live_Data!U38</f>
        <v>-560</v>
      </c>
      <c r="H1019">
        <f>Dashboard_Live_Data!V38</f>
        <v>3353.9869772174184</v>
      </c>
    </row>
    <row r="1020" spans="1:8">
      <c r="A1020">
        <f>Dashboard_Live_Data!O39</f>
        <v>-41.519999999999996</v>
      </c>
      <c r="B1020">
        <f>Dashboard_Live_Data!P39</f>
        <v>2681.2913085358537</v>
      </c>
      <c r="C1020">
        <f>Dashboard_Live_Data!Q39</f>
        <v>-276.79999999999995</v>
      </c>
      <c r="D1020">
        <f>Dashboard_Live_Data!R39</f>
        <v>1399.5372758843714</v>
      </c>
      <c r="E1020">
        <f>Dashboard_Live_Data!S39</f>
        <v>-553.59999999999991</v>
      </c>
      <c r="F1020">
        <f>Dashboard_Live_Data!T39</f>
        <v>3316.3193184799852</v>
      </c>
      <c r="G1020">
        <f>Dashboard_Live_Data!U39</f>
        <v>-553.59999999999991</v>
      </c>
      <c r="H1020">
        <f>Dashboard_Live_Data!V39</f>
        <v>3281.5528668169482</v>
      </c>
    </row>
    <row r="1021" spans="1:8">
      <c r="A1021">
        <f>Dashboard_Live_Data!O40</f>
        <v>-40.980000000000004</v>
      </c>
      <c r="B1021">
        <f>Dashboard_Live_Data!P40</f>
        <v>2680.9610800816076</v>
      </c>
      <c r="C1021">
        <f>Dashboard_Live_Data!Q40</f>
        <v>-273.20000000000005</v>
      </c>
      <c r="D1021">
        <f>Dashboard_Live_Data!R40</f>
        <v>1369.4039294344093</v>
      </c>
      <c r="E1021">
        <f>Dashboard_Live_Data!S40</f>
        <v>-546.40000000000009</v>
      </c>
      <c r="F1021">
        <f>Dashboard_Live_Data!T40</f>
        <v>3236.6517038930992</v>
      </c>
      <c r="G1021">
        <f>Dashboard_Live_Data!U40</f>
        <v>-546.40000000000009</v>
      </c>
      <c r="H1021">
        <f>Dashboard_Live_Data!V40</f>
        <v>3201.0596810944471</v>
      </c>
    </row>
    <row r="1022" spans="1:8">
      <c r="A1022">
        <f>Dashboard_Live_Data!O41</f>
        <v>-40.5</v>
      </c>
      <c r="B1022">
        <f>Dashboard_Live_Data!P41</f>
        <v>2680.6711728551891</v>
      </c>
      <c r="C1022">
        <f>Dashboard_Live_Data!Q41</f>
        <v>-270</v>
      </c>
      <c r="D1022">
        <f>Dashboard_Live_Data!R41</f>
        <v>1342.9498950237103</v>
      </c>
      <c r="E1022">
        <f>Dashboard_Live_Data!S41</f>
        <v>-540</v>
      </c>
      <c r="F1022">
        <f>Dashboard_Live_Data!T41</f>
        <v>3166.7115855196066</v>
      </c>
      <c r="G1022">
        <f>Dashboard_Live_Data!U41</f>
        <v>-540</v>
      </c>
      <c r="H1022">
        <f>Dashboard_Live_Data!V41</f>
        <v>3130.3947946549083</v>
      </c>
    </row>
    <row r="1023" spans="1:8">
      <c r="A1023">
        <f>Dashboard_Live_Data!O42</f>
        <v>-40.020000000000003</v>
      </c>
      <c r="B1023">
        <f>Dashboard_Live_Data!P42</f>
        <v>2680.3846813251052</v>
      </c>
      <c r="C1023">
        <f>Dashboard_Live_Data!Q42</f>
        <v>-266.8</v>
      </c>
      <c r="D1023">
        <f>Dashboard_Live_Data!R42</f>
        <v>1316.8075429035646</v>
      </c>
      <c r="E1023">
        <f>Dashboard_Live_Data!S42</f>
        <v>-533.6</v>
      </c>
      <c r="F1023">
        <f>Dashboard_Live_Data!T42</f>
        <v>3097.5955038868924</v>
      </c>
      <c r="G1023">
        <f>Dashboard_Live_Data!U42</f>
        <v>-533.6</v>
      </c>
      <c r="H1023">
        <f>Dashboard_Live_Data!V42</f>
        <v>3060.5624841969843</v>
      </c>
    </row>
    <row r="1024" spans="1:8">
      <c r="A1024">
        <f>Dashboard_Live_Data!O43</f>
        <v>-39.480000000000004</v>
      </c>
      <c r="B1024">
        <f>Dashboard_Live_Data!P43</f>
        <v>2680.0664611782863</v>
      </c>
      <c r="C1024">
        <f>Dashboard_Live_Data!Q43</f>
        <v>-263.20000000000005</v>
      </c>
      <c r="D1024">
        <f>Dashboard_Live_Data!R43</f>
        <v>1287.7699545063276</v>
      </c>
      <c r="E1024">
        <f>Dashboard_Live_Data!S43</f>
        <v>-526.40000000000009</v>
      </c>
      <c r="F1024">
        <f>Dashboard_Live_Data!T43</f>
        <v>3020.8248934668009</v>
      </c>
      <c r="G1024">
        <f>Dashboard_Live_Data!U43</f>
        <v>-526.40000000000009</v>
      </c>
      <c r="H1024">
        <f>Dashboard_Live_Data!V43</f>
        <v>2982.9963234098454</v>
      </c>
    </row>
    <row r="1025" spans="1:8">
      <c r="A1025">
        <f>Dashboard_Live_Data!O44</f>
        <v>-39</v>
      </c>
      <c r="B1025">
        <f>Dashboard_Live_Data!P44</f>
        <v>2679.7872280029137</v>
      </c>
      <c r="C1025">
        <f>Dashboard_Live_Data!Q44</f>
        <v>-260</v>
      </c>
      <c r="D1025">
        <f>Dashboard_Live_Data!R44</f>
        <v>1262.2899272536067</v>
      </c>
      <c r="E1025">
        <f>Dashboard_Live_Data!S44</f>
        <v>-520</v>
      </c>
      <c r="F1025">
        <f>Dashboard_Live_Data!T44</f>
        <v>2953.459889908238</v>
      </c>
      <c r="G1025">
        <f>Dashboard_Live_Data!U44</f>
        <v>-520</v>
      </c>
      <c r="H1025">
        <f>Dashboard_Live_Data!V44</f>
        <v>2914.9332369128515</v>
      </c>
    </row>
    <row r="1026" spans="1:8">
      <c r="A1026">
        <f>Dashboard_Live_Data!O45</f>
        <v>-38.519999999999996</v>
      </c>
      <c r="B1026">
        <f>Dashboard_Live_Data!P45</f>
        <v>2679.5114105238763</v>
      </c>
      <c r="C1026">
        <f>Dashboard_Live_Data!Q45</f>
        <v>-256.8</v>
      </c>
      <c r="D1026">
        <f>Dashboard_Live_Data!R45</f>
        <v>1237.1215822914398</v>
      </c>
      <c r="E1026">
        <f>Dashboard_Live_Data!S45</f>
        <v>-513.6</v>
      </c>
      <c r="F1026">
        <f>Dashboard_Live_Data!T45</f>
        <v>2886.9189230904535</v>
      </c>
      <c r="G1026">
        <f>Dashboard_Live_Data!U45</f>
        <v>-513.6</v>
      </c>
      <c r="H1026">
        <f>Dashboard_Live_Data!V45</f>
        <v>2847.7027263974737</v>
      </c>
    </row>
    <row r="1027" spans="1:8">
      <c r="A1027">
        <f>Dashboard_Live_Data!O46</f>
        <v>-37.980000000000004</v>
      </c>
      <c r="B1027">
        <f>Dashboard_Live_Data!P46</f>
        <v>2679.2051986844849</v>
      </c>
      <c r="C1027">
        <f>Dashboard_Live_Data!Q46</f>
        <v>-253.2</v>
      </c>
      <c r="D1027">
        <f>Dashboard_Live_Data!R46</f>
        <v>1209.1797519469287</v>
      </c>
      <c r="E1027">
        <f>Dashboard_Live_Data!S46</f>
        <v>-506.4</v>
      </c>
      <c r="F1027">
        <f>Dashboard_Live_Data!T46</f>
        <v>2813.0453168371569</v>
      </c>
      <c r="G1027">
        <f>Dashboard_Live_Data!U46</f>
        <v>-506.4</v>
      </c>
      <c r="H1027">
        <f>Dashboard_Live_Data!V46</f>
        <v>2773.063590545697</v>
      </c>
    </row>
    <row r="1028" spans="1:8">
      <c r="A1028">
        <f>Dashboard_Live_Data!O47</f>
        <v>-37.5</v>
      </c>
      <c r="B1028">
        <f>Dashboard_Live_Data!P47</f>
        <v>2678.9366395601587</v>
      </c>
      <c r="C1028">
        <f>Dashboard_Live_Data!Q47</f>
        <v>-250</v>
      </c>
      <c r="D1028">
        <f>Dashboard_Live_Data!R47</f>
        <v>1184.6737318521868</v>
      </c>
      <c r="E1028">
        <f>Dashboard_Live_Data!S47</f>
        <v>-500</v>
      </c>
      <c r="F1028">
        <f>Dashboard_Live_Data!T47</f>
        <v>2748.2554280935246</v>
      </c>
      <c r="G1028">
        <f>Dashboard_Live_Data!U47</f>
        <v>-500</v>
      </c>
      <c r="H1028">
        <f>Dashboard_Live_Data!V47</f>
        <v>2707.6023039912498</v>
      </c>
    </row>
    <row r="1029" spans="1:8">
      <c r="A1029">
        <f>Dashboard_Live_Data!O48</f>
        <v>-37.019999999999996</v>
      </c>
      <c r="B1029">
        <f>Dashboard_Live_Data!P48</f>
        <v>2678.6714961321677</v>
      </c>
      <c r="C1029">
        <f>Dashboard_Live_Data!Q48</f>
        <v>-246.8</v>
      </c>
      <c r="D1029">
        <f>Dashboard_Live_Data!R48</f>
        <v>1160.4793940479983</v>
      </c>
      <c r="E1029">
        <f>Dashboard_Live_Data!S48</f>
        <v>-493.6</v>
      </c>
      <c r="F1029">
        <f>Dashboard_Live_Data!T48</f>
        <v>2684.2895760906704</v>
      </c>
      <c r="G1029">
        <f>Dashboard_Live_Data!U48</f>
        <v>-493.6</v>
      </c>
      <c r="H1029">
        <f>Dashboard_Live_Data!V48</f>
        <v>2642.9735934184177</v>
      </c>
    </row>
    <row r="1030" spans="1:8">
      <c r="A1030">
        <f>Dashboard_Live_Data!O49</f>
        <v>-36.480000000000004</v>
      </c>
      <c r="B1030">
        <f>Dashboard_Live_Data!P49</f>
        <v>2678.377292600203</v>
      </c>
      <c r="C1030">
        <f>Dashboard_Live_Data!Q49</f>
        <v>-243.2</v>
      </c>
      <c r="D1030">
        <f>Dashboard_Live_Data!R49</f>
        <v>1133.633321756213</v>
      </c>
      <c r="E1030">
        <f>Dashboard_Live_Data!S49</f>
        <v>-486.4</v>
      </c>
      <c r="F1030">
        <f>Dashboard_Live_Data!T49</f>
        <v>2613.3129740041691</v>
      </c>
      <c r="G1030">
        <f>Dashboard_Live_Data!U49</f>
        <v>-486.4</v>
      </c>
      <c r="H1030">
        <f>Dashboard_Live_Data!V49</f>
        <v>2571.2614825020046</v>
      </c>
    </row>
    <row r="1031" spans="1:8">
      <c r="A1031">
        <f>Dashboard_Live_Data!O50</f>
        <v>-36</v>
      </c>
      <c r="B1031">
        <f>Dashboard_Live_Data!P50</f>
        <v>2678.1194075269232</v>
      </c>
      <c r="C1031">
        <f>Dashboard_Live_Data!Q50</f>
        <v>-240</v>
      </c>
      <c r="D1031">
        <f>Dashboard_Live_Data!R50</f>
        <v>1110.1013088194502</v>
      </c>
      <c r="E1031">
        <f>Dashboard_Live_Data!S50</f>
        <v>-480</v>
      </c>
      <c r="F1031">
        <f>Dashboard_Live_Data!T50</f>
        <v>2551.098200075467</v>
      </c>
      <c r="G1031">
        <f>Dashboard_Live_Data!U50</f>
        <v>-480</v>
      </c>
      <c r="H1031">
        <f>Dashboard_Live_Data!V50</f>
        <v>2508.4019958901035</v>
      </c>
    </row>
    <row r="1032" spans="1:8">
      <c r="A1032">
        <f>Dashboard_Live_Data!O51</f>
        <v>-35.519999999999996</v>
      </c>
      <c r="B1032">
        <f>Dashboard_Live_Data!P51</f>
        <v>2677.8649381499786</v>
      </c>
      <c r="C1032">
        <f>Dashboard_Live_Data!Q51</f>
        <v>-236.79999999999998</v>
      </c>
      <c r="D1032">
        <f>Dashboard_Live_Data!R51</f>
        <v>1086.88097817324</v>
      </c>
      <c r="E1032">
        <f>Dashboard_Live_Data!S51</f>
        <v>-473.59999999999997</v>
      </c>
      <c r="F1032">
        <f>Dashboard_Live_Data!T51</f>
        <v>2489.7074628875416</v>
      </c>
      <c r="G1032">
        <f>Dashboard_Live_Data!U51</f>
        <v>-473.59999999999997</v>
      </c>
      <c r="H1032">
        <f>Dashboard_Live_Data!V51</f>
        <v>2446.3750852598164</v>
      </c>
    </row>
    <row r="1033" spans="1:8">
      <c r="A1033">
        <f>Dashboard_Live_Data!O52</f>
        <v>-34.979999999999997</v>
      </c>
      <c r="B1033">
        <f>Dashboard_Live_Data!P52</f>
        <v>2677.5827429254409</v>
      </c>
      <c r="C1033">
        <f>Dashboard_Live_Data!Q52</f>
        <v>-233.2</v>
      </c>
      <c r="D1033">
        <f>Dashboard_Live_Data!R52</f>
        <v>1061.1306639341806</v>
      </c>
      <c r="E1033">
        <f>Dashboard_Live_Data!S52</f>
        <v>-466.4</v>
      </c>
      <c r="F1033">
        <f>Dashboard_Live_Data!T52</f>
        <v>2421.627864967837</v>
      </c>
      <c r="G1033">
        <f>Dashboard_Live_Data!U52</f>
        <v>-466.4</v>
      </c>
      <c r="H1033">
        <f>Dashboard_Live_Data!V52</f>
        <v>2377.5899992787677</v>
      </c>
    </row>
    <row r="1034" spans="1:8">
      <c r="A1034">
        <f>Dashboard_Live_Data!O53</f>
        <v>-34.5</v>
      </c>
      <c r="B1034">
        <f>Dashboard_Live_Data!P53</f>
        <v>2677.3355319032075</v>
      </c>
      <c r="C1034">
        <f>Dashboard_Live_Data!Q53</f>
        <v>-229.99999999999997</v>
      </c>
      <c r="D1034">
        <f>Dashboard_Live_Data!R53</f>
        <v>1038.5726581553961</v>
      </c>
      <c r="E1034">
        <f>Dashboard_Live_Data!S53</f>
        <v>-459.99999999999994</v>
      </c>
      <c r="F1034">
        <f>Dashboard_Live_Data!T53</f>
        <v>2361.9882058540638</v>
      </c>
      <c r="G1034">
        <f>Dashboard_Live_Data!U53</f>
        <v>-459.99999999999994</v>
      </c>
      <c r="H1034">
        <f>Dashboard_Live_Data!V53</f>
        <v>2317.3323126094115</v>
      </c>
    </row>
    <row r="1035" spans="1:8">
      <c r="A1035">
        <f>Dashboard_Live_Data!O54</f>
        <v>-34.019999999999996</v>
      </c>
      <c r="B1035">
        <f>Dashboard_Live_Data!P54</f>
        <v>2677.0917365773089</v>
      </c>
      <c r="C1035">
        <f>Dashboard_Live_Data!Q54</f>
        <v>-226.79999999999998</v>
      </c>
      <c r="D1035">
        <f>Dashboard_Live_Data!R54</f>
        <v>1016.3263346671649</v>
      </c>
      <c r="E1035">
        <f>Dashboard_Live_Data!S54</f>
        <v>-453.59999999999997</v>
      </c>
      <c r="F1035">
        <f>Dashboard_Live_Data!T54</f>
        <v>2303.1725834810691</v>
      </c>
      <c r="G1035">
        <f>Dashboard_Live_Data!U54</f>
        <v>-453.59999999999997</v>
      </c>
      <c r="H1035">
        <f>Dashboard_Live_Data!V54</f>
        <v>2257.9072019216705</v>
      </c>
    </row>
    <row r="1036" spans="1:8">
      <c r="A1036">
        <f>Dashboard_Live_Data!O55</f>
        <v>-33.480000000000004</v>
      </c>
      <c r="B1036">
        <f>Dashboard_Live_Data!P55</f>
        <v>2676.8215496601988</v>
      </c>
      <c r="C1036">
        <f>Dashboard_Live_Data!Q55</f>
        <v>-223.20000000000002</v>
      </c>
      <c r="D1036">
        <f>Dashboard_Live_Data!R55</f>
        <v>991.67177848083179</v>
      </c>
      <c r="E1036">
        <f>Dashboard_Live_Data!S55</f>
        <v>-446.40000000000003</v>
      </c>
      <c r="F1036">
        <f>Dashboard_Live_Data!T55</f>
        <v>2237.9899897281612</v>
      </c>
      <c r="G1036">
        <f>Dashboard_Live_Data!U55</f>
        <v>-446.40000000000003</v>
      </c>
      <c r="H1036">
        <f>Dashboard_Live_Data!V55</f>
        <v>2192.0491408759858</v>
      </c>
    </row>
    <row r="1037" spans="1:8">
      <c r="A1037">
        <f>Dashboard_Live_Data!O56</f>
        <v>-33</v>
      </c>
      <c r="B1037">
        <f>Dashboard_Live_Data!P56</f>
        <v>2676.5850126890118</v>
      </c>
      <c r="C1037">
        <f>Dashboard_Live_Data!Q56</f>
        <v>-220.00000000000003</v>
      </c>
      <c r="D1037">
        <f>Dashboard_Live_Data!R56</f>
        <v>970.08777986002588</v>
      </c>
      <c r="E1037">
        <f>Dashboard_Live_Data!S56</f>
        <v>-440.00000000000006</v>
      </c>
      <c r="F1037">
        <f>Dashboard_Live_Data!T56</f>
        <v>2180.9254454293177</v>
      </c>
      <c r="G1037">
        <f>Dashboard_Live_Data!U56</f>
        <v>-440.00000000000006</v>
      </c>
      <c r="H1037">
        <f>Dashboard_Live_Data!V56</f>
        <v>2134.3932541491758</v>
      </c>
    </row>
    <row r="1038" spans="1:8">
      <c r="A1038">
        <f>Dashboard_Live_Data!O57</f>
        <v>-32.520000000000003</v>
      </c>
      <c r="B1038">
        <f>Dashboard_Live_Data!P57</f>
        <v>2676.3518914141596</v>
      </c>
      <c r="C1038">
        <f>Dashboard_Live_Data!Q57</f>
        <v>-216.8</v>
      </c>
      <c r="D1038">
        <f>Dashboard_Live_Data!R57</f>
        <v>948.81546352977307</v>
      </c>
      <c r="E1038">
        <f>Dashboard_Live_Data!S57</f>
        <v>-433.6</v>
      </c>
      <c r="F1038">
        <f>Dashboard_Live_Data!T57</f>
        <v>2124.6849378712523</v>
      </c>
      <c r="G1038">
        <f>Dashboard_Live_Data!U57</f>
        <v>-433.6</v>
      </c>
      <c r="H1038">
        <f>Dashboard_Live_Data!V57</f>
        <v>2077.5699434039798</v>
      </c>
    </row>
    <row r="1039" spans="1:8">
      <c r="A1039">
        <f>Dashboard_Live_Data!O58</f>
        <v>-31.98</v>
      </c>
      <c r="B1039">
        <f>Dashboard_Live_Data!P58</f>
        <v>2676.0937128044761</v>
      </c>
      <c r="C1039">
        <f>Dashboard_Live_Data!Q58</f>
        <v>-213.20000000000002</v>
      </c>
      <c r="D1039">
        <f>Dashboard_Live_Data!R58</f>
        <v>925.25666539616589</v>
      </c>
      <c r="E1039">
        <f>Dashboard_Live_Data!S58</f>
        <v>-426.40000000000003</v>
      </c>
      <c r="F1039">
        <f>Dashboard_Live_Data!T58</f>
        <v>2062.3993482851392</v>
      </c>
      <c r="G1039">
        <f>Dashboard_Live_Data!U58</f>
        <v>-426.40000000000003</v>
      </c>
      <c r="H1039">
        <f>Dashboard_Live_Data!V58</f>
        <v>2014.6389072936586</v>
      </c>
    </row>
    <row r="1040" spans="1:8">
      <c r="A1040">
        <f>Dashboard_Live_Data!O59</f>
        <v>-31.5</v>
      </c>
      <c r="B1040">
        <f>Dashboard_Live_Data!P59</f>
        <v>2675.867849884336</v>
      </c>
      <c r="C1040">
        <f>Dashboard_Live_Data!Q59</f>
        <v>-210</v>
      </c>
      <c r="D1040">
        <f>Dashboard_Live_Data!R59</f>
        <v>904.64667393333821</v>
      </c>
      <c r="E1040">
        <f>Dashboard_Live_Data!S59</f>
        <v>-420</v>
      </c>
      <c r="F1040">
        <f>Dashboard_Live_Data!T59</f>
        <v>2007.9099188012265</v>
      </c>
      <c r="G1040">
        <f>Dashboard_Live_Data!U59</f>
        <v>-420</v>
      </c>
      <c r="H1040">
        <f>Dashboard_Live_Data!V59</f>
        <v>1959.5848205093939</v>
      </c>
    </row>
    <row r="1041" spans="1:8">
      <c r="A1041">
        <f>Dashboard_Live_Data!O60</f>
        <v>-31.02</v>
      </c>
      <c r="B1041">
        <f>Dashboard_Live_Data!P60</f>
        <v>2675.6454026605297</v>
      </c>
      <c r="C1041">
        <f>Dashboard_Live_Data!Q60</f>
        <v>-206.8</v>
      </c>
      <c r="D1041">
        <f>Dashboard_Live_Data!R60</f>
        <v>884.34836476106409</v>
      </c>
      <c r="E1041">
        <f>Dashboard_Live_Data!S60</f>
        <v>-413.6</v>
      </c>
      <c r="F1041">
        <f>Dashboard_Live_Data!T60</f>
        <v>1954.2445260580903</v>
      </c>
      <c r="G1041">
        <f>Dashboard_Live_Data!U60</f>
        <v>-413.6</v>
      </c>
      <c r="H1041">
        <f>Dashboard_Live_Data!V60</f>
        <v>1905.3633097067436</v>
      </c>
    </row>
    <row r="1042" spans="1:8">
      <c r="A1042">
        <f>Dashboard_Live_Data!O61</f>
        <v>-30.48</v>
      </c>
      <c r="B1042">
        <f>Dashboard_Live_Data!P61</f>
        <v>2675.3992323582734</v>
      </c>
      <c r="C1042">
        <f>Dashboard_Live_Data!Q61</f>
        <v>-203.2</v>
      </c>
      <c r="D1042">
        <f>Dashboard_Live_Data!R61</f>
        <v>861.88532468018263</v>
      </c>
      <c r="E1042">
        <f>Dashboard_Live_Data!S61</f>
        <v>-406.4</v>
      </c>
      <c r="F1042">
        <f>Dashboard_Live_Data!T61</f>
        <v>1894.8559406387737</v>
      </c>
      <c r="G1042">
        <f>Dashboard_Live_Data!U61</f>
        <v>-406.4</v>
      </c>
      <c r="H1042">
        <f>Dashboard_Live_Data!V61</f>
        <v>1845.3592985317862</v>
      </c>
    </row>
    <row r="1043" spans="1:8">
      <c r="A1043">
        <f>Dashboard_Live_Data!O62</f>
        <v>-30</v>
      </c>
      <c r="B1043">
        <f>Dashboard_Live_Data!P62</f>
        <v>2675.1840434891792</v>
      </c>
      <c r="C1043">
        <f>Dashboard_Live_Data!Q62</f>
        <v>-200</v>
      </c>
      <c r="D1043">
        <f>Dashboard_Live_Data!R62</f>
        <v>842.24934037533387</v>
      </c>
      <c r="E1043">
        <f>Dashboard_Live_Data!S62</f>
        <v>-400</v>
      </c>
      <c r="F1043">
        <f>Dashboard_Live_Data!T62</f>
        <v>1842.9416259697903</v>
      </c>
      <c r="G1043">
        <f>Dashboard_Live_Data!U62</f>
        <v>-400</v>
      </c>
      <c r="H1043">
        <f>Dashboard_Live_Data!V62</f>
        <v>1792.9070116900673</v>
      </c>
    </row>
    <row r="1044" spans="1:8">
      <c r="A1044">
        <f>Dashboard_Live_Data!O63</f>
        <v>-29.52</v>
      </c>
      <c r="B1044">
        <f>Dashboard_Live_Data!P63</f>
        <v>2674.9722703164202</v>
      </c>
      <c r="C1044">
        <f>Dashboard_Live_Data!Q63</f>
        <v>-196.8</v>
      </c>
      <c r="D1044">
        <f>Dashboard_Live_Data!R63</f>
        <v>822.92503836103856</v>
      </c>
      <c r="E1044">
        <f>Dashboard_Live_Data!S63</f>
        <v>-393.6</v>
      </c>
      <c r="F1044">
        <f>Dashboard_Live_Data!T63</f>
        <v>1791.8513480415841</v>
      </c>
      <c r="G1044">
        <f>Dashboard_Live_Data!U63</f>
        <v>-393.6</v>
      </c>
      <c r="H1044">
        <f>Dashboard_Live_Data!V63</f>
        <v>1741.2873008299634</v>
      </c>
    </row>
    <row r="1045" spans="1:8">
      <c r="A1045">
        <f>Dashboard_Live_Data!O64</f>
        <v>-28.98</v>
      </c>
      <c r="B1045">
        <f>Dashboard_Live_Data!P64</f>
        <v>2674.738108321591</v>
      </c>
      <c r="C1045">
        <f>Dashboard_Live_Data!Q64</f>
        <v>-193.2</v>
      </c>
      <c r="D1045">
        <f>Dashboard_Live_Data!R64</f>
        <v>801.55775633288272</v>
      </c>
      <c r="E1045">
        <f>Dashboard_Live_Data!S64</f>
        <v>-386.4</v>
      </c>
      <c r="F1045">
        <f>Dashboard_Live_Data!T64</f>
        <v>1735.3597667890629</v>
      </c>
      <c r="G1045">
        <f>Dashboard_Live_Data!U64</f>
        <v>-386.4</v>
      </c>
      <c r="H1045">
        <f>Dashboard_Live_Data!V64</f>
        <v>1684.2103145903689</v>
      </c>
    </row>
    <row r="1046" spans="1:8">
      <c r="A1046">
        <f>Dashboard_Live_Data!O65</f>
        <v>-28.5</v>
      </c>
      <c r="B1046">
        <f>Dashboard_Live_Data!P65</f>
        <v>2674.5335935035428</v>
      </c>
      <c r="C1046">
        <f>Dashboard_Live_Data!Q65</f>
        <v>-190</v>
      </c>
      <c r="D1046">
        <f>Dashboard_Live_Data!R65</f>
        <v>782.89577918601265</v>
      </c>
      <c r="E1046">
        <f>Dashboard_Live_Data!S65</f>
        <v>-380</v>
      </c>
      <c r="F1046">
        <f>Dashboard_Live_Data!T65</f>
        <v>1686.0205669350094</v>
      </c>
      <c r="G1046">
        <f>Dashboard_Live_Data!U65</f>
        <v>-380</v>
      </c>
      <c r="H1046">
        <f>Dashboard_Live_Data!V65</f>
        <v>1634.3598276911957</v>
      </c>
    </row>
    <row r="1047" spans="1:8">
      <c r="A1047">
        <f>Dashboard_Live_Data!O66</f>
        <v>-28.020000000000003</v>
      </c>
      <c r="B1047">
        <f>Dashboard_Live_Data!P66</f>
        <v>2674.3324943818302</v>
      </c>
      <c r="C1047">
        <f>Dashboard_Live_Data!Q66</f>
        <v>-186.80000000000004</v>
      </c>
      <c r="D1047">
        <f>Dashboard_Live_Data!R66</f>
        <v>764.54548432969602</v>
      </c>
      <c r="E1047">
        <f>Dashboard_Live_Data!S66</f>
        <v>-373.60000000000008</v>
      </c>
      <c r="F1047">
        <f>Dashboard_Live_Data!T66</f>
        <v>1637.5054038217336</v>
      </c>
      <c r="G1047">
        <f>Dashboard_Live_Data!U66</f>
        <v>-373.60000000000008</v>
      </c>
      <c r="H1047">
        <f>Dashboard_Live_Data!V66</f>
        <v>1585.3419167736374</v>
      </c>
    </row>
    <row r="1048" spans="1:8">
      <c r="A1048">
        <f>Dashboard_Live_Data!O67</f>
        <v>-27.479999999999997</v>
      </c>
      <c r="B1048">
        <f>Dashboard_Live_Data!P67</f>
        <v>2674.1103406944285</v>
      </c>
      <c r="C1048">
        <f>Dashboard_Live_Data!Q67</f>
        <v>-183.2</v>
      </c>
      <c r="D1048">
        <f>Dashboard_Live_Data!R67</f>
        <v>744.27396035426614</v>
      </c>
      <c r="E1048">
        <f>Dashboard_Live_Data!S67</f>
        <v>-366.4</v>
      </c>
      <c r="F1048">
        <f>Dashboard_Live_Data!T67</f>
        <v>1583.9108267360079</v>
      </c>
      <c r="G1048">
        <f>Dashboard_Live_Data!U67</f>
        <v>-366.4</v>
      </c>
      <c r="H1048">
        <f>Dashboard_Live_Data!V67</f>
        <v>1531.1919554694066</v>
      </c>
    </row>
    <row r="1049" spans="1:8">
      <c r="A1049">
        <f>Dashboard_Live_Data!O68</f>
        <v>-27</v>
      </c>
      <c r="B1049">
        <f>Dashboard_Live_Data!P68</f>
        <v>2673.9164999274262</v>
      </c>
      <c r="C1049">
        <f>Dashboard_Live_Data!Q68</f>
        <v>-179.99999999999997</v>
      </c>
      <c r="D1049">
        <f>Dashboard_Live_Data!R68</f>
        <v>726.58599036537464</v>
      </c>
      <c r="E1049">
        <f>Dashboard_Live_Data!S68</f>
        <v>-359.99999999999994</v>
      </c>
      <c r="F1049">
        <f>Dashboard_Live_Data!T68</f>
        <v>1537.146741696884</v>
      </c>
      <c r="G1049">
        <f>Dashboard_Live_Data!U68</f>
        <v>-359.99999999999994</v>
      </c>
      <c r="H1049">
        <f>Dashboard_Live_Data!V68</f>
        <v>1483.9432685127788</v>
      </c>
    </row>
    <row r="1050" spans="1:8">
      <c r="A1050">
        <f>Dashboard_Live_Data!O69</f>
        <v>-26.519999999999996</v>
      </c>
      <c r="B1050">
        <f>Dashboard_Live_Data!P69</f>
        <v>2673.7260748567596</v>
      </c>
      <c r="C1050">
        <f>Dashboard_Live_Data!Q69</f>
        <v>-176.79999999999998</v>
      </c>
      <c r="D1050">
        <f>Dashboard_Live_Data!R69</f>
        <v>709.20970266703625</v>
      </c>
      <c r="E1050">
        <f>Dashboard_Live_Data!S69</f>
        <v>-353.59999999999997</v>
      </c>
      <c r="F1050">
        <f>Dashboard_Live_Data!T69</f>
        <v>1491.2066933985375</v>
      </c>
      <c r="G1050">
        <f>Dashboard_Live_Data!U69</f>
        <v>-353.59999999999997</v>
      </c>
      <c r="H1050">
        <f>Dashboard_Live_Data!V69</f>
        <v>1437.5271575377656</v>
      </c>
    </row>
    <row r="1051" spans="1:8">
      <c r="A1051">
        <f>Dashboard_Live_Data!O70</f>
        <v>-25.980000000000004</v>
      </c>
      <c r="B1051">
        <f>Dashboard_Live_Data!P70</f>
        <v>2673.515929476785</v>
      </c>
      <c r="C1051">
        <f>Dashboard_Live_Data!Q70</f>
        <v>-173.20000000000002</v>
      </c>
      <c r="D1051">
        <f>Dashboard_Live_Data!R70</f>
        <v>690.03393674433278</v>
      </c>
      <c r="E1051">
        <f>Dashboard_Live_Data!S70</f>
        <v>-346.40000000000003</v>
      </c>
      <c r="F1051">
        <f>Dashboard_Live_Data!T70</f>
        <v>1440.509120479609</v>
      </c>
      <c r="G1051">
        <f>Dashboard_Live_Data!U70</f>
        <v>-346.40000000000003</v>
      </c>
      <c r="H1051">
        <f>Dashboard_Live_Data!V70</f>
        <v>1386.3042211688996</v>
      </c>
    </row>
    <row r="1052" spans="1:8">
      <c r="A1052">
        <f>Dashboard_Live_Data!O71</f>
        <v>-25.5</v>
      </c>
      <c r="B1052">
        <f>Dashboard_Live_Data!P71</f>
        <v>2673.3327627608296</v>
      </c>
      <c r="C1052">
        <f>Dashboard_Live_Data!Q71</f>
        <v>-170.00000000000003</v>
      </c>
      <c r="D1052">
        <f>Dashboard_Live_Data!R71</f>
        <v>673.31997391341986</v>
      </c>
      <c r="E1052">
        <f>Dashboard_Live_Data!S71</f>
        <v>-340.00000000000006</v>
      </c>
      <c r="F1052">
        <f>Dashboard_Live_Data!T71</f>
        <v>1396.3201502554145</v>
      </c>
      <c r="G1052">
        <f>Dashboard_Live_Data!U71</f>
        <v>-340.00000000000006</v>
      </c>
      <c r="H1052">
        <f>Dashboard_Live_Data!V71</f>
        <v>1341.6573341548174</v>
      </c>
    </row>
    <row r="1053" spans="1:8">
      <c r="A1053">
        <f>Dashboard_Live_Data!O72</f>
        <v>-25.020000000000003</v>
      </c>
      <c r="B1053">
        <f>Dashboard_Live_Data!P72</f>
        <v>2673.1530117412094</v>
      </c>
      <c r="C1053">
        <f>Dashboard_Live_Data!Q72</f>
        <v>-166.8</v>
      </c>
      <c r="D1053">
        <f>Dashboard_Live_Data!R72</f>
        <v>656.91769337306016</v>
      </c>
      <c r="E1053">
        <f>Dashboard_Live_Data!S72</f>
        <v>-333.6</v>
      </c>
      <c r="F1053">
        <f>Dashboard_Live_Data!T72</f>
        <v>1352.955216771998</v>
      </c>
      <c r="G1053">
        <f>Dashboard_Live_Data!U72</f>
        <v>-333.6</v>
      </c>
      <c r="H1053">
        <f>Dashboard_Live_Data!V72</f>
        <v>1297.8430231223497</v>
      </c>
    </row>
    <row r="1054" spans="1:8">
      <c r="A1054">
        <f>Dashboard_Live_Data!O73</f>
        <v>-24.479999999999997</v>
      </c>
      <c r="B1054">
        <f>Dashboard_Live_Data!P73</f>
        <v>2672.9548746686619</v>
      </c>
      <c r="C1054">
        <f>Dashboard_Live_Data!Q73</f>
        <v>-163.19999999999996</v>
      </c>
      <c r="D1054">
        <f>Dashboard_Live_Data!R73</f>
        <v>638.83768550308218</v>
      </c>
      <c r="E1054">
        <f>Dashboard_Live_Data!S73</f>
        <v>-326.39999999999992</v>
      </c>
      <c r="F1054">
        <f>Dashboard_Live_Data!T73</f>
        <v>1305.154648019864</v>
      </c>
      <c r="G1054">
        <f>Dashboard_Live_Data!U73</f>
        <v>-326.39999999999992</v>
      </c>
      <c r="H1054">
        <f>Dashboard_Live_Data!V73</f>
        <v>1249.5471116888466</v>
      </c>
    </row>
    <row r="1055" spans="1:8">
      <c r="A1055">
        <f>Dashboard_Live_Data!O74</f>
        <v>-24</v>
      </c>
      <c r="B1055">
        <f>Dashboard_Live_Data!P74</f>
        <v>2672.7823820037529</v>
      </c>
      <c r="C1055">
        <f>Dashboard_Live_Data!Q74</f>
        <v>-160</v>
      </c>
      <c r="D1055">
        <f>Dashboard_Live_Data!R74</f>
        <v>623.09772983014795</v>
      </c>
      <c r="E1055">
        <f>Dashboard_Live_Data!S74</f>
        <v>-320</v>
      </c>
      <c r="F1055">
        <f>Dashboard_Live_Data!T74</f>
        <v>1263.5407926106002</v>
      </c>
      <c r="G1055">
        <f>Dashboard_Live_Data!U74</f>
        <v>-320</v>
      </c>
      <c r="H1055">
        <f>Dashboard_Live_Data!V74</f>
        <v>1207.5020246173106</v>
      </c>
    </row>
    <row r="1056" spans="1:8">
      <c r="A1056">
        <f>Dashboard_Live_Data!O75</f>
        <v>-23.520000000000003</v>
      </c>
      <c r="B1056">
        <f>Dashboard_Live_Data!P75</f>
        <v>2672.6133050351787</v>
      </c>
      <c r="C1056">
        <f>Dashboard_Live_Data!Q75</f>
        <v>-156.80000000000001</v>
      </c>
      <c r="D1056">
        <f>Dashboard_Live_Data!R75</f>
        <v>607.66945644776706</v>
      </c>
      <c r="E1056">
        <f>Dashboard_Live_Data!S75</f>
        <v>-313.60000000000002</v>
      </c>
      <c r="F1056">
        <f>Dashboard_Live_Data!T75</f>
        <v>1222.750973942113</v>
      </c>
      <c r="G1056">
        <f>Dashboard_Live_Data!U75</f>
        <v>-313.60000000000002</v>
      </c>
      <c r="H1056">
        <f>Dashboard_Live_Data!V75</f>
        <v>1166.2895135273884</v>
      </c>
    </row>
    <row r="1057" spans="1:8">
      <c r="A1057">
        <f>Dashboard_Live_Data!O76</f>
        <v>-22.980000000000004</v>
      </c>
      <c r="B1057">
        <f>Dashboard_Live_Data!P76</f>
        <v>2672.4271762700582</v>
      </c>
      <c r="C1057">
        <f>Dashboard_Live_Data!Q76</f>
        <v>-153.19999999999999</v>
      </c>
      <c r="D1057">
        <f>Dashboard_Live_Data!R76</f>
        <v>590.68520663051504</v>
      </c>
      <c r="E1057">
        <f>Dashboard_Live_Data!S76</f>
        <v>-306.39999999999998</v>
      </c>
      <c r="F1057">
        <f>Dashboard_Live_Data!T76</f>
        <v>1177.8474093567754</v>
      </c>
      <c r="G1057">
        <f>Dashboard_Live_Data!U76</f>
        <v>-306.39999999999998</v>
      </c>
      <c r="H1057">
        <f>Dashboard_Live_Data!V76</f>
        <v>1120.9206270292493</v>
      </c>
    </row>
    <row r="1058" spans="1:8">
      <c r="A1058">
        <f>Dashboard_Live_Data!O77</f>
        <v>-22.5</v>
      </c>
      <c r="B1058">
        <f>Dashboard_Live_Data!P77</f>
        <v>2672.2653576561956</v>
      </c>
      <c r="C1058">
        <f>Dashboard_Live_Data!Q77</f>
        <v>-150</v>
      </c>
      <c r="D1058">
        <f>Dashboard_Live_Data!R77</f>
        <v>575.91925811555939</v>
      </c>
      <c r="E1058">
        <f>Dashboard_Live_Data!S77</f>
        <v>-300</v>
      </c>
      <c r="F1058">
        <f>Dashboard_Live_Data!T77</f>
        <v>1138.8086687624409</v>
      </c>
      <c r="G1058">
        <f>Dashboard_Live_Data!U77</f>
        <v>-300</v>
      </c>
      <c r="H1058">
        <f>Dashboard_Live_Data!V77</f>
        <v>1081.4773399002586</v>
      </c>
    </row>
    <row r="1059" spans="1:8">
      <c r="A1059">
        <f>Dashboard_Live_Data!O78</f>
        <v>-22.019999999999996</v>
      </c>
      <c r="B1059">
        <f>Dashboard_Live_Data!P78</f>
        <v>2672.1069547386678</v>
      </c>
      <c r="C1059">
        <f>Dashboard_Live_Data!Q78</f>
        <v>-146.80000000000001</v>
      </c>
      <c r="D1059">
        <f>Dashboard_Live_Data!R78</f>
        <v>561.46499189115696</v>
      </c>
      <c r="E1059">
        <f>Dashboard_Live_Data!S78</f>
        <v>-293.60000000000002</v>
      </c>
      <c r="F1059">
        <f>Dashboard_Live_Data!T78</f>
        <v>1100.5939649088839</v>
      </c>
      <c r="G1059">
        <f>Dashboard_Live_Data!U78</f>
        <v>-293.60000000000002</v>
      </c>
      <c r="H1059">
        <f>Dashboard_Live_Data!V78</f>
        <v>1042.8666287528822</v>
      </c>
    </row>
    <row r="1060" spans="1:8">
      <c r="A1060">
        <f>Dashboard_Live_Data!O79</f>
        <v>-21.479999999999997</v>
      </c>
      <c r="B1060">
        <f>Dashboard_Live_Data!P79</f>
        <v>2671.9328342809749</v>
      </c>
      <c r="C1060">
        <f>Dashboard_Live_Data!Q79</f>
        <v>-143.19999999999999</v>
      </c>
      <c r="D1060">
        <f>Dashboard_Live_Data!R79</f>
        <v>545.576500126631</v>
      </c>
      <c r="E1060">
        <f>Dashboard_Live_Data!S79</f>
        <v>-286.39999999999998</v>
      </c>
      <c r="F1060">
        <f>Dashboard_Live_Data!T79</f>
        <v>1058.5874044903424</v>
      </c>
      <c r="G1060">
        <f>Dashboard_Live_Data!U79</f>
        <v>-286.39999999999998</v>
      </c>
      <c r="H1060">
        <f>Dashboard_Live_Data!V79</f>
        <v>1000.4247671901072</v>
      </c>
    </row>
    <row r="1061" spans="1:8">
      <c r="A1061">
        <f>Dashboard_Live_Data!O80</f>
        <v>-21</v>
      </c>
      <c r="B1061">
        <f>Dashboard_Live_Data!P80</f>
        <v>2671.7816897181583</v>
      </c>
      <c r="C1061">
        <f>Dashboard_Live_Data!Q80</f>
        <v>-140</v>
      </c>
      <c r="D1061">
        <f>Dashboard_Live_Data!R80</f>
        <v>531.78455876965381</v>
      </c>
      <c r="E1061">
        <f>Dashboard_Live_Data!S80</f>
        <v>-280</v>
      </c>
      <c r="F1061">
        <f>Dashboard_Live_Data!T80</f>
        <v>1022.1237787109374</v>
      </c>
      <c r="G1061">
        <f>Dashboard_Live_Data!U80</f>
        <v>-280</v>
      </c>
      <c r="H1061">
        <f>Dashboard_Live_Data!V80</f>
        <v>963.58328000366168</v>
      </c>
    </row>
    <row r="1062" spans="1:8">
      <c r="A1062">
        <f>Dashboard_Live_Data!O81</f>
        <v>-20.520000000000003</v>
      </c>
      <c r="B1062">
        <f>Dashboard_Live_Data!P81</f>
        <v>2671.6339608516769</v>
      </c>
      <c r="C1062">
        <f>Dashboard_Live_Data!Q81</f>
        <v>-136.80000000000001</v>
      </c>
      <c r="D1062">
        <f>Dashboard_Live_Data!R81</f>
        <v>518.30429970323007</v>
      </c>
      <c r="E1062">
        <f>Dashboard_Live_Data!S81</f>
        <v>-273.60000000000002</v>
      </c>
      <c r="F1062">
        <f>Dashboard_Live_Data!T81</f>
        <v>986.48418967231009</v>
      </c>
      <c r="G1062">
        <f>Dashboard_Live_Data!U81</f>
        <v>-273.60000000000002</v>
      </c>
      <c r="H1062">
        <f>Dashboard_Live_Data!V81</f>
        <v>927.57436879883096</v>
      </c>
    </row>
    <row r="1063" spans="1:8">
      <c r="A1063">
        <f>Dashboard_Live_Data!O82</f>
        <v>-19.979999999999997</v>
      </c>
      <c r="B1063">
        <f>Dashboard_Live_Data!P82</f>
        <v>2671.4718487014106</v>
      </c>
      <c r="C1063">
        <f>Dashboard_Live_Data!Q82</f>
        <v>-133.19999999999999</v>
      </c>
      <c r="D1063">
        <f>Dashboard_Live_Data!R82</f>
        <v>503.51156599142996</v>
      </c>
      <c r="E1063">
        <f>Dashboard_Live_Data!S82</f>
        <v>-266.39999999999998</v>
      </c>
      <c r="F1063">
        <f>Dashboard_Live_Data!T82</f>
        <v>947.37463342056446</v>
      </c>
      <c r="G1063">
        <f>Dashboard_Live_Data!U82</f>
        <v>-266.39999999999998</v>
      </c>
      <c r="H1063">
        <f>Dashboard_Live_Data!V82</f>
        <v>888.05953217141951</v>
      </c>
    </row>
    <row r="1064" spans="1:8">
      <c r="A1064">
        <f>Dashboard_Live_Data!O83</f>
        <v>-19.5</v>
      </c>
      <c r="B1064">
        <f>Dashboard_Live_Data!P83</f>
        <v>2671.3313781896409</v>
      </c>
      <c r="C1064">
        <f>Dashboard_Live_Data!Q83</f>
        <v>-130</v>
      </c>
      <c r="D1064">
        <f>Dashboard_Live_Data!R83</f>
        <v>490.69363179243157</v>
      </c>
      <c r="E1064">
        <f>Dashboard_Live_Data!S83</f>
        <v>-260</v>
      </c>
      <c r="F1064">
        <f>Dashboard_Live_Data!T83</f>
        <v>913.48612245608945</v>
      </c>
      <c r="G1064">
        <f>Dashboard_Live_Data!U83</f>
        <v>-260</v>
      </c>
      <c r="H1064">
        <f>Dashboard_Live_Data!V83</f>
        <v>853.81984492751985</v>
      </c>
    </row>
    <row r="1065" spans="1:8">
      <c r="A1065">
        <f>Dashboard_Live_Data!O84</f>
        <v>-19.019999999999996</v>
      </c>
      <c r="B1065">
        <f>Dashboard_Live_Data!P84</f>
        <v>2671.1943233742059</v>
      </c>
      <c r="C1065">
        <f>Dashboard_Live_Data!Q84</f>
        <v>-126.79999999999995</v>
      </c>
      <c r="D1065">
        <f>Dashboard_Live_Data!R84</f>
        <v>478.18737988398607</v>
      </c>
      <c r="E1065">
        <f>Dashboard_Live_Data!S84</f>
        <v>-253.59999999999991</v>
      </c>
      <c r="F1065">
        <f>Dashboard_Live_Data!T84</f>
        <v>880.42164823239102</v>
      </c>
      <c r="G1065">
        <f>Dashboard_Live_Data!U84</f>
        <v>-253.59999999999991</v>
      </c>
      <c r="H1065">
        <f>Dashboard_Live_Data!V84</f>
        <v>820.4127336652341</v>
      </c>
    </row>
    <row r="1066" spans="1:8">
      <c r="A1066">
        <f>Dashboard_Live_Data!O85</f>
        <v>-18.480000000000004</v>
      </c>
      <c r="B1066">
        <f>Dashboard_Live_Data!P85</f>
        <v>2671.0442195313667</v>
      </c>
      <c r="C1066">
        <f>Dashboard_Live_Data!Q85</f>
        <v>-123.20000000000005</v>
      </c>
      <c r="D1066">
        <f>Dashboard_Live_Data!R85</f>
        <v>464.49040422491237</v>
      </c>
      <c r="E1066">
        <f>Dashboard_Live_Data!S85</f>
        <v>-246.40000000000009</v>
      </c>
      <c r="F1066">
        <f>Dashboard_Live_Data!T85</f>
        <v>844.20909614744266</v>
      </c>
      <c r="G1066">
        <f>Dashboard_Live_Data!U85</f>
        <v>-246.40000000000009</v>
      </c>
      <c r="H1066">
        <f>Dashboard_Live_Data!V85</f>
        <v>783.82492197318754</v>
      </c>
    </row>
    <row r="1067" spans="1:8">
      <c r="A1067">
        <f>Dashboard_Live_Data!O86</f>
        <v>-18</v>
      </c>
      <c r="B1067">
        <f>Dashboard_Live_Data!P86</f>
        <v>2670.9144230706429</v>
      </c>
      <c r="C1067">
        <f>Dashboard_Live_Data!Q86</f>
        <v>-120</v>
      </c>
      <c r="D1067">
        <f>Dashboard_Live_Data!R86</f>
        <v>452.64647718389233</v>
      </c>
      <c r="E1067">
        <f>Dashboard_Live_Data!S86</f>
        <v>-240</v>
      </c>
      <c r="F1067">
        <f>Dashboard_Live_Data!T86</f>
        <v>812.8956999978966</v>
      </c>
      <c r="G1067">
        <f>Dashboard_Live_Data!U86</f>
        <v>-240</v>
      </c>
      <c r="H1067">
        <f>Dashboard_Live_Data!V86</f>
        <v>752.18703467183286</v>
      </c>
    </row>
    <row r="1068" spans="1:8">
      <c r="A1068">
        <f>Dashboard_Live_Data!O87</f>
        <v>-17.520000000000003</v>
      </c>
      <c r="B1068">
        <f>Dashboard_Live_Data!P87</f>
        <v>2670.7880423062543</v>
      </c>
      <c r="C1068">
        <f>Dashboard_Live_Data!Q87</f>
        <v>-116.80000000000001</v>
      </c>
      <c r="D1068">
        <f>Dashboard_Live_Data!R87</f>
        <v>441.11423243342574</v>
      </c>
      <c r="E1068">
        <f>Dashboard_Live_Data!S87</f>
        <v>-233.60000000000002</v>
      </c>
      <c r="F1068">
        <f>Dashboard_Live_Data!T87</f>
        <v>782.4063405891286</v>
      </c>
      <c r="G1068">
        <f>Dashboard_Live_Data!U87</f>
        <v>-233.60000000000002</v>
      </c>
      <c r="H1068">
        <f>Dashboard_Live_Data!V87</f>
        <v>721.38172335209333</v>
      </c>
    </row>
    <row r="1069" spans="1:8">
      <c r="A1069">
        <f>Dashboard_Live_Data!O88</f>
        <v>-16.979999999999997</v>
      </c>
      <c r="B1069">
        <f>Dashboard_Live_Data!P88</f>
        <v>2670.6499467708427</v>
      </c>
      <c r="C1069">
        <f>Dashboard_Live_Data!Q88</f>
        <v>-113.19999999999999</v>
      </c>
      <c r="D1069">
        <f>Dashboard_Live_Data!R88</f>
        <v>428.51301482707748</v>
      </c>
      <c r="E1069">
        <f>Dashboard_Live_Data!S88</f>
        <v>-226.39999999999998</v>
      </c>
      <c r="F1069">
        <f>Dashboard_Live_Data!T88</f>
        <v>749.09079267097502</v>
      </c>
      <c r="G1069">
        <f>Dashboard_Live_Data!U88</f>
        <v>-226.39999999999998</v>
      </c>
      <c r="H1069">
        <f>Dashboard_Live_Data!V88</f>
        <v>687.72093659540951</v>
      </c>
    </row>
    <row r="1070" spans="1:8">
      <c r="A1070">
        <f>Dashboard_Live_Data!O89</f>
        <v>-16.5</v>
      </c>
      <c r="B1070">
        <f>Dashboard_Live_Data!P89</f>
        <v>2670.5308243611653</v>
      </c>
      <c r="C1070">
        <f>Dashboard_Live_Data!Q89</f>
        <v>-110</v>
      </c>
      <c r="D1070">
        <f>Dashboard_Live_Data!R89</f>
        <v>417.64309494403631</v>
      </c>
      <c r="E1070">
        <f>Dashboard_Live_Data!S89</f>
        <v>-220</v>
      </c>
      <c r="F1070">
        <f>Dashboard_Live_Data!T89</f>
        <v>720.35251133635927</v>
      </c>
      <c r="G1070">
        <f>Dashboard_Live_Data!U89</f>
        <v>-220</v>
      </c>
      <c r="H1070">
        <f>Dashboard_Live_Data!V89</f>
        <v>658.68484923660094</v>
      </c>
    </row>
    <row r="1071" spans="1:8">
      <c r="A1071">
        <f>Dashboard_Live_Data!O90</f>
        <v>-16.020000000000003</v>
      </c>
      <c r="B1071">
        <f>Dashboard_Live_Data!P90</f>
        <v>2670.4151176478226</v>
      </c>
      <c r="C1071">
        <f>Dashboard_Live_Data!Q90</f>
        <v>-106.80000000000001</v>
      </c>
      <c r="D1071">
        <f>Dashboard_Live_Data!R90</f>
        <v>407.08485735154818</v>
      </c>
      <c r="E1071">
        <f>Dashboard_Live_Data!S90</f>
        <v>-213.60000000000002</v>
      </c>
      <c r="F1071">
        <f>Dashboard_Live_Data!T90</f>
        <v>692.43826674252091</v>
      </c>
      <c r="G1071">
        <f>Dashboard_Live_Data!U90</f>
        <v>-213.60000000000002</v>
      </c>
      <c r="H1071">
        <f>Dashboard_Live_Data!V90</f>
        <v>630.48133785940684</v>
      </c>
    </row>
    <row r="1072" spans="1:8">
      <c r="A1072">
        <f>Dashboard_Live_Data!O91</f>
        <v>-15.480000000000004</v>
      </c>
      <c r="B1072">
        <f>Dashboard_Live_Data!P91</f>
        <v>2670.2890304198377</v>
      </c>
      <c r="C1072">
        <f>Dashboard_Live_Data!Q91</f>
        <v>-103.19999999999999</v>
      </c>
      <c r="D1072">
        <f>Dashboard_Live_Data!R91</f>
        <v>395.57939779792588</v>
      </c>
      <c r="E1072">
        <f>Dashboard_Live_Data!S91</f>
        <v>-206.39999999999998</v>
      </c>
      <c r="F1072">
        <f>Dashboard_Live_Data!T91</f>
        <v>662.01972299116323</v>
      </c>
      <c r="G1072">
        <f>Dashboard_Live_Data!U91</f>
        <v>-206.39999999999998</v>
      </c>
      <c r="H1072">
        <f>Dashboard_Live_Data!V91</f>
        <v>599.74757603808689</v>
      </c>
    </row>
    <row r="1073" spans="1:8">
      <c r="A1073">
        <f>Dashboard_Live_Data!O92</f>
        <v>-15</v>
      </c>
      <c r="B1073">
        <f>Dashboard_Live_Data!P92</f>
        <v>2670.1805820612071</v>
      </c>
      <c r="C1073">
        <f>Dashboard_Live_Data!Q92</f>
        <v>-100</v>
      </c>
      <c r="D1073">
        <f>Dashboard_Live_Data!R92</f>
        <v>385.68348507286333</v>
      </c>
      <c r="E1073">
        <f>Dashboard_Live_Data!S92</f>
        <v>-200</v>
      </c>
      <c r="F1073">
        <f>Dashboard_Live_Data!T92</f>
        <v>635.85655647147735</v>
      </c>
      <c r="G1073">
        <f>Dashboard_Live_Data!U92</f>
        <v>-200</v>
      </c>
      <c r="H1073">
        <f>Dashboard_Live_Data!V92</f>
        <v>573.31328862182386</v>
      </c>
    </row>
    <row r="1074" spans="1:8">
      <c r="A1074">
        <f>Dashboard_Live_Data!O93</f>
        <v>-14.519999999999996</v>
      </c>
      <c r="B1074">
        <f>Dashboard_Live_Data!P93</f>
        <v>2670.0755493989109</v>
      </c>
      <c r="C1074">
        <f>Dashboard_Live_Data!Q93</f>
        <v>-96.800000000000011</v>
      </c>
      <c r="D1074">
        <f>Dashboard_Live_Data!R93</f>
        <v>376.09925463835384</v>
      </c>
      <c r="E1074">
        <f>Dashboard_Live_Data!S93</f>
        <v>-193.60000000000002</v>
      </c>
      <c r="F1074">
        <f>Dashboard_Live_Data!T93</f>
        <v>610.51742669256885</v>
      </c>
      <c r="G1074">
        <f>Dashboard_Live_Data!U93</f>
        <v>-193.60000000000002</v>
      </c>
      <c r="H1074">
        <f>Dashboard_Live_Data!V93</f>
        <v>547.71157718717541</v>
      </c>
    </row>
    <row r="1075" spans="1:8">
      <c r="A1075">
        <f>Dashboard_Live_Data!O94</f>
        <v>-13.979999999999997</v>
      </c>
      <c r="B1075">
        <f>Dashboard_Live_Data!P94</f>
        <v>2669.9614704783535</v>
      </c>
      <c r="C1075">
        <f>Dashboard_Live_Data!Q94</f>
        <v>-93.199999999999989</v>
      </c>
      <c r="D1075">
        <f>Dashboard_Live_Data!R94</f>
        <v>365.68955313745749</v>
      </c>
      <c r="E1075">
        <f>Dashboard_Live_Data!S94</f>
        <v>-186.39999999999998</v>
      </c>
      <c r="F1075">
        <f>Dashboard_Live_Data!T94</f>
        <v>582.9958871080072</v>
      </c>
      <c r="G1075">
        <f>Dashboard_Live_Data!U94</f>
        <v>-186.39999999999998</v>
      </c>
      <c r="H1075">
        <f>Dashboard_Live_Data!V94</f>
        <v>519.90484030121934</v>
      </c>
    </row>
    <row r="1076" spans="1:8">
      <c r="A1076">
        <f>Dashboard_Live_Data!O95</f>
        <v>-13.5</v>
      </c>
      <c r="B1076">
        <f>Dashboard_Live_Data!P95</f>
        <v>2669.8636961707689</v>
      </c>
      <c r="C1076">
        <f>Dashboard_Live_Data!Q95</f>
        <v>-90</v>
      </c>
      <c r="D1076">
        <f>Dashboard_Live_Data!R95</f>
        <v>356.76764757037353</v>
      </c>
      <c r="E1076">
        <f>Dashboard_Live_Data!S95</f>
        <v>-180</v>
      </c>
      <c r="F1076">
        <f>Dashboard_Live_Data!T95</f>
        <v>559.40783540325083</v>
      </c>
      <c r="G1076">
        <f>Dashboard_Live_Data!U95</f>
        <v>-180</v>
      </c>
      <c r="H1076">
        <f>Dashboard_Live_Data!V95</f>
        <v>496.07235282750179</v>
      </c>
    </row>
    <row r="1077" spans="1:8">
      <c r="A1077">
        <f>Dashboard_Live_Data!O96</f>
        <v>-13.019999999999996</v>
      </c>
      <c r="B1077">
        <f>Dashboard_Live_Data!P96</f>
        <v>2669.769337559519</v>
      </c>
      <c r="C1077">
        <f>Dashboard_Live_Data!Q96</f>
        <v>-86.800000000000011</v>
      </c>
      <c r="D1077">
        <f>Dashboard_Live_Data!R96</f>
        <v>348.15742429384272</v>
      </c>
      <c r="E1077">
        <f>Dashboard_Live_Data!S96</f>
        <v>-173.60000000000002</v>
      </c>
      <c r="F1077">
        <f>Dashboard_Live_Data!T96</f>
        <v>536.64382043927219</v>
      </c>
      <c r="G1077">
        <f>Dashboard_Live_Data!U96</f>
        <v>-173.60000000000002</v>
      </c>
      <c r="H1077">
        <f>Dashboard_Live_Data!V96</f>
        <v>473.07244133539882</v>
      </c>
    </row>
    <row r="1078" spans="1:8">
      <c r="A1078">
        <f>Dashboard_Live_Data!O97</f>
        <v>-12.479999999999997</v>
      </c>
      <c r="B1078">
        <f>Dashboard_Live_Data!P97</f>
        <v>2669.6672669463883</v>
      </c>
      <c r="C1078">
        <f>Dashboard_Live_Data!Q97</f>
        <v>-83.199999999999989</v>
      </c>
      <c r="D1078">
        <f>Dashboard_Live_Data!R97</f>
        <v>338.84348084567222</v>
      </c>
      <c r="E1078">
        <f>Dashboard_Live_Data!S97</f>
        <v>-166.39999999999998</v>
      </c>
      <c r="F1078">
        <f>Dashboard_Live_Data!T97</f>
        <v>512.01928502150633</v>
      </c>
      <c r="G1078">
        <f>Dashboard_Live_Data!U97</f>
        <v>-166.39999999999998</v>
      </c>
      <c r="H1078">
        <f>Dashboard_Live_Data!V97</f>
        <v>448.19272938480651</v>
      </c>
    </row>
    <row r="1079" spans="1:8">
      <c r="A1079">
        <f>Dashboard_Live_Data!O98</f>
        <v>-12</v>
      </c>
      <c r="B1079">
        <f>Dashboard_Live_Data!P98</f>
        <v>2669.5801666898506</v>
      </c>
      <c r="C1079">
        <f>Dashboard_Live_Data!Q98</f>
        <v>-80</v>
      </c>
      <c r="D1079">
        <f>Dashboard_Live_Data!R98</f>
        <v>330.89558243656683</v>
      </c>
      <c r="E1079">
        <f>Dashboard_Live_Data!S98</f>
        <v>-160</v>
      </c>
      <c r="F1079">
        <f>Dashboard_Live_Data!T98</f>
        <v>491.00634813167994</v>
      </c>
      <c r="G1079">
        <f>Dashboard_Live_Data!U98</f>
        <v>-160</v>
      </c>
      <c r="H1079">
        <f>Dashboard_Live_Data!V98</f>
        <v>426.96204185363462</v>
      </c>
    </row>
    <row r="1080" spans="1:8">
      <c r="A1080">
        <f>Dashboard_Live_Data!O99</f>
        <v>-11.519999999999996</v>
      </c>
      <c r="B1080">
        <f>Dashboard_Live_Data!P99</f>
        <v>2669.4964821296471</v>
      </c>
      <c r="C1080">
        <f>Dashboard_Live_Data!Q99</f>
        <v>-76.799999999999955</v>
      </c>
      <c r="D1080">
        <f>Dashboard_Live_Data!R99</f>
        <v>323.25936631801449</v>
      </c>
      <c r="E1080">
        <f>Dashboard_Live_Data!S99</f>
        <v>-153.59999999999991</v>
      </c>
      <c r="F1080">
        <f>Dashboard_Live_Data!T99</f>
        <v>470.81744798263048</v>
      </c>
      <c r="G1080">
        <f>Dashboard_Live_Data!U99</f>
        <v>-153.59999999999991</v>
      </c>
      <c r="H1080">
        <f>Dashboard_Live_Data!V99</f>
        <v>406.56393030407702</v>
      </c>
    </row>
    <row r="1081" spans="1:8">
      <c r="A1081">
        <f>Dashboard_Live_Data!O100</f>
        <v>-10.980000000000004</v>
      </c>
      <c r="B1081">
        <f>Dashboard_Live_Data!P100</f>
        <v>2669.4064198239439</v>
      </c>
      <c r="C1081">
        <f>Dashboard_Live_Data!Q100</f>
        <v>-73.200000000000045</v>
      </c>
      <c r="D1081">
        <f>Dashboard_Live_Data!R100</f>
        <v>315.04118092257016</v>
      </c>
      <c r="E1081">
        <f>Dashboard_Live_Data!S100</f>
        <v>-146.40000000000009</v>
      </c>
      <c r="F1081">
        <f>Dashboard_Live_Data!T100</f>
        <v>449.08991673166133</v>
      </c>
      <c r="G1081">
        <f>Dashboard_Live_Data!U100</f>
        <v>-146.40000000000009</v>
      </c>
      <c r="H1081">
        <f>Dashboard_Live_Data!V100</f>
        <v>384.6112432888491</v>
      </c>
    </row>
    <row r="1082" spans="1:8">
      <c r="A1082">
        <f>Dashboard_Live_Data!O101</f>
        <v>-10.5</v>
      </c>
      <c r="B1082">
        <f>Dashboard_Live_Data!P101</f>
        <v>2669.3299936184521</v>
      </c>
      <c r="C1082">
        <f>Dashboard_Live_Data!Q101</f>
        <v>-70</v>
      </c>
      <c r="D1082">
        <f>Dashboard_Live_Data!R101</f>
        <v>308.06728967144329</v>
      </c>
      <c r="E1082">
        <f>Dashboard_Live_Data!S101</f>
        <v>-140</v>
      </c>
      <c r="F1082">
        <f>Dashboard_Live_Data!T101</f>
        <v>430.65209465676418</v>
      </c>
      <c r="G1082">
        <f>Dashboard_Live_Data!U101</f>
        <v>-140</v>
      </c>
      <c r="H1082">
        <f>Dashboard_Live_Data!V101</f>
        <v>365.98235570022246</v>
      </c>
    </row>
    <row r="1083" spans="1:8">
      <c r="A1083">
        <f>Dashboard_Live_Data!O102</f>
        <v>-10.020000000000003</v>
      </c>
      <c r="B1083">
        <f>Dashboard_Live_Data!P102</f>
        <v>2669.2569831092951</v>
      </c>
      <c r="C1083">
        <f>Dashboard_Live_Data!Q102</f>
        <v>-66.800000000000011</v>
      </c>
      <c r="D1083">
        <f>Dashboard_Live_Data!R102</f>
        <v>301.40508071086964</v>
      </c>
      <c r="E1083">
        <f>Dashboard_Live_Data!S102</f>
        <v>-133.60000000000002</v>
      </c>
      <c r="F1083">
        <f>Dashboard_Live_Data!T102</f>
        <v>413.03830932264486</v>
      </c>
      <c r="G1083">
        <f>Dashboard_Live_Data!U102</f>
        <v>-133.60000000000002</v>
      </c>
      <c r="H1083">
        <f>Dashboard_Live_Data!V102</f>
        <v>348.18604409321068</v>
      </c>
    </row>
    <row r="1084" spans="1:8">
      <c r="A1084">
        <f>Dashboard_Live_Data!O103</f>
        <v>-9.480000000000004</v>
      </c>
      <c r="B1084">
        <f>Dashboard_Live_Data!P103</f>
        <v>2669.1789291110185</v>
      </c>
      <c r="C1084">
        <f>Dashboard_Live_Data!Q103</f>
        <v>-63.199999999999989</v>
      </c>
      <c r="D1084">
        <f>Dashboard_Live_Data!R103</f>
        <v>294.2826533681511</v>
      </c>
      <c r="E1084">
        <f>Dashboard_Live_Data!S103</f>
        <v>-126.39999999999998</v>
      </c>
      <c r="F1084">
        <f>Dashboard_Live_Data!T103</f>
        <v>394.20778223847111</v>
      </c>
      <c r="G1084">
        <f>Dashboard_Live_Data!U103</f>
        <v>-126.39999999999998</v>
      </c>
      <c r="H1084">
        <f>Dashboard_Live_Data!V103</f>
        <v>329.16038201334601</v>
      </c>
    </row>
    <row r="1085" spans="1:8">
      <c r="A1085">
        <f>Dashboard_Live_Data!O104</f>
        <v>-9</v>
      </c>
      <c r="B1085">
        <f>Dashboard_Live_Data!P104</f>
        <v>2669.1131769565732</v>
      </c>
      <c r="C1085">
        <f>Dashboard_Live_Data!Q104</f>
        <v>-60</v>
      </c>
      <c r="D1085">
        <f>Dashboard_Live_Data!R104</f>
        <v>288.28276927500292</v>
      </c>
      <c r="E1085">
        <f>Dashboard_Live_Data!S104</f>
        <v>-120</v>
      </c>
      <c r="F1085">
        <f>Dashboard_Live_Data!T104</f>
        <v>378.34507497850399</v>
      </c>
      <c r="G1085">
        <f>Dashboard_Live_Data!U104</f>
        <v>-120</v>
      </c>
      <c r="H1085">
        <f>Dashboard_Live_Data!V104</f>
        <v>313.13329436726525</v>
      </c>
    </row>
    <row r="1086" spans="1:8">
      <c r="A1086">
        <f>Dashboard_Live_Data!O105</f>
        <v>-8.5200000000000031</v>
      </c>
      <c r="B1086">
        <f>Dashboard_Live_Data!P105</f>
        <v>2669.0508404984621</v>
      </c>
      <c r="C1086">
        <f>Dashboard_Live_Data!Q105</f>
        <v>-56.800000000000011</v>
      </c>
      <c r="D1086">
        <f>Dashboard_Live_Data!R105</f>
        <v>282.5945674724079</v>
      </c>
      <c r="E1086">
        <f>Dashboard_Live_Data!S105</f>
        <v>-113.60000000000002</v>
      </c>
      <c r="F1086">
        <f>Dashboard_Live_Data!T105</f>
        <v>363.30640445931436</v>
      </c>
      <c r="G1086">
        <f>Dashboard_Live_Data!U105</f>
        <v>-113.60000000000002</v>
      </c>
      <c r="H1086">
        <f>Dashboard_Live_Data!V105</f>
        <v>297.93878270279907</v>
      </c>
    </row>
    <row r="1087" spans="1:8">
      <c r="A1087">
        <f>Dashboard_Live_Data!O106</f>
        <v>-7.980000000000004</v>
      </c>
      <c r="B1087">
        <f>Dashboard_Live_Data!P106</f>
        <v>2668.9847948076131</v>
      </c>
      <c r="C1087">
        <f>Dashboard_Live_Data!Q106</f>
        <v>-53.199999999999989</v>
      </c>
      <c r="D1087">
        <f>Dashboard_Live_Data!R106</f>
        <v>276.56789818241526</v>
      </c>
      <c r="E1087">
        <f>Dashboard_Live_Data!S106</f>
        <v>-106.39999999999998</v>
      </c>
      <c r="F1087">
        <f>Dashboard_Live_Data!T106</f>
        <v>347.37288154193652</v>
      </c>
      <c r="G1087">
        <f>Dashboard_Live_Data!U106</f>
        <v>-106.39999999999998</v>
      </c>
      <c r="H1087">
        <f>Dashboard_Live_Data!V106</f>
        <v>281.84014555829816</v>
      </c>
    </row>
    <row r="1088" spans="1:8">
      <c r="A1088">
        <f>Dashboard_Live_Data!O107</f>
        <v>-7.5</v>
      </c>
      <c r="B1088">
        <f>Dashboard_Live_Data!P107</f>
        <v>2668.9297167042141</v>
      </c>
      <c r="C1088">
        <f>Dashboard_Live_Data!Q107</f>
        <v>-50</v>
      </c>
      <c r="D1088">
        <f>Dashboard_Live_Data!R107</f>
        <v>271.54202124724566</v>
      </c>
      <c r="E1088">
        <f>Dashboard_Live_Data!S107</f>
        <v>-100</v>
      </c>
      <c r="F1088">
        <f>Dashboard_Live_Data!T107</f>
        <v>334.08528909689915</v>
      </c>
      <c r="G1088">
        <f>Dashboard_Live_Data!U107</f>
        <v>-100</v>
      </c>
      <c r="H1088">
        <f>Dashboard_Live_Data!V107</f>
        <v>268.414857854763</v>
      </c>
    </row>
    <row r="1089" spans="1:8">
      <c r="A1089">
        <f>Dashboard_Live_Data!O108</f>
        <v>-7.019999999999996</v>
      </c>
      <c r="B1089">
        <f>Dashboard_Live_Data!P108</f>
        <v>2668.8780542971494</v>
      </c>
      <c r="C1089">
        <f>Dashboard_Live_Data!Q108</f>
        <v>-46.800000000000011</v>
      </c>
      <c r="D1089">
        <f>Dashboard_Live_Data!R108</f>
        <v>266.82782660262927</v>
      </c>
      <c r="E1089">
        <f>Dashboard_Live_Data!S108</f>
        <v>-93.600000000000023</v>
      </c>
      <c r="F1089">
        <f>Dashboard_Live_Data!T108</f>
        <v>321.62173339263933</v>
      </c>
      <c r="G1089">
        <f>Dashboard_Live_Data!U108</f>
        <v>-93.600000000000023</v>
      </c>
      <c r="H1089">
        <f>Dashboard_Live_Data!V108</f>
        <v>255.82214613284236</v>
      </c>
    </row>
    <row r="1090" spans="1:8">
      <c r="A1090">
        <f>Dashboard_Live_Data!O109</f>
        <v>-6.4799999999999969</v>
      </c>
      <c r="B1090">
        <f>Dashboard_Live_Data!P109</f>
        <v>2668.8240169137275</v>
      </c>
      <c r="C1090">
        <f>Dashboard_Live_Data!Q109</f>
        <v>-43.199999999999989</v>
      </c>
      <c r="D1090">
        <f>Dashboard_Live_Data!R109</f>
        <v>261.89691536536253</v>
      </c>
      <c r="E1090">
        <f>Dashboard_Live_Data!S109</f>
        <v>-86.399999999999977</v>
      </c>
      <c r="F1090">
        <f>Dashboard_Live_Data!T109</f>
        <v>308.58521464205745</v>
      </c>
      <c r="G1090">
        <f>Dashboard_Live_Data!U109</f>
        <v>-86.399999999999977</v>
      </c>
      <c r="H1090">
        <f>Dashboard_Live_Data!V109</f>
        <v>242.6505339237053</v>
      </c>
    </row>
    <row r="1091" spans="1:8">
      <c r="A1091">
        <f>Dashboard_Live_Data!O110</f>
        <v>-6</v>
      </c>
      <c r="B1091">
        <f>Dashboard_Live_Data!P110</f>
        <v>2668.779612861375</v>
      </c>
      <c r="C1091">
        <f>Dashboard_Live_Data!Q110</f>
        <v>-40</v>
      </c>
      <c r="D1091">
        <f>Dashboard_Live_Data!R110</f>
        <v>257.8450455881715</v>
      </c>
      <c r="E1091">
        <f>Dashboard_Live_Data!S110</f>
        <v>-80</v>
      </c>
      <c r="F1091">
        <f>Dashboard_Live_Data!T110</f>
        <v>297.87273701194982</v>
      </c>
      <c r="G1091">
        <f>Dashboard_Live_Data!U110</f>
        <v>-80</v>
      </c>
      <c r="H1091">
        <f>Dashboard_Live_Data!V110</f>
        <v>231.82704616271567</v>
      </c>
    </row>
    <row r="1092" spans="1:8">
      <c r="A1092">
        <f>Dashboard_Live_Data!O111</f>
        <v>-5.519999999999996</v>
      </c>
      <c r="B1092">
        <f>Dashboard_Live_Data!P111</f>
        <v>2668.7386245053572</v>
      </c>
      <c r="C1092">
        <f>Dashboard_Live_Data!Q111</f>
        <v>-36.800000000000011</v>
      </c>
      <c r="D1092">
        <f>Dashboard_Live_Data!R111</f>
        <v>254.10485810153369</v>
      </c>
      <c r="E1092">
        <f>Dashboard_Live_Data!S111</f>
        <v>-73.600000000000023</v>
      </c>
      <c r="F1092">
        <f>Dashboard_Live_Data!T111</f>
        <v>287.98429612261964</v>
      </c>
      <c r="G1092">
        <f>Dashboard_Live_Data!U111</f>
        <v>-73.600000000000023</v>
      </c>
      <c r="H1092">
        <f>Dashboard_Live_Data!V111</f>
        <v>221.83613438334069</v>
      </c>
    </row>
    <row r="1093" spans="1:8">
      <c r="A1093">
        <f>Dashboard_Live_Data!O112</f>
        <v>-4.9799999999999969</v>
      </c>
      <c r="B1093">
        <f>Dashboard_Live_Data!P112</f>
        <v>2668.6965954293619</v>
      </c>
      <c r="C1093">
        <f>Dashboard_Live_Data!Q112</f>
        <v>-33.199999999999989</v>
      </c>
      <c r="D1093">
        <f>Dashboard_Live_Data!R112</f>
        <v>250.26970491699296</v>
      </c>
      <c r="E1093">
        <f>Dashboard_Live_Data!S112</f>
        <v>-66.399999999999977</v>
      </c>
      <c r="F1093">
        <f>Dashboard_Live_Data!T112</f>
        <v>277.84478153883373</v>
      </c>
      <c r="G1093">
        <f>Dashboard_Live_Data!U112</f>
        <v>-66.399999999999977</v>
      </c>
      <c r="H1093">
        <f>Dashboard_Live_Data!V112</f>
        <v>211.59154710956733</v>
      </c>
    </row>
    <row r="1094" spans="1:8">
      <c r="A1094">
        <f>Dashboard_Live_Data!O113</f>
        <v>-4.5</v>
      </c>
      <c r="B1094">
        <f>Dashboard_Live_Data!P113</f>
        <v>2668.6628654280557</v>
      </c>
      <c r="C1094">
        <f>Dashboard_Live_Data!Q113</f>
        <v>-30</v>
      </c>
      <c r="D1094">
        <f>Dashboard_Live_Data!R113</f>
        <v>247.19184229778054</v>
      </c>
      <c r="E1094">
        <f>Dashboard_Live_Data!S113</f>
        <v>-60</v>
      </c>
      <c r="F1094">
        <f>Dashboard_Live_Data!T113</f>
        <v>269.70741872365579</v>
      </c>
      <c r="G1094">
        <f>Dashboard_Live_Data!U113</f>
        <v>-60</v>
      </c>
      <c r="H1094">
        <f>Dashboard_Live_Data!V113</f>
        <v>203.36985929112333</v>
      </c>
    </row>
    <row r="1095" spans="1:8">
      <c r="A1095">
        <f>Dashboard_Live_Data!O114</f>
        <v>-4.019999999999996</v>
      </c>
      <c r="B1095">
        <f>Dashboard_Live_Data!P114</f>
        <v>2668.6325511230839</v>
      </c>
      <c r="C1095">
        <f>Dashboard_Live_Data!Q114</f>
        <v>-26.799999999999955</v>
      </c>
      <c r="D1095">
        <f>Dashboard_Live_Data!R114</f>
        <v>244.42566196912128</v>
      </c>
      <c r="E1095">
        <f>Dashboard_Live_Data!S114</f>
        <v>-53.599999999999909</v>
      </c>
      <c r="F1095">
        <f>Dashboard_Live_Data!T114</f>
        <v>262.3940926492553</v>
      </c>
      <c r="G1095">
        <f>Dashboard_Live_Data!U114</f>
        <v>-53.599999999999909</v>
      </c>
      <c r="H1095">
        <f>Dashboard_Live_Data!V114</f>
        <v>195.98074745429378</v>
      </c>
    </row>
    <row r="1096" spans="1:8">
      <c r="A1096">
        <f>Dashboard_Live_Data!O115</f>
        <v>-3.480000000000004</v>
      </c>
      <c r="B1096">
        <f>Dashboard_Live_Data!P115</f>
        <v>2668.6025303545161</v>
      </c>
      <c r="C1096">
        <f>Dashboard_Live_Data!Q115</f>
        <v>-23.200000000000045</v>
      </c>
      <c r="D1096">
        <f>Dashboard_Live_Data!R115</f>
        <v>241.68626683730656</v>
      </c>
      <c r="E1096">
        <f>Dashboard_Live_Data!S115</f>
        <v>-46.400000000000091</v>
      </c>
      <c r="F1096">
        <f>Dashboard_Live_Data!T115</f>
        <v>255.15158223226561</v>
      </c>
      <c r="G1096">
        <f>Dashboard_Live_Data!U115</f>
        <v>-46.400000000000091</v>
      </c>
      <c r="H1096">
        <f>Dashboard_Live_Data!V115</f>
        <v>188.66318511588446</v>
      </c>
    </row>
    <row r="1097" spans="1:8">
      <c r="A1097">
        <f>Dashboard_Live_Data!O116</f>
        <v>-3</v>
      </c>
      <c r="B1097">
        <f>Dashboard_Live_Data!P116</f>
        <v>2668.579474404256</v>
      </c>
      <c r="C1097">
        <f>Dashboard_Live_Data!Q116</f>
        <v>-20</v>
      </c>
      <c r="D1097">
        <f>Dashboard_Live_Data!R116</f>
        <v>239.58241137607271</v>
      </c>
      <c r="E1097">
        <f>Dashboard_Live_Data!S116</f>
        <v>-40</v>
      </c>
      <c r="F1097">
        <f>Dashboard_Live_Data!T116</f>
        <v>249.58933423201725</v>
      </c>
      <c r="G1097">
        <f>Dashboard_Live_Data!U116</f>
        <v>-40</v>
      </c>
      <c r="H1097">
        <f>Dashboard_Live_Data!V116</f>
        <v>183.04329723998595</v>
      </c>
    </row>
    <row r="1098" spans="1:8">
      <c r="A1098">
        <f>Dashboard_Live_Data!O117</f>
        <v>-2.5200000000000031</v>
      </c>
      <c r="B1098">
        <f>Dashboard_Live_Data!P117</f>
        <v>2668.5598341503305</v>
      </c>
      <c r="C1098">
        <f>Dashboard_Live_Data!Q117</f>
        <v>-16.800000000000011</v>
      </c>
      <c r="D1098">
        <f>Dashboard_Live_Data!R117</f>
        <v>237.79023820539209</v>
      </c>
      <c r="E1098">
        <f>Dashboard_Live_Data!S117</f>
        <v>-33.600000000000023</v>
      </c>
      <c r="F1098">
        <f>Dashboard_Live_Data!T117</f>
        <v>244.85112297254656</v>
      </c>
      <c r="G1098">
        <f>Dashboard_Live_Data!U117</f>
        <v>-33.600000000000023</v>
      </c>
      <c r="H1098">
        <f>Dashboard_Live_Data!V117</f>
        <v>178.25598534570207</v>
      </c>
    </row>
    <row r="1099" spans="1:8">
      <c r="A1099">
        <f>Dashboard_Live_Data!O118</f>
        <v>-1.980000000000004</v>
      </c>
      <c r="B1099">
        <f>Dashboard_Live_Data!P118</f>
        <v>2668.5418216891899</v>
      </c>
      <c r="C1099">
        <f>Dashboard_Live_Data!Q118</f>
        <v>-13.199999999999989</v>
      </c>
      <c r="D1099">
        <f>Dashboard_Live_Data!R118</f>
        <v>236.14660112630315</v>
      </c>
      <c r="E1099">
        <f>Dashboard_Live_Data!S118</f>
        <v>-26.399999999999977</v>
      </c>
      <c r="F1099">
        <f>Dashboard_Live_Data!T118</f>
        <v>240.50561672235264</v>
      </c>
      <c r="G1099">
        <f>Dashboard_Live_Data!U118</f>
        <v>-26.399999999999977</v>
      </c>
      <c r="H1099">
        <f>Dashboard_Live_Data!V118</f>
        <v>173.86544794265637</v>
      </c>
    </row>
    <row r="1100" spans="1:8">
      <c r="A1100">
        <f>Dashboard_Live_Data!O119</f>
        <v>-1.5</v>
      </c>
      <c r="B1100">
        <f>Dashboard_Live_Data!P119</f>
        <v>2668.5294397899765</v>
      </c>
      <c r="C1100">
        <f>Dashboard_Live_Data!Q119</f>
        <v>-10</v>
      </c>
      <c r="D1100">
        <f>Dashboard_Live_Data!R119</f>
        <v>235.01675282304802</v>
      </c>
      <c r="E1100">
        <f>Dashboard_Live_Data!S119</f>
        <v>-20</v>
      </c>
      <c r="F1100">
        <f>Dashboard_Live_Data!T119</f>
        <v>237.51848353703414</v>
      </c>
      <c r="G1100">
        <f>Dashboard_Live_Data!U119</f>
        <v>-20</v>
      </c>
      <c r="H1100">
        <f>Dashboard_Live_Data!V119</f>
        <v>170.84736000930349</v>
      </c>
    </row>
    <row r="1101" spans="1:8">
      <c r="A1101">
        <f>Dashboard_Live_Data!O120</f>
        <v>-1.0200000000000031</v>
      </c>
      <c r="B1101">
        <f>Dashboard_Live_Data!P120</f>
        <v>2668.5204735870971</v>
      </c>
      <c r="C1101">
        <f>Dashboard_Live_Data!Q120</f>
        <v>-6.8000000000000114</v>
      </c>
      <c r="D1101">
        <f>Dashboard_Live_Data!R120</f>
        <v>234.19858681034597</v>
      </c>
      <c r="E1101">
        <f>Dashboard_Live_Data!S120</f>
        <v>-13.600000000000023</v>
      </c>
      <c r="F1101">
        <f>Dashboard_Live_Data!T120</f>
        <v>235.35538709249317</v>
      </c>
      <c r="G1101">
        <f>Dashboard_Live_Data!U120</f>
        <v>-13.600000000000023</v>
      </c>
      <c r="H1101">
        <f>Dashboard_Live_Data!V120</f>
        <v>168.66184805756521</v>
      </c>
    </row>
    <row r="1102" spans="1:8">
      <c r="A1102">
        <f>Dashboard_Live_Data!O121</f>
        <v>-0.48000000000000398</v>
      </c>
      <c r="B1102">
        <f>Dashboard_Live_Data!P121</f>
        <v>2668.514469433384</v>
      </c>
      <c r="C1102">
        <f>Dashboard_Live_Data!Q121</f>
        <v>-3.1999999999999886</v>
      </c>
      <c r="D1102">
        <f>Dashboard_Live_Data!R121</f>
        <v>233.65070778398297</v>
      </c>
      <c r="E1102">
        <f>Dashboard_Live_Data!S121</f>
        <v>-6.3999999999999773</v>
      </c>
      <c r="F1102">
        <f>Dashboard_Live_Data!T121</f>
        <v>233.90688500909519</v>
      </c>
      <c r="G1102">
        <f>Dashboard_Live_Data!U121</f>
        <v>-6.3999999999999773</v>
      </c>
      <c r="H1102">
        <f>Dashboard_Live_Data!V121</f>
        <v>167.19833558988333</v>
      </c>
    </row>
    <row r="1103" spans="1:8">
      <c r="A1103">
        <f>Dashboard_Live_Data!O122</f>
        <v>0</v>
      </c>
      <c r="B1103">
        <f>Dashboard_Live_Data!P122</f>
        <v>2668.5127615852166</v>
      </c>
      <c r="C1103">
        <f>Dashboard_Live_Data!Q122</f>
        <v>0</v>
      </c>
      <c r="D1103">
        <f>Dashboard_Live_Data!R122</f>
        <v>233.49486663870644</v>
      </c>
      <c r="E1103">
        <f>Dashboard_Live_Data!S122</f>
        <v>0</v>
      </c>
      <c r="F1103">
        <f>Dashboard_Live_Data!T122</f>
        <v>233.49486663870644</v>
      </c>
      <c r="G1103">
        <f>Dashboard_Live_Data!U122</f>
        <v>0</v>
      </c>
      <c r="H1103">
        <f>Dashboard_Live_Data!V122</f>
        <v>166.78204759907604</v>
      </c>
    </row>
    <row r="1104" spans="1:8">
      <c r="A1104">
        <f>Dashboard_Live_Data!O123</f>
        <v>0.48000000000000398</v>
      </c>
      <c r="B1104">
        <f>Dashboard_Live_Data!P123</f>
        <v>2668.514469433384</v>
      </c>
      <c r="C1104">
        <f>Dashboard_Live_Data!Q123</f>
        <v>3.1999999999999886</v>
      </c>
      <c r="D1104">
        <f>Dashboard_Live_Data!R123</f>
        <v>233.65070778398297</v>
      </c>
      <c r="E1104">
        <f>Dashboard_Live_Data!S123</f>
        <v>6.3999999999999773</v>
      </c>
      <c r="F1104">
        <f>Dashboard_Live_Data!T123</f>
        <v>233.90688500909519</v>
      </c>
      <c r="G1104">
        <f>Dashboard_Live_Data!U123</f>
        <v>6.3999999999999773</v>
      </c>
      <c r="H1104">
        <f>Dashboard_Live_Data!V123</f>
        <v>167.19833558988333</v>
      </c>
    </row>
    <row r="1105" spans="1:8">
      <c r="A1105">
        <f>Dashboard_Live_Data!O124</f>
        <v>1.019999999999996</v>
      </c>
      <c r="B1105">
        <f>Dashboard_Live_Data!P124</f>
        <v>2668.5204735870971</v>
      </c>
      <c r="C1105">
        <f>Dashboard_Live_Data!Q124</f>
        <v>6.7999999999999545</v>
      </c>
      <c r="D1105">
        <f>Dashboard_Live_Data!R124</f>
        <v>234.19858681034597</v>
      </c>
      <c r="E1105">
        <f>Dashboard_Live_Data!S124</f>
        <v>13.599999999999909</v>
      </c>
      <c r="F1105">
        <f>Dashboard_Live_Data!T124</f>
        <v>235.35538709249312</v>
      </c>
      <c r="G1105">
        <f>Dashboard_Live_Data!U124</f>
        <v>13.599999999999909</v>
      </c>
      <c r="H1105">
        <f>Dashboard_Live_Data!V124</f>
        <v>168.66184805756518</v>
      </c>
    </row>
    <row r="1106" spans="1:8">
      <c r="A1106">
        <f>Dashboard_Live_Data!O125</f>
        <v>1.4999999999999929</v>
      </c>
      <c r="B1106">
        <f>Dashboard_Live_Data!P125</f>
        <v>2668.5294397899765</v>
      </c>
      <c r="C1106">
        <f>Dashboard_Live_Data!Q125</f>
        <v>9.9999999999999432</v>
      </c>
      <c r="D1106">
        <f>Dashboard_Live_Data!R125</f>
        <v>235.01675282304802</v>
      </c>
      <c r="E1106">
        <f>Dashboard_Live_Data!S125</f>
        <v>19.999999999999886</v>
      </c>
      <c r="F1106">
        <f>Dashboard_Live_Data!T125</f>
        <v>237.51848353703411</v>
      </c>
      <c r="G1106">
        <f>Dashboard_Live_Data!U125</f>
        <v>19.999999999999886</v>
      </c>
      <c r="H1106">
        <f>Dashboard_Live_Data!V125</f>
        <v>170.84736000930343</v>
      </c>
    </row>
    <row r="1107" spans="1:8">
      <c r="A1107">
        <f>Dashboard_Live_Data!O126</f>
        <v>1.9799999999999969</v>
      </c>
      <c r="B1107">
        <f>Dashboard_Live_Data!P126</f>
        <v>2668.5418216891899</v>
      </c>
      <c r="C1107">
        <f>Dashboard_Live_Data!Q126</f>
        <v>13.199999999999989</v>
      </c>
      <c r="D1107">
        <f>Dashboard_Live_Data!R126</f>
        <v>236.14660112630315</v>
      </c>
      <c r="E1107">
        <f>Dashboard_Live_Data!S126</f>
        <v>26.399999999999977</v>
      </c>
      <c r="F1107">
        <f>Dashboard_Live_Data!T126</f>
        <v>240.50561672235264</v>
      </c>
      <c r="G1107">
        <f>Dashboard_Live_Data!U126</f>
        <v>26.399999999999977</v>
      </c>
      <c r="H1107">
        <f>Dashboard_Live_Data!V126</f>
        <v>173.86544794265637</v>
      </c>
    </row>
    <row r="1108" spans="1:8">
      <c r="A1108">
        <f>Dashboard_Live_Data!O127</f>
        <v>2.5200000000000031</v>
      </c>
      <c r="B1108">
        <f>Dashboard_Live_Data!P127</f>
        <v>2668.5598341503305</v>
      </c>
      <c r="C1108">
        <f>Dashboard_Live_Data!Q127</f>
        <v>16.800000000000011</v>
      </c>
      <c r="D1108">
        <f>Dashboard_Live_Data!R127</f>
        <v>237.79023820539209</v>
      </c>
      <c r="E1108">
        <f>Dashboard_Live_Data!S127</f>
        <v>33.600000000000023</v>
      </c>
      <c r="F1108">
        <f>Dashboard_Live_Data!T127</f>
        <v>244.85112297254656</v>
      </c>
      <c r="G1108">
        <f>Dashboard_Live_Data!U127</f>
        <v>33.600000000000023</v>
      </c>
      <c r="H1108">
        <f>Dashboard_Live_Data!V127</f>
        <v>178.25598534570207</v>
      </c>
    </row>
    <row r="1109" spans="1:8">
      <c r="A1109">
        <f>Dashboard_Live_Data!O128</f>
        <v>3</v>
      </c>
      <c r="B1109">
        <f>Dashboard_Live_Data!P128</f>
        <v>2668.579474404256</v>
      </c>
      <c r="C1109">
        <f>Dashboard_Live_Data!Q128</f>
        <v>20</v>
      </c>
      <c r="D1109">
        <f>Dashboard_Live_Data!R128</f>
        <v>239.58241137607271</v>
      </c>
      <c r="E1109">
        <f>Dashboard_Live_Data!S128</f>
        <v>40</v>
      </c>
      <c r="F1109">
        <f>Dashboard_Live_Data!T128</f>
        <v>249.58933423201725</v>
      </c>
      <c r="G1109">
        <f>Dashboard_Live_Data!U128</f>
        <v>40</v>
      </c>
      <c r="H1109">
        <f>Dashboard_Live_Data!V128</f>
        <v>183.04329723998595</v>
      </c>
    </row>
    <row r="1110" spans="1:8">
      <c r="A1110">
        <f>Dashboard_Live_Data!O129</f>
        <v>3.480000000000004</v>
      </c>
      <c r="B1110">
        <f>Dashboard_Live_Data!P129</f>
        <v>2668.6025303545161</v>
      </c>
      <c r="C1110">
        <f>Dashboard_Live_Data!Q129</f>
        <v>23.200000000000045</v>
      </c>
      <c r="D1110">
        <f>Dashboard_Live_Data!R129</f>
        <v>241.68626683730656</v>
      </c>
      <c r="E1110">
        <f>Dashboard_Live_Data!S129</f>
        <v>46.400000000000091</v>
      </c>
      <c r="F1110">
        <f>Dashboard_Live_Data!T129</f>
        <v>255.15158223226561</v>
      </c>
      <c r="G1110">
        <f>Dashboard_Live_Data!U129</f>
        <v>46.400000000000091</v>
      </c>
      <c r="H1110">
        <f>Dashboard_Live_Data!V129</f>
        <v>188.66318511588446</v>
      </c>
    </row>
    <row r="1111" spans="1:8">
      <c r="A1111">
        <f>Dashboard_Live_Data!O130</f>
        <v>4.019999999999996</v>
      </c>
      <c r="B1111">
        <f>Dashboard_Live_Data!P130</f>
        <v>2668.6325511230839</v>
      </c>
      <c r="C1111">
        <f>Dashboard_Live_Data!Q130</f>
        <v>26.799999999999955</v>
      </c>
      <c r="D1111">
        <f>Dashboard_Live_Data!R130</f>
        <v>244.42566196912128</v>
      </c>
      <c r="E1111">
        <f>Dashboard_Live_Data!S130</f>
        <v>53.599999999999909</v>
      </c>
      <c r="F1111">
        <f>Dashboard_Live_Data!T130</f>
        <v>262.3940926492553</v>
      </c>
      <c r="G1111">
        <f>Dashboard_Live_Data!U130</f>
        <v>53.599999999999909</v>
      </c>
      <c r="H1111">
        <f>Dashboard_Live_Data!V130</f>
        <v>195.98074745429378</v>
      </c>
    </row>
    <row r="1112" spans="1:8">
      <c r="A1112">
        <f>Dashboard_Live_Data!O131</f>
        <v>4.5</v>
      </c>
      <c r="B1112">
        <f>Dashboard_Live_Data!P131</f>
        <v>2668.6628654280557</v>
      </c>
      <c r="C1112">
        <f>Dashboard_Live_Data!Q131</f>
        <v>30</v>
      </c>
      <c r="D1112">
        <f>Dashboard_Live_Data!R131</f>
        <v>247.19184229778054</v>
      </c>
      <c r="E1112">
        <f>Dashboard_Live_Data!S131</f>
        <v>60</v>
      </c>
      <c r="F1112">
        <f>Dashboard_Live_Data!T131</f>
        <v>269.70741872365579</v>
      </c>
      <c r="G1112">
        <f>Dashboard_Live_Data!U131</f>
        <v>60</v>
      </c>
      <c r="H1112">
        <f>Dashboard_Live_Data!V131</f>
        <v>203.36985929112333</v>
      </c>
    </row>
    <row r="1113" spans="1:8">
      <c r="A1113">
        <f>Dashboard_Live_Data!O132</f>
        <v>4.980000000000004</v>
      </c>
      <c r="B1113">
        <f>Dashboard_Live_Data!P132</f>
        <v>2668.6965954293619</v>
      </c>
      <c r="C1113">
        <f>Dashboard_Live_Data!Q132</f>
        <v>33.199999999999989</v>
      </c>
      <c r="D1113">
        <f>Dashboard_Live_Data!R132</f>
        <v>250.26970491699296</v>
      </c>
      <c r="E1113">
        <f>Dashboard_Live_Data!S132</f>
        <v>66.399999999999977</v>
      </c>
      <c r="F1113">
        <f>Dashboard_Live_Data!T132</f>
        <v>277.84478153883373</v>
      </c>
      <c r="G1113">
        <f>Dashboard_Live_Data!U132</f>
        <v>66.399999999999977</v>
      </c>
      <c r="H1113">
        <f>Dashboard_Live_Data!V132</f>
        <v>211.59154710956733</v>
      </c>
    </row>
    <row r="1114" spans="1:8">
      <c r="A1114">
        <f>Dashboard_Live_Data!O133</f>
        <v>5.5200000000000102</v>
      </c>
      <c r="B1114">
        <f>Dashboard_Live_Data!P133</f>
        <v>2668.7386245053572</v>
      </c>
      <c r="C1114">
        <f>Dashboard_Live_Data!Q133</f>
        <v>36.800000000000011</v>
      </c>
      <c r="D1114">
        <f>Dashboard_Live_Data!R133</f>
        <v>254.10485810153369</v>
      </c>
      <c r="E1114">
        <f>Dashboard_Live_Data!S133</f>
        <v>73.600000000000023</v>
      </c>
      <c r="F1114">
        <f>Dashboard_Live_Data!T133</f>
        <v>287.98429612261964</v>
      </c>
      <c r="G1114">
        <f>Dashboard_Live_Data!U133</f>
        <v>73.600000000000023</v>
      </c>
      <c r="H1114">
        <f>Dashboard_Live_Data!V133</f>
        <v>221.83613438334069</v>
      </c>
    </row>
    <row r="1115" spans="1:8">
      <c r="A1115">
        <f>Dashboard_Live_Data!O134</f>
        <v>6</v>
      </c>
      <c r="B1115">
        <f>Dashboard_Live_Data!P134</f>
        <v>2668.779612861375</v>
      </c>
      <c r="C1115">
        <f>Dashboard_Live_Data!Q134</f>
        <v>40.000000000000057</v>
      </c>
      <c r="D1115">
        <f>Dashboard_Live_Data!R134</f>
        <v>257.84504558817162</v>
      </c>
      <c r="E1115">
        <f>Dashboard_Live_Data!S134</f>
        <v>80.000000000000114</v>
      </c>
      <c r="F1115">
        <f>Dashboard_Live_Data!T134</f>
        <v>297.87273701194999</v>
      </c>
      <c r="G1115">
        <f>Dashboard_Live_Data!U134</f>
        <v>80.000000000000114</v>
      </c>
      <c r="H1115">
        <f>Dashboard_Live_Data!V134</f>
        <v>231.82704616271587</v>
      </c>
    </row>
    <row r="1116" spans="1:8">
      <c r="A1116">
        <f>Dashboard_Live_Data!O135</f>
        <v>6.480000000000004</v>
      </c>
      <c r="B1116">
        <f>Dashboard_Live_Data!P135</f>
        <v>2668.8240169137275</v>
      </c>
      <c r="C1116">
        <f>Dashboard_Live_Data!Q135</f>
        <v>43.200000000000045</v>
      </c>
      <c r="D1116">
        <f>Dashboard_Live_Data!R135</f>
        <v>261.89691536536259</v>
      </c>
      <c r="E1116">
        <f>Dashboard_Live_Data!S135</f>
        <v>86.400000000000091</v>
      </c>
      <c r="F1116">
        <f>Dashboard_Live_Data!T135</f>
        <v>308.58521464205768</v>
      </c>
      <c r="G1116">
        <f>Dashboard_Live_Data!U135</f>
        <v>86.400000000000091</v>
      </c>
      <c r="H1116">
        <f>Dashboard_Live_Data!V135</f>
        <v>242.65053392370547</v>
      </c>
    </row>
    <row r="1117" spans="1:8">
      <c r="A1117">
        <f>Dashboard_Live_Data!O136</f>
        <v>7.019999999999996</v>
      </c>
      <c r="B1117">
        <f>Dashboard_Live_Data!P136</f>
        <v>2668.8780542971494</v>
      </c>
      <c r="C1117">
        <f>Dashboard_Live_Data!Q136</f>
        <v>46.800000000000011</v>
      </c>
      <c r="D1117">
        <f>Dashboard_Live_Data!R136</f>
        <v>266.82782660262927</v>
      </c>
      <c r="E1117">
        <f>Dashboard_Live_Data!S136</f>
        <v>93.600000000000023</v>
      </c>
      <c r="F1117">
        <f>Dashboard_Live_Data!T136</f>
        <v>321.62173339263933</v>
      </c>
      <c r="G1117">
        <f>Dashboard_Live_Data!U136</f>
        <v>93.600000000000023</v>
      </c>
      <c r="H1117">
        <f>Dashboard_Live_Data!V136</f>
        <v>255.82214613284236</v>
      </c>
    </row>
    <row r="1118" spans="1:8">
      <c r="A1118">
        <f>Dashboard_Live_Data!O137</f>
        <v>7.5</v>
      </c>
      <c r="B1118">
        <f>Dashboard_Live_Data!P137</f>
        <v>2668.9297167042141</v>
      </c>
      <c r="C1118">
        <f>Dashboard_Live_Data!Q137</f>
        <v>50</v>
      </c>
      <c r="D1118">
        <f>Dashboard_Live_Data!R137</f>
        <v>271.54202124724566</v>
      </c>
      <c r="E1118">
        <f>Dashboard_Live_Data!S137</f>
        <v>100</v>
      </c>
      <c r="F1118">
        <f>Dashboard_Live_Data!T137</f>
        <v>334.08528909689915</v>
      </c>
      <c r="G1118">
        <f>Dashboard_Live_Data!U137</f>
        <v>100</v>
      </c>
      <c r="H1118">
        <f>Dashboard_Live_Data!V137</f>
        <v>268.414857854763</v>
      </c>
    </row>
    <row r="1119" spans="1:8">
      <c r="A1119">
        <f>Dashboard_Live_Data!O138</f>
        <v>7.980000000000004</v>
      </c>
      <c r="B1119">
        <f>Dashboard_Live_Data!P138</f>
        <v>2668.9847948076131</v>
      </c>
      <c r="C1119">
        <f>Dashboard_Live_Data!Q138</f>
        <v>53.199999999999989</v>
      </c>
      <c r="D1119">
        <f>Dashboard_Live_Data!R138</f>
        <v>276.56789818241526</v>
      </c>
      <c r="E1119">
        <f>Dashboard_Live_Data!S138</f>
        <v>106.39999999999998</v>
      </c>
      <c r="F1119">
        <f>Dashboard_Live_Data!T138</f>
        <v>347.37288154193652</v>
      </c>
      <c r="G1119">
        <f>Dashboard_Live_Data!U138</f>
        <v>106.39999999999998</v>
      </c>
      <c r="H1119">
        <f>Dashboard_Live_Data!V138</f>
        <v>281.84014555829816</v>
      </c>
    </row>
    <row r="1120" spans="1:8">
      <c r="A1120">
        <f>Dashboard_Live_Data!O139</f>
        <v>8.519999999999996</v>
      </c>
      <c r="B1120">
        <f>Dashboard_Live_Data!P139</f>
        <v>2669.0508404984621</v>
      </c>
      <c r="C1120">
        <f>Dashboard_Live_Data!Q139</f>
        <v>56.799999999999955</v>
      </c>
      <c r="D1120">
        <f>Dashboard_Live_Data!R139</f>
        <v>282.59456747240779</v>
      </c>
      <c r="E1120">
        <f>Dashboard_Live_Data!S139</f>
        <v>113.59999999999991</v>
      </c>
      <c r="F1120">
        <f>Dashboard_Live_Data!T139</f>
        <v>363.30640445931414</v>
      </c>
      <c r="G1120">
        <f>Dashboard_Live_Data!U139</f>
        <v>113.59999999999991</v>
      </c>
      <c r="H1120">
        <f>Dashboard_Live_Data!V139</f>
        <v>297.93878270279879</v>
      </c>
    </row>
    <row r="1121" spans="1:8">
      <c r="A1121">
        <f>Dashboard_Live_Data!O140</f>
        <v>9</v>
      </c>
      <c r="B1121">
        <f>Dashboard_Live_Data!P140</f>
        <v>2669.1131769565732</v>
      </c>
      <c r="C1121">
        <f>Dashboard_Live_Data!Q140</f>
        <v>59.999999999999943</v>
      </c>
      <c r="D1121">
        <f>Dashboard_Live_Data!R140</f>
        <v>288.28276927500281</v>
      </c>
      <c r="E1121">
        <f>Dashboard_Live_Data!S140</f>
        <v>119.99999999999989</v>
      </c>
      <c r="F1121">
        <f>Dashboard_Live_Data!T140</f>
        <v>378.3450749785037</v>
      </c>
      <c r="G1121">
        <f>Dashboard_Live_Data!U140</f>
        <v>119.99999999999989</v>
      </c>
      <c r="H1121">
        <f>Dashboard_Live_Data!V140</f>
        <v>313.13329436726491</v>
      </c>
    </row>
    <row r="1122" spans="1:8">
      <c r="A1122">
        <f>Dashboard_Live_Data!O141</f>
        <v>9.4799999999999898</v>
      </c>
      <c r="B1122">
        <f>Dashboard_Live_Data!P141</f>
        <v>2669.1789291110185</v>
      </c>
      <c r="C1122">
        <f>Dashboard_Live_Data!Q141</f>
        <v>63.199999999999989</v>
      </c>
      <c r="D1122">
        <f>Dashboard_Live_Data!R141</f>
        <v>294.2826533681511</v>
      </c>
      <c r="E1122">
        <f>Dashboard_Live_Data!S141</f>
        <v>126.39999999999998</v>
      </c>
      <c r="F1122">
        <f>Dashboard_Live_Data!T141</f>
        <v>394.20778223847111</v>
      </c>
      <c r="G1122">
        <f>Dashboard_Live_Data!U141</f>
        <v>126.39999999999998</v>
      </c>
      <c r="H1122">
        <f>Dashboard_Live_Data!V141</f>
        <v>329.16038201334601</v>
      </c>
    </row>
    <row r="1123" spans="1:8">
      <c r="A1123">
        <f>Dashboard_Live_Data!O142</f>
        <v>10.019999999999996</v>
      </c>
      <c r="B1123">
        <f>Dashboard_Live_Data!P142</f>
        <v>2669.2569831092951</v>
      </c>
      <c r="C1123">
        <f>Dashboard_Live_Data!Q142</f>
        <v>66.800000000000011</v>
      </c>
      <c r="D1123">
        <f>Dashboard_Live_Data!R142</f>
        <v>301.40508071086964</v>
      </c>
      <c r="E1123">
        <f>Dashboard_Live_Data!S142</f>
        <v>133.60000000000002</v>
      </c>
      <c r="F1123">
        <f>Dashboard_Live_Data!T142</f>
        <v>413.03830932264486</v>
      </c>
      <c r="G1123">
        <f>Dashboard_Live_Data!U142</f>
        <v>133.60000000000002</v>
      </c>
      <c r="H1123">
        <f>Dashboard_Live_Data!V142</f>
        <v>348.18604409321068</v>
      </c>
    </row>
    <row r="1124" spans="1:8">
      <c r="A1124">
        <f>Dashboard_Live_Data!O143</f>
        <v>10.5</v>
      </c>
      <c r="B1124">
        <f>Dashboard_Live_Data!P143</f>
        <v>2669.3299936184521</v>
      </c>
      <c r="C1124">
        <f>Dashboard_Live_Data!Q143</f>
        <v>70</v>
      </c>
      <c r="D1124">
        <f>Dashboard_Live_Data!R143</f>
        <v>308.06728967144329</v>
      </c>
      <c r="E1124">
        <f>Dashboard_Live_Data!S143</f>
        <v>140</v>
      </c>
      <c r="F1124">
        <f>Dashboard_Live_Data!T143</f>
        <v>430.65209465676418</v>
      </c>
      <c r="G1124">
        <f>Dashboard_Live_Data!U143</f>
        <v>140</v>
      </c>
      <c r="H1124">
        <f>Dashboard_Live_Data!V143</f>
        <v>365.98235570022246</v>
      </c>
    </row>
    <row r="1125" spans="1:8">
      <c r="A1125">
        <f>Dashboard_Live_Data!O144</f>
        <v>10.980000000000004</v>
      </c>
      <c r="B1125">
        <f>Dashboard_Live_Data!P144</f>
        <v>2669.4064198239439</v>
      </c>
      <c r="C1125">
        <f>Dashboard_Live_Data!Q144</f>
        <v>73.200000000000045</v>
      </c>
      <c r="D1125">
        <f>Dashboard_Live_Data!R144</f>
        <v>315.04118092257016</v>
      </c>
      <c r="E1125">
        <f>Dashboard_Live_Data!S144</f>
        <v>146.40000000000009</v>
      </c>
      <c r="F1125">
        <f>Dashboard_Live_Data!T144</f>
        <v>449.08991673166133</v>
      </c>
      <c r="G1125">
        <f>Dashboard_Live_Data!U144</f>
        <v>146.40000000000009</v>
      </c>
      <c r="H1125">
        <f>Dashboard_Live_Data!V144</f>
        <v>384.6112432888491</v>
      </c>
    </row>
    <row r="1126" spans="1:8">
      <c r="A1126">
        <f>Dashboard_Live_Data!O145</f>
        <v>11.519999999999996</v>
      </c>
      <c r="B1126">
        <f>Dashboard_Live_Data!P145</f>
        <v>2669.4964821296471</v>
      </c>
      <c r="C1126">
        <f>Dashboard_Live_Data!Q145</f>
        <v>76.799999999999955</v>
      </c>
      <c r="D1126">
        <f>Dashboard_Live_Data!R145</f>
        <v>323.25936631801449</v>
      </c>
      <c r="E1126">
        <f>Dashboard_Live_Data!S145</f>
        <v>153.59999999999991</v>
      </c>
      <c r="F1126">
        <f>Dashboard_Live_Data!T145</f>
        <v>470.81744798263048</v>
      </c>
      <c r="G1126">
        <f>Dashboard_Live_Data!U145</f>
        <v>153.59999999999991</v>
      </c>
      <c r="H1126">
        <f>Dashboard_Live_Data!V145</f>
        <v>406.56393030407702</v>
      </c>
    </row>
    <row r="1127" spans="1:8">
      <c r="A1127">
        <f>Dashboard_Live_Data!O146</f>
        <v>12</v>
      </c>
      <c r="B1127">
        <f>Dashboard_Live_Data!P146</f>
        <v>2669.5801666898506</v>
      </c>
      <c r="C1127">
        <f>Dashboard_Live_Data!Q146</f>
        <v>80</v>
      </c>
      <c r="D1127">
        <f>Dashboard_Live_Data!R146</f>
        <v>330.89558243656683</v>
      </c>
      <c r="E1127">
        <f>Dashboard_Live_Data!S146</f>
        <v>160</v>
      </c>
      <c r="F1127">
        <f>Dashboard_Live_Data!T146</f>
        <v>491.00634813167994</v>
      </c>
      <c r="G1127">
        <f>Dashboard_Live_Data!U146</f>
        <v>160</v>
      </c>
      <c r="H1127">
        <f>Dashboard_Live_Data!V146</f>
        <v>426.96204185363462</v>
      </c>
    </row>
    <row r="1128" spans="1:8">
      <c r="A1128">
        <f>Dashboard_Live_Data!O147</f>
        <v>12.480000000000004</v>
      </c>
      <c r="B1128">
        <f>Dashboard_Live_Data!P147</f>
        <v>2669.6672669463883</v>
      </c>
      <c r="C1128">
        <f>Dashboard_Live_Data!Q147</f>
        <v>83.199999999999989</v>
      </c>
      <c r="D1128">
        <f>Dashboard_Live_Data!R147</f>
        <v>338.84348084567222</v>
      </c>
      <c r="E1128">
        <f>Dashboard_Live_Data!S147</f>
        <v>166.39999999999998</v>
      </c>
      <c r="F1128">
        <f>Dashboard_Live_Data!T147</f>
        <v>512.01928502150633</v>
      </c>
      <c r="G1128">
        <f>Dashboard_Live_Data!U147</f>
        <v>166.39999999999998</v>
      </c>
      <c r="H1128">
        <f>Dashboard_Live_Data!V147</f>
        <v>448.19272938480651</v>
      </c>
    </row>
    <row r="1129" spans="1:8">
      <c r="A1129">
        <f>Dashboard_Live_Data!O148</f>
        <v>13.02000000000001</v>
      </c>
      <c r="B1129">
        <f>Dashboard_Live_Data!P148</f>
        <v>2669.769337559519</v>
      </c>
      <c r="C1129">
        <f>Dashboard_Live_Data!Q148</f>
        <v>86.800000000000011</v>
      </c>
      <c r="D1129">
        <f>Dashboard_Live_Data!R148</f>
        <v>348.15742429384272</v>
      </c>
      <c r="E1129">
        <f>Dashboard_Live_Data!S148</f>
        <v>173.60000000000002</v>
      </c>
      <c r="F1129">
        <f>Dashboard_Live_Data!T148</f>
        <v>536.64382043927219</v>
      </c>
      <c r="G1129">
        <f>Dashboard_Live_Data!U148</f>
        <v>173.60000000000002</v>
      </c>
      <c r="H1129">
        <f>Dashboard_Live_Data!V148</f>
        <v>473.07244133539882</v>
      </c>
    </row>
    <row r="1130" spans="1:8">
      <c r="A1130">
        <f>Dashboard_Live_Data!O149</f>
        <v>13.5</v>
      </c>
      <c r="B1130">
        <f>Dashboard_Live_Data!P149</f>
        <v>2669.8636961707689</v>
      </c>
      <c r="C1130">
        <f>Dashboard_Live_Data!Q149</f>
        <v>90.000000000000057</v>
      </c>
      <c r="D1130">
        <f>Dashboard_Live_Data!R149</f>
        <v>356.76764757037364</v>
      </c>
      <c r="E1130">
        <f>Dashboard_Live_Data!S149</f>
        <v>180.00000000000011</v>
      </c>
      <c r="F1130">
        <f>Dashboard_Live_Data!T149</f>
        <v>559.40783540325128</v>
      </c>
      <c r="G1130">
        <f>Dashboard_Live_Data!U149</f>
        <v>180.00000000000011</v>
      </c>
      <c r="H1130">
        <f>Dashboard_Live_Data!V149</f>
        <v>496.07235282750207</v>
      </c>
    </row>
    <row r="1131" spans="1:8">
      <c r="A1131">
        <f>Dashboard_Live_Data!O150</f>
        <v>13.980000000000004</v>
      </c>
      <c r="B1131">
        <f>Dashboard_Live_Data!P150</f>
        <v>2669.9614704783535</v>
      </c>
      <c r="C1131">
        <f>Dashboard_Live_Data!Q150</f>
        <v>93.200000000000045</v>
      </c>
      <c r="D1131">
        <f>Dashboard_Live_Data!R150</f>
        <v>365.68955313745766</v>
      </c>
      <c r="E1131">
        <f>Dashboard_Live_Data!S150</f>
        <v>186.40000000000009</v>
      </c>
      <c r="F1131">
        <f>Dashboard_Live_Data!T150</f>
        <v>582.99588710800765</v>
      </c>
      <c r="G1131">
        <f>Dashboard_Live_Data!U150</f>
        <v>186.40000000000009</v>
      </c>
      <c r="H1131">
        <f>Dashboard_Live_Data!V150</f>
        <v>519.90484030121968</v>
      </c>
    </row>
    <row r="1132" spans="1:8">
      <c r="A1132">
        <f>Dashboard_Live_Data!O151</f>
        <v>14.519999999999996</v>
      </c>
      <c r="B1132">
        <f>Dashboard_Live_Data!P151</f>
        <v>2670.0755493989109</v>
      </c>
      <c r="C1132">
        <f>Dashboard_Live_Data!Q151</f>
        <v>96.800000000000011</v>
      </c>
      <c r="D1132">
        <f>Dashboard_Live_Data!R151</f>
        <v>376.09925463835384</v>
      </c>
      <c r="E1132">
        <f>Dashboard_Live_Data!S151</f>
        <v>193.60000000000002</v>
      </c>
      <c r="F1132">
        <f>Dashboard_Live_Data!T151</f>
        <v>610.51742669256885</v>
      </c>
      <c r="G1132">
        <f>Dashboard_Live_Data!U151</f>
        <v>193.60000000000002</v>
      </c>
      <c r="H1132">
        <f>Dashboard_Live_Data!V151</f>
        <v>547.71157718717541</v>
      </c>
    </row>
    <row r="1133" spans="1:8">
      <c r="A1133">
        <f>Dashboard_Live_Data!O152</f>
        <v>15</v>
      </c>
      <c r="B1133">
        <f>Dashboard_Live_Data!P152</f>
        <v>2670.1805820612071</v>
      </c>
      <c r="C1133">
        <f>Dashboard_Live_Data!Q152</f>
        <v>100</v>
      </c>
      <c r="D1133">
        <f>Dashboard_Live_Data!R152</f>
        <v>385.68348507286333</v>
      </c>
      <c r="E1133">
        <f>Dashboard_Live_Data!S152</f>
        <v>200</v>
      </c>
      <c r="F1133">
        <f>Dashboard_Live_Data!T152</f>
        <v>635.85655647147735</v>
      </c>
      <c r="G1133">
        <f>Dashboard_Live_Data!U152</f>
        <v>200</v>
      </c>
      <c r="H1133">
        <f>Dashboard_Live_Data!V152</f>
        <v>573.31328862182386</v>
      </c>
    </row>
    <row r="1134" spans="1:8">
      <c r="A1134">
        <f>Dashboard_Live_Data!O153</f>
        <v>15.480000000000004</v>
      </c>
      <c r="B1134">
        <f>Dashboard_Live_Data!P153</f>
        <v>2670.2890304198377</v>
      </c>
      <c r="C1134">
        <f>Dashboard_Live_Data!Q153</f>
        <v>103.19999999999999</v>
      </c>
      <c r="D1134">
        <f>Dashboard_Live_Data!R153</f>
        <v>395.57939779792588</v>
      </c>
      <c r="E1134">
        <f>Dashboard_Live_Data!S153</f>
        <v>206.39999999999998</v>
      </c>
      <c r="F1134">
        <f>Dashboard_Live_Data!T153</f>
        <v>662.01972299116323</v>
      </c>
      <c r="G1134">
        <f>Dashboard_Live_Data!U153</f>
        <v>206.39999999999998</v>
      </c>
      <c r="H1134">
        <f>Dashboard_Live_Data!V153</f>
        <v>599.74757603808689</v>
      </c>
    </row>
    <row r="1135" spans="1:8">
      <c r="A1135">
        <f>Dashboard_Live_Data!O154</f>
        <v>16.019999999999996</v>
      </c>
      <c r="B1135">
        <f>Dashboard_Live_Data!P154</f>
        <v>2670.4151176478226</v>
      </c>
      <c r="C1135">
        <f>Dashboard_Live_Data!Q154</f>
        <v>106.79999999999995</v>
      </c>
      <c r="D1135">
        <f>Dashboard_Live_Data!R154</f>
        <v>407.08485735154807</v>
      </c>
      <c r="E1135">
        <f>Dashboard_Live_Data!S154</f>
        <v>213.59999999999991</v>
      </c>
      <c r="F1135">
        <f>Dashboard_Live_Data!T154</f>
        <v>692.43826674252057</v>
      </c>
      <c r="G1135">
        <f>Dashboard_Live_Data!U154</f>
        <v>213.59999999999991</v>
      </c>
      <c r="H1135">
        <f>Dashboard_Live_Data!V154</f>
        <v>630.48133785940638</v>
      </c>
    </row>
    <row r="1136" spans="1:8">
      <c r="A1136">
        <f>Dashboard_Live_Data!O155</f>
        <v>16.5</v>
      </c>
      <c r="B1136">
        <f>Dashboard_Live_Data!P155</f>
        <v>2670.5308243611653</v>
      </c>
      <c r="C1136">
        <f>Dashboard_Live_Data!Q155</f>
        <v>109.99999999999994</v>
      </c>
      <c r="D1136">
        <f>Dashboard_Live_Data!R155</f>
        <v>417.64309494403608</v>
      </c>
      <c r="E1136">
        <f>Dashboard_Live_Data!S155</f>
        <v>219.99999999999989</v>
      </c>
      <c r="F1136">
        <f>Dashboard_Live_Data!T155</f>
        <v>720.3525113363587</v>
      </c>
      <c r="G1136">
        <f>Dashboard_Live_Data!U155</f>
        <v>219.99999999999989</v>
      </c>
      <c r="H1136">
        <f>Dashboard_Live_Data!V155</f>
        <v>658.68484923660026</v>
      </c>
    </row>
    <row r="1137" spans="1:8">
      <c r="A1137">
        <f>Dashboard_Live_Data!O156</f>
        <v>16.97999999999999</v>
      </c>
      <c r="B1137">
        <f>Dashboard_Live_Data!P156</f>
        <v>2670.6499467708427</v>
      </c>
      <c r="C1137">
        <f>Dashboard_Live_Data!Q156</f>
        <v>113.19999999999993</v>
      </c>
      <c r="D1137">
        <f>Dashboard_Live_Data!R156</f>
        <v>428.51301482707726</v>
      </c>
      <c r="E1137">
        <f>Dashboard_Live_Data!S156</f>
        <v>226.39999999999986</v>
      </c>
      <c r="F1137">
        <f>Dashboard_Live_Data!T156</f>
        <v>749.09079267097434</v>
      </c>
      <c r="G1137">
        <f>Dashboard_Live_Data!U156</f>
        <v>226.39999999999986</v>
      </c>
      <c r="H1137">
        <f>Dashboard_Live_Data!V156</f>
        <v>687.72093659540906</v>
      </c>
    </row>
    <row r="1138" spans="1:8">
      <c r="A1138">
        <f>Dashboard_Live_Data!O157</f>
        <v>17.519999999999996</v>
      </c>
      <c r="B1138">
        <f>Dashboard_Live_Data!P157</f>
        <v>2670.7880423062543</v>
      </c>
      <c r="C1138">
        <f>Dashboard_Live_Data!Q157</f>
        <v>116.80000000000007</v>
      </c>
      <c r="D1138">
        <f>Dashboard_Live_Data!R157</f>
        <v>441.11423243342597</v>
      </c>
      <c r="E1138">
        <f>Dashboard_Live_Data!S157</f>
        <v>233.60000000000014</v>
      </c>
      <c r="F1138">
        <f>Dashboard_Live_Data!T157</f>
        <v>782.40634058912906</v>
      </c>
      <c r="G1138">
        <f>Dashboard_Live_Data!U157</f>
        <v>233.60000000000014</v>
      </c>
      <c r="H1138">
        <f>Dashboard_Live_Data!V157</f>
        <v>721.38172335209379</v>
      </c>
    </row>
    <row r="1139" spans="1:8">
      <c r="A1139">
        <f>Dashboard_Live_Data!O158</f>
        <v>18</v>
      </c>
      <c r="B1139">
        <f>Dashboard_Live_Data!P158</f>
        <v>2670.9144230706429</v>
      </c>
      <c r="C1139">
        <f>Dashboard_Live_Data!Q158</f>
        <v>120</v>
      </c>
      <c r="D1139">
        <f>Dashboard_Live_Data!R158</f>
        <v>452.64647718389233</v>
      </c>
      <c r="E1139">
        <f>Dashboard_Live_Data!S158</f>
        <v>240</v>
      </c>
      <c r="F1139">
        <f>Dashboard_Live_Data!T158</f>
        <v>812.8956999978966</v>
      </c>
      <c r="G1139">
        <f>Dashboard_Live_Data!U158</f>
        <v>240</v>
      </c>
      <c r="H1139">
        <f>Dashboard_Live_Data!V158</f>
        <v>752.18703467183286</v>
      </c>
    </row>
    <row r="1140" spans="1:8">
      <c r="A1140">
        <f>Dashboard_Live_Data!O159</f>
        <v>18.480000000000004</v>
      </c>
      <c r="B1140">
        <f>Dashboard_Live_Data!P159</f>
        <v>2671.0442195313667</v>
      </c>
      <c r="C1140">
        <f>Dashboard_Live_Data!Q159</f>
        <v>123.20000000000005</v>
      </c>
      <c r="D1140">
        <f>Dashboard_Live_Data!R159</f>
        <v>464.49040422491237</v>
      </c>
      <c r="E1140">
        <f>Dashboard_Live_Data!S159</f>
        <v>246.40000000000009</v>
      </c>
      <c r="F1140">
        <f>Dashboard_Live_Data!T159</f>
        <v>844.20909614744266</v>
      </c>
      <c r="G1140">
        <f>Dashboard_Live_Data!U159</f>
        <v>246.40000000000009</v>
      </c>
      <c r="H1140">
        <f>Dashboard_Live_Data!V159</f>
        <v>783.82492197318754</v>
      </c>
    </row>
    <row r="1141" spans="1:8">
      <c r="A1141">
        <f>Dashboard_Live_Data!O160</f>
        <v>19.019999999999996</v>
      </c>
      <c r="B1141">
        <f>Dashboard_Live_Data!P160</f>
        <v>2671.1943233742059</v>
      </c>
      <c r="C1141">
        <f>Dashboard_Live_Data!Q160</f>
        <v>126.79999999999995</v>
      </c>
      <c r="D1141">
        <f>Dashboard_Live_Data!R160</f>
        <v>478.18737988398607</v>
      </c>
      <c r="E1141">
        <f>Dashboard_Live_Data!S160</f>
        <v>253.59999999999991</v>
      </c>
      <c r="F1141">
        <f>Dashboard_Live_Data!T160</f>
        <v>880.42164823239102</v>
      </c>
      <c r="G1141">
        <f>Dashboard_Live_Data!U160</f>
        <v>253.59999999999991</v>
      </c>
      <c r="H1141">
        <f>Dashboard_Live_Data!V160</f>
        <v>820.4127336652341</v>
      </c>
    </row>
    <row r="1142" spans="1:8">
      <c r="A1142">
        <f>Dashboard_Live_Data!O161</f>
        <v>19.5</v>
      </c>
      <c r="B1142">
        <f>Dashboard_Live_Data!P161</f>
        <v>2671.3313781896409</v>
      </c>
      <c r="C1142">
        <f>Dashboard_Live_Data!Q161</f>
        <v>130</v>
      </c>
      <c r="D1142">
        <f>Dashboard_Live_Data!R161</f>
        <v>490.69363179243157</v>
      </c>
      <c r="E1142">
        <f>Dashboard_Live_Data!S161</f>
        <v>260</v>
      </c>
      <c r="F1142">
        <f>Dashboard_Live_Data!T161</f>
        <v>913.48612245608945</v>
      </c>
      <c r="G1142">
        <f>Dashboard_Live_Data!U161</f>
        <v>260</v>
      </c>
      <c r="H1142">
        <f>Dashboard_Live_Data!V161</f>
        <v>853.81984492751985</v>
      </c>
    </row>
    <row r="1143" spans="1:8">
      <c r="A1143">
        <f>Dashboard_Live_Data!O162</f>
        <v>19.980000000000004</v>
      </c>
      <c r="B1143">
        <f>Dashboard_Live_Data!P162</f>
        <v>2671.4718487014106</v>
      </c>
      <c r="C1143">
        <f>Dashboard_Live_Data!Q162</f>
        <v>133.19999999999993</v>
      </c>
      <c r="D1143">
        <f>Dashboard_Live_Data!R162</f>
        <v>503.51156599142973</v>
      </c>
      <c r="E1143">
        <f>Dashboard_Live_Data!S162</f>
        <v>266.39999999999986</v>
      </c>
      <c r="F1143">
        <f>Dashboard_Live_Data!T162</f>
        <v>947.3746334205639</v>
      </c>
      <c r="G1143">
        <f>Dashboard_Live_Data!U162</f>
        <v>266.39999999999986</v>
      </c>
      <c r="H1143">
        <f>Dashboard_Live_Data!V162</f>
        <v>888.05953217141905</v>
      </c>
    </row>
    <row r="1144" spans="1:8">
      <c r="A1144">
        <f>Dashboard_Live_Data!O163</f>
        <v>20.52000000000001</v>
      </c>
      <c r="B1144">
        <f>Dashboard_Live_Data!P163</f>
        <v>2671.6339608516769</v>
      </c>
      <c r="C1144">
        <f>Dashboard_Live_Data!Q163</f>
        <v>136.80000000000007</v>
      </c>
      <c r="D1144">
        <f>Dashboard_Live_Data!R163</f>
        <v>518.30429970323041</v>
      </c>
      <c r="E1144">
        <f>Dashboard_Live_Data!S163</f>
        <v>273.60000000000014</v>
      </c>
      <c r="F1144">
        <f>Dashboard_Live_Data!T163</f>
        <v>986.484189672311</v>
      </c>
      <c r="G1144">
        <f>Dashboard_Live_Data!U163</f>
        <v>273.60000000000014</v>
      </c>
      <c r="H1144">
        <f>Dashboard_Live_Data!V163</f>
        <v>927.57436879883176</v>
      </c>
    </row>
    <row r="1145" spans="1:8">
      <c r="A1145">
        <f>Dashboard_Live_Data!O164</f>
        <v>21</v>
      </c>
      <c r="B1145">
        <f>Dashboard_Live_Data!P164</f>
        <v>2671.7816897181583</v>
      </c>
      <c r="C1145">
        <f>Dashboard_Live_Data!Q164</f>
        <v>140</v>
      </c>
      <c r="D1145">
        <f>Dashboard_Live_Data!R164</f>
        <v>531.78455876965381</v>
      </c>
      <c r="E1145">
        <f>Dashboard_Live_Data!S164</f>
        <v>280</v>
      </c>
      <c r="F1145">
        <f>Dashboard_Live_Data!T164</f>
        <v>1022.1237787109374</v>
      </c>
      <c r="G1145">
        <f>Dashboard_Live_Data!U164</f>
        <v>280</v>
      </c>
      <c r="H1145">
        <f>Dashboard_Live_Data!V164</f>
        <v>963.58328000366168</v>
      </c>
    </row>
    <row r="1146" spans="1:8">
      <c r="A1146">
        <f>Dashboard_Live_Data!O165</f>
        <v>21.480000000000004</v>
      </c>
      <c r="B1146">
        <f>Dashboard_Live_Data!P165</f>
        <v>2671.9328342809749</v>
      </c>
      <c r="C1146">
        <f>Dashboard_Live_Data!Q165</f>
        <v>143.20000000000005</v>
      </c>
      <c r="D1146">
        <f>Dashboard_Live_Data!R165</f>
        <v>545.57650012663112</v>
      </c>
      <c r="E1146">
        <f>Dashboard_Live_Data!S165</f>
        <v>286.40000000000009</v>
      </c>
      <c r="F1146">
        <f>Dashboard_Live_Data!T165</f>
        <v>1058.5874044903426</v>
      </c>
      <c r="G1146">
        <f>Dashboard_Live_Data!U165</f>
        <v>286.40000000000009</v>
      </c>
      <c r="H1146">
        <f>Dashboard_Live_Data!V165</f>
        <v>1000.4247671901077</v>
      </c>
    </row>
    <row r="1147" spans="1:8">
      <c r="A1147">
        <f>Dashboard_Live_Data!O166</f>
        <v>22.019999999999996</v>
      </c>
      <c r="B1147">
        <f>Dashboard_Live_Data!P166</f>
        <v>2672.1069547386678</v>
      </c>
      <c r="C1147">
        <f>Dashboard_Live_Data!Q166</f>
        <v>146.79999999999995</v>
      </c>
      <c r="D1147">
        <f>Dashboard_Live_Data!R166</f>
        <v>561.46499189115673</v>
      </c>
      <c r="E1147">
        <f>Dashboard_Live_Data!S166</f>
        <v>293.59999999999991</v>
      </c>
      <c r="F1147">
        <f>Dashboard_Live_Data!T166</f>
        <v>1100.5939649088832</v>
      </c>
      <c r="G1147">
        <f>Dashboard_Live_Data!U166</f>
        <v>293.59999999999991</v>
      </c>
      <c r="H1147">
        <f>Dashboard_Live_Data!V166</f>
        <v>1042.8666287528815</v>
      </c>
    </row>
    <row r="1148" spans="1:8">
      <c r="A1148">
        <f>Dashboard_Live_Data!O167</f>
        <v>22.5</v>
      </c>
      <c r="B1148">
        <f>Dashboard_Live_Data!P167</f>
        <v>2672.2653576561956</v>
      </c>
      <c r="C1148">
        <f>Dashboard_Live_Data!Q167</f>
        <v>150</v>
      </c>
      <c r="D1148">
        <f>Dashboard_Live_Data!R167</f>
        <v>575.91925811555939</v>
      </c>
      <c r="E1148">
        <f>Dashboard_Live_Data!S167</f>
        <v>300</v>
      </c>
      <c r="F1148">
        <f>Dashboard_Live_Data!T167</f>
        <v>1138.8086687624409</v>
      </c>
      <c r="G1148">
        <f>Dashboard_Live_Data!U167</f>
        <v>300</v>
      </c>
      <c r="H1148">
        <f>Dashboard_Live_Data!V167</f>
        <v>1081.4773399002586</v>
      </c>
    </row>
    <row r="1149" spans="1:8">
      <c r="A1149">
        <f>Dashboard_Live_Data!O168</f>
        <v>22.980000000000004</v>
      </c>
      <c r="B1149">
        <f>Dashboard_Live_Data!P168</f>
        <v>2672.4271762700582</v>
      </c>
      <c r="C1149">
        <f>Dashboard_Live_Data!Q168</f>
        <v>153.20000000000005</v>
      </c>
      <c r="D1149">
        <f>Dashboard_Live_Data!R168</f>
        <v>590.68520663051527</v>
      </c>
      <c r="E1149">
        <f>Dashboard_Live_Data!S168</f>
        <v>306.40000000000009</v>
      </c>
      <c r="F1149">
        <f>Dashboard_Live_Data!T168</f>
        <v>1177.8474093567763</v>
      </c>
      <c r="G1149">
        <f>Dashboard_Live_Data!U168</f>
        <v>306.40000000000009</v>
      </c>
      <c r="H1149">
        <f>Dashboard_Live_Data!V168</f>
        <v>1120.9206270292505</v>
      </c>
    </row>
    <row r="1150" spans="1:8">
      <c r="A1150">
        <f>Dashboard_Live_Data!O169</f>
        <v>23.519999999999996</v>
      </c>
      <c r="B1150">
        <f>Dashboard_Live_Data!P169</f>
        <v>2672.6133050351787</v>
      </c>
      <c r="C1150">
        <f>Dashboard_Live_Data!Q169</f>
        <v>156.79999999999995</v>
      </c>
      <c r="D1150">
        <f>Dashboard_Live_Data!R169</f>
        <v>607.66945644776661</v>
      </c>
      <c r="E1150">
        <f>Dashboard_Live_Data!S169</f>
        <v>313.59999999999991</v>
      </c>
      <c r="F1150">
        <f>Dashboard_Live_Data!T169</f>
        <v>1222.7509739421123</v>
      </c>
      <c r="G1150">
        <f>Dashboard_Live_Data!U169</f>
        <v>313.59999999999991</v>
      </c>
      <c r="H1150">
        <f>Dashboard_Live_Data!V169</f>
        <v>1166.2895135273877</v>
      </c>
    </row>
    <row r="1151" spans="1:8">
      <c r="A1151">
        <f>Dashboard_Live_Data!O170</f>
        <v>24</v>
      </c>
      <c r="B1151">
        <f>Dashboard_Live_Data!P170</f>
        <v>2672.7823820037529</v>
      </c>
      <c r="C1151">
        <f>Dashboard_Live_Data!Q170</f>
        <v>160</v>
      </c>
      <c r="D1151">
        <f>Dashboard_Live_Data!R170</f>
        <v>623.09772983014795</v>
      </c>
      <c r="E1151">
        <f>Dashboard_Live_Data!S170</f>
        <v>320</v>
      </c>
      <c r="F1151">
        <f>Dashboard_Live_Data!T170</f>
        <v>1263.5407926106002</v>
      </c>
      <c r="G1151">
        <f>Dashboard_Live_Data!U170</f>
        <v>320</v>
      </c>
      <c r="H1151">
        <f>Dashboard_Live_Data!V170</f>
        <v>1207.5020246173106</v>
      </c>
    </row>
    <row r="1152" spans="1:8">
      <c r="A1152">
        <f>Dashboard_Live_Data!O171</f>
        <v>24.47999999999999</v>
      </c>
      <c r="B1152">
        <f>Dashboard_Live_Data!P171</f>
        <v>2672.9548746686619</v>
      </c>
      <c r="C1152">
        <f>Dashboard_Live_Data!Q171</f>
        <v>163.19999999999993</v>
      </c>
      <c r="D1152">
        <f>Dashboard_Live_Data!R171</f>
        <v>638.83768550308173</v>
      </c>
      <c r="E1152">
        <f>Dashboard_Live_Data!S171</f>
        <v>326.39999999999986</v>
      </c>
      <c r="F1152">
        <f>Dashboard_Live_Data!T171</f>
        <v>1305.1546480198635</v>
      </c>
      <c r="G1152">
        <f>Dashboard_Live_Data!U171</f>
        <v>326.39999999999986</v>
      </c>
      <c r="H1152">
        <f>Dashboard_Live_Data!V171</f>
        <v>1249.5471116888461</v>
      </c>
    </row>
    <row r="1153" spans="1:8">
      <c r="A1153">
        <f>Dashboard_Live_Data!O172</f>
        <v>25.019999999999996</v>
      </c>
      <c r="B1153">
        <f>Dashboard_Live_Data!P172</f>
        <v>2673.1530117412094</v>
      </c>
      <c r="C1153">
        <f>Dashboard_Live_Data!Q172</f>
        <v>166.80000000000007</v>
      </c>
      <c r="D1153">
        <f>Dashboard_Live_Data!R172</f>
        <v>656.91769337306039</v>
      </c>
      <c r="E1153">
        <f>Dashboard_Live_Data!S172</f>
        <v>333.60000000000014</v>
      </c>
      <c r="F1153">
        <f>Dashboard_Live_Data!T172</f>
        <v>1352.9552167719985</v>
      </c>
      <c r="G1153">
        <f>Dashboard_Live_Data!U172</f>
        <v>333.60000000000014</v>
      </c>
      <c r="H1153">
        <f>Dashboard_Live_Data!V172</f>
        <v>1297.8430231223504</v>
      </c>
    </row>
    <row r="1154" spans="1:8">
      <c r="A1154">
        <f>Dashboard_Live_Data!O173</f>
        <v>25.5</v>
      </c>
      <c r="B1154">
        <f>Dashboard_Live_Data!P173</f>
        <v>2673.3327627608296</v>
      </c>
      <c r="C1154">
        <f>Dashboard_Live_Data!Q173</f>
        <v>170</v>
      </c>
      <c r="D1154">
        <f>Dashboard_Live_Data!R173</f>
        <v>673.31997391341974</v>
      </c>
      <c r="E1154">
        <f>Dashboard_Live_Data!S173</f>
        <v>340</v>
      </c>
      <c r="F1154">
        <f>Dashboard_Live_Data!T173</f>
        <v>1396.3201502554143</v>
      </c>
      <c r="G1154">
        <f>Dashboard_Live_Data!U173</f>
        <v>340</v>
      </c>
      <c r="H1154">
        <f>Dashboard_Live_Data!V173</f>
        <v>1341.6573341548171</v>
      </c>
    </row>
    <row r="1155" spans="1:8">
      <c r="A1155">
        <f>Dashboard_Live_Data!O174</f>
        <v>25.980000000000004</v>
      </c>
      <c r="B1155">
        <f>Dashboard_Live_Data!P174</f>
        <v>2673.515929476785</v>
      </c>
      <c r="C1155">
        <f>Dashboard_Live_Data!Q174</f>
        <v>173.20000000000005</v>
      </c>
      <c r="D1155">
        <f>Dashboard_Live_Data!R174</f>
        <v>690.03393674433289</v>
      </c>
      <c r="E1155">
        <f>Dashboard_Live_Data!S174</f>
        <v>346.40000000000009</v>
      </c>
      <c r="F1155">
        <f>Dashboard_Live_Data!T174</f>
        <v>1440.5091204796092</v>
      </c>
      <c r="G1155">
        <f>Dashboard_Live_Data!U174</f>
        <v>346.40000000000009</v>
      </c>
      <c r="H1155">
        <f>Dashboard_Live_Data!V174</f>
        <v>1386.3042211689001</v>
      </c>
    </row>
    <row r="1156" spans="1:8">
      <c r="A1156">
        <f>Dashboard_Live_Data!O175</f>
        <v>26.519999999999996</v>
      </c>
      <c r="B1156">
        <f>Dashboard_Live_Data!P175</f>
        <v>2673.7260748567596</v>
      </c>
      <c r="C1156">
        <f>Dashboard_Live_Data!Q175</f>
        <v>176.79999999999995</v>
      </c>
      <c r="D1156">
        <f>Dashboard_Live_Data!R175</f>
        <v>709.20970266703614</v>
      </c>
      <c r="E1156">
        <f>Dashboard_Live_Data!S175</f>
        <v>353.59999999999991</v>
      </c>
      <c r="F1156">
        <f>Dashboard_Live_Data!T175</f>
        <v>1491.206693398537</v>
      </c>
      <c r="G1156">
        <f>Dashboard_Live_Data!U175</f>
        <v>353.59999999999991</v>
      </c>
      <c r="H1156">
        <f>Dashboard_Live_Data!V175</f>
        <v>1437.5271575377651</v>
      </c>
    </row>
    <row r="1157" spans="1:8">
      <c r="A1157">
        <f>Dashboard_Live_Data!O176</f>
        <v>27</v>
      </c>
      <c r="B1157">
        <f>Dashboard_Live_Data!P176</f>
        <v>2673.9164999274262</v>
      </c>
      <c r="C1157">
        <f>Dashboard_Live_Data!Q176</f>
        <v>180</v>
      </c>
      <c r="D1157">
        <f>Dashboard_Live_Data!R176</f>
        <v>726.58599036537476</v>
      </c>
      <c r="E1157">
        <f>Dashboard_Live_Data!S176</f>
        <v>360</v>
      </c>
      <c r="F1157">
        <f>Dashboard_Live_Data!T176</f>
        <v>1537.1467416968844</v>
      </c>
      <c r="G1157">
        <f>Dashboard_Live_Data!U176</f>
        <v>360</v>
      </c>
      <c r="H1157">
        <f>Dashboard_Live_Data!V176</f>
        <v>1483.943268512779</v>
      </c>
    </row>
    <row r="1158" spans="1:8">
      <c r="A1158">
        <f>Dashboard_Live_Data!O177</f>
        <v>27.480000000000004</v>
      </c>
      <c r="B1158">
        <f>Dashboard_Live_Data!P177</f>
        <v>2674.1103406944285</v>
      </c>
      <c r="C1158">
        <f>Dashboard_Live_Data!Q177</f>
        <v>183.19999999999993</v>
      </c>
      <c r="D1158">
        <f>Dashboard_Live_Data!R177</f>
        <v>744.2739603542658</v>
      </c>
      <c r="E1158">
        <f>Dashboard_Live_Data!S177</f>
        <v>366.39999999999986</v>
      </c>
      <c r="F1158">
        <f>Dashboard_Live_Data!T177</f>
        <v>1583.9108267360073</v>
      </c>
      <c r="G1158">
        <f>Dashboard_Live_Data!U177</f>
        <v>366.39999999999986</v>
      </c>
      <c r="H1158">
        <f>Dashboard_Live_Data!V177</f>
        <v>1531.1919554694059</v>
      </c>
    </row>
    <row r="1159" spans="1:8">
      <c r="A1159">
        <f>Dashboard_Live_Data!O178</f>
        <v>28.02000000000001</v>
      </c>
      <c r="B1159">
        <f>Dashboard_Live_Data!P178</f>
        <v>2674.3324943818302</v>
      </c>
      <c r="C1159">
        <f>Dashboard_Live_Data!Q178</f>
        <v>186.80000000000007</v>
      </c>
      <c r="D1159">
        <f>Dashboard_Live_Data!R178</f>
        <v>764.54548432969614</v>
      </c>
      <c r="E1159">
        <f>Dashboard_Live_Data!S178</f>
        <v>373.60000000000014</v>
      </c>
      <c r="F1159">
        <f>Dashboard_Live_Data!T178</f>
        <v>1637.5054038217343</v>
      </c>
      <c r="G1159">
        <f>Dashboard_Live_Data!U178</f>
        <v>373.60000000000014</v>
      </c>
      <c r="H1159">
        <f>Dashboard_Live_Data!V178</f>
        <v>1585.3419167736381</v>
      </c>
    </row>
    <row r="1160" spans="1:8">
      <c r="A1160">
        <f>Dashboard_Live_Data!O179</f>
        <v>28.5</v>
      </c>
      <c r="B1160">
        <f>Dashboard_Live_Data!P179</f>
        <v>2674.5335935035428</v>
      </c>
      <c r="C1160">
        <f>Dashboard_Live_Data!Q179</f>
        <v>190</v>
      </c>
      <c r="D1160">
        <f>Dashboard_Live_Data!R179</f>
        <v>782.89577918601265</v>
      </c>
      <c r="E1160">
        <f>Dashboard_Live_Data!S179</f>
        <v>380</v>
      </c>
      <c r="F1160">
        <f>Dashboard_Live_Data!T179</f>
        <v>1686.0205669350094</v>
      </c>
      <c r="G1160">
        <f>Dashboard_Live_Data!U179</f>
        <v>380</v>
      </c>
      <c r="H1160">
        <f>Dashboard_Live_Data!V179</f>
        <v>1634.3598276911957</v>
      </c>
    </row>
    <row r="1161" spans="1:8">
      <c r="A1161">
        <f>Dashboard_Live_Data!O180</f>
        <v>28.980000000000004</v>
      </c>
      <c r="B1161">
        <f>Dashboard_Live_Data!P180</f>
        <v>2674.738108321591</v>
      </c>
      <c r="C1161">
        <f>Dashboard_Live_Data!Q180</f>
        <v>193.20000000000005</v>
      </c>
      <c r="D1161">
        <f>Dashboard_Live_Data!R180</f>
        <v>801.55775633288295</v>
      </c>
      <c r="E1161">
        <f>Dashboard_Live_Data!S180</f>
        <v>386.40000000000009</v>
      </c>
      <c r="F1161">
        <f>Dashboard_Live_Data!T180</f>
        <v>1735.3597667890638</v>
      </c>
      <c r="G1161">
        <f>Dashboard_Live_Data!U180</f>
        <v>386.40000000000009</v>
      </c>
      <c r="H1161">
        <f>Dashboard_Live_Data!V180</f>
        <v>1684.2103145903695</v>
      </c>
    </row>
    <row r="1162" spans="1:8">
      <c r="A1162">
        <f>Dashboard_Live_Data!O181</f>
        <v>29.519999999999996</v>
      </c>
      <c r="B1162">
        <f>Dashboard_Live_Data!P181</f>
        <v>2674.9722703164202</v>
      </c>
      <c r="C1162">
        <f>Dashboard_Live_Data!Q181</f>
        <v>196.79999999999995</v>
      </c>
      <c r="D1162">
        <f>Dashboard_Live_Data!R181</f>
        <v>822.92503836103822</v>
      </c>
      <c r="E1162">
        <f>Dashboard_Live_Data!S181</f>
        <v>393.59999999999991</v>
      </c>
      <c r="F1162">
        <f>Dashboard_Live_Data!T181</f>
        <v>1791.8513480415836</v>
      </c>
      <c r="G1162">
        <f>Dashboard_Live_Data!U181</f>
        <v>393.59999999999991</v>
      </c>
      <c r="H1162">
        <f>Dashboard_Live_Data!V181</f>
        <v>1741.2873008299623</v>
      </c>
    </row>
    <row r="1163" spans="1:8">
      <c r="A1163">
        <f>Dashboard_Live_Data!O182</f>
        <v>30</v>
      </c>
      <c r="B1163">
        <f>Dashboard_Live_Data!P182</f>
        <v>2675.1840434891792</v>
      </c>
      <c r="C1163">
        <f>Dashboard_Live_Data!Q182</f>
        <v>200</v>
      </c>
      <c r="D1163">
        <f>Dashboard_Live_Data!R182</f>
        <v>842.24934037533387</v>
      </c>
      <c r="E1163">
        <f>Dashboard_Live_Data!S182</f>
        <v>400</v>
      </c>
      <c r="F1163">
        <f>Dashboard_Live_Data!T182</f>
        <v>1842.9416259697903</v>
      </c>
      <c r="G1163">
        <f>Dashboard_Live_Data!U182</f>
        <v>400</v>
      </c>
      <c r="H1163">
        <f>Dashboard_Live_Data!V182</f>
        <v>1792.9070116900673</v>
      </c>
    </row>
    <row r="1164" spans="1:8">
      <c r="A1164">
        <f>Dashboard_Live_Data!O183</f>
        <v>30.480000000000004</v>
      </c>
      <c r="B1164">
        <f>Dashboard_Live_Data!P183</f>
        <v>2675.3992323582734</v>
      </c>
      <c r="C1164">
        <f>Dashboard_Live_Data!Q183</f>
        <v>203.20000000000005</v>
      </c>
      <c r="D1164">
        <f>Dashboard_Live_Data!R183</f>
        <v>861.88532468018286</v>
      </c>
      <c r="E1164">
        <f>Dashboard_Live_Data!S183</f>
        <v>406.40000000000009</v>
      </c>
      <c r="F1164">
        <f>Dashboard_Live_Data!T183</f>
        <v>1894.8559406387742</v>
      </c>
      <c r="G1164">
        <f>Dashboard_Live_Data!U183</f>
        <v>406.40000000000009</v>
      </c>
      <c r="H1164">
        <f>Dashboard_Live_Data!V183</f>
        <v>1845.3592985317866</v>
      </c>
    </row>
    <row r="1165" spans="1:8">
      <c r="A1165">
        <f>Dashboard_Live_Data!O184</f>
        <v>31.019999999999996</v>
      </c>
      <c r="B1165">
        <f>Dashboard_Live_Data!P184</f>
        <v>2675.6454026605297</v>
      </c>
      <c r="C1165">
        <f>Dashboard_Live_Data!Q184</f>
        <v>206.79999999999995</v>
      </c>
      <c r="D1165">
        <f>Dashboard_Live_Data!R184</f>
        <v>884.34836476106409</v>
      </c>
      <c r="E1165">
        <f>Dashboard_Live_Data!S184</f>
        <v>413.59999999999991</v>
      </c>
      <c r="F1165">
        <f>Dashboard_Live_Data!T184</f>
        <v>1954.2445260580898</v>
      </c>
      <c r="G1165">
        <f>Dashboard_Live_Data!U184</f>
        <v>413.59999999999991</v>
      </c>
      <c r="H1165">
        <f>Dashboard_Live_Data!V184</f>
        <v>1905.3633097067434</v>
      </c>
    </row>
    <row r="1166" spans="1:8">
      <c r="A1166">
        <f>Dashboard_Live_Data!O185</f>
        <v>31.5</v>
      </c>
      <c r="B1166">
        <f>Dashboard_Live_Data!P185</f>
        <v>2675.867849884336</v>
      </c>
      <c r="C1166">
        <f>Dashboard_Live_Data!Q185</f>
        <v>210</v>
      </c>
      <c r="D1166">
        <f>Dashboard_Live_Data!R185</f>
        <v>904.64667393333821</v>
      </c>
      <c r="E1166">
        <f>Dashboard_Live_Data!S185</f>
        <v>420</v>
      </c>
      <c r="F1166">
        <f>Dashboard_Live_Data!T185</f>
        <v>2007.9099188012265</v>
      </c>
      <c r="G1166">
        <f>Dashboard_Live_Data!U185</f>
        <v>420</v>
      </c>
      <c r="H1166">
        <f>Dashboard_Live_Data!V185</f>
        <v>1959.5848205093939</v>
      </c>
    </row>
    <row r="1167" spans="1:8">
      <c r="A1167">
        <f>Dashboard_Live_Data!O186</f>
        <v>31.97999999999999</v>
      </c>
      <c r="B1167">
        <f>Dashboard_Live_Data!P186</f>
        <v>2676.0937128044761</v>
      </c>
      <c r="C1167">
        <f>Dashboard_Live_Data!Q186</f>
        <v>213.19999999999993</v>
      </c>
      <c r="D1167">
        <f>Dashboard_Live_Data!R186</f>
        <v>925.25666539616498</v>
      </c>
      <c r="E1167">
        <f>Dashboard_Live_Data!S186</f>
        <v>426.39999999999986</v>
      </c>
      <c r="F1167">
        <f>Dashboard_Live_Data!T186</f>
        <v>2062.3993482851374</v>
      </c>
      <c r="G1167">
        <f>Dashboard_Live_Data!U186</f>
        <v>426.39999999999986</v>
      </c>
      <c r="H1167">
        <f>Dashboard_Live_Data!V186</f>
        <v>2014.638907293657</v>
      </c>
    </row>
    <row r="1168" spans="1:8">
      <c r="A1168">
        <f>Dashboard_Live_Data!O187</f>
        <v>32.519999999999996</v>
      </c>
      <c r="B1168">
        <f>Dashboard_Live_Data!P187</f>
        <v>2676.3518914141596</v>
      </c>
      <c r="C1168">
        <f>Dashboard_Live_Data!Q187</f>
        <v>216.80000000000007</v>
      </c>
      <c r="D1168">
        <f>Dashboard_Live_Data!R187</f>
        <v>948.8154635297733</v>
      </c>
      <c r="E1168">
        <f>Dashboard_Live_Data!S187</f>
        <v>433.60000000000014</v>
      </c>
      <c r="F1168">
        <f>Dashboard_Live_Data!T187</f>
        <v>2124.6849378712532</v>
      </c>
      <c r="G1168">
        <f>Dashboard_Live_Data!U187</f>
        <v>433.60000000000014</v>
      </c>
      <c r="H1168">
        <f>Dashboard_Live_Data!V187</f>
        <v>2077.5699434039807</v>
      </c>
    </row>
    <row r="1169" spans="1:8">
      <c r="A1169">
        <f>Dashboard_Live_Data!O188</f>
        <v>33</v>
      </c>
      <c r="B1169">
        <f>Dashboard_Live_Data!P188</f>
        <v>2676.5850126890118</v>
      </c>
      <c r="C1169">
        <f>Dashboard_Live_Data!Q188</f>
        <v>220</v>
      </c>
      <c r="D1169">
        <f>Dashboard_Live_Data!R188</f>
        <v>970.08777986002588</v>
      </c>
      <c r="E1169">
        <f>Dashboard_Live_Data!S188</f>
        <v>440</v>
      </c>
      <c r="F1169">
        <f>Dashboard_Live_Data!T188</f>
        <v>2180.9254454293177</v>
      </c>
      <c r="G1169">
        <f>Dashboard_Live_Data!U188</f>
        <v>440</v>
      </c>
      <c r="H1169">
        <f>Dashboard_Live_Data!V188</f>
        <v>2134.3932541491758</v>
      </c>
    </row>
    <row r="1170" spans="1:8">
      <c r="A1170">
        <f>Dashboard_Live_Data!O189</f>
        <v>33.480000000000004</v>
      </c>
      <c r="B1170">
        <f>Dashboard_Live_Data!P189</f>
        <v>2676.8215496601988</v>
      </c>
      <c r="C1170">
        <f>Dashboard_Live_Data!Q189</f>
        <v>223.20000000000005</v>
      </c>
      <c r="D1170">
        <f>Dashboard_Live_Data!R189</f>
        <v>991.67177848083202</v>
      </c>
      <c r="E1170">
        <f>Dashboard_Live_Data!S189</f>
        <v>446.40000000000009</v>
      </c>
      <c r="F1170">
        <f>Dashboard_Live_Data!T189</f>
        <v>2237.9899897281621</v>
      </c>
      <c r="G1170">
        <f>Dashboard_Live_Data!U189</f>
        <v>446.40000000000009</v>
      </c>
      <c r="H1170">
        <f>Dashboard_Live_Data!V189</f>
        <v>2192.0491408759867</v>
      </c>
    </row>
    <row r="1171" spans="1:8">
      <c r="A1171">
        <f>Dashboard_Live_Data!O190</f>
        <v>34.019999999999996</v>
      </c>
      <c r="B1171">
        <f>Dashboard_Live_Data!P190</f>
        <v>2677.0917365773089</v>
      </c>
      <c r="C1171">
        <f>Dashboard_Live_Data!Q190</f>
        <v>226.79999999999995</v>
      </c>
      <c r="D1171">
        <f>Dashboard_Live_Data!R190</f>
        <v>1016.3263346671646</v>
      </c>
      <c r="E1171">
        <f>Dashboard_Live_Data!S190</f>
        <v>453.59999999999991</v>
      </c>
      <c r="F1171">
        <f>Dashboard_Live_Data!T190</f>
        <v>2303.1725834810677</v>
      </c>
      <c r="G1171">
        <f>Dashboard_Live_Data!U190</f>
        <v>453.59999999999991</v>
      </c>
      <c r="H1171">
        <f>Dashboard_Live_Data!V190</f>
        <v>2257.9072019216701</v>
      </c>
    </row>
    <row r="1172" spans="1:8">
      <c r="A1172">
        <f>Dashboard_Live_Data!O191</f>
        <v>34.5</v>
      </c>
      <c r="B1172">
        <f>Dashboard_Live_Data!P191</f>
        <v>2677.3355319032075</v>
      </c>
      <c r="C1172">
        <f>Dashboard_Live_Data!Q191</f>
        <v>230</v>
      </c>
      <c r="D1172">
        <f>Dashboard_Live_Data!R191</f>
        <v>1038.5726581553961</v>
      </c>
      <c r="E1172">
        <f>Dashboard_Live_Data!S191</f>
        <v>460</v>
      </c>
      <c r="F1172">
        <f>Dashboard_Live_Data!T191</f>
        <v>2361.9882058540638</v>
      </c>
      <c r="G1172">
        <f>Dashboard_Live_Data!U191</f>
        <v>460</v>
      </c>
      <c r="H1172">
        <f>Dashboard_Live_Data!V191</f>
        <v>2317.3323126094115</v>
      </c>
    </row>
    <row r="1173" spans="1:8">
      <c r="A1173">
        <f>Dashboard_Live_Data!O192</f>
        <v>34.980000000000004</v>
      </c>
      <c r="B1173">
        <f>Dashboard_Live_Data!P192</f>
        <v>2677.5827429254409</v>
      </c>
      <c r="C1173">
        <f>Dashboard_Live_Data!Q192</f>
        <v>233.19999999999993</v>
      </c>
      <c r="D1173">
        <f>Dashboard_Live_Data!R192</f>
        <v>1061.1306639341801</v>
      </c>
      <c r="E1173">
        <f>Dashboard_Live_Data!S192</f>
        <v>466.39999999999986</v>
      </c>
      <c r="F1173">
        <f>Dashboard_Live_Data!T192</f>
        <v>2421.6278649678361</v>
      </c>
      <c r="G1173">
        <f>Dashboard_Live_Data!U192</f>
        <v>466.39999999999986</v>
      </c>
      <c r="H1173">
        <f>Dashboard_Live_Data!V192</f>
        <v>2377.5899992787668</v>
      </c>
    </row>
    <row r="1174" spans="1:8">
      <c r="A1174">
        <f>Dashboard_Live_Data!O193</f>
        <v>35.52000000000001</v>
      </c>
      <c r="B1174">
        <f>Dashboard_Live_Data!P193</f>
        <v>2677.8649381499786</v>
      </c>
      <c r="C1174">
        <f>Dashboard_Live_Data!Q193</f>
        <v>236.80000000000007</v>
      </c>
      <c r="D1174">
        <f>Dashboard_Live_Data!R193</f>
        <v>1086.8809781732407</v>
      </c>
      <c r="E1174">
        <f>Dashboard_Live_Data!S193</f>
        <v>473.60000000000014</v>
      </c>
      <c r="F1174">
        <f>Dashboard_Live_Data!T193</f>
        <v>2489.7074628875434</v>
      </c>
      <c r="G1174">
        <f>Dashboard_Live_Data!U193</f>
        <v>473.60000000000014</v>
      </c>
      <c r="H1174">
        <f>Dashboard_Live_Data!V193</f>
        <v>2446.3750852598187</v>
      </c>
    </row>
    <row r="1175" spans="1:8">
      <c r="A1175">
        <f>Dashboard_Live_Data!O194</f>
        <v>36</v>
      </c>
      <c r="B1175">
        <f>Dashboard_Live_Data!P194</f>
        <v>2678.1194075269232</v>
      </c>
      <c r="C1175">
        <f>Dashboard_Live_Data!Q194</f>
        <v>240</v>
      </c>
      <c r="D1175">
        <f>Dashboard_Live_Data!R194</f>
        <v>1110.1013088194502</v>
      </c>
      <c r="E1175">
        <f>Dashboard_Live_Data!S194</f>
        <v>480</v>
      </c>
      <c r="F1175">
        <f>Dashboard_Live_Data!T194</f>
        <v>2551.098200075467</v>
      </c>
      <c r="G1175">
        <f>Dashboard_Live_Data!U194</f>
        <v>480</v>
      </c>
      <c r="H1175">
        <f>Dashboard_Live_Data!V194</f>
        <v>2508.4019958901035</v>
      </c>
    </row>
    <row r="1176" spans="1:8">
      <c r="A1176">
        <f>Dashboard_Live_Data!O195</f>
        <v>36.480000000000004</v>
      </c>
      <c r="B1176">
        <f>Dashboard_Live_Data!P195</f>
        <v>2678.377292600203</v>
      </c>
      <c r="C1176">
        <f>Dashboard_Live_Data!Q195</f>
        <v>243.20000000000005</v>
      </c>
      <c r="D1176">
        <f>Dashboard_Live_Data!R195</f>
        <v>1133.6333217562135</v>
      </c>
      <c r="E1176">
        <f>Dashboard_Live_Data!S195</f>
        <v>486.40000000000009</v>
      </c>
      <c r="F1176">
        <f>Dashboard_Live_Data!T195</f>
        <v>2613.31297400417</v>
      </c>
      <c r="G1176">
        <f>Dashboard_Live_Data!U195</f>
        <v>486.40000000000009</v>
      </c>
      <c r="H1176">
        <f>Dashboard_Live_Data!V195</f>
        <v>2571.2614825020055</v>
      </c>
    </row>
    <row r="1177" spans="1:8">
      <c r="A1177">
        <f>Dashboard_Live_Data!O196</f>
        <v>37.019999999999996</v>
      </c>
      <c r="B1177">
        <f>Dashboard_Live_Data!P196</f>
        <v>2678.6714961321677</v>
      </c>
      <c r="C1177">
        <f>Dashboard_Live_Data!Q196</f>
        <v>246.79999999999995</v>
      </c>
      <c r="D1177">
        <f>Dashboard_Live_Data!R196</f>
        <v>1160.4793940479979</v>
      </c>
      <c r="E1177">
        <f>Dashboard_Live_Data!S196</f>
        <v>493.59999999999991</v>
      </c>
      <c r="F1177">
        <f>Dashboard_Live_Data!T196</f>
        <v>2684.289576090669</v>
      </c>
      <c r="G1177">
        <f>Dashboard_Live_Data!U196</f>
        <v>493.59999999999991</v>
      </c>
      <c r="H1177">
        <f>Dashboard_Live_Data!V196</f>
        <v>2642.9735934184168</v>
      </c>
    </row>
    <row r="1178" spans="1:8">
      <c r="A1178">
        <f>Dashboard_Live_Data!O197</f>
        <v>37.5</v>
      </c>
      <c r="B1178">
        <f>Dashboard_Live_Data!P197</f>
        <v>2678.9366395601587</v>
      </c>
      <c r="C1178">
        <f>Dashboard_Live_Data!Q197</f>
        <v>250</v>
      </c>
      <c r="D1178">
        <f>Dashboard_Live_Data!R197</f>
        <v>1184.6737318521868</v>
      </c>
      <c r="E1178">
        <f>Dashboard_Live_Data!S197</f>
        <v>500</v>
      </c>
      <c r="F1178">
        <f>Dashboard_Live_Data!T197</f>
        <v>2748.2554280935246</v>
      </c>
      <c r="G1178">
        <f>Dashboard_Live_Data!U197</f>
        <v>500</v>
      </c>
      <c r="H1178">
        <f>Dashboard_Live_Data!V197</f>
        <v>2707.6023039912498</v>
      </c>
    </row>
    <row r="1179" spans="1:8">
      <c r="A1179">
        <f>Dashboard_Live_Data!O198</f>
        <v>37.980000000000004</v>
      </c>
      <c r="B1179">
        <f>Dashboard_Live_Data!P198</f>
        <v>2679.2051986844849</v>
      </c>
      <c r="C1179">
        <f>Dashboard_Live_Data!Q198</f>
        <v>253.20000000000005</v>
      </c>
      <c r="D1179">
        <f>Dashboard_Live_Data!R198</f>
        <v>1209.1797519469292</v>
      </c>
      <c r="E1179">
        <f>Dashboard_Live_Data!S198</f>
        <v>506.40000000000009</v>
      </c>
      <c r="F1179">
        <f>Dashboard_Live_Data!T198</f>
        <v>2813.0453168371578</v>
      </c>
      <c r="G1179">
        <f>Dashboard_Live_Data!U198</f>
        <v>506.40000000000009</v>
      </c>
      <c r="H1179">
        <f>Dashboard_Live_Data!V198</f>
        <v>2773.0635905456975</v>
      </c>
    </row>
    <row r="1180" spans="1:8">
      <c r="A1180">
        <f>Dashboard_Live_Data!O199</f>
        <v>38.519999999999996</v>
      </c>
      <c r="B1180">
        <f>Dashboard_Live_Data!P199</f>
        <v>2679.5114105238763</v>
      </c>
      <c r="C1180">
        <f>Dashboard_Live_Data!Q199</f>
        <v>256.79999999999995</v>
      </c>
      <c r="D1180">
        <f>Dashboard_Live_Data!R199</f>
        <v>1237.1215822914396</v>
      </c>
      <c r="E1180">
        <f>Dashboard_Live_Data!S199</f>
        <v>513.59999999999991</v>
      </c>
      <c r="F1180">
        <f>Dashboard_Live_Data!T199</f>
        <v>2886.9189230904522</v>
      </c>
      <c r="G1180">
        <f>Dashboard_Live_Data!U199</f>
        <v>513.59999999999991</v>
      </c>
      <c r="H1180">
        <f>Dashboard_Live_Data!V199</f>
        <v>2847.7027263974724</v>
      </c>
    </row>
    <row r="1181" spans="1:8">
      <c r="A1181">
        <f>Dashboard_Live_Data!O200</f>
        <v>39</v>
      </c>
      <c r="B1181">
        <f>Dashboard_Live_Data!P200</f>
        <v>2679.7872280029137</v>
      </c>
      <c r="C1181">
        <f>Dashboard_Live_Data!Q200</f>
        <v>260</v>
      </c>
      <c r="D1181">
        <f>Dashboard_Live_Data!R200</f>
        <v>1262.2899272536067</v>
      </c>
      <c r="E1181">
        <f>Dashboard_Live_Data!S200</f>
        <v>520</v>
      </c>
      <c r="F1181">
        <f>Dashboard_Live_Data!T200</f>
        <v>2953.459889908238</v>
      </c>
      <c r="G1181">
        <f>Dashboard_Live_Data!U200</f>
        <v>520</v>
      </c>
      <c r="H1181">
        <f>Dashboard_Live_Data!V200</f>
        <v>2914.9332369128515</v>
      </c>
    </row>
    <row r="1182" spans="1:8">
      <c r="A1182">
        <f>Dashboard_Live_Data!O201</f>
        <v>39.47999999999999</v>
      </c>
      <c r="B1182">
        <f>Dashboard_Live_Data!P201</f>
        <v>2680.0664611782863</v>
      </c>
      <c r="C1182">
        <f>Dashboard_Live_Data!Q201</f>
        <v>263.19999999999993</v>
      </c>
      <c r="D1182">
        <f>Dashboard_Live_Data!R201</f>
        <v>1287.7699545063265</v>
      </c>
      <c r="E1182">
        <f>Dashboard_Live_Data!S201</f>
        <v>526.39999999999986</v>
      </c>
      <c r="F1182">
        <f>Dashboard_Live_Data!T201</f>
        <v>3020.8248934667977</v>
      </c>
      <c r="G1182">
        <f>Dashboard_Live_Data!U201</f>
        <v>526.39999999999986</v>
      </c>
      <c r="H1182">
        <f>Dashboard_Live_Data!V201</f>
        <v>2982.9963234098418</v>
      </c>
    </row>
    <row r="1183" spans="1:8">
      <c r="A1183">
        <f>Dashboard_Live_Data!O202</f>
        <v>40.019999999999996</v>
      </c>
      <c r="B1183">
        <f>Dashboard_Live_Data!P202</f>
        <v>2680.3846813251052</v>
      </c>
      <c r="C1183">
        <f>Dashboard_Live_Data!Q202</f>
        <v>266.80000000000007</v>
      </c>
      <c r="D1183">
        <f>Dashboard_Live_Data!R202</f>
        <v>1316.8075429035648</v>
      </c>
      <c r="E1183">
        <f>Dashboard_Live_Data!S202</f>
        <v>533.60000000000014</v>
      </c>
      <c r="F1183">
        <f>Dashboard_Live_Data!T202</f>
        <v>3097.5955038868938</v>
      </c>
      <c r="G1183">
        <f>Dashboard_Live_Data!U202</f>
        <v>533.60000000000014</v>
      </c>
      <c r="H1183">
        <f>Dashboard_Live_Data!V202</f>
        <v>3060.5624841969852</v>
      </c>
    </row>
    <row r="1184" spans="1:8">
      <c r="A1184">
        <f>Dashboard_Live_Data!O203</f>
        <v>40.5</v>
      </c>
      <c r="B1184">
        <f>Dashboard_Live_Data!P203</f>
        <v>2680.6711728551891</v>
      </c>
      <c r="C1184">
        <f>Dashboard_Live_Data!Q203</f>
        <v>270</v>
      </c>
      <c r="D1184">
        <f>Dashboard_Live_Data!R203</f>
        <v>1342.9498950237103</v>
      </c>
      <c r="E1184">
        <f>Dashboard_Live_Data!S203</f>
        <v>540</v>
      </c>
      <c r="F1184">
        <f>Dashboard_Live_Data!T203</f>
        <v>3166.7115855196066</v>
      </c>
      <c r="G1184">
        <f>Dashboard_Live_Data!U203</f>
        <v>540</v>
      </c>
      <c r="H1184">
        <f>Dashboard_Live_Data!V203</f>
        <v>3130.3947946549083</v>
      </c>
    </row>
    <row r="1185" spans="1:8">
      <c r="A1185">
        <f>Dashboard_Live_Data!O204</f>
        <v>40.980000000000004</v>
      </c>
      <c r="B1185">
        <f>Dashboard_Live_Data!P204</f>
        <v>2680.9610800816076</v>
      </c>
      <c r="C1185">
        <f>Dashboard_Live_Data!Q204</f>
        <v>273.20000000000005</v>
      </c>
      <c r="D1185">
        <f>Dashboard_Live_Data!R204</f>
        <v>1369.4039294344093</v>
      </c>
      <c r="E1185">
        <f>Dashboard_Live_Data!S204</f>
        <v>546.40000000000009</v>
      </c>
      <c r="F1185">
        <f>Dashboard_Live_Data!T204</f>
        <v>3236.6517038930992</v>
      </c>
      <c r="G1185">
        <f>Dashboard_Live_Data!U204</f>
        <v>546.40000000000009</v>
      </c>
      <c r="H1185">
        <f>Dashboard_Live_Data!V204</f>
        <v>3201.0596810944471</v>
      </c>
    </row>
    <row r="1186" spans="1:8">
      <c r="A1186">
        <f>Dashboard_Live_Data!O205</f>
        <v>41.519999999999996</v>
      </c>
      <c r="B1186">
        <f>Dashboard_Live_Data!P205</f>
        <v>2681.2913085358537</v>
      </c>
      <c r="C1186">
        <f>Dashboard_Live_Data!Q205</f>
        <v>276.79999999999995</v>
      </c>
      <c r="D1186">
        <f>Dashboard_Live_Data!R205</f>
        <v>1399.5372758843714</v>
      </c>
      <c r="E1186">
        <f>Dashboard_Live_Data!S205</f>
        <v>553.59999999999991</v>
      </c>
      <c r="F1186">
        <f>Dashboard_Live_Data!T205</f>
        <v>3316.3193184799852</v>
      </c>
      <c r="G1186">
        <f>Dashboard_Live_Data!U205</f>
        <v>553.59999999999991</v>
      </c>
      <c r="H1186">
        <f>Dashboard_Live_Data!V205</f>
        <v>3281.5528668169482</v>
      </c>
    </row>
    <row r="1187" spans="1:8">
      <c r="A1187">
        <f>Dashboard_Live_Data!O206</f>
        <v>42</v>
      </c>
      <c r="B1187">
        <f>Dashboard_Live_Data!P206</f>
        <v>2681.5884741169839</v>
      </c>
      <c r="C1187">
        <f>Dashboard_Live_Data!Q206</f>
        <v>280</v>
      </c>
      <c r="D1187">
        <f>Dashboard_Live_Data!R206</f>
        <v>1426.6536351624961</v>
      </c>
      <c r="E1187">
        <f>Dashboard_Live_Data!S206</f>
        <v>560</v>
      </c>
      <c r="F1187">
        <f>Dashboard_Live_Data!T206</f>
        <v>3388.0105149276301</v>
      </c>
      <c r="G1187">
        <f>Dashboard_Live_Data!U206</f>
        <v>560</v>
      </c>
      <c r="H1187">
        <f>Dashboard_Live_Data!V206</f>
        <v>3353.9869772174184</v>
      </c>
    </row>
    <row r="1188" spans="1:8">
      <c r="A1188">
        <f>Dashboard_Live_Data!O207</f>
        <v>42.480000000000004</v>
      </c>
      <c r="B1188">
        <f>Dashboard_Live_Data!P207</f>
        <v>2681.8890553944493</v>
      </c>
      <c r="C1188">
        <f>Dashboard_Live_Data!Q207</f>
        <v>283.19999999999993</v>
      </c>
      <c r="D1188">
        <f>Dashboard_Live_Data!R207</f>
        <v>1454.0816767311733</v>
      </c>
      <c r="E1188">
        <f>Dashboard_Live_Data!S207</f>
        <v>566.39999999999986</v>
      </c>
      <c r="F1188">
        <f>Dashboard_Live_Data!T207</f>
        <v>3460.5257481160506</v>
      </c>
      <c r="G1188">
        <f>Dashboard_Live_Data!U207</f>
        <v>566.39999999999986</v>
      </c>
      <c r="H1188">
        <f>Dashboard_Live_Data!V207</f>
        <v>3427.2536635995016</v>
      </c>
    </row>
    <row r="1189" spans="1:8">
      <c r="A1189">
        <f>Dashboard_Live_Data!O208</f>
        <v>43.02000000000001</v>
      </c>
      <c r="B1189">
        <f>Dashboard_Live_Data!P208</f>
        <v>2682.231292156122</v>
      </c>
      <c r="C1189">
        <f>Dashboard_Live_Data!Q208</f>
        <v>286.80000000000007</v>
      </c>
      <c r="D1189">
        <f>Dashboard_Live_Data!R208</f>
        <v>1485.3107812338633</v>
      </c>
      <c r="E1189">
        <f>Dashboard_Live_Data!S208</f>
        <v>573.60000000000014</v>
      </c>
      <c r="F1189">
        <f>Dashboard_Live_Data!T208</f>
        <v>3543.090366869737</v>
      </c>
      <c r="G1189">
        <f>Dashboard_Live_Data!U208</f>
        <v>573.60000000000014</v>
      </c>
      <c r="H1189">
        <f>Dashboard_Live_Data!V208</f>
        <v>3510.6738742573721</v>
      </c>
    </row>
    <row r="1190" spans="1:8">
      <c r="A1190">
        <f>Dashboard_Live_Data!O209</f>
        <v>43.5</v>
      </c>
      <c r="B1190">
        <f>Dashboard_Live_Data!P209</f>
        <v>2682.5391317882991</v>
      </c>
      <c r="C1190">
        <f>Dashboard_Live_Data!Q209</f>
        <v>290</v>
      </c>
      <c r="D1190">
        <f>Dashboard_Live_Data!R209</f>
        <v>1513.4011476699659</v>
      </c>
      <c r="E1190">
        <f>Dashboard_Live_Data!S209</f>
        <v>580</v>
      </c>
      <c r="F1190">
        <f>Dashboard_Live_Data!T209</f>
        <v>3617.3566781323107</v>
      </c>
      <c r="G1190">
        <f>Dashboard_Live_Data!U209</f>
        <v>580</v>
      </c>
      <c r="H1190">
        <f>Dashboard_Live_Data!V209</f>
        <v>3585.7097846003849</v>
      </c>
    </row>
    <row r="1191" spans="1:8">
      <c r="A1191">
        <f>Dashboard_Live_Data!O210</f>
        <v>43.980000000000004</v>
      </c>
      <c r="B1191">
        <f>Dashboard_Live_Data!P210</f>
        <v>2682.85038711681</v>
      </c>
      <c r="C1191">
        <f>Dashboard_Live_Data!Q210</f>
        <v>293.20000000000005</v>
      </c>
      <c r="D1191">
        <f>Dashboard_Live_Data!R210</f>
        <v>1541.8031963966221</v>
      </c>
      <c r="E1191">
        <f>Dashboard_Live_Data!S210</f>
        <v>586.40000000000009</v>
      </c>
      <c r="F1191">
        <f>Dashboard_Live_Data!T210</f>
        <v>3692.4470261356614</v>
      </c>
      <c r="G1191">
        <f>Dashboard_Live_Data!U210</f>
        <v>586.40000000000009</v>
      </c>
      <c r="H1191">
        <f>Dashboard_Live_Data!V210</f>
        <v>3661.5782709250157</v>
      </c>
    </row>
    <row r="1192" spans="1:8">
      <c r="A1192">
        <f>Dashboard_Live_Data!O211</f>
        <v>44.519999999999996</v>
      </c>
      <c r="B1192">
        <f>Dashboard_Live_Data!P211</f>
        <v>2683.2046321859102</v>
      </c>
      <c r="C1192">
        <f>Dashboard_Live_Data!Q211</f>
        <v>296.79999999999995</v>
      </c>
      <c r="D1192">
        <f>Dashboard_Live_Data!R211</f>
        <v>1574.1280589520366</v>
      </c>
      <c r="E1192">
        <f>Dashboard_Live_Data!S211</f>
        <v>593.59999999999991</v>
      </c>
      <c r="F1192">
        <f>Dashboard_Live_Data!T211</f>
        <v>3777.9086490561399</v>
      </c>
      <c r="G1192">
        <f>Dashboard_Live_Data!U211</f>
        <v>593.59999999999991</v>
      </c>
      <c r="H1192">
        <f>Dashboard_Live_Data!V211</f>
        <v>3747.9255065182456</v>
      </c>
    </row>
    <row r="1193" spans="1:8">
      <c r="A1193">
        <f>Dashboard_Live_Data!O212</f>
        <v>45</v>
      </c>
      <c r="B1193">
        <f>Dashboard_Live_Data!P212</f>
        <v>2683.5231458691333</v>
      </c>
      <c r="C1193">
        <f>Dashboard_Live_Data!Q212</f>
        <v>300</v>
      </c>
      <c r="D1193">
        <f>Dashboard_Live_Data!R212</f>
        <v>1603.1924325461182</v>
      </c>
      <c r="E1193">
        <f>Dashboard_Live_Data!S212</f>
        <v>600</v>
      </c>
      <c r="F1193">
        <f>Dashboard_Live_Data!T212</f>
        <v>3854.7500751336447</v>
      </c>
      <c r="G1193">
        <f>Dashboard_Live_Data!U212</f>
        <v>600</v>
      </c>
      <c r="H1193">
        <f>Dashboard_Live_Data!V212</f>
        <v>3825.5632168038064</v>
      </c>
    </row>
    <row r="1194" spans="1:8">
      <c r="A1194">
        <f>Dashboard_Live_Data!O213</f>
        <v>45.480000000000004</v>
      </c>
      <c r="B1194">
        <f>Dashboard_Live_Data!P213</f>
        <v>2683.8450752486906</v>
      </c>
      <c r="C1194">
        <f>Dashboard_Live_Data!Q213</f>
        <v>303.20000000000005</v>
      </c>
      <c r="D1194">
        <f>Dashboard_Live_Data!R213</f>
        <v>1632.5684884307536</v>
      </c>
      <c r="E1194">
        <f>Dashboard_Live_Data!S213</f>
        <v>606.40000000000009</v>
      </c>
      <c r="F1194">
        <f>Dashboard_Live_Data!T213</f>
        <v>3932.4155379519266</v>
      </c>
      <c r="G1194">
        <f>Dashboard_Live_Data!U213</f>
        <v>606.40000000000009</v>
      </c>
      <c r="H1194">
        <f>Dashboard_Live_Data!V213</f>
        <v>3904.0335030709825</v>
      </c>
    </row>
    <row r="1195" spans="1:8">
      <c r="A1195">
        <f>Dashboard_Live_Data!O214</f>
        <v>46.019999999999996</v>
      </c>
      <c r="B1195">
        <f>Dashboard_Live_Data!P214</f>
        <v>2684.2113286252188</v>
      </c>
      <c r="C1195">
        <f>Dashboard_Live_Data!Q214</f>
        <v>306.79999999999995</v>
      </c>
      <c r="D1195">
        <f>Dashboard_Live_Data!R214</f>
        <v>1665.9891090388933</v>
      </c>
      <c r="E1195">
        <f>Dashboard_Live_Data!S214</f>
        <v>613.59999999999991</v>
      </c>
      <c r="F1195">
        <f>Dashboard_Live_Data!T214</f>
        <v>4020.7741650392004</v>
      </c>
      <c r="G1195">
        <f>Dashboard_Live_Data!U214</f>
        <v>613.59999999999991</v>
      </c>
      <c r="H1195">
        <f>Dashboard_Live_Data!V214</f>
        <v>3993.3077635995755</v>
      </c>
    </row>
    <row r="1196" spans="1:8">
      <c r="A1196">
        <f>Dashboard_Live_Data!O215</f>
        <v>46.5</v>
      </c>
      <c r="B1196">
        <f>Dashboard_Live_Data!P215</f>
        <v>2684.5405163594878</v>
      </c>
      <c r="C1196">
        <f>Dashboard_Live_Data!Q215</f>
        <v>310</v>
      </c>
      <c r="D1196">
        <f>Dashboard_Live_Data!R215</f>
        <v>1696.0274897909542</v>
      </c>
      <c r="E1196">
        <f>Dashboard_Live_Data!S215</f>
        <v>620</v>
      </c>
      <c r="F1196">
        <f>Dashboard_Live_Data!T215</f>
        <v>4100.1907059316354</v>
      </c>
      <c r="G1196">
        <f>Dashboard_Live_Data!U215</f>
        <v>620</v>
      </c>
      <c r="H1196">
        <f>Dashboard_Live_Data!V215</f>
        <v>4073.5472738276831</v>
      </c>
    </row>
    <row r="1197" spans="1:8">
      <c r="A1197">
        <f>Dashboard_Live_Data!O216</f>
        <v>46.97999999999999</v>
      </c>
      <c r="B1197">
        <f>Dashboard_Live_Data!P216</f>
        <v>2684.873119790092</v>
      </c>
      <c r="C1197">
        <f>Dashboard_Live_Data!Q216</f>
        <v>313.19999999999993</v>
      </c>
      <c r="D1197">
        <f>Dashboard_Live_Data!R216</f>
        <v>1726.3775528335661</v>
      </c>
      <c r="E1197">
        <f>Dashboard_Live_Data!S216</f>
        <v>626.39999999999986</v>
      </c>
      <c r="F1197">
        <f>Dashboard_Live_Data!T216</f>
        <v>4180.4312835648425</v>
      </c>
      <c r="G1197">
        <f>Dashboard_Live_Data!U216</f>
        <v>626.39999999999986</v>
      </c>
      <c r="H1197">
        <f>Dashboard_Live_Data!V216</f>
        <v>4154.6193600374008</v>
      </c>
    </row>
    <row r="1198" spans="1:8">
      <c r="A1198">
        <f>Dashboard_Live_Data!O217</f>
        <v>47.519999999999996</v>
      </c>
      <c r="B1198">
        <f>Dashboard_Live_Data!P217</f>
        <v>2685.251381474046</v>
      </c>
      <c r="C1198">
        <f>Dashboard_Live_Data!Q217</f>
        <v>316.80000000000007</v>
      </c>
      <c r="D1198">
        <f>Dashboard_Live_Data!R217</f>
        <v>1760.893931494435</v>
      </c>
      <c r="E1198">
        <f>Dashboard_Live_Data!S217</f>
        <v>633.60000000000014</v>
      </c>
      <c r="F1198">
        <f>Dashboard_Live_Data!T217</f>
        <v>4271.6869148189198</v>
      </c>
      <c r="G1198">
        <f>Dashboard_Live_Data!U217</f>
        <v>633.60000000000014</v>
      </c>
      <c r="H1198">
        <f>Dashboard_Live_Data!V217</f>
        <v>4246.8206455013642</v>
      </c>
    </row>
    <row r="1199" spans="1:8">
      <c r="A1199">
        <f>Dashboard_Live_Data!O218</f>
        <v>48</v>
      </c>
      <c r="B1199">
        <f>Dashboard_Live_Data!P218</f>
        <v>2685.5912432593618</v>
      </c>
      <c r="C1199">
        <f>Dashboard_Live_Data!Q218</f>
        <v>320</v>
      </c>
      <c r="D1199">
        <f>Dashboard_Live_Data!R218</f>
        <v>1791.9063194044727</v>
      </c>
      <c r="E1199">
        <f>Dashboard_Live_Data!S218</f>
        <v>640</v>
      </c>
      <c r="F1199">
        <f>Dashboard_Live_Data!T218</f>
        <v>4353.678570526281</v>
      </c>
      <c r="G1199">
        <f>Dashboard_Live_Data!U218</f>
        <v>640</v>
      </c>
      <c r="H1199">
        <f>Dashboard_Live_Data!V218</f>
        <v>4329.6619556720143</v>
      </c>
    </row>
    <row r="1200" spans="1:8">
      <c r="A1200">
        <f>Dashboard_Live_Data!O219</f>
        <v>48.480000000000004</v>
      </c>
      <c r="B1200">
        <f>Dashboard_Live_Data!P219</f>
        <v>2685.9345207410115</v>
      </c>
      <c r="C1200">
        <f>Dashboard_Live_Data!Q219</f>
        <v>323.20000000000005</v>
      </c>
      <c r="D1200">
        <f>Dashboard_Live_Data!R219</f>
        <v>1823.2303896050653</v>
      </c>
      <c r="E1200">
        <f>Dashboard_Live_Data!S219</f>
        <v>646.40000000000009</v>
      </c>
      <c r="F1200">
        <f>Dashboard_Live_Data!T219</f>
        <v>4436.4942629744219</v>
      </c>
      <c r="G1200">
        <f>Dashboard_Live_Data!U219</f>
        <v>646.40000000000009</v>
      </c>
      <c r="H1200">
        <f>Dashboard_Live_Data!V219</f>
        <v>4413.3358418242815</v>
      </c>
    </row>
    <row r="1201" spans="1:8">
      <c r="A1201">
        <f>Dashboard_Live_Data!O220</f>
        <v>49.019999999999996</v>
      </c>
      <c r="B1201">
        <f>Dashboard_Live_Data!P220</f>
        <v>2686.3247907323939</v>
      </c>
      <c r="C1201">
        <f>Dashboard_Live_Data!Q220</f>
        <v>326.79999999999995</v>
      </c>
      <c r="D1201">
        <f>Dashboard_Live_Data!R220</f>
        <v>1858.8425263186568</v>
      </c>
      <c r="E1201">
        <f>Dashboard_Live_Data!S220</f>
        <v>653.59999999999991</v>
      </c>
      <c r="F1201">
        <f>Dashboard_Live_Data!T220</f>
        <v>4530.6468983952882</v>
      </c>
      <c r="G1201">
        <f>Dashboard_Live_Data!U220</f>
        <v>653.59999999999991</v>
      </c>
      <c r="H1201">
        <f>Dashboard_Live_Data!V220</f>
        <v>4508.4641522236016</v>
      </c>
    </row>
    <row r="1202" spans="1:8">
      <c r="A1202">
        <f>Dashboard_Live_Data!O221</f>
        <v>49.5</v>
      </c>
      <c r="B1202">
        <f>Dashboard_Live_Data!P221</f>
        <v>2686.6753265687557</v>
      </c>
      <c r="C1202">
        <f>Dashboard_Live_Data!Q221</f>
        <v>330</v>
      </c>
      <c r="D1202">
        <f>Dashboard_Live_Data!R221</f>
        <v>1890.8289213866744</v>
      </c>
      <c r="E1202">
        <f>Dashboard_Live_Data!S221</f>
        <v>660</v>
      </c>
      <c r="F1202">
        <f>Dashboard_Live_Data!T221</f>
        <v>4615.2136689175813</v>
      </c>
      <c r="G1202">
        <f>Dashboard_Live_Data!U221</f>
        <v>660</v>
      </c>
      <c r="H1202">
        <f>Dashboard_Live_Data!V221</f>
        <v>4593.9072623367983</v>
      </c>
    </row>
    <row r="1203" spans="1:8">
      <c r="A1203">
        <f>Dashboard_Live_Data!O222</f>
        <v>49.980000000000004</v>
      </c>
      <c r="B1203">
        <f>Dashboard_Live_Data!P222</f>
        <v>2687.0292781014527</v>
      </c>
      <c r="C1203">
        <f>Dashboard_Live_Data!Q222</f>
        <v>333.19999999999993</v>
      </c>
      <c r="D1203">
        <f>Dashboard_Live_Data!R222</f>
        <v>1923.1269987452447</v>
      </c>
      <c r="E1203">
        <f>Dashboard_Live_Data!S222</f>
        <v>666.39999999999986</v>
      </c>
      <c r="F1203">
        <f>Dashboard_Live_Data!T222</f>
        <v>4700.6044761806506</v>
      </c>
      <c r="G1203">
        <f>Dashboard_Live_Data!U222</f>
        <v>666.39999999999986</v>
      </c>
      <c r="H1203">
        <f>Dashboard_Live_Data!V222</f>
        <v>4680.1829484316095</v>
      </c>
    </row>
    <row r="1204" spans="1:8">
      <c r="A1204">
        <f>Dashboard_Live_Data!O223</f>
        <v>50.52000000000001</v>
      </c>
      <c r="B1204">
        <f>Dashboard_Live_Data!P223</f>
        <v>2687.4315564002609</v>
      </c>
      <c r="C1204">
        <f>Dashboard_Live_Data!Q223</f>
        <v>336.80000000000007</v>
      </c>
      <c r="D1204">
        <f>Dashboard_Live_Data!R223</f>
        <v>1959.8348935115648</v>
      </c>
      <c r="E1204">
        <f>Dashboard_Live_Data!S223</f>
        <v>673.60000000000014</v>
      </c>
      <c r="F1204">
        <f>Dashboard_Live_Data!T223</f>
        <v>4797.6541157683187</v>
      </c>
      <c r="G1204">
        <f>Dashboard_Live_Data!U223</f>
        <v>673.60000000000014</v>
      </c>
      <c r="H1204">
        <f>Dashboard_Live_Data!V223</f>
        <v>4778.2382837662999</v>
      </c>
    </row>
    <row r="1205" spans="1:8">
      <c r="A1205">
        <f>Dashboard_Live_Data!O224</f>
        <v>51</v>
      </c>
      <c r="B1205">
        <f>Dashboard_Live_Data!P224</f>
        <v>2687.7927662876696</v>
      </c>
      <c r="C1205">
        <f>Dashboard_Live_Data!Q224</f>
        <v>340</v>
      </c>
      <c r="D1205">
        <f>Dashboard_Live_Data!R224</f>
        <v>1992.7952957375599</v>
      </c>
      <c r="E1205">
        <f>Dashboard_Live_Data!S224</f>
        <v>680</v>
      </c>
      <c r="F1205">
        <f>Dashboard_Live_Data!T224</f>
        <v>4884.7960011055375</v>
      </c>
      <c r="G1205">
        <f>Dashboard_Live_Data!U224</f>
        <v>680</v>
      </c>
      <c r="H1205">
        <f>Dashboard_Live_Data!V224</f>
        <v>4866.2831938220397</v>
      </c>
    </row>
    <row r="1206" spans="1:8">
      <c r="A1206">
        <f>Dashboard_Live_Data!O225</f>
        <v>51.480000000000004</v>
      </c>
      <c r="B1206">
        <f>Dashboard_Live_Data!P225</f>
        <v>2688.1573918714125</v>
      </c>
      <c r="C1206">
        <f>Dashboard_Live_Data!Q225</f>
        <v>343.20000000000005</v>
      </c>
      <c r="D1206">
        <f>Dashboard_Live_Data!R225</f>
        <v>2026.0673802541094</v>
      </c>
      <c r="E1206">
        <f>Dashboard_Live_Data!S225</f>
        <v>686.40000000000009</v>
      </c>
      <c r="F1206">
        <f>Dashboard_Live_Data!T225</f>
        <v>4972.7619231835379</v>
      </c>
      <c r="G1206">
        <f>Dashboard_Live_Data!U225</f>
        <v>686.40000000000009</v>
      </c>
      <c r="H1206">
        <f>Dashboard_Live_Data!V225</f>
        <v>4955.1606798593994</v>
      </c>
    </row>
    <row r="1207" spans="1:8">
      <c r="A1207">
        <f>Dashboard_Live_Data!O226</f>
        <v>52.019999999999996</v>
      </c>
      <c r="B1207">
        <f>Dashboard_Live_Data!P226</f>
        <v>2688.5716784776487</v>
      </c>
      <c r="C1207">
        <f>Dashboard_Live_Data!Q226</f>
        <v>346.79999999999995</v>
      </c>
      <c r="D1207">
        <f>Dashboard_Live_Data!R226</f>
        <v>2063.8710330731533</v>
      </c>
      <c r="E1207">
        <f>Dashboard_Live_Data!S226</f>
        <v>693.59999999999991</v>
      </c>
      <c r="F1207">
        <f>Dashboard_Live_Data!T226</f>
        <v>5072.7085669379967</v>
      </c>
      <c r="G1207">
        <f>Dashboard_Live_Data!U226</f>
        <v>693.59999999999991</v>
      </c>
      <c r="H1207">
        <f>Dashboard_Live_Data!V226</f>
        <v>5056.1430401294474</v>
      </c>
    </row>
    <row r="1208" spans="1:8">
      <c r="A1208">
        <f>Dashboard_Live_Data!O227</f>
        <v>52.5</v>
      </c>
      <c r="B1208">
        <f>Dashboard_Live_Data!P227</f>
        <v>2688.9435624161033</v>
      </c>
      <c r="C1208">
        <f>Dashboard_Live_Data!Q227</f>
        <v>350</v>
      </c>
      <c r="D1208">
        <f>Dashboard_Live_Data!R227</f>
        <v>2097.8054424571283</v>
      </c>
      <c r="E1208">
        <f>Dashboard_Live_Data!S227</f>
        <v>700</v>
      </c>
      <c r="F1208">
        <f>Dashboard_Live_Data!T227</f>
        <v>5162.4255670901503</v>
      </c>
      <c r="G1208">
        <f>Dashboard_Live_Data!U227</f>
        <v>700</v>
      </c>
      <c r="H1208">
        <f>Dashboard_Live_Data!V227</f>
        <v>5146.7897501277366</v>
      </c>
    </row>
    <row r="1209" spans="1:8">
      <c r="A1209">
        <f>Dashboard_Live_Data!O228</f>
        <v>52.980000000000004</v>
      </c>
      <c r="B1209">
        <f>Dashboard_Live_Data!P228</f>
        <v>2689.3188620508927</v>
      </c>
      <c r="C1209">
        <f>Dashboard_Live_Data!Q228</f>
        <v>353.20000000000005</v>
      </c>
      <c r="D1209">
        <f>Dashboard_Live_Data!R228</f>
        <v>2132.0515341316568</v>
      </c>
      <c r="E1209">
        <f>Dashboard_Live_Data!S228</f>
        <v>706.40000000000009</v>
      </c>
      <c r="F1209">
        <f>Dashboard_Live_Data!T228</f>
        <v>5252.9666039830799</v>
      </c>
      <c r="G1209">
        <f>Dashboard_Live_Data!U228</f>
        <v>706.40000000000009</v>
      </c>
      <c r="H1209">
        <f>Dashboard_Live_Data!V228</f>
        <v>5238.2690361076411</v>
      </c>
    </row>
    <row r="1210" spans="1:8">
      <c r="A1210">
        <f>Dashboard_Live_Data!O229</f>
        <v>53.519999999999996</v>
      </c>
      <c r="B1210">
        <f>Dashboard_Live_Data!P229</f>
        <v>2689.7451569645559</v>
      </c>
      <c r="C1210">
        <f>Dashboard_Live_Data!Q229</f>
        <v>356.79999999999995</v>
      </c>
      <c r="D1210">
        <f>Dashboard_Live_Data!R229</f>
        <v>2170.9509450034257</v>
      </c>
      <c r="E1210">
        <f>Dashboard_Live_Data!S229</f>
        <v>713.59999999999991</v>
      </c>
      <c r="F1210">
        <f>Dashboard_Live_Data!T229</f>
        <v>5355.810251904335</v>
      </c>
      <c r="G1210">
        <f>Dashboard_Live_Data!U229</f>
        <v>713.59999999999991</v>
      </c>
      <c r="H1210">
        <f>Dashboard_Live_Data!V229</f>
        <v>5342.1784213130522</v>
      </c>
    </row>
    <row r="1211" spans="1:8">
      <c r="A1211">
        <f>Dashboard_Live_Data!O230</f>
        <v>54</v>
      </c>
      <c r="B1211">
        <f>Dashboard_Live_Data!P230</f>
        <v>2690.1277149540565</v>
      </c>
      <c r="C1211">
        <f>Dashboard_Live_Data!Q230</f>
        <v>360</v>
      </c>
      <c r="D1211">
        <f>Dashboard_Live_Data!R230</f>
        <v>2205.8593615453797</v>
      </c>
      <c r="E1211">
        <f>Dashboard_Live_Data!S230</f>
        <v>720</v>
      </c>
      <c r="F1211">
        <f>Dashboard_Live_Data!T230</f>
        <v>5448.1023668714188</v>
      </c>
      <c r="G1211">
        <f>Dashboard_Live_Data!U230</f>
        <v>720</v>
      </c>
      <c r="H1211">
        <f>Dashboard_Live_Data!V230</f>
        <v>5435.4269312538872</v>
      </c>
    </row>
    <row r="1212" spans="1:8">
      <c r="A1212">
        <f>Dashboard_Live_Data!O231</f>
        <v>54.47999999999999</v>
      </c>
      <c r="B1212">
        <f>Dashboard_Live_Data!P231</f>
        <v>2690.5136886398923</v>
      </c>
      <c r="C1212">
        <f>Dashboard_Live_Data!Q231</f>
        <v>363.19999999999993</v>
      </c>
      <c r="D1212">
        <f>Dashboard_Live_Data!R231</f>
        <v>2241.079460377885</v>
      </c>
      <c r="E1212">
        <f>Dashboard_Live_Data!S231</f>
        <v>726.39999999999986</v>
      </c>
      <c r="F1212">
        <f>Dashboard_Live_Data!T231</f>
        <v>5541.218518579275</v>
      </c>
      <c r="G1212">
        <f>Dashboard_Live_Data!U231</f>
        <v>726.39999999999986</v>
      </c>
      <c r="H1212">
        <f>Dashboard_Live_Data!V231</f>
        <v>5529.5080171763339</v>
      </c>
    </row>
    <row r="1213" spans="1:8">
      <c r="A1213">
        <f>Dashboard_Live_Data!O232</f>
        <v>55.019999999999996</v>
      </c>
      <c r="B1213">
        <f>Dashboard_Live_Data!P232</f>
        <v>2690.9519918609831</v>
      </c>
      <c r="C1213">
        <f>Dashboard_Live_Data!Q232</f>
        <v>366.80000000000007</v>
      </c>
      <c r="D1213">
        <f>Dashboard_Live_Data!R232</f>
        <v>2281.0746293023826</v>
      </c>
      <c r="E1213">
        <f>Dashboard_Live_Data!S232</f>
        <v>733.60000000000014</v>
      </c>
      <c r="F1213">
        <f>Dashboard_Live_Data!T232</f>
        <v>5646.95917066733</v>
      </c>
      <c r="G1213">
        <f>Dashboard_Live_Data!U232</f>
        <v>733.60000000000014</v>
      </c>
      <c r="H1213">
        <f>Dashboard_Live_Data!V232</f>
        <v>5636.3444273171153</v>
      </c>
    </row>
    <row r="1214" spans="1:8">
      <c r="A1214">
        <f>Dashboard_Live_Data!O233</f>
        <v>55.5</v>
      </c>
      <c r="B1214">
        <f>Dashboard_Live_Data!P233</f>
        <v>2691.3452239015301</v>
      </c>
      <c r="C1214">
        <f>Dashboard_Live_Data!Q233</f>
        <v>370</v>
      </c>
      <c r="D1214">
        <f>Dashboard_Live_Data!R233</f>
        <v>2316.9570530023138</v>
      </c>
      <c r="E1214">
        <f>Dashboard_Live_Data!S233</f>
        <v>740</v>
      </c>
      <c r="F1214">
        <f>Dashboard_Live_Data!T233</f>
        <v>5741.8264004493403</v>
      </c>
      <c r="G1214">
        <f>Dashboard_Live_Data!U233</f>
        <v>740</v>
      </c>
      <c r="H1214">
        <f>Dashboard_Live_Data!V233</f>
        <v>5732.1947372004943</v>
      </c>
    </row>
    <row r="1215" spans="1:8">
      <c r="A1215">
        <f>Dashboard_Live_Data!O234</f>
        <v>55.980000000000004</v>
      </c>
      <c r="B1215">
        <f>Dashboard_Live_Data!P234</f>
        <v>2691.7418716384122</v>
      </c>
      <c r="C1215">
        <f>Dashboard_Live_Data!Q234</f>
        <v>373.20000000000005</v>
      </c>
      <c r="D1215">
        <f>Dashboard_Live_Data!R234</f>
        <v>2353.1511589928</v>
      </c>
      <c r="E1215">
        <f>Dashboard_Live_Data!S234</f>
        <v>746.40000000000009</v>
      </c>
      <c r="F1215">
        <f>Dashboard_Live_Data!T234</f>
        <v>5837.5176669721304</v>
      </c>
      <c r="G1215">
        <f>Dashboard_Live_Data!U234</f>
        <v>746.40000000000009</v>
      </c>
      <c r="H1215">
        <f>Dashboard_Live_Data!V234</f>
        <v>5828.8776230654903</v>
      </c>
    </row>
    <row r="1216" spans="1:8">
      <c r="A1216">
        <f>Dashboard_Live_Data!O235</f>
        <v>56.519999999999996</v>
      </c>
      <c r="B1216">
        <f>Dashboard_Live_Data!P235</f>
        <v>2692.1921831669297</v>
      </c>
      <c r="C1216">
        <f>Dashboard_Live_Data!Q235</f>
        <v>376.79999999999995</v>
      </c>
      <c r="D1216">
        <f>Dashboard_Live_Data!R235</f>
        <v>2394.2420859700205</v>
      </c>
      <c r="E1216">
        <f>Dashboard_Live_Data!S235</f>
        <v>753.59999999999991</v>
      </c>
      <c r="F1216">
        <f>Dashboard_Live_Data!T235</f>
        <v>5946.1553232269753</v>
      </c>
      <c r="G1216">
        <f>Dashboard_Live_Data!U235</f>
        <v>753.59999999999991</v>
      </c>
      <c r="H1216">
        <f>Dashboard_Live_Data!V235</f>
        <v>5938.6410581416285</v>
      </c>
    </row>
    <row r="1217" spans="1:8">
      <c r="A1217">
        <f>Dashboard_Live_Data!O236</f>
        <v>57</v>
      </c>
      <c r="B1217">
        <f>Dashboard_Live_Data!P236</f>
        <v>2692.5960892585231</v>
      </c>
      <c r="C1217">
        <f>Dashboard_Live_Data!Q236</f>
        <v>380</v>
      </c>
      <c r="D1217">
        <f>Dashboard_Live_Data!R236</f>
        <v>2431.0985168279312</v>
      </c>
      <c r="E1217">
        <f>Dashboard_Live_Data!S236</f>
        <v>760</v>
      </c>
      <c r="F1217">
        <f>Dashboard_Live_Data!T236</f>
        <v>6043.5976678239176</v>
      </c>
      <c r="G1217">
        <f>Dashboard_Live_Data!U236</f>
        <v>760</v>
      </c>
      <c r="H1217">
        <f>Dashboard_Live_Data!V236</f>
        <v>6037.0931679675541</v>
      </c>
    </row>
    <row r="1218" spans="1:8">
      <c r="A1218">
        <f>Dashboard_Live_Data!O237</f>
        <v>57.480000000000004</v>
      </c>
      <c r="B1218">
        <f>Dashboard_Live_Data!P237</f>
        <v>2693.0034110464517</v>
      </c>
      <c r="C1218">
        <f>Dashboard_Live_Data!Q237</f>
        <v>383.19999999999993</v>
      </c>
      <c r="D1218">
        <f>Dashboard_Live_Data!R237</f>
        <v>2468.2666299763941</v>
      </c>
      <c r="E1218">
        <f>Dashboard_Live_Data!S237</f>
        <v>766.39999999999986</v>
      </c>
      <c r="F1218">
        <f>Dashboard_Live_Data!T237</f>
        <v>6141.8640491616352</v>
      </c>
      <c r="G1218">
        <f>Dashboard_Live_Data!U237</f>
        <v>766.39999999999986</v>
      </c>
      <c r="H1218">
        <f>Dashboard_Live_Data!V237</f>
        <v>6136.3778537750923</v>
      </c>
    </row>
    <row r="1219" spans="1:8">
      <c r="A1219">
        <f>Dashboard_Live_Data!O238</f>
        <v>58.02000000000001</v>
      </c>
      <c r="B1219">
        <f>Dashboard_Live_Data!P238</f>
        <v>2693.4657308823962</v>
      </c>
      <c r="C1219">
        <f>Dashboard_Live_Data!Q238</f>
        <v>386.80000000000007</v>
      </c>
      <c r="D1219">
        <f>Dashboard_Live_Data!R238</f>
        <v>2510.4533150063444</v>
      </c>
      <c r="E1219">
        <f>Dashboard_Live_Data!S238</f>
        <v>773.60000000000014</v>
      </c>
      <c r="F1219">
        <f>Dashboard_Live_Data!T238</f>
        <v>6253.3987095832836</v>
      </c>
      <c r="G1219">
        <f>Dashboard_Live_Data!U238</f>
        <v>773.60000000000014</v>
      </c>
      <c r="H1219">
        <f>Dashboard_Live_Data!V238</f>
        <v>6249.0683137866017</v>
      </c>
    </row>
    <row r="1220" spans="1:8">
      <c r="A1220">
        <f>Dashboard_Live_Data!O239</f>
        <v>58.5</v>
      </c>
      <c r="B1220">
        <f>Dashboard_Live_Data!P239</f>
        <v>2693.8803110250356</v>
      </c>
      <c r="C1220">
        <f>Dashboard_Live_Data!Q239</f>
        <v>390</v>
      </c>
      <c r="D1220">
        <f>Dashboard_Live_Data!R239</f>
        <v>2548.2837530222323</v>
      </c>
      <c r="E1220">
        <f>Dashboard_Live_Data!S239</f>
        <v>780</v>
      </c>
      <c r="F1220">
        <f>Dashboard_Live_Data!T239</f>
        <v>6353.4161689951516</v>
      </c>
      <c r="G1220">
        <f>Dashboard_Live_Data!U239</f>
        <v>780</v>
      </c>
      <c r="H1220">
        <f>Dashboard_Live_Data!V239</f>
        <v>6350.1222235550704</v>
      </c>
    </row>
    <row r="1221" spans="1:8">
      <c r="A1221">
        <f>Dashboard_Live_Data!O240</f>
        <v>58.980000000000004</v>
      </c>
      <c r="B1221">
        <f>Dashboard_Live_Data!P240</f>
        <v>2694.2983068640106</v>
      </c>
      <c r="C1221">
        <f>Dashboard_Live_Data!Q240</f>
        <v>393.20000000000005</v>
      </c>
      <c r="D1221">
        <f>Dashboard_Live_Data!R240</f>
        <v>2586.4258733286752</v>
      </c>
      <c r="E1221">
        <f>Dashboard_Live_Data!S240</f>
        <v>786.40000000000009</v>
      </c>
      <c r="F1221">
        <f>Dashboard_Live_Data!T240</f>
        <v>6454.2576651478012</v>
      </c>
      <c r="G1221">
        <f>Dashboard_Live_Data!U240</f>
        <v>786.40000000000009</v>
      </c>
      <c r="H1221">
        <f>Dashboard_Live_Data!V240</f>
        <v>6452.008709305157</v>
      </c>
    </row>
    <row r="1222" spans="1:8">
      <c r="A1222">
        <f>Dashboard_Live_Data!O241</f>
        <v>59.519999999999996</v>
      </c>
      <c r="B1222">
        <f>Dashboard_Live_Data!P241</f>
        <v>2694.7726350073826</v>
      </c>
      <c r="C1222">
        <f>Dashboard_Live_Data!Q241</f>
        <v>396.79999999999995</v>
      </c>
      <c r="D1222">
        <f>Dashboard_Live_Data!R241</f>
        <v>2629.7083164113478</v>
      </c>
      <c r="E1222">
        <f>Dashboard_Live_Data!S241</f>
        <v>793.59999999999991</v>
      </c>
      <c r="F1222">
        <f>Dashboard_Live_Data!T241</f>
        <v>6568.6893297362394</v>
      </c>
      <c r="G1222">
        <f>Dashboard_Live_Data!U241</f>
        <v>793.59999999999991</v>
      </c>
      <c r="H1222">
        <f>Dashboard_Live_Data!V241</f>
        <v>6567.6261942520232</v>
      </c>
    </row>
    <row r="1223" spans="1:8">
      <c r="A1223">
        <f>Dashboard_Live_Data!O242</f>
        <v>60</v>
      </c>
      <c r="B1223">
        <f>Dashboard_Live_Data!P242</f>
        <v>2695.1978892010684</v>
      </c>
      <c r="C1223">
        <f>Dashboard_Live_Data!Q242</f>
        <v>400</v>
      </c>
      <c r="D1223">
        <f>Dashboard_Live_Data!R242</f>
        <v>2668.5127615852166</v>
      </c>
      <c r="E1223">
        <f>Dashboard_Live_Data!S242</f>
        <v>800</v>
      </c>
      <c r="F1223">
        <f>Dashboard_Live_Data!T242</f>
        <v>6671.2819039630413</v>
      </c>
      <c r="G1223">
        <f>Dashboard_Live_Data!U242</f>
        <v>800</v>
      </c>
      <c r="H1223">
        <f>Dashboard_Live_Data!V242</f>
        <v>6671.2819039630413</v>
      </c>
    </row>
    <row r="1226" spans="1:8">
      <c r="A1226" t="s">
        <v>1084</v>
      </c>
    </row>
    <row r="1227" spans="1:8">
      <c r="A1227" t="s">
        <v>1064</v>
      </c>
      <c r="B1227" t="s">
        <v>1065</v>
      </c>
      <c r="C1227" t="s">
        <v>1066</v>
      </c>
      <c r="D1227" t="s">
        <v>1067</v>
      </c>
      <c r="E1227" t="s">
        <v>1068</v>
      </c>
      <c r="F1227" t="s">
        <v>1069</v>
      </c>
      <c r="G1227" t="s">
        <v>1070</v>
      </c>
      <c r="H1227" t="s">
        <v>1071</v>
      </c>
    </row>
    <row r="1228" spans="1:8">
      <c r="A1228">
        <f>Dashboard_Live_Data!X2</f>
        <v>-60</v>
      </c>
      <c r="B1228">
        <f>Dashboard_Live_Data!Y2</f>
        <v>2695.1794479163468</v>
      </c>
      <c r="C1228">
        <f>Dashboard_Live_Data!Z2</f>
        <v>-400</v>
      </c>
      <c r="D1228">
        <f>Dashboard_Live_Data!AA2</f>
        <v>2668.428145382044</v>
      </c>
      <c r="E1228">
        <f>Dashboard_Live_Data!AB2</f>
        <v>-800</v>
      </c>
      <c r="F1228">
        <f>Dashboard_Live_Data!AC2</f>
        <v>6671.2479839550178</v>
      </c>
      <c r="G1228">
        <f>Dashboard_Live_Data!AD2</f>
        <v>-800</v>
      </c>
      <c r="H1228">
        <f>Dashboard_Live_Data!AE2</f>
        <v>6671.2479839550178</v>
      </c>
    </row>
    <row r="1229" spans="1:8">
      <c r="A1229">
        <f>Dashboard_Live_Data!X3</f>
        <v>-59.519999999999996</v>
      </c>
      <c r="B1229">
        <f>Dashboard_Live_Data!Y3</f>
        <v>2694.649504247689</v>
      </c>
      <c r="C1229">
        <f>Dashboard_Live_Data!Z3</f>
        <v>-396.8</v>
      </c>
      <c r="D1229">
        <f>Dashboard_Live_Data!AA3</f>
        <v>2629.6394627152467</v>
      </c>
      <c r="E1229">
        <f>Dashboard_Live_Data!AB3</f>
        <v>-793.6</v>
      </c>
      <c r="F1229">
        <f>Dashboard_Live_Data!AC3</f>
        <v>6568.698547910094</v>
      </c>
      <c r="G1229">
        <f>Dashboard_Live_Data!AD3</f>
        <v>-793.6</v>
      </c>
      <c r="H1229">
        <f>Dashboard_Live_Data!AE3</f>
        <v>6567.6354124258787</v>
      </c>
    </row>
    <row r="1230" spans="1:8">
      <c r="A1230">
        <f>Dashboard_Live_Data!X4</f>
        <v>-58.98</v>
      </c>
      <c r="B1230">
        <f>Dashboard_Live_Data!Y4</f>
        <v>2694.1888252313724</v>
      </c>
      <c r="C1230">
        <f>Dashboard_Live_Data!Z4</f>
        <v>-393.2</v>
      </c>
      <c r="D1230">
        <f>Dashboard_Live_Data!AA4</f>
        <v>2585.9914136189823</v>
      </c>
      <c r="E1230">
        <f>Dashboard_Live_Data!AB4</f>
        <v>-786.4</v>
      </c>
      <c r="F1230">
        <f>Dashboard_Live_Data!AC4</f>
        <v>6453.9451764081532</v>
      </c>
      <c r="G1230">
        <f>Dashboard_Live_Data!AD4</f>
        <v>-786.4</v>
      </c>
      <c r="H1230">
        <f>Dashboard_Live_Data!AE4</f>
        <v>6451.6962205655063</v>
      </c>
    </row>
    <row r="1231" spans="1:8">
      <c r="A1231">
        <f>Dashboard_Live_Data!X5</f>
        <v>-58.5</v>
      </c>
      <c r="B1231">
        <f>Dashboard_Live_Data!Y5</f>
        <v>2693.7352285655788</v>
      </c>
      <c r="C1231">
        <f>Dashboard_Live_Data!Z5</f>
        <v>-390</v>
      </c>
      <c r="D1231">
        <f>Dashboard_Live_Data!AA5</f>
        <v>2547.8333970113854</v>
      </c>
      <c r="E1231">
        <f>Dashboard_Live_Data!AB5</f>
        <v>-780</v>
      </c>
      <c r="F1231">
        <f>Dashboard_Live_Data!AC5</f>
        <v>6353.4611546852802</v>
      </c>
      <c r="G1231">
        <f>Dashboard_Live_Data!AD5</f>
        <v>-780</v>
      </c>
      <c r="H1231">
        <f>Dashboard_Live_Data!AE5</f>
        <v>6350.167209245199</v>
      </c>
    </row>
    <row r="1232" spans="1:8">
      <c r="A1232">
        <f>Dashboard_Live_Data!X6</f>
        <v>-58.019999999999996</v>
      </c>
      <c r="B1232">
        <f>Dashboard_Live_Data!Y6</f>
        <v>2693.2153299918791</v>
      </c>
      <c r="C1232">
        <f>Dashboard_Live_Data!Z6</f>
        <v>-386.8</v>
      </c>
      <c r="D1232">
        <f>Dashboard_Live_Data!AA6</f>
        <v>2510.4039491819062</v>
      </c>
      <c r="E1232">
        <f>Dashboard_Live_Data!AB6</f>
        <v>-773.6</v>
      </c>
      <c r="F1232">
        <f>Dashboard_Live_Data!AC6</f>
        <v>6253.0707671760938</v>
      </c>
      <c r="G1232">
        <f>Dashboard_Live_Data!AD6</f>
        <v>-773.6</v>
      </c>
      <c r="H1232">
        <f>Dashboard_Live_Data!AE6</f>
        <v>6248.7403713794138</v>
      </c>
    </row>
    <row r="1233" spans="1:8">
      <c r="A1233">
        <f>Dashboard_Live_Data!X7</f>
        <v>-57.48</v>
      </c>
      <c r="B1233">
        <f>Dashboard_Live_Data!Y7</f>
        <v>2692.8270450627988</v>
      </c>
      <c r="C1233">
        <f>Dashboard_Live_Data!Z7</f>
        <v>-383.2</v>
      </c>
      <c r="D1233">
        <f>Dashboard_Live_Data!AA7</f>
        <v>2468.416414407845</v>
      </c>
      <c r="E1233">
        <f>Dashboard_Live_Data!AB7</f>
        <v>-766.4</v>
      </c>
      <c r="F1233">
        <f>Dashboard_Live_Data!AC7</f>
        <v>6141.3739805987534</v>
      </c>
      <c r="G1233">
        <f>Dashboard_Live_Data!AD7</f>
        <v>-766.4</v>
      </c>
      <c r="H1233">
        <f>Dashboard_Live_Data!AE7</f>
        <v>6135.8877852122096</v>
      </c>
    </row>
    <row r="1234" spans="1:8">
      <c r="A1234">
        <f>Dashboard_Live_Data!X8</f>
        <v>-57</v>
      </c>
      <c r="B1234">
        <f>Dashboard_Live_Data!Y8</f>
        <v>2692.226227498772</v>
      </c>
      <c r="C1234">
        <f>Dashboard_Live_Data!Z8</f>
        <v>-380</v>
      </c>
      <c r="D1234">
        <f>Dashboard_Live_Data!AA8</f>
        <v>2431.3222101605998</v>
      </c>
      <c r="E1234">
        <f>Dashboard_Live_Data!AB8</f>
        <v>-760</v>
      </c>
      <c r="F1234">
        <f>Dashboard_Live_Data!AC8</f>
        <v>6043.3407753063475</v>
      </c>
      <c r="G1234">
        <f>Dashboard_Live_Data!AD8</f>
        <v>-760</v>
      </c>
      <c r="H1234">
        <f>Dashboard_Live_Data!AE8</f>
        <v>6036.8362754499831</v>
      </c>
    </row>
    <row r="1235" spans="1:8">
      <c r="A1235">
        <f>Dashboard_Live_Data!X9</f>
        <v>-56.519999999999996</v>
      </c>
      <c r="B1235">
        <f>Dashboard_Live_Data!Y9</f>
        <v>2691.9513345452874</v>
      </c>
      <c r="C1235">
        <f>Dashboard_Live_Data!Z9</f>
        <v>-376.79999999999995</v>
      </c>
      <c r="D1235">
        <f>Dashboard_Live_Data!AA9</f>
        <v>2394.3649511886424</v>
      </c>
      <c r="E1235">
        <f>Dashboard_Live_Data!AB9</f>
        <v>-753.59999999999991</v>
      </c>
      <c r="F1235">
        <f>Dashboard_Live_Data!AC9</f>
        <v>5945.6334485608777</v>
      </c>
      <c r="G1235">
        <f>Dashboard_Live_Data!AD9</f>
        <v>-753.59999999999991</v>
      </c>
      <c r="H1235">
        <f>Dashboard_Live_Data!AE9</f>
        <v>5938.11918347553</v>
      </c>
    </row>
    <row r="1236" spans="1:8">
      <c r="A1236">
        <f>Dashboard_Live_Data!X10</f>
        <v>-55.980000000000004</v>
      </c>
      <c r="B1236">
        <f>Dashboard_Live_Data!Y10</f>
        <v>2691.3317880941772</v>
      </c>
      <c r="C1236">
        <f>Dashboard_Live_Data!Z10</f>
        <v>-373.20000000000005</v>
      </c>
      <c r="D1236">
        <f>Dashboard_Live_Data!AA10</f>
        <v>2353.0603134471717</v>
      </c>
      <c r="E1236">
        <f>Dashboard_Live_Data!AB10</f>
        <v>-746.40000000000009</v>
      </c>
      <c r="F1236">
        <f>Dashboard_Live_Data!AC10</f>
        <v>5837.1856328694821</v>
      </c>
      <c r="G1236">
        <f>Dashboard_Live_Data!AD10</f>
        <v>-746.40000000000009</v>
      </c>
      <c r="H1236">
        <f>Dashboard_Live_Data!AE10</f>
        <v>5828.5455889628411</v>
      </c>
    </row>
    <row r="1237" spans="1:8">
      <c r="A1237">
        <f>Dashboard_Live_Data!X11</f>
        <v>-55.5</v>
      </c>
      <c r="B1237">
        <f>Dashboard_Live_Data!Y11</f>
        <v>2691.0884023495619</v>
      </c>
      <c r="C1237">
        <f>Dashboard_Live_Data!Z11</f>
        <v>-370</v>
      </c>
      <c r="D1237">
        <f>Dashboard_Live_Data!AA11</f>
        <v>2316.8740711674895</v>
      </c>
      <c r="E1237">
        <f>Dashboard_Live_Data!AB11</f>
        <v>-740</v>
      </c>
      <c r="F1237">
        <f>Dashboard_Live_Data!AC11</f>
        <v>5741.7295362966088</v>
      </c>
      <c r="G1237">
        <f>Dashboard_Live_Data!AD11</f>
        <v>-740</v>
      </c>
      <c r="H1237">
        <f>Dashboard_Live_Data!AE11</f>
        <v>5732.0978730477627</v>
      </c>
    </row>
    <row r="1238" spans="1:8">
      <c r="A1238">
        <f>Dashboard_Live_Data!X12</f>
        <v>-55.02</v>
      </c>
      <c r="B1238">
        <f>Dashboard_Live_Data!Y12</f>
        <v>2690.6954474900699</v>
      </c>
      <c r="C1238">
        <f>Dashboard_Live_Data!Z12</f>
        <v>-366.8</v>
      </c>
      <c r="D1238">
        <f>Dashboard_Live_Data!AA12</f>
        <v>2281.4213901659514</v>
      </c>
      <c r="E1238">
        <f>Dashboard_Live_Data!AB12</f>
        <v>-733.6</v>
      </c>
      <c r="F1238">
        <f>Dashboard_Live_Data!AC12</f>
        <v>5646.7277866164695</v>
      </c>
      <c r="G1238">
        <f>Dashboard_Live_Data!AD12</f>
        <v>-733.6</v>
      </c>
      <c r="H1238">
        <f>Dashboard_Live_Data!AE12</f>
        <v>5636.1130432662549</v>
      </c>
    </row>
    <row r="1239" spans="1:8">
      <c r="A1239">
        <f>Dashboard_Live_Data!X13</f>
        <v>-54.480000000000004</v>
      </c>
      <c r="B1239">
        <f>Dashboard_Live_Data!Y13</f>
        <v>2690.1320799792074</v>
      </c>
      <c r="C1239">
        <f>Dashboard_Live_Data!Z13</f>
        <v>-363.2</v>
      </c>
      <c r="D1239">
        <f>Dashboard_Live_Data!AA13</f>
        <v>2241.5050146309113</v>
      </c>
      <c r="E1239">
        <f>Dashboard_Live_Data!AB13</f>
        <v>-726.4</v>
      </c>
      <c r="F1239">
        <f>Dashboard_Live_Data!AC13</f>
        <v>5541.4542258106449</v>
      </c>
      <c r="G1239">
        <f>Dashboard_Live_Data!AD13</f>
        <v>-726.4</v>
      </c>
      <c r="H1239">
        <f>Dashboard_Live_Data!AE13</f>
        <v>5529.7437244077037</v>
      </c>
    </row>
    <row r="1240" spans="1:8">
      <c r="A1240">
        <f>Dashboard_Live_Data!X14</f>
        <v>-54</v>
      </c>
      <c r="B1240">
        <f>Dashboard_Live_Data!Y14</f>
        <v>2689.8747687370624</v>
      </c>
      <c r="C1240">
        <f>Dashboard_Live_Data!Z14</f>
        <v>-360</v>
      </c>
      <c r="D1240">
        <f>Dashboard_Live_Data!AA14</f>
        <v>2205.9282374305321</v>
      </c>
      <c r="E1240">
        <f>Dashboard_Live_Data!AB14</f>
        <v>-720</v>
      </c>
      <c r="F1240">
        <f>Dashboard_Live_Data!AC14</f>
        <v>5448.2441741170287</v>
      </c>
      <c r="G1240">
        <f>Dashboard_Live_Data!AD14</f>
        <v>-720</v>
      </c>
      <c r="H1240">
        <f>Dashboard_Live_Data!AE14</f>
        <v>5435.568738499499</v>
      </c>
    </row>
    <row r="1241" spans="1:8">
      <c r="A1241">
        <f>Dashboard_Live_Data!X15</f>
        <v>-53.52</v>
      </c>
      <c r="B1241">
        <f>Dashboard_Live_Data!Y15</f>
        <v>2689.4097329621941</v>
      </c>
      <c r="C1241">
        <f>Dashboard_Live_Data!Z15</f>
        <v>-356.8</v>
      </c>
      <c r="D1241">
        <f>Dashboard_Live_Data!AA15</f>
        <v>2170.5785179125855</v>
      </c>
      <c r="E1241">
        <f>Dashboard_Live_Data!AB15</f>
        <v>-713.6</v>
      </c>
      <c r="F1241">
        <f>Dashboard_Live_Data!AC15</f>
        <v>5355.7535640556407</v>
      </c>
      <c r="G1241">
        <f>Dashboard_Live_Data!AD15</f>
        <v>-713.6</v>
      </c>
      <c r="H1241">
        <f>Dashboard_Live_Data!AE15</f>
        <v>5342.1217334643588</v>
      </c>
    </row>
    <row r="1242" spans="1:8">
      <c r="A1242">
        <f>Dashboard_Live_Data!X16</f>
        <v>-52.980000000000004</v>
      </c>
      <c r="B1242">
        <f>Dashboard_Live_Data!Y16</f>
        <v>2688.9805156608413</v>
      </c>
      <c r="C1242">
        <f>Dashboard_Live_Data!Z16</f>
        <v>-353.2</v>
      </c>
      <c r="D1242">
        <f>Dashboard_Live_Data!AA16</f>
        <v>2131.7740125261425</v>
      </c>
      <c r="E1242">
        <f>Dashboard_Live_Data!AB16</f>
        <v>-706.4</v>
      </c>
      <c r="F1242">
        <f>Dashboard_Live_Data!AC16</f>
        <v>5253.1451203444094</v>
      </c>
      <c r="G1242">
        <f>Dashboard_Live_Data!AD16</f>
        <v>-706.4</v>
      </c>
      <c r="H1242">
        <f>Dashboard_Live_Data!AE16</f>
        <v>5238.4475524689706</v>
      </c>
    </row>
    <row r="1243" spans="1:8">
      <c r="A1243">
        <f>Dashboard_Live_Data!X17</f>
        <v>-52.5</v>
      </c>
      <c r="B1243">
        <f>Dashboard_Live_Data!Y17</f>
        <v>2688.663945378994</v>
      </c>
      <c r="C1243">
        <f>Dashboard_Live_Data!Z17</f>
        <v>-350</v>
      </c>
      <c r="D1243">
        <f>Dashboard_Live_Data!AA17</f>
        <v>2097.9403231136475</v>
      </c>
      <c r="E1243">
        <f>Dashboard_Live_Data!AB17</f>
        <v>-700</v>
      </c>
      <c r="F1243">
        <f>Dashboard_Live_Data!AC17</f>
        <v>5162.261744423181</v>
      </c>
      <c r="G1243">
        <f>Dashboard_Live_Data!AD17</f>
        <v>-700</v>
      </c>
      <c r="H1243">
        <f>Dashboard_Live_Data!AE17</f>
        <v>5146.6259274607673</v>
      </c>
    </row>
    <row r="1244" spans="1:8">
      <c r="A1244">
        <f>Dashboard_Live_Data!X18</f>
        <v>-52.019999999999996</v>
      </c>
      <c r="B1244">
        <f>Dashboard_Live_Data!Y18</f>
        <v>2688.3599201386814</v>
      </c>
      <c r="C1244">
        <f>Dashboard_Live_Data!Z18</f>
        <v>-346.8</v>
      </c>
      <c r="D1244">
        <f>Dashboard_Live_Data!AA18</f>
        <v>2064.0528274628359</v>
      </c>
      <c r="E1244">
        <f>Dashboard_Live_Data!AB18</f>
        <v>-693.6</v>
      </c>
      <c r="F1244">
        <f>Dashboard_Live_Data!AC18</f>
        <v>5072.4876261423988</v>
      </c>
      <c r="G1244">
        <f>Dashboard_Live_Data!AD18</f>
        <v>-693.6</v>
      </c>
      <c r="H1244">
        <f>Dashboard_Live_Data!AE18</f>
        <v>5055.9220993338495</v>
      </c>
    </row>
    <row r="1245" spans="1:8">
      <c r="A1245">
        <f>Dashboard_Live_Data!X19</f>
        <v>-51.48</v>
      </c>
      <c r="B1245">
        <f>Dashboard_Live_Data!Y19</f>
        <v>2687.8899442216875</v>
      </c>
      <c r="C1245">
        <f>Dashboard_Live_Data!Z19</f>
        <v>-343.2</v>
      </c>
      <c r="D1245">
        <f>Dashboard_Live_Data!AA19</f>
        <v>2025.882453771376</v>
      </c>
      <c r="E1245">
        <f>Dashboard_Live_Data!AB19</f>
        <v>-686.4</v>
      </c>
      <c r="F1245">
        <f>Dashboard_Live_Data!AC19</f>
        <v>4972.6494839789893</v>
      </c>
      <c r="G1245">
        <f>Dashboard_Live_Data!AD19</f>
        <v>-686.4</v>
      </c>
      <c r="H1245">
        <f>Dashboard_Live_Data!AE19</f>
        <v>4955.0482406548499</v>
      </c>
    </row>
    <row r="1246" spans="1:8">
      <c r="A1246">
        <f>Dashboard_Live_Data!X20</f>
        <v>-51</v>
      </c>
      <c r="B1246">
        <f>Dashboard_Live_Data!Y20</f>
        <v>2687.5318603472888</v>
      </c>
      <c r="C1246">
        <f>Dashboard_Live_Data!Z20</f>
        <v>-340</v>
      </c>
      <c r="D1246">
        <f>Dashboard_Live_Data!AA20</f>
        <v>1992.3821270692181</v>
      </c>
      <c r="E1246">
        <f>Dashboard_Live_Data!AB20</f>
        <v>-680</v>
      </c>
      <c r="F1246">
        <f>Dashboard_Live_Data!AC20</f>
        <v>4884.2685576372187</v>
      </c>
      <c r="G1246">
        <f>Dashboard_Live_Data!AD20</f>
        <v>-680</v>
      </c>
      <c r="H1246">
        <f>Dashboard_Live_Data!AE20</f>
        <v>4865.75575035372</v>
      </c>
    </row>
    <row r="1247" spans="1:8">
      <c r="A1247">
        <f>Dashboard_Live_Data!X21</f>
        <v>-50.519999999999996</v>
      </c>
      <c r="B1247">
        <f>Dashboard_Live_Data!Y21</f>
        <v>2687.2430684507012</v>
      </c>
      <c r="C1247">
        <f>Dashboard_Live_Data!Z21</f>
        <v>-336.8</v>
      </c>
      <c r="D1247">
        <f>Dashboard_Live_Data!AA21</f>
        <v>1959.4786630524291</v>
      </c>
      <c r="E1247">
        <f>Dashboard_Live_Data!AB21</f>
        <v>-673.6</v>
      </c>
      <c r="F1247">
        <f>Dashboard_Live_Data!AC21</f>
        <v>4797.5202527371293</v>
      </c>
      <c r="G1247">
        <f>Dashboard_Live_Data!AD21</f>
        <v>-673.6</v>
      </c>
      <c r="H1247">
        <f>Dashboard_Live_Data!AE21</f>
        <v>4778.1044207351115</v>
      </c>
    </row>
    <row r="1248" spans="1:8">
      <c r="A1248">
        <f>Dashboard_Live_Data!X22</f>
        <v>-49.98</v>
      </c>
      <c r="B1248">
        <f>Dashboard_Live_Data!Y22</f>
        <v>2686.8370816958704</v>
      </c>
      <c r="C1248">
        <f>Dashboard_Live_Data!Z22</f>
        <v>-333.2</v>
      </c>
      <c r="D1248">
        <f>Dashboard_Live_Data!AA22</f>
        <v>1922.830246360397</v>
      </c>
      <c r="E1248">
        <f>Dashboard_Live_Data!AB22</f>
        <v>-666.4</v>
      </c>
      <c r="F1248">
        <f>Dashboard_Live_Data!AC22</f>
        <v>4700.3891661272646</v>
      </c>
      <c r="G1248">
        <f>Dashboard_Live_Data!AD22</f>
        <v>-666.4</v>
      </c>
      <c r="H1248">
        <f>Dashboard_Live_Data!AE22</f>
        <v>4679.9676383782244</v>
      </c>
    </row>
    <row r="1249" spans="1:8">
      <c r="A1249">
        <f>Dashboard_Live_Data!X23</f>
        <v>-49.5</v>
      </c>
      <c r="B1249">
        <f>Dashboard_Live_Data!Y23</f>
        <v>2686.3290562347079</v>
      </c>
      <c r="C1249">
        <f>Dashboard_Live_Data!Z23</f>
        <v>-330</v>
      </c>
      <c r="D1249">
        <f>Dashboard_Live_Data!AA23</f>
        <v>1890.6642418919669</v>
      </c>
      <c r="E1249">
        <f>Dashboard_Live_Data!AB23</f>
        <v>-660</v>
      </c>
      <c r="F1249">
        <f>Dashboard_Live_Data!AC23</f>
        <v>4614.8462996856424</v>
      </c>
      <c r="G1249">
        <f>Dashboard_Live_Data!AD23</f>
        <v>-660</v>
      </c>
      <c r="H1249">
        <f>Dashboard_Live_Data!AE23</f>
        <v>4593.5398931048603</v>
      </c>
    </row>
    <row r="1250" spans="1:8">
      <c r="A1250">
        <f>Dashboard_Live_Data!X24</f>
        <v>-49.019999999999996</v>
      </c>
      <c r="B1250">
        <f>Dashboard_Live_Data!Y24</f>
        <v>2685.975086049943</v>
      </c>
      <c r="C1250">
        <f>Dashboard_Live_Data!Z24</f>
        <v>-326.79999999999995</v>
      </c>
      <c r="D1250">
        <f>Dashboard_Live_Data!AA24</f>
        <v>1858.6153385407679</v>
      </c>
      <c r="E1250">
        <f>Dashboard_Live_Data!AB24</f>
        <v>-653.59999999999991</v>
      </c>
      <c r="F1250">
        <f>Dashboard_Live_Data!AC24</f>
        <v>4530.5093392336075</v>
      </c>
      <c r="G1250">
        <f>Dashboard_Live_Data!AD24</f>
        <v>-653.59999999999991</v>
      </c>
      <c r="H1250">
        <f>Dashboard_Live_Data!AE24</f>
        <v>4508.3265930619218</v>
      </c>
    </row>
    <row r="1251" spans="1:8">
      <c r="A1251">
        <f>Dashboard_Live_Data!X25</f>
        <v>-48.480000000000004</v>
      </c>
      <c r="B1251">
        <f>Dashboard_Live_Data!Y25</f>
        <v>2685.6117027895602</v>
      </c>
      <c r="C1251">
        <f>Dashboard_Live_Data!Z25</f>
        <v>-323.20000000000005</v>
      </c>
      <c r="D1251">
        <f>Dashboard_Live_Data!AA25</f>
        <v>1822.7245436204166</v>
      </c>
      <c r="E1251">
        <f>Dashboard_Live_Data!AB25</f>
        <v>-646.40000000000009</v>
      </c>
      <c r="F1251">
        <f>Dashboard_Live_Data!AC25</f>
        <v>4436.0864161767022</v>
      </c>
      <c r="G1251">
        <f>Dashboard_Live_Data!AD25</f>
        <v>-646.40000000000009</v>
      </c>
      <c r="H1251">
        <f>Dashboard_Live_Data!AE25</f>
        <v>4412.9279950265618</v>
      </c>
    </row>
    <row r="1252" spans="1:8">
      <c r="A1252">
        <f>Dashboard_Live_Data!X26</f>
        <v>-48</v>
      </c>
      <c r="B1252">
        <f>Dashboard_Live_Data!Y26</f>
        <v>2685.2198059365082</v>
      </c>
      <c r="C1252">
        <f>Dashboard_Live_Data!Z26</f>
        <v>-320</v>
      </c>
      <c r="D1252">
        <f>Dashboard_Live_Data!AA26</f>
        <v>1791.3103173149912</v>
      </c>
      <c r="E1252">
        <f>Dashboard_Live_Data!AB26</f>
        <v>-640</v>
      </c>
      <c r="F1252">
        <f>Dashboard_Live_Data!AC26</f>
        <v>4353.3618800404856</v>
      </c>
      <c r="G1252">
        <f>Dashboard_Live_Data!AD26</f>
        <v>-640</v>
      </c>
      <c r="H1252">
        <f>Dashboard_Live_Data!AE26</f>
        <v>4329.345265186219</v>
      </c>
    </row>
    <row r="1253" spans="1:8">
      <c r="A1253">
        <f>Dashboard_Live_Data!X27</f>
        <v>-47.52</v>
      </c>
      <c r="B1253">
        <f>Dashboard_Live_Data!Y27</f>
        <v>2684.9493444150958</v>
      </c>
      <c r="C1253">
        <f>Dashboard_Live_Data!Z27</f>
        <v>-316.8</v>
      </c>
      <c r="D1253">
        <f>Dashboard_Live_Data!AA27</f>
        <v>1760.4310673656025</v>
      </c>
      <c r="E1253">
        <f>Dashboard_Live_Data!AB27</f>
        <v>-633.6</v>
      </c>
      <c r="F1253">
        <f>Dashboard_Live_Data!AC27</f>
        <v>4271.5992312773296</v>
      </c>
      <c r="G1253">
        <f>Dashboard_Live_Data!AD27</f>
        <v>-633.6</v>
      </c>
      <c r="H1253">
        <f>Dashboard_Live_Data!AE27</f>
        <v>4246.732961959774</v>
      </c>
    </row>
    <row r="1254" spans="1:8">
      <c r="A1254">
        <f>Dashboard_Live_Data!X28</f>
        <v>-46.980000000000004</v>
      </c>
      <c r="B1254">
        <f>Dashboard_Live_Data!Y28</f>
        <v>2684.6217262202226</v>
      </c>
      <c r="C1254">
        <f>Dashboard_Live_Data!Z28</f>
        <v>-313.20000000000005</v>
      </c>
      <c r="D1254">
        <f>Dashboard_Live_Data!AA28</f>
        <v>1726.2341157164356</v>
      </c>
      <c r="E1254">
        <f>Dashboard_Live_Data!AB28</f>
        <v>-626.40000000000009</v>
      </c>
      <c r="F1254">
        <f>Dashboard_Live_Data!AC28</f>
        <v>4179.9352678498881</v>
      </c>
      <c r="G1254">
        <f>Dashboard_Live_Data!AD28</f>
        <v>-626.40000000000009</v>
      </c>
      <c r="H1254">
        <f>Dashboard_Live_Data!AE28</f>
        <v>4154.1233443224446</v>
      </c>
    </row>
    <row r="1255" spans="1:8">
      <c r="A1255">
        <f>Dashboard_Live_Data!X29</f>
        <v>-46.5</v>
      </c>
      <c r="B1255">
        <f>Dashboard_Live_Data!Y29</f>
        <v>2684.1567187076917</v>
      </c>
      <c r="C1255">
        <f>Dashboard_Live_Data!Z29</f>
        <v>-310</v>
      </c>
      <c r="D1255">
        <f>Dashboard_Live_Data!AA29</f>
        <v>1695.8586735261722</v>
      </c>
      <c r="E1255">
        <f>Dashboard_Live_Data!AB29</f>
        <v>-620</v>
      </c>
      <c r="F1255">
        <f>Dashboard_Live_Data!AC29</f>
        <v>4099.9658977903973</v>
      </c>
      <c r="G1255">
        <f>Dashboard_Live_Data!AD29</f>
        <v>-620</v>
      </c>
      <c r="H1255">
        <f>Dashboard_Live_Data!AE29</f>
        <v>4073.322465686445</v>
      </c>
    </row>
    <row r="1256" spans="1:8">
      <c r="A1256">
        <f>Dashboard_Live_Data!X30</f>
        <v>-46.02</v>
      </c>
      <c r="B1256">
        <f>Dashboard_Live_Data!Y30</f>
        <v>2683.8451366502386</v>
      </c>
      <c r="C1256">
        <f>Dashboard_Live_Data!Z30</f>
        <v>-306.8</v>
      </c>
      <c r="D1256">
        <f>Dashboard_Live_Data!AA30</f>
        <v>1665.8212925006906</v>
      </c>
      <c r="E1256">
        <f>Dashboard_Live_Data!AB30</f>
        <v>-613.6</v>
      </c>
      <c r="F1256">
        <f>Dashboard_Live_Data!AC30</f>
        <v>4020.642850016849</v>
      </c>
      <c r="G1256">
        <f>Dashboard_Live_Data!AD30</f>
        <v>-613.6</v>
      </c>
      <c r="H1256">
        <f>Dashboard_Live_Data!AE30</f>
        <v>3993.1764485772242</v>
      </c>
    </row>
    <row r="1257" spans="1:8">
      <c r="A1257">
        <f>Dashboard_Live_Data!X31</f>
        <v>-45.480000000000004</v>
      </c>
      <c r="B1257">
        <f>Dashboard_Live_Data!Y31</f>
        <v>2683.5136176627734</v>
      </c>
      <c r="C1257">
        <f>Dashboard_Live_Data!Z31</f>
        <v>-303.2</v>
      </c>
      <c r="D1257">
        <f>Dashboard_Live_Data!AA31</f>
        <v>1632.376799481638</v>
      </c>
      <c r="E1257">
        <f>Dashboard_Live_Data!AB31</f>
        <v>-606.4</v>
      </c>
      <c r="F1257">
        <f>Dashboard_Live_Data!AC31</f>
        <v>3932.1224212477778</v>
      </c>
      <c r="G1257">
        <f>Dashboard_Live_Data!AD31</f>
        <v>-606.4</v>
      </c>
      <c r="H1257">
        <f>Dashboard_Live_Data!AE31</f>
        <v>3903.7403863668333</v>
      </c>
    </row>
    <row r="1258" spans="1:8">
      <c r="A1258">
        <f>Dashboard_Live_Data!X32</f>
        <v>-45</v>
      </c>
      <c r="B1258">
        <f>Dashboard_Live_Data!Y32</f>
        <v>2683.212269613844</v>
      </c>
      <c r="C1258">
        <f>Dashboard_Live_Data!Z32</f>
        <v>-300</v>
      </c>
      <c r="D1258">
        <f>Dashboard_Live_Data!AA32</f>
        <v>1602.8094295360397</v>
      </c>
      <c r="E1258">
        <f>Dashboard_Live_Data!AB32</f>
        <v>-600</v>
      </c>
      <c r="F1258">
        <f>Dashboard_Live_Data!AC32</f>
        <v>3854.8328075100399</v>
      </c>
      <c r="G1258">
        <f>Dashboard_Live_Data!AD32</f>
        <v>-600</v>
      </c>
      <c r="H1258">
        <f>Dashboard_Live_Data!AE32</f>
        <v>3825.645949180202</v>
      </c>
    </row>
    <row r="1259" spans="1:8">
      <c r="A1259">
        <f>Dashboard_Live_Data!X33</f>
        <v>-44.519999999999996</v>
      </c>
      <c r="B1259">
        <f>Dashboard_Live_Data!Y33</f>
        <v>2682.9899653906477</v>
      </c>
      <c r="C1259">
        <f>Dashboard_Live_Data!Z33</f>
        <v>-296.8</v>
      </c>
      <c r="D1259">
        <f>Dashboard_Live_Data!AA33</f>
        <v>1573.7599919685726</v>
      </c>
      <c r="E1259">
        <f>Dashboard_Live_Data!AB33</f>
        <v>-593.6</v>
      </c>
      <c r="F1259">
        <f>Dashboard_Live_Data!AC33</f>
        <v>3777.7390062611744</v>
      </c>
      <c r="G1259">
        <f>Dashboard_Live_Data!AD33</f>
        <v>-593.6</v>
      </c>
      <c r="H1259">
        <f>Dashboard_Live_Data!AE33</f>
        <v>3747.7558637232796</v>
      </c>
    </row>
    <row r="1260" spans="1:8">
      <c r="A1260">
        <f>Dashboard_Live_Data!X34</f>
        <v>-43.980000000000004</v>
      </c>
      <c r="B1260">
        <f>Dashboard_Live_Data!Y34</f>
        <v>2682.6790087524896</v>
      </c>
      <c r="C1260">
        <f>Dashboard_Live_Data!Z34</f>
        <v>-293.2</v>
      </c>
      <c r="D1260">
        <f>Dashboard_Live_Data!AA34</f>
        <v>1541.9632012793968</v>
      </c>
      <c r="E1260">
        <f>Dashboard_Live_Data!AB34</f>
        <v>-586.4</v>
      </c>
      <c r="F1260">
        <f>Dashboard_Live_Data!AC34</f>
        <v>3692.4898473144344</v>
      </c>
      <c r="G1260">
        <f>Dashboard_Live_Data!AD34</f>
        <v>-586.4</v>
      </c>
      <c r="H1260">
        <f>Dashboard_Live_Data!AE34</f>
        <v>3661.6210921037882</v>
      </c>
    </row>
    <row r="1261" spans="1:8">
      <c r="A1261">
        <f>Dashboard_Live_Data!X35</f>
        <v>-43.5</v>
      </c>
      <c r="B1261">
        <f>Dashboard_Live_Data!Y35</f>
        <v>2682.3886623098647</v>
      </c>
      <c r="C1261">
        <f>Dashboard_Live_Data!Z35</f>
        <v>-290</v>
      </c>
      <c r="D1261">
        <f>Dashboard_Live_Data!AA35</f>
        <v>1513.6531034623615</v>
      </c>
      <c r="E1261">
        <f>Dashboard_Live_Data!AB35</f>
        <v>-580</v>
      </c>
      <c r="F1261">
        <f>Dashboard_Live_Data!AC35</f>
        <v>3617.6794807622759</v>
      </c>
      <c r="G1261">
        <f>Dashboard_Live_Data!AD35</f>
        <v>-580</v>
      </c>
      <c r="H1261">
        <f>Dashboard_Live_Data!AE35</f>
        <v>3586.0325872303506</v>
      </c>
    </row>
    <row r="1262" spans="1:8">
      <c r="A1262">
        <f>Dashboard_Live_Data!X36</f>
        <v>-43.019999999999996</v>
      </c>
      <c r="B1262">
        <f>Dashboard_Live_Data!Y36</f>
        <v>2682.2032020768329</v>
      </c>
      <c r="C1262">
        <f>Dashboard_Live_Data!Z36</f>
        <v>-286.79999999999995</v>
      </c>
      <c r="D1262">
        <f>Dashboard_Live_Data!AA36</f>
        <v>1485.0967429511381</v>
      </c>
      <c r="E1262">
        <f>Dashboard_Live_Data!AB36</f>
        <v>-573.59999999999991</v>
      </c>
      <c r="F1262">
        <f>Dashboard_Live_Data!AC36</f>
        <v>3542.9615560105917</v>
      </c>
      <c r="G1262">
        <f>Dashboard_Live_Data!AD36</f>
        <v>-573.59999999999991</v>
      </c>
      <c r="H1262">
        <f>Dashboard_Live_Data!AE36</f>
        <v>3510.5450633982268</v>
      </c>
    </row>
    <row r="1263" spans="1:8">
      <c r="A1263">
        <f>Dashboard_Live_Data!X37</f>
        <v>-42.48</v>
      </c>
      <c r="B1263">
        <f>Dashboard_Live_Data!Y37</f>
        <v>2681.7900212837867</v>
      </c>
      <c r="C1263">
        <f>Dashboard_Live_Data!Z37</f>
        <v>-283.2</v>
      </c>
      <c r="D1263">
        <f>Dashboard_Live_Data!AA37</f>
        <v>1453.6204263071959</v>
      </c>
      <c r="E1263">
        <f>Dashboard_Live_Data!AB37</f>
        <v>-566.4</v>
      </c>
      <c r="F1263">
        <f>Dashboard_Live_Data!AC37</f>
        <v>3460.5582527761894</v>
      </c>
      <c r="G1263">
        <f>Dashboard_Live_Data!AD37</f>
        <v>-566.4</v>
      </c>
      <c r="H1263">
        <f>Dashboard_Live_Data!AE37</f>
        <v>3427.2861682596395</v>
      </c>
    </row>
    <row r="1264" spans="1:8">
      <c r="A1264">
        <f>Dashboard_Live_Data!X38</f>
        <v>-42</v>
      </c>
      <c r="B1264">
        <f>Dashboard_Live_Data!Y38</f>
        <v>2681.6464562529191</v>
      </c>
      <c r="C1264">
        <f>Dashboard_Live_Data!Z38</f>
        <v>-280</v>
      </c>
      <c r="D1264">
        <f>Dashboard_Live_Data!AA38</f>
        <v>1426.4451757847878</v>
      </c>
      <c r="E1264">
        <f>Dashboard_Live_Data!AB38</f>
        <v>-560</v>
      </c>
      <c r="F1264">
        <f>Dashboard_Live_Data!AC38</f>
        <v>3387.9425003472197</v>
      </c>
      <c r="G1264">
        <f>Dashboard_Live_Data!AD38</f>
        <v>-560</v>
      </c>
      <c r="H1264">
        <f>Dashboard_Live_Data!AE38</f>
        <v>3353.9189626370085</v>
      </c>
    </row>
    <row r="1265" spans="1:8">
      <c r="A1265">
        <f>Dashboard_Live_Data!X39</f>
        <v>-41.519999999999996</v>
      </c>
      <c r="B1265">
        <f>Dashboard_Live_Data!Y39</f>
        <v>2681.4018438923181</v>
      </c>
      <c r="C1265">
        <f>Dashboard_Live_Data!Z39</f>
        <v>-276.79999999999995</v>
      </c>
      <c r="D1265">
        <f>Dashboard_Live_Data!AA39</f>
        <v>1399.6223178847788</v>
      </c>
      <c r="E1265">
        <f>Dashboard_Live_Data!AB39</f>
        <v>-553.59999999999991</v>
      </c>
      <c r="F1265">
        <f>Dashboard_Live_Data!AC39</f>
        <v>3315.7545835019178</v>
      </c>
      <c r="G1265">
        <f>Dashboard_Live_Data!AD39</f>
        <v>-553.59999999999991</v>
      </c>
      <c r="H1265">
        <f>Dashboard_Live_Data!AE39</f>
        <v>3280.9881318388811</v>
      </c>
    </row>
    <row r="1266" spans="1:8">
      <c r="A1266">
        <f>Dashboard_Live_Data!X40</f>
        <v>-40.980000000000004</v>
      </c>
      <c r="B1266">
        <f>Dashboard_Live_Data!Y40</f>
        <v>2681.0046271600381</v>
      </c>
      <c r="C1266">
        <f>Dashboard_Live_Data!Z40</f>
        <v>-273.20000000000005</v>
      </c>
      <c r="D1266">
        <f>Dashboard_Live_Data!AA40</f>
        <v>1369.53463092272</v>
      </c>
      <c r="E1266">
        <f>Dashboard_Live_Data!AB40</f>
        <v>-546.40000000000009</v>
      </c>
      <c r="F1266">
        <f>Dashboard_Live_Data!AC40</f>
        <v>3236.4613821608532</v>
      </c>
      <c r="G1266">
        <f>Dashboard_Live_Data!AD40</f>
        <v>-546.40000000000009</v>
      </c>
      <c r="H1266">
        <f>Dashboard_Live_Data!AE40</f>
        <v>3200.8693593622015</v>
      </c>
    </row>
    <row r="1267" spans="1:8">
      <c r="A1267">
        <f>Dashboard_Live_Data!X41</f>
        <v>-40.5</v>
      </c>
      <c r="B1267">
        <f>Dashboard_Live_Data!Y41</f>
        <v>2680.7715287985948</v>
      </c>
      <c r="C1267">
        <f>Dashboard_Live_Data!Z41</f>
        <v>-270</v>
      </c>
      <c r="D1267">
        <f>Dashboard_Live_Data!AA41</f>
        <v>1342.8567868048142</v>
      </c>
      <c r="E1267">
        <f>Dashboard_Live_Data!AB41</f>
        <v>-540</v>
      </c>
      <c r="F1267">
        <f>Dashboard_Live_Data!AC41</f>
        <v>3166.259400612073</v>
      </c>
      <c r="G1267">
        <f>Dashboard_Live_Data!AD41</f>
        <v>-540</v>
      </c>
      <c r="H1267">
        <f>Dashboard_Live_Data!AE41</f>
        <v>3129.9426097473743</v>
      </c>
    </row>
    <row r="1268" spans="1:8">
      <c r="A1268">
        <f>Dashboard_Live_Data!X42</f>
        <v>-40.020000000000003</v>
      </c>
      <c r="B1268">
        <f>Dashboard_Live_Data!Y42</f>
        <v>2680.6232576705215</v>
      </c>
      <c r="C1268">
        <f>Dashboard_Live_Data!Z42</f>
        <v>-266.8</v>
      </c>
      <c r="D1268">
        <f>Dashboard_Live_Data!AA42</f>
        <v>1316.3812634102339</v>
      </c>
      <c r="E1268">
        <f>Dashboard_Live_Data!AB42</f>
        <v>-533.6</v>
      </c>
      <c r="F1268">
        <f>Dashboard_Live_Data!AC42</f>
        <v>3096.9092919272548</v>
      </c>
      <c r="G1268">
        <f>Dashboard_Live_Data!AD42</f>
        <v>-533.6</v>
      </c>
      <c r="H1268">
        <f>Dashboard_Live_Data!AE42</f>
        <v>3059.8762722373463</v>
      </c>
    </row>
    <row r="1269" spans="1:8">
      <c r="A1269">
        <f>Dashboard_Live_Data!X43</f>
        <v>-39.480000000000004</v>
      </c>
      <c r="B1269">
        <f>Dashboard_Live_Data!Y43</f>
        <v>2680.3194831047786</v>
      </c>
      <c r="C1269">
        <f>Dashboard_Live_Data!Z43</f>
        <v>-263.20000000000005</v>
      </c>
      <c r="D1269">
        <f>Dashboard_Live_Data!AA43</f>
        <v>1287.3992463636328</v>
      </c>
      <c r="E1269">
        <f>Dashboard_Live_Data!AB43</f>
        <v>-526.40000000000009</v>
      </c>
      <c r="F1269">
        <f>Dashboard_Live_Data!AC43</f>
        <v>3020.7723219878835</v>
      </c>
      <c r="G1269">
        <f>Dashboard_Live_Data!AD43</f>
        <v>-526.40000000000009</v>
      </c>
      <c r="H1269">
        <f>Dashboard_Live_Data!AE43</f>
        <v>2982.9437519309276</v>
      </c>
    </row>
    <row r="1270" spans="1:8">
      <c r="A1270">
        <f>Dashboard_Live_Data!X44</f>
        <v>-39</v>
      </c>
      <c r="B1270">
        <f>Dashboard_Live_Data!Y44</f>
        <v>2680.0008437928418</v>
      </c>
      <c r="C1270">
        <f>Dashboard_Live_Data!Z44</f>
        <v>-260</v>
      </c>
      <c r="D1270">
        <f>Dashboard_Live_Data!AA44</f>
        <v>1262.1922491504713</v>
      </c>
      <c r="E1270">
        <f>Dashboard_Live_Data!AB44</f>
        <v>-520</v>
      </c>
      <c r="F1270">
        <f>Dashboard_Live_Data!AC44</f>
        <v>2953.0454000908212</v>
      </c>
      <c r="G1270">
        <f>Dashboard_Live_Data!AD44</f>
        <v>-520</v>
      </c>
      <c r="H1270">
        <f>Dashboard_Live_Data!AE44</f>
        <v>2914.5187470954347</v>
      </c>
    </row>
    <row r="1271" spans="1:8">
      <c r="A1271">
        <f>Dashboard_Live_Data!X45</f>
        <v>-38.519999999999996</v>
      </c>
      <c r="B1271">
        <f>Dashboard_Live_Data!Y45</f>
        <v>2679.7722655199441</v>
      </c>
      <c r="C1271">
        <f>Dashboard_Live_Data!Z45</f>
        <v>-256.8</v>
      </c>
      <c r="D1271">
        <f>Dashboard_Live_Data!AA45</f>
        <v>1237.2988669437987</v>
      </c>
      <c r="E1271">
        <f>Dashboard_Live_Data!AB45</f>
        <v>-513.6</v>
      </c>
      <c r="F1271">
        <f>Dashboard_Live_Data!AC45</f>
        <v>2886.8093182607818</v>
      </c>
      <c r="G1271">
        <f>Dashboard_Live_Data!AD45</f>
        <v>-513.6</v>
      </c>
      <c r="H1271">
        <f>Dashboard_Live_Data!AE45</f>
        <v>2847.5931215678015</v>
      </c>
    </row>
    <row r="1272" spans="1:8">
      <c r="A1272">
        <f>Dashboard_Live_Data!X46</f>
        <v>-37.980000000000004</v>
      </c>
      <c r="B1272">
        <f>Dashboard_Live_Data!Y46</f>
        <v>2679.4800447239541</v>
      </c>
      <c r="C1272">
        <f>Dashboard_Live_Data!Z46</f>
        <v>-253.2</v>
      </c>
      <c r="D1272">
        <f>Dashboard_Live_Data!AA46</f>
        <v>1209.2757717257143</v>
      </c>
      <c r="E1272">
        <f>Dashboard_Live_Data!AB46</f>
        <v>-506.4</v>
      </c>
      <c r="F1272">
        <f>Dashboard_Live_Data!AC46</f>
        <v>2813.2125751554345</v>
      </c>
      <c r="G1272">
        <f>Dashboard_Live_Data!AD46</f>
        <v>-506.4</v>
      </c>
      <c r="H1272">
        <f>Dashboard_Live_Data!AE46</f>
        <v>2773.2308488639746</v>
      </c>
    </row>
    <row r="1273" spans="1:8">
      <c r="A1273">
        <f>Dashboard_Live_Data!X47</f>
        <v>-37.5</v>
      </c>
      <c r="B1273">
        <f>Dashboard_Live_Data!Y47</f>
        <v>2679.0613485791851</v>
      </c>
      <c r="C1273">
        <f>Dashboard_Live_Data!Z47</f>
        <v>-250</v>
      </c>
      <c r="D1273">
        <f>Dashboard_Live_Data!AA47</f>
        <v>1184.3076782731637</v>
      </c>
      <c r="E1273">
        <f>Dashboard_Live_Data!AB47</f>
        <v>-500</v>
      </c>
      <c r="F1273">
        <f>Dashboard_Live_Data!AC47</f>
        <v>2747.9784005923898</v>
      </c>
      <c r="G1273">
        <f>Dashboard_Live_Data!AD47</f>
        <v>-500</v>
      </c>
      <c r="H1273">
        <f>Dashboard_Live_Data!AE47</f>
        <v>2707.3252764901149</v>
      </c>
    </row>
    <row r="1274" spans="1:8">
      <c r="A1274">
        <f>Dashboard_Live_Data!X48</f>
        <v>-37.019999999999996</v>
      </c>
      <c r="B1274">
        <f>Dashboard_Live_Data!Y48</f>
        <v>2678.8524716885131</v>
      </c>
      <c r="C1274">
        <f>Dashboard_Live_Data!Z48</f>
        <v>-246.8</v>
      </c>
      <c r="D1274">
        <f>Dashboard_Live_Data!AA48</f>
        <v>1160.1745172754654</v>
      </c>
      <c r="E1274">
        <f>Dashboard_Live_Data!AB48</f>
        <v>-493.6</v>
      </c>
      <c r="F1274">
        <f>Dashboard_Live_Data!AC48</f>
        <v>2684.5299483671524</v>
      </c>
      <c r="G1274">
        <f>Dashboard_Live_Data!AD48</f>
        <v>-493.6</v>
      </c>
      <c r="H1274">
        <f>Dashboard_Live_Data!AE48</f>
        <v>2643.2139656948998</v>
      </c>
    </row>
    <row r="1275" spans="1:8">
      <c r="A1275">
        <f>Dashboard_Live_Data!X49</f>
        <v>-36.480000000000004</v>
      </c>
      <c r="B1275">
        <f>Dashboard_Live_Data!Y49</f>
        <v>2678.5467573407996</v>
      </c>
      <c r="C1275">
        <f>Dashboard_Live_Data!Z49</f>
        <v>-243.2</v>
      </c>
      <c r="D1275">
        <f>Dashboard_Live_Data!AA49</f>
        <v>1133.8318204369273</v>
      </c>
      <c r="E1275">
        <f>Dashboard_Live_Data!AB49</f>
        <v>-486.4</v>
      </c>
      <c r="F1275">
        <f>Dashboard_Live_Data!AC49</f>
        <v>2613.1887828674335</v>
      </c>
      <c r="G1275">
        <f>Dashboard_Live_Data!AD49</f>
        <v>-486.4</v>
      </c>
      <c r="H1275">
        <f>Dashboard_Live_Data!AE49</f>
        <v>2571.137291365269</v>
      </c>
    </row>
    <row r="1276" spans="1:8">
      <c r="A1276">
        <f>Dashboard_Live_Data!X50</f>
        <v>-36</v>
      </c>
      <c r="B1276">
        <f>Dashboard_Live_Data!Y50</f>
        <v>2678.1346624951211</v>
      </c>
      <c r="C1276">
        <f>Dashboard_Live_Data!Z50</f>
        <v>-240</v>
      </c>
      <c r="D1276">
        <f>Dashboard_Live_Data!AA50</f>
        <v>1110.4114575267997</v>
      </c>
      <c r="E1276">
        <f>Dashboard_Live_Data!AB50</f>
        <v>-480</v>
      </c>
      <c r="F1276">
        <f>Dashboard_Live_Data!AC50</f>
        <v>2550.8882906400845</v>
      </c>
      <c r="G1276">
        <f>Dashboard_Live_Data!AD50</f>
        <v>-480</v>
      </c>
      <c r="H1276">
        <f>Dashboard_Live_Data!AE50</f>
        <v>2508.192086454721</v>
      </c>
    </row>
    <row r="1277" spans="1:8">
      <c r="A1277">
        <f>Dashboard_Live_Data!X51</f>
        <v>-35.519999999999996</v>
      </c>
      <c r="B1277">
        <f>Dashboard_Live_Data!Y51</f>
        <v>2677.8312038609492</v>
      </c>
      <c r="C1277">
        <f>Dashboard_Live_Data!Z51</f>
        <v>-236.79999999999998</v>
      </c>
      <c r="D1277">
        <f>Dashboard_Live_Data!AA51</f>
        <v>1086.8427303999092</v>
      </c>
      <c r="E1277">
        <f>Dashboard_Live_Data!AB51</f>
        <v>-473.59999999999997</v>
      </c>
      <c r="F1277">
        <f>Dashboard_Live_Data!AC51</f>
        <v>2489.7392629473461</v>
      </c>
      <c r="G1277">
        <f>Dashboard_Live_Data!AD51</f>
        <v>-473.59999999999997</v>
      </c>
      <c r="H1277">
        <f>Dashboard_Live_Data!AE51</f>
        <v>2446.4068853196209</v>
      </c>
    </row>
    <row r="1278" spans="1:8">
      <c r="A1278">
        <f>Dashboard_Live_Data!X52</f>
        <v>-34.979999999999997</v>
      </c>
      <c r="B1278">
        <f>Dashboard_Live_Data!Y52</f>
        <v>2677.5913730272569</v>
      </c>
      <c r="C1278">
        <f>Dashboard_Live_Data!Z52</f>
        <v>-233.2</v>
      </c>
      <c r="D1278">
        <f>Dashboard_Live_Data!AA52</f>
        <v>1061.1254317167784</v>
      </c>
      <c r="E1278">
        <f>Dashboard_Live_Data!AB52</f>
        <v>-466.4</v>
      </c>
      <c r="F1278">
        <f>Dashboard_Live_Data!AC52</f>
        <v>2421.2039336802191</v>
      </c>
      <c r="G1278">
        <f>Dashboard_Live_Data!AD52</f>
        <v>-466.4</v>
      </c>
      <c r="H1278">
        <f>Dashboard_Live_Data!AE52</f>
        <v>2377.1660679911497</v>
      </c>
    </row>
    <row r="1279" spans="1:8">
      <c r="A1279">
        <f>Dashboard_Live_Data!X53</f>
        <v>-34.5</v>
      </c>
      <c r="B1279">
        <f>Dashboard_Live_Data!Y53</f>
        <v>2677.4013084133485</v>
      </c>
      <c r="C1279">
        <f>Dashboard_Live_Data!Z53</f>
        <v>-229.99999999999997</v>
      </c>
      <c r="D1279">
        <f>Dashboard_Live_Data!AA53</f>
        <v>1038.5909879836215</v>
      </c>
      <c r="E1279">
        <f>Dashboard_Live_Data!AB53</f>
        <v>-459.99999999999994</v>
      </c>
      <c r="F1279">
        <f>Dashboard_Live_Data!AC53</f>
        <v>2361.7787973155059</v>
      </c>
      <c r="G1279">
        <f>Dashboard_Live_Data!AD53</f>
        <v>-459.99999999999994</v>
      </c>
      <c r="H1279">
        <f>Dashboard_Live_Data!AE53</f>
        <v>2317.1229040708531</v>
      </c>
    </row>
    <row r="1280" spans="1:8">
      <c r="A1280">
        <f>Dashboard_Live_Data!X54</f>
        <v>-34.019999999999996</v>
      </c>
      <c r="B1280">
        <f>Dashboard_Live_Data!Y54</f>
        <v>2677.1088155150319</v>
      </c>
      <c r="C1280">
        <f>Dashboard_Live_Data!Z54</f>
        <v>-226.79999999999998</v>
      </c>
      <c r="D1280">
        <f>Dashboard_Live_Data!AA54</f>
        <v>1016.1344402669544</v>
      </c>
      <c r="E1280">
        <f>Dashboard_Live_Data!AB54</f>
        <v>-453.59999999999997</v>
      </c>
      <c r="F1280">
        <f>Dashboard_Live_Data!AC54</f>
        <v>2303.344286876124</v>
      </c>
      <c r="G1280">
        <f>Dashboard_Live_Data!AD54</f>
        <v>-453.59999999999997</v>
      </c>
      <c r="H1280">
        <f>Dashboard_Live_Data!AE54</f>
        <v>2258.0789053167259</v>
      </c>
    </row>
    <row r="1281" spans="1:8">
      <c r="A1281">
        <f>Dashboard_Live_Data!X55</f>
        <v>-33.480000000000004</v>
      </c>
      <c r="B1281">
        <f>Dashboard_Live_Data!Y55</f>
        <v>2676.6947597635431</v>
      </c>
      <c r="C1281">
        <f>Dashboard_Live_Data!Z55</f>
        <v>-223.20000000000002</v>
      </c>
      <c r="D1281">
        <f>Dashboard_Live_Data!AA55</f>
        <v>991.53332581625716</v>
      </c>
      <c r="E1281">
        <f>Dashboard_Live_Data!AB55</f>
        <v>-446.40000000000003</v>
      </c>
      <c r="F1281">
        <f>Dashboard_Live_Data!AC55</f>
        <v>2237.6242728070965</v>
      </c>
      <c r="G1281">
        <f>Dashboard_Live_Data!AD55</f>
        <v>-446.40000000000003</v>
      </c>
      <c r="H1281">
        <f>Dashboard_Live_Data!AE55</f>
        <v>2191.6834239549212</v>
      </c>
    </row>
    <row r="1282" spans="1:8">
      <c r="A1282">
        <f>Dashboard_Live_Data!X56</f>
        <v>-33</v>
      </c>
      <c r="B1282">
        <f>Dashboard_Live_Data!Y56</f>
        <v>2676.4990534043568</v>
      </c>
      <c r="C1282">
        <f>Dashboard_Live_Data!Z56</f>
        <v>-220.00000000000003</v>
      </c>
      <c r="D1282">
        <f>Dashboard_Live_Data!AA56</f>
        <v>970.16851043660358</v>
      </c>
      <c r="E1282">
        <f>Dashboard_Live_Data!AB56</f>
        <v>-440.00000000000006</v>
      </c>
      <c r="F1282">
        <f>Dashboard_Live_Data!AC56</f>
        <v>2180.8662292442368</v>
      </c>
      <c r="G1282">
        <f>Dashboard_Live_Data!AD56</f>
        <v>-440.00000000000006</v>
      </c>
      <c r="H1282">
        <f>Dashboard_Live_Data!AE56</f>
        <v>2134.3340379640949</v>
      </c>
    </row>
    <row r="1283" spans="1:8">
      <c r="A1283">
        <f>Dashboard_Live_Data!X57</f>
        <v>-32.520000000000003</v>
      </c>
      <c r="B1283">
        <f>Dashboard_Live_Data!Y57</f>
        <v>2676.2200621956567</v>
      </c>
      <c r="C1283">
        <f>Dashboard_Live_Data!Z57</f>
        <v>-216.8</v>
      </c>
      <c r="D1283">
        <f>Dashboard_Live_Data!AA57</f>
        <v>948.76083680906561</v>
      </c>
      <c r="E1283">
        <f>Dashboard_Live_Data!AB57</f>
        <v>-433.6</v>
      </c>
      <c r="F1283">
        <f>Dashboard_Live_Data!AC57</f>
        <v>2124.6961361378512</v>
      </c>
      <c r="G1283">
        <f>Dashboard_Live_Data!AD57</f>
        <v>-433.6</v>
      </c>
      <c r="H1283">
        <f>Dashboard_Live_Data!AE57</f>
        <v>2077.5811416705787</v>
      </c>
    </row>
    <row r="1284" spans="1:8">
      <c r="A1284">
        <f>Dashboard_Live_Data!X58</f>
        <v>-31.98</v>
      </c>
      <c r="B1284">
        <f>Dashboard_Live_Data!Y58</f>
        <v>2676.1391391812404</v>
      </c>
      <c r="C1284">
        <f>Dashboard_Live_Data!Z58</f>
        <v>-213.20000000000002</v>
      </c>
      <c r="D1284">
        <f>Dashboard_Live_Data!AA58</f>
        <v>924.7601899779155</v>
      </c>
      <c r="E1284">
        <f>Dashboard_Live_Data!AB58</f>
        <v>-426.40000000000003</v>
      </c>
      <c r="F1284">
        <f>Dashboard_Live_Data!AC58</f>
        <v>2061.9306805806214</v>
      </c>
      <c r="G1284">
        <f>Dashboard_Live_Data!AD58</f>
        <v>-426.40000000000003</v>
      </c>
      <c r="H1284">
        <f>Dashboard_Live_Data!AE58</f>
        <v>2014.1702395891407</v>
      </c>
    </row>
    <row r="1285" spans="1:8">
      <c r="A1285">
        <f>Dashboard_Live_Data!X59</f>
        <v>-31.5</v>
      </c>
      <c r="B1285">
        <f>Dashboard_Live_Data!Y59</f>
        <v>2675.8058348678301</v>
      </c>
      <c r="C1285">
        <f>Dashboard_Live_Data!Z59</f>
        <v>-210</v>
      </c>
      <c r="D1285">
        <f>Dashboard_Live_Data!AA59</f>
        <v>904.25330988211329</v>
      </c>
      <c r="E1285">
        <f>Dashboard_Live_Data!AB59</f>
        <v>-420</v>
      </c>
      <c r="F1285">
        <f>Dashboard_Live_Data!AC59</f>
        <v>2007.8337102011103</v>
      </c>
      <c r="G1285">
        <f>Dashboard_Live_Data!AD59</f>
        <v>-420</v>
      </c>
      <c r="H1285">
        <f>Dashboard_Live_Data!AE59</f>
        <v>1959.5086119092775</v>
      </c>
    </row>
    <row r="1286" spans="1:8">
      <c r="A1286">
        <f>Dashboard_Live_Data!X60</f>
        <v>-31.02</v>
      </c>
      <c r="B1286">
        <f>Dashboard_Live_Data!Y60</f>
        <v>2675.7021946279692</v>
      </c>
      <c r="C1286">
        <f>Dashboard_Live_Data!Z60</f>
        <v>-206.8</v>
      </c>
      <c r="D1286">
        <f>Dashboard_Live_Data!AA60</f>
        <v>884.12039163790871</v>
      </c>
      <c r="E1286">
        <f>Dashboard_Live_Data!AB60</f>
        <v>-413.6</v>
      </c>
      <c r="F1286">
        <f>Dashboard_Live_Data!AC60</f>
        <v>1953.8304542430778</v>
      </c>
      <c r="G1286">
        <f>Dashboard_Live_Data!AD60</f>
        <v>-413.6</v>
      </c>
      <c r="H1286">
        <f>Dashboard_Live_Data!AE60</f>
        <v>1904.9492378917314</v>
      </c>
    </row>
    <row r="1287" spans="1:8">
      <c r="A1287">
        <f>Dashboard_Live_Data!X61</f>
        <v>-30.48</v>
      </c>
      <c r="B1287">
        <f>Dashboard_Live_Data!Y61</f>
        <v>2675.4695261018783</v>
      </c>
      <c r="C1287">
        <f>Dashboard_Live_Data!Z61</f>
        <v>-203.2</v>
      </c>
      <c r="D1287">
        <f>Dashboard_Live_Data!AA61</f>
        <v>861.71394056116776</v>
      </c>
      <c r="E1287">
        <f>Dashboard_Live_Data!AB61</f>
        <v>-406.4</v>
      </c>
      <c r="F1287">
        <f>Dashboard_Live_Data!AC61</f>
        <v>1894.3114493737276</v>
      </c>
      <c r="G1287">
        <f>Dashboard_Live_Data!AD61</f>
        <v>-406.4</v>
      </c>
      <c r="H1287">
        <f>Dashboard_Live_Data!AE61</f>
        <v>1844.81480726674</v>
      </c>
    </row>
    <row r="1288" spans="1:8">
      <c r="A1288">
        <f>Dashboard_Live_Data!X62</f>
        <v>-30</v>
      </c>
      <c r="B1288">
        <f>Dashboard_Live_Data!Y62</f>
        <v>2675.3009110978614</v>
      </c>
      <c r="C1288">
        <f>Dashboard_Live_Data!Z62</f>
        <v>-200</v>
      </c>
      <c r="D1288">
        <f>Dashboard_Live_Data!AA62</f>
        <v>842.09103914771345</v>
      </c>
      <c r="E1288">
        <f>Dashboard_Live_Data!AB62</f>
        <v>-400</v>
      </c>
      <c r="F1288">
        <f>Dashboard_Live_Data!AC62</f>
        <v>1842.8570097666177</v>
      </c>
      <c r="G1288">
        <f>Dashboard_Live_Data!AD62</f>
        <v>-400</v>
      </c>
      <c r="H1288">
        <f>Dashboard_Live_Data!AE62</f>
        <v>1792.8223954868949</v>
      </c>
    </row>
    <row r="1289" spans="1:8">
      <c r="A1289">
        <f>Dashboard_Live_Data!X63</f>
        <v>-29.52</v>
      </c>
      <c r="B1289">
        <f>Dashboard_Live_Data!Y63</f>
        <v>2675.1900720308854</v>
      </c>
      <c r="C1289">
        <f>Dashboard_Live_Data!Z63</f>
        <v>-196.8</v>
      </c>
      <c r="D1289">
        <f>Dashboard_Live_Data!AA63</f>
        <v>822.55207478089949</v>
      </c>
      <c r="E1289">
        <f>Dashboard_Live_Data!AB63</f>
        <v>-393.6</v>
      </c>
      <c r="F1289">
        <f>Dashboard_Live_Data!AC63</f>
        <v>1791.3583570829956</v>
      </c>
      <c r="G1289">
        <f>Dashboard_Live_Data!AD63</f>
        <v>-393.6</v>
      </c>
      <c r="H1289">
        <f>Dashboard_Live_Data!AE63</f>
        <v>1740.7943098713745</v>
      </c>
    </row>
    <row r="1290" spans="1:8">
      <c r="A1290">
        <f>Dashboard_Live_Data!X64</f>
        <v>-28.98</v>
      </c>
      <c r="B1290">
        <f>Dashboard_Live_Data!Y64</f>
        <v>2674.966604122772</v>
      </c>
      <c r="C1290">
        <f>Dashboard_Live_Data!Z64</f>
        <v>-193.2</v>
      </c>
      <c r="D1290">
        <f>Dashboard_Live_Data!AA64</f>
        <v>800.78844516792503</v>
      </c>
      <c r="E1290">
        <f>Dashboard_Live_Data!AB64</f>
        <v>-386.4</v>
      </c>
      <c r="F1290">
        <f>Dashboard_Live_Data!AC64</f>
        <v>1735.3520404808066</v>
      </c>
      <c r="G1290">
        <f>Dashboard_Live_Data!AD64</f>
        <v>-386.4</v>
      </c>
      <c r="H1290">
        <f>Dashboard_Live_Data!AE64</f>
        <v>1684.2025882821126</v>
      </c>
    </row>
    <row r="1291" spans="1:8">
      <c r="A1291">
        <f>Dashboard_Live_Data!X65</f>
        <v>-28.5</v>
      </c>
      <c r="B1291">
        <f>Dashboard_Live_Data!Y65</f>
        <v>2674.7319398843601</v>
      </c>
      <c r="C1291">
        <f>Dashboard_Live_Data!Z65</f>
        <v>-190</v>
      </c>
      <c r="D1291">
        <f>Dashboard_Live_Data!AA65</f>
        <v>782.18275859500397</v>
      </c>
      <c r="E1291">
        <f>Dashboard_Live_Data!AB65</f>
        <v>-380</v>
      </c>
      <c r="F1291">
        <f>Dashboard_Live_Data!AC65</f>
        <v>1686.2442602676783</v>
      </c>
      <c r="G1291">
        <f>Dashboard_Live_Data!AD65</f>
        <v>-380</v>
      </c>
      <c r="H1291">
        <f>Dashboard_Live_Data!AE65</f>
        <v>1634.5835210238645</v>
      </c>
    </row>
    <row r="1292" spans="1:8">
      <c r="A1292">
        <f>Dashboard_Live_Data!X66</f>
        <v>-28.020000000000003</v>
      </c>
      <c r="B1292">
        <f>Dashboard_Live_Data!Y66</f>
        <v>2674.723922285471</v>
      </c>
      <c r="C1292">
        <f>Dashboard_Live_Data!Z66</f>
        <v>-186.80000000000004</v>
      </c>
      <c r="D1292">
        <f>Dashboard_Live_Data!AA66</f>
        <v>764.29975082137639</v>
      </c>
      <c r="E1292">
        <f>Dashboard_Live_Data!AB66</f>
        <v>-373.60000000000008</v>
      </c>
      <c r="F1292">
        <f>Dashboard_Live_Data!AC66</f>
        <v>1637.3177434988168</v>
      </c>
      <c r="G1292">
        <f>Dashboard_Live_Data!AD66</f>
        <v>-373.60000000000008</v>
      </c>
      <c r="H1292">
        <f>Dashboard_Live_Data!AE66</f>
        <v>1585.1542564507204</v>
      </c>
    </row>
    <row r="1293" spans="1:8">
      <c r="A1293">
        <f>Dashboard_Live_Data!X67</f>
        <v>-27.479999999999997</v>
      </c>
      <c r="B1293">
        <f>Dashboard_Live_Data!Y67</f>
        <v>2674.5566383706246</v>
      </c>
      <c r="C1293">
        <f>Dashboard_Live_Data!Z67</f>
        <v>-183.2</v>
      </c>
      <c r="D1293">
        <f>Dashboard_Live_Data!AA67</f>
        <v>744.29967064682944</v>
      </c>
      <c r="E1293">
        <f>Dashboard_Live_Data!AB67</f>
        <v>-366.4</v>
      </c>
      <c r="F1293">
        <f>Dashboard_Live_Data!AC67</f>
        <v>1584.1474784934796</v>
      </c>
      <c r="G1293">
        <f>Dashboard_Live_Data!AD67</f>
        <v>-366.4</v>
      </c>
      <c r="H1293">
        <f>Dashboard_Live_Data!AE67</f>
        <v>1531.4286072268783</v>
      </c>
    </row>
    <row r="1294" spans="1:8">
      <c r="A1294">
        <f>Dashboard_Live_Data!X68</f>
        <v>-27</v>
      </c>
      <c r="B1294">
        <f>Dashboard_Live_Data!Y68</f>
        <v>2674.381298406674</v>
      </c>
      <c r="C1294">
        <f>Dashboard_Live_Data!Z68</f>
        <v>-179.99999999999997</v>
      </c>
      <c r="D1294">
        <f>Dashboard_Live_Data!AA68</f>
        <v>726.39027637027345</v>
      </c>
      <c r="E1294">
        <f>Dashboard_Live_Data!AB68</f>
        <v>-359.99999999999994</v>
      </c>
      <c r="F1294">
        <f>Dashboard_Live_Data!AC68</f>
        <v>1537.2156175815205</v>
      </c>
      <c r="G1294">
        <f>Dashboard_Live_Data!AD68</f>
        <v>-359.99999999999994</v>
      </c>
      <c r="H1294">
        <f>Dashboard_Live_Data!AE68</f>
        <v>1484.0121443974156</v>
      </c>
    </row>
    <row r="1295" spans="1:8">
      <c r="A1295">
        <f>Dashboard_Live_Data!X69</f>
        <v>-26.519999999999996</v>
      </c>
      <c r="B1295">
        <f>Dashboard_Live_Data!Y69</f>
        <v>2674.3335334564645</v>
      </c>
      <c r="C1295">
        <f>Dashboard_Live_Data!Z69</f>
        <v>-176.79999999999998</v>
      </c>
      <c r="D1295">
        <f>Dashboard_Live_Data!AA69</f>
        <v>708.59652239732816</v>
      </c>
      <c r="E1295">
        <f>Dashboard_Live_Data!AB69</f>
        <v>-353.59999999999997</v>
      </c>
      <c r="F1295">
        <f>Dashboard_Live_Data!AC69</f>
        <v>1491.0140510931733</v>
      </c>
      <c r="G1295">
        <f>Dashboard_Live_Data!AD69</f>
        <v>-353.59999999999997</v>
      </c>
      <c r="H1295">
        <f>Dashboard_Live_Data!AE69</f>
        <v>1437.3345152324011</v>
      </c>
    </row>
    <row r="1296" spans="1:8">
      <c r="A1296">
        <f>Dashboard_Live_Data!X70</f>
        <v>-25.980000000000004</v>
      </c>
      <c r="B1296">
        <f>Dashboard_Live_Data!Y70</f>
        <v>2674.1216025512749</v>
      </c>
      <c r="C1296">
        <f>Dashboard_Live_Data!Z70</f>
        <v>-173.20000000000002</v>
      </c>
      <c r="D1296">
        <f>Dashboard_Live_Data!AA70</f>
        <v>689.6044707976647</v>
      </c>
      <c r="E1296">
        <f>Dashboard_Live_Data!AB70</f>
        <v>-346.40000000000003</v>
      </c>
      <c r="F1296">
        <f>Dashboard_Live_Data!AC70</f>
        <v>1440.7064420089457</v>
      </c>
      <c r="G1296">
        <f>Dashboard_Live_Data!AD70</f>
        <v>-346.40000000000003</v>
      </c>
      <c r="H1296">
        <f>Dashboard_Live_Data!AE70</f>
        <v>1386.5015426982363</v>
      </c>
    </row>
    <row r="1297" spans="1:8">
      <c r="A1297">
        <f>Dashboard_Live_Data!X71</f>
        <v>-25.5</v>
      </c>
      <c r="B1297">
        <f>Dashboard_Live_Data!Y71</f>
        <v>2674.0286984605818</v>
      </c>
      <c r="C1297">
        <f>Dashboard_Live_Data!Z71</f>
        <v>-170.00000000000003</v>
      </c>
      <c r="D1297">
        <f>Dashboard_Live_Data!AA71</f>
        <v>673.52943021065596</v>
      </c>
      <c r="E1297">
        <f>Dashboard_Live_Data!AB71</f>
        <v>-340.00000000000006</v>
      </c>
      <c r="F1297">
        <f>Dashboard_Live_Data!AC71</f>
        <v>1395.9069815926184</v>
      </c>
      <c r="G1297">
        <f>Dashboard_Live_Data!AD71</f>
        <v>-340.00000000000006</v>
      </c>
      <c r="H1297">
        <f>Dashboard_Live_Data!AE71</f>
        <v>1341.2441654920215</v>
      </c>
    </row>
    <row r="1298" spans="1:8">
      <c r="A1298">
        <f>Dashboard_Live_Data!X72</f>
        <v>-25.020000000000003</v>
      </c>
      <c r="B1298">
        <f>Dashboard_Live_Data!Y72</f>
        <v>2673.8364151669812</v>
      </c>
      <c r="C1298">
        <f>Dashboard_Live_Data!Z72</f>
        <v>-166.8</v>
      </c>
      <c r="D1298">
        <f>Dashboard_Live_Data!AA72</f>
        <v>657.15792890890543</v>
      </c>
      <c r="E1298">
        <f>Dashboard_Live_Data!AB72</f>
        <v>-333.6</v>
      </c>
      <c r="F1298">
        <f>Dashboard_Live_Data!AC72</f>
        <v>1352.5285718842533</v>
      </c>
      <c r="G1298">
        <f>Dashboard_Live_Data!AD72</f>
        <v>-333.6</v>
      </c>
      <c r="H1298">
        <f>Dashboard_Live_Data!AE72</f>
        <v>1297.4163782346052</v>
      </c>
    </row>
    <row r="1299" spans="1:8">
      <c r="A1299">
        <f>Dashboard_Live_Data!X73</f>
        <v>-24.479999999999997</v>
      </c>
      <c r="B1299">
        <f>Dashboard_Live_Data!Y73</f>
        <v>2673.7029376385944</v>
      </c>
      <c r="C1299">
        <f>Dashboard_Live_Data!Z73</f>
        <v>-163.19999999999996</v>
      </c>
      <c r="D1299">
        <f>Dashboard_Live_Data!AA73</f>
        <v>638.70335285133183</v>
      </c>
      <c r="E1299">
        <f>Dashboard_Live_Data!AB73</f>
        <v>-326.39999999999992</v>
      </c>
      <c r="F1299">
        <f>Dashboard_Live_Data!AC73</f>
        <v>1304.9764199784206</v>
      </c>
      <c r="G1299">
        <f>Dashboard_Live_Data!AD73</f>
        <v>-326.39999999999992</v>
      </c>
      <c r="H1299">
        <f>Dashboard_Live_Data!AE73</f>
        <v>1249.3688836474032</v>
      </c>
    </row>
    <row r="1300" spans="1:8">
      <c r="A1300">
        <f>Dashboard_Live_Data!X74</f>
        <v>-24</v>
      </c>
      <c r="B1300">
        <f>Dashboard_Live_Data!Y74</f>
        <v>2673.5261534625206</v>
      </c>
      <c r="C1300">
        <f>Dashboard_Live_Data!Z74</f>
        <v>-160</v>
      </c>
      <c r="D1300">
        <f>Dashboard_Live_Data!AA74</f>
        <v>622.95581929458547</v>
      </c>
      <c r="E1300">
        <f>Dashboard_Live_Data!AB74</f>
        <v>-320</v>
      </c>
      <c r="F1300">
        <f>Dashboard_Live_Data!AC74</f>
        <v>1262.9447905211184</v>
      </c>
      <c r="G1300">
        <f>Dashboard_Live_Data!AD74</f>
        <v>-320</v>
      </c>
      <c r="H1300">
        <f>Dashboard_Live_Data!AE74</f>
        <v>1206.9060225278288</v>
      </c>
    </row>
    <row r="1301" spans="1:8">
      <c r="A1301">
        <f>Dashboard_Live_Data!X75</f>
        <v>-23.520000000000003</v>
      </c>
      <c r="B1301">
        <f>Dashboard_Live_Data!Y75</f>
        <v>2673.5228751299887</v>
      </c>
      <c r="C1301">
        <f>Dashboard_Live_Data!Z75</f>
        <v>-156.80000000000001</v>
      </c>
      <c r="D1301">
        <f>Dashboard_Live_Data!AA75</f>
        <v>607.69841650728927</v>
      </c>
      <c r="E1301">
        <f>Dashboard_Live_Data!AB75</f>
        <v>-313.60000000000002</v>
      </c>
      <c r="F1301">
        <f>Dashboard_Live_Data!AC75</f>
        <v>1222.5976275941218</v>
      </c>
      <c r="G1301">
        <f>Dashboard_Live_Data!AD75</f>
        <v>-313.60000000000002</v>
      </c>
      <c r="H1301">
        <f>Dashboard_Live_Data!AE75</f>
        <v>1166.1361671793973</v>
      </c>
    </row>
    <row r="1302" spans="1:8">
      <c r="A1302">
        <f>Dashboard_Live_Data!X76</f>
        <v>-22.980000000000004</v>
      </c>
      <c r="B1302">
        <f>Dashboard_Live_Data!Y76</f>
        <v>2673.2921080293481</v>
      </c>
      <c r="C1302">
        <f>Dashboard_Live_Data!Z76</f>
        <v>-153.19999999999999</v>
      </c>
      <c r="D1302">
        <f>Dashboard_Live_Data!AA76</f>
        <v>590.66197110767814</v>
      </c>
      <c r="E1302">
        <f>Dashboard_Live_Data!AB76</f>
        <v>-306.39999999999998</v>
      </c>
      <c r="F1302">
        <f>Dashboard_Live_Data!AC76</f>
        <v>1177.5797561447957</v>
      </c>
      <c r="G1302">
        <f>Dashboard_Live_Data!AD76</f>
        <v>-306.39999999999998</v>
      </c>
      <c r="H1302">
        <f>Dashboard_Live_Data!AE76</f>
        <v>1120.6529738172696</v>
      </c>
    </row>
    <row r="1303" spans="1:8">
      <c r="A1303">
        <f>Dashboard_Live_Data!X77</f>
        <v>-22.5</v>
      </c>
      <c r="B1303">
        <f>Dashboard_Live_Data!Y77</f>
        <v>2673.18796223142</v>
      </c>
      <c r="C1303">
        <f>Dashboard_Live_Data!Z77</f>
        <v>-150</v>
      </c>
      <c r="D1303">
        <f>Dashboard_Live_Data!AA77</f>
        <v>576.22258813122494</v>
      </c>
      <c r="E1303">
        <f>Dashboard_Live_Data!AB77</f>
        <v>-300</v>
      </c>
      <c r="F1303">
        <f>Dashboard_Live_Data!AC77</f>
        <v>1138.4256657523622</v>
      </c>
      <c r="G1303">
        <f>Dashboard_Live_Data!AD77</f>
        <v>-300</v>
      </c>
      <c r="H1303">
        <f>Dashboard_Live_Data!AE77</f>
        <v>1081.0943368901799</v>
      </c>
    </row>
    <row r="1304" spans="1:8">
      <c r="A1304">
        <f>Dashboard_Live_Data!X78</f>
        <v>-22.019999999999996</v>
      </c>
      <c r="B1304">
        <f>Dashboard_Live_Data!Y78</f>
        <v>2673.1305400369843</v>
      </c>
      <c r="C1304">
        <f>Dashboard_Live_Data!Z78</f>
        <v>-146.80000000000001</v>
      </c>
      <c r="D1304">
        <f>Dashboard_Live_Data!AA78</f>
        <v>561.82224623232139</v>
      </c>
      <c r="E1304">
        <f>Dashboard_Live_Data!AB78</f>
        <v>-293.60000000000002</v>
      </c>
      <c r="F1304">
        <f>Dashboard_Live_Data!AC78</f>
        <v>1100.589696399725</v>
      </c>
      <c r="G1304">
        <f>Dashboard_Live_Data!AD78</f>
        <v>-293.60000000000002</v>
      </c>
      <c r="H1304">
        <f>Dashboard_Live_Data!AE78</f>
        <v>1042.8623602437233</v>
      </c>
    </row>
    <row r="1305" spans="1:8">
      <c r="A1305">
        <f>Dashboard_Live_Data!X79</f>
        <v>-21.479999999999997</v>
      </c>
      <c r="B1305">
        <f>Dashboard_Live_Data!Y79</f>
        <v>2672.9477639052798</v>
      </c>
      <c r="C1305">
        <f>Dashboard_Live_Data!Z79</f>
        <v>-143.19999999999999</v>
      </c>
      <c r="D1305">
        <f>Dashboard_Live_Data!AA79</f>
        <v>545.46838456100261</v>
      </c>
      <c r="E1305">
        <f>Dashboard_Live_Data!AB79</f>
        <v>-286.39999999999998</v>
      </c>
      <c r="F1305">
        <f>Dashboard_Live_Data!AC79</f>
        <v>1058.3002345586074</v>
      </c>
      <c r="G1305">
        <f>Dashboard_Live_Data!AD79</f>
        <v>-286.39999999999998</v>
      </c>
      <c r="H1305">
        <f>Dashboard_Live_Data!AE79</f>
        <v>1000.1375972583725</v>
      </c>
    </row>
    <row r="1306" spans="1:8">
      <c r="A1306">
        <f>Dashboard_Live_Data!X80</f>
        <v>-21</v>
      </c>
      <c r="B1306">
        <f>Dashboard_Live_Data!Y80</f>
        <v>2672.7315331589957</v>
      </c>
      <c r="C1306">
        <f>Dashboard_Live_Data!Z80</f>
        <v>-140</v>
      </c>
      <c r="D1306">
        <f>Dashboard_Live_Data!AA80</f>
        <v>531.44205975631633</v>
      </c>
      <c r="E1306">
        <f>Dashboard_Live_Data!AB80</f>
        <v>-280</v>
      </c>
      <c r="F1306">
        <f>Dashboard_Live_Data!AC80</f>
        <v>1021.9153193332289</v>
      </c>
      <c r="G1306">
        <f>Dashboard_Live_Data!AD80</f>
        <v>-280</v>
      </c>
      <c r="H1306">
        <f>Dashboard_Live_Data!AE80</f>
        <v>963.37482062595336</v>
      </c>
    </row>
    <row r="1307" spans="1:8">
      <c r="A1307">
        <f>Dashboard_Live_Data!X81</f>
        <v>-20.520000000000003</v>
      </c>
      <c r="B1307">
        <f>Dashboard_Live_Data!Y81</f>
        <v>2672.6976301058958</v>
      </c>
      <c r="C1307">
        <f>Dashboard_Live_Data!Z81</f>
        <v>-136.80000000000001</v>
      </c>
      <c r="D1307">
        <f>Dashboard_Live_Data!AA81</f>
        <v>518.30702957057997</v>
      </c>
      <c r="E1307">
        <f>Dashboard_Live_Data!AB81</f>
        <v>-273.60000000000002</v>
      </c>
      <c r="F1307">
        <f>Dashboard_Live_Data!AC81</f>
        <v>986.64556882876252</v>
      </c>
      <c r="G1307">
        <f>Dashboard_Live_Data!AD81</f>
        <v>-273.60000000000002</v>
      </c>
      <c r="H1307">
        <f>Dashboard_Live_Data!AE81</f>
        <v>927.73574795528327</v>
      </c>
    </row>
    <row r="1308" spans="1:8">
      <c r="A1308">
        <f>Dashboard_Live_Data!X82</f>
        <v>-19.979999999999997</v>
      </c>
      <c r="B1308">
        <f>Dashboard_Live_Data!Y82</f>
        <v>2672.4754623052013</v>
      </c>
      <c r="C1308">
        <f>Dashboard_Live_Data!Z82</f>
        <v>-133.19999999999999</v>
      </c>
      <c r="D1308">
        <f>Dashboard_Live_Data!AA82</f>
        <v>503.5300716509127</v>
      </c>
      <c r="E1308">
        <f>Dashboard_Live_Data!AB82</f>
        <v>-266.39999999999998</v>
      </c>
      <c r="F1308">
        <f>Dashboard_Live_Data!AC82</f>
        <v>946.93028901938692</v>
      </c>
      <c r="G1308">
        <f>Dashboard_Live_Data!AD82</f>
        <v>-266.39999999999998</v>
      </c>
      <c r="H1308">
        <f>Dashboard_Live_Data!AE82</f>
        <v>887.61518777024196</v>
      </c>
    </row>
    <row r="1309" spans="1:8">
      <c r="A1309">
        <f>Dashboard_Live_Data!X83</f>
        <v>-19.5</v>
      </c>
      <c r="B1309">
        <f>Dashboard_Live_Data!Y83</f>
        <v>2672.2656801334788</v>
      </c>
      <c r="C1309">
        <f>Dashboard_Live_Data!Z83</f>
        <v>-130</v>
      </c>
      <c r="D1309">
        <f>Dashboard_Live_Data!AA83</f>
        <v>490.6119523498117</v>
      </c>
      <c r="E1309">
        <f>Dashboard_Live_Data!AB83</f>
        <v>-260</v>
      </c>
      <c r="F1309">
        <f>Dashboard_Live_Data!AC83</f>
        <v>913.38844435295391</v>
      </c>
      <c r="G1309">
        <f>Dashboard_Live_Data!AD83</f>
        <v>-260</v>
      </c>
      <c r="H1309">
        <f>Dashboard_Live_Data!AE83</f>
        <v>853.72216682438443</v>
      </c>
    </row>
    <row r="1310" spans="1:8">
      <c r="A1310">
        <f>Dashboard_Live_Data!X84</f>
        <v>-19.019999999999996</v>
      </c>
      <c r="B1310">
        <f>Dashboard_Live_Data!Y84</f>
        <v>2672.1155658418929</v>
      </c>
      <c r="C1310">
        <f>Dashboard_Live_Data!Z84</f>
        <v>-126.79999999999995</v>
      </c>
      <c r="D1310">
        <f>Dashboard_Live_Data!AA84</f>
        <v>478.15408387641003</v>
      </c>
      <c r="E1310">
        <f>Dashboard_Live_Data!AB84</f>
        <v>-253.59999999999991</v>
      </c>
      <c r="F1310">
        <f>Dashboard_Live_Data!AC84</f>
        <v>880.52295629152457</v>
      </c>
      <c r="G1310">
        <f>Dashboard_Live_Data!AD84</f>
        <v>-253.59999999999991</v>
      </c>
      <c r="H1310">
        <f>Dashboard_Live_Data!AE84</f>
        <v>820.51404172436776</v>
      </c>
    </row>
    <row r="1311" spans="1:8">
      <c r="A1311">
        <f>Dashboard_Live_Data!X85</f>
        <v>-18.480000000000004</v>
      </c>
      <c r="B1311">
        <f>Dashboard_Live_Data!Y85</f>
        <v>2671.9751728842639</v>
      </c>
      <c r="C1311">
        <f>Dashboard_Live_Data!Z85</f>
        <v>-123.20000000000005</v>
      </c>
      <c r="D1311">
        <f>Dashboard_Live_Data!AA85</f>
        <v>464.26488226134251</v>
      </c>
      <c r="E1311">
        <f>Dashboard_Live_Data!AB85</f>
        <v>-246.40000000000009</v>
      </c>
      <c r="F1311">
        <f>Dashboard_Live_Data!AC85</f>
        <v>843.85241150892091</v>
      </c>
      <c r="G1311">
        <f>Dashboard_Live_Data!AD85</f>
        <v>-246.40000000000009</v>
      </c>
      <c r="H1311">
        <f>Dashboard_Live_Data!AE85</f>
        <v>783.46823733466601</v>
      </c>
    </row>
    <row r="1312" spans="1:8">
      <c r="A1312">
        <f>Dashboard_Live_Data!X86</f>
        <v>-18</v>
      </c>
      <c r="B1312">
        <f>Dashboard_Live_Data!Y86</f>
        <v>2671.9092619653225</v>
      </c>
      <c r="C1312">
        <f>Dashboard_Live_Data!Z86</f>
        <v>-120</v>
      </c>
      <c r="D1312">
        <f>Dashboard_Live_Data!AA86</f>
        <v>452.12513673633737</v>
      </c>
      <c r="E1312">
        <f>Dashboard_Live_Data!AB86</f>
        <v>-240</v>
      </c>
      <c r="F1312">
        <f>Dashboard_Live_Data!AC86</f>
        <v>813.20584870524624</v>
      </c>
      <c r="G1312">
        <f>Dashboard_Live_Data!AD86</f>
        <v>-240</v>
      </c>
      <c r="H1312">
        <f>Dashboard_Live_Data!AE86</f>
        <v>752.49718337918262</v>
      </c>
    </row>
    <row r="1313" spans="1:8">
      <c r="A1313">
        <f>Dashboard_Live_Data!X87</f>
        <v>-17.520000000000003</v>
      </c>
      <c r="B1313">
        <f>Dashboard_Live_Data!Y87</f>
        <v>2671.6172551078062</v>
      </c>
      <c r="C1313">
        <f>Dashboard_Live_Data!Z87</f>
        <v>-116.80000000000001</v>
      </c>
      <c r="D1313">
        <f>Dashboard_Live_Data!AA87</f>
        <v>440.789520058493</v>
      </c>
      <c r="E1313">
        <f>Dashboard_Live_Data!AB87</f>
        <v>-233.60000000000002</v>
      </c>
      <c r="F1313">
        <f>Dashboard_Live_Data!AC87</f>
        <v>782.23831898070887</v>
      </c>
      <c r="G1313">
        <f>Dashboard_Live_Data!AD87</f>
        <v>-233.60000000000002</v>
      </c>
      <c r="H1313">
        <f>Dashboard_Live_Data!AE87</f>
        <v>721.2137017436736</v>
      </c>
    </row>
    <row r="1314" spans="1:8">
      <c r="A1314">
        <f>Dashboard_Live_Data!X88</f>
        <v>-16.979999999999997</v>
      </c>
      <c r="B1314">
        <f>Dashboard_Live_Data!Y88</f>
        <v>2671.4755777744185</v>
      </c>
      <c r="C1314">
        <f>Dashboard_Live_Data!Z88</f>
        <v>-113.19999999999999</v>
      </c>
      <c r="D1314">
        <f>Dashboard_Live_Data!AA88</f>
        <v>428.42468286207787</v>
      </c>
      <c r="E1314">
        <f>Dashboard_Live_Data!AB88</f>
        <v>-226.39999999999998</v>
      </c>
      <c r="F1314">
        <f>Dashboard_Live_Data!AC88</f>
        <v>748.93086768833803</v>
      </c>
      <c r="G1314">
        <f>Dashboard_Live_Data!AD88</f>
        <v>-226.39999999999998</v>
      </c>
      <c r="H1314">
        <f>Dashboard_Live_Data!AE88</f>
        <v>687.56101161277263</v>
      </c>
    </row>
    <row r="1315" spans="1:8">
      <c r="A1315">
        <f>Dashboard_Live_Data!X89</f>
        <v>-16.5</v>
      </c>
      <c r="B1315">
        <f>Dashboard_Live_Data!Y89</f>
        <v>2671.3571868013596</v>
      </c>
      <c r="C1315">
        <f>Dashboard_Live_Data!Z89</f>
        <v>-110</v>
      </c>
      <c r="D1315">
        <f>Dashboard_Live_Data!AA89</f>
        <v>417.67037608062077</v>
      </c>
      <c r="E1315">
        <f>Dashboard_Live_Data!AB89</f>
        <v>-220</v>
      </c>
      <c r="F1315">
        <f>Dashboard_Live_Data!AC89</f>
        <v>720.43324191293686</v>
      </c>
      <c r="G1315">
        <f>Dashboard_Live_Data!AD89</f>
        <v>-220</v>
      </c>
      <c r="H1315">
        <f>Dashboard_Live_Data!AE89</f>
        <v>658.76557981317865</v>
      </c>
    </row>
    <row r="1316" spans="1:8">
      <c r="A1316">
        <f>Dashboard_Live_Data!X90</f>
        <v>-16.020000000000003</v>
      </c>
      <c r="B1316">
        <f>Dashboard_Live_Data!Y90</f>
        <v>2671.2248800209791</v>
      </c>
      <c r="C1316">
        <f>Dashboard_Live_Data!Z90</f>
        <v>-106.80000000000001</v>
      </c>
      <c r="D1316">
        <f>Dashboard_Live_Data!AA90</f>
        <v>406.74702738970677</v>
      </c>
      <c r="E1316">
        <f>Dashboard_Live_Data!AB90</f>
        <v>-213.60000000000002</v>
      </c>
      <c r="F1316">
        <f>Dashboard_Live_Data!AC90</f>
        <v>691.96705519544912</v>
      </c>
      <c r="G1316">
        <f>Dashboard_Live_Data!AD90</f>
        <v>-213.60000000000002</v>
      </c>
      <c r="H1316">
        <f>Dashboard_Live_Data!AE90</f>
        <v>630.01012631233505</v>
      </c>
    </row>
    <row r="1317" spans="1:8">
      <c r="A1317">
        <f>Dashboard_Live_Data!X91</f>
        <v>-15.480000000000004</v>
      </c>
      <c r="B1317">
        <f>Dashboard_Live_Data!Y91</f>
        <v>2670.8930621337031</v>
      </c>
      <c r="C1317">
        <f>Dashboard_Live_Data!Z91</f>
        <v>-103.19999999999999</v>
      </c>
      <c r="D1317">
        <f>Dashboard_Live_Data!AA91</f>
        <v>395.08927018210937</v>
      </c>
      <c r="E1317">
        <f>Dashboard_Live_Data!AB91</f>
        <v>-206.39999999999998</v>
      </c>
      <c r="F1317">
        <f>Dashboard_Live_Data!AC91</f>
        <v>661.68999948461476</v>
      </c>
      <c r="G1317">
        <f>Dashboard_Live_Data!AD91</f>
        <v>-206.39999999999998</v>
      </c>
      <c r="H1317">
        <f>Dashboard_Live_Data!AE91</f>
        <v>599.4178525315383</v>
      </c>
    </row>
    <row r="1318" spans="1:8">
      <c r="A1318">
        <f>Dashboard_Live_Data!X92</f>
        <v>-15</v>
      </c>
      <c r="B1318">
        <f>Dashboard_Live_Data!Y92</f>
        <v>2670.7843017787291</v>
      </c>
      <c r="C1318">
        <f>Dashboard_Live_Data!Z92</f>
        <v>-100</v>
      </c>
      <c r="D1318">
        <f>Dashboard_Live_Data!AA92</f>
        <v>385.36613803777971</v>
      </c>
      <c r="E1318">
        <f>Dashboard_Live_Data!AB92</f>
        <v>-200</v>
      </c>
      <c r="F1318">
        <f>Dashboard_Live_Data!AC92</f>
        <v>635.69825524385692</v>
      </c>
      <c r="G1318">
        <f>Dashboard_Live_Data!AD92</f>
        <v>-200</v>
      </c>
      <c r="H1318">
        <f>Dashboard_Live_Data!AE92</f>
        <v>573.15498739420343</v>
      </c>
    </row>
    <row r="1319" spans="1:8">
      <c r="A1319">
        <f>Dashboard_Live_Data!X93</f>
        <v>-14.519999999999996</v>
      </c>
      <c r="B1319">
        <f>Dashboard_Live_Data!Y93</f>
        <v>2670.7108751368901</v>
      </c>
      <c r="C1319">
        <f>Dashboard_Live_Data!Z93</f>
        <v>-96.800000000000011</v>
      </c>
      <c r="D1319">
        <f>Dashboard_Live_Data!AA93</f>
        <v>376.13515915351996</v>
      </c>
      <c r="E1319">
        <f>Dashboard_Live_Data!AB93</f>
        <v>-193.60000000000002</v>
      </c>
      <c r="F1319">
        <f>Dashboard_Live_Data!AC93</f>
        <v>609.84988496189897</v>
      </c>
      <c r="G1319">
        <f>Dashboard_Live_Data!AD93</f>
        <v>-193.60000000000002</v>
      </c>
      <c r="H1319">
        <f>Dashboard_Live_Data!AE93</f>
        <v>547.04403545650553</v>
      </c>
    </row>
    <row r="1320" spans="1:8">
      <c r="A1320">
        <f>Dashboard_Live_Data!X94</f>
        <v>-13.979999999999997</v>
      </c>
      <c r="B1320">
        <f>Dashboard_Live_Data!Y94</f>
        <v>2670.5085985921796</v>
      </c>
      <c r="C1320">
        <f>Dashboard_Live_Data!Z94</f>
        <v>-93.199999999999989</v>
      </c>
      <c r="D1320">
        <f>Dashboard_Live_Data!AA94</f>
        <v>365.6912781317871</v>
      </c>
      <c r="E1320">
        <f>Dashboard_Live_Data!AB94</f>
        <v>-186.39999999999998</v>
      </c>
      <c r="F1320">
        <f>Dashboard_Live_Data!AC94</f>
        <v>582.82512814340009</v>
      </c>
      <c r="G1320">
        <f>Dashboard_Live_Data!AD94</f>
        <v>-186.39999999999998</v>
      </c>
      <c r="H1320">
        <f>Dashboard_Live_Data!AE94</f>
        <v>519.73408133661223</v>
      </c>
    </row>
    <row r="1321" spans="1:8">
      <c r="A1321">
        <f>Dashboard_Live_Data!X95</f>
        <v>-13.5</v>
      </c>
      <c r="B1321">
        <f>Dashboard_Live_Data!Y95</f>
        <v>2670.2708582144087</v>
      </c>
      <c r="C1321">
        <f>Dashboard_Live_Data!Z95</f>
        <v>-90</v>
      </c>
      <c r="D1321">
        <f>Dashboard_Live_Data!AA95</f>
        <v>356.4473590251373</v>
      </c>
      <c r="E1321">
        <f>Dashboard_Live_Data!AB95</f>
        <v>-180</v>
      </c>
      <c r="F1321">
        <f>Dashboard_Live_Data!AC95</f>
        <v>559.21212141093656</v>
      </c>
      <c r="G1321">
        <f>Dashboard_Live_Data!AD95</f>
        <v>-180</v>
      </c>
      <c r="H1321">
        <f>Dashboard_Live_Data!AE95</f>
        <v>495.87663883518746</v>
      </c>
    </row>
    <row r="1322" spans="1:8">
      <c r="A1322">
        <f>Dashboard_Live_Data!X96</f>
        <v>-13.019999999999996</v>
      </c>
      <c r="B1322">
        <f>Dashboard_Live_Data!Y96</f>
        <v>2670.1536854385186</v>
      </c>
      <c r="C1322">
        <f>Dashboard_Live_Data!Z96</f>
        <v>-86.800000000000011</v>
      </c>
      <c r="D1322">
        <f>Dashboard_Live_Data!AA96</f>
        <v>347.79823047108033</v>
      </c>
      <c r="E1322">
        <f>Dashboard_Live_Data!AB96</f>
        <v>-173.60000000000002</v>
      </c>
      <c r="F1322">
        <f>Dashboard_Live_Data!AC96</f>
        <v>536.20036896901183</v>
      </c>
      <c r="G1322">
        <f>Dashboard_Live_Data!AD96</f>
        <v>-173.60000000000002</v>
      </c>
      <c r="H1322">
        <f>Dashboard_Live_Data!AE96</f>
        <v>472.62898986513858</v>
      </c>
    </row>
    <row r="1323" spans="1:8">
      <c r="A1323">
        <f>Dashboard_Live_Data!X97</f>
        <v>-12.479999999999997</v>
      </c>
      <c r="B1323">
        <f>Dashboard_Live_Data!Y97</f>
        <v>2670.1402141895642</v>
      </c>
      <c r="C1323">
        <f>Dashboard_Live_Data!Z97</f>
        <v>-83.199999999999989</v>
      </c>
      <c r="D1323">
        <f>Dashboard_Live_Data!AA97</f>
        <v>338.4523662185664</v>
      </c>
      <c r="E1323">
        <f>Dashboard_Live_Data!AB97</f>
        <v>-166.39999999999998</v>
      </c>
      <c r="F1323">
        <f>Dashboard_Live_Data!AC97</f>
        <v>512.3169245672517</v>
      </c>
      <c r="G1323">
        <f>Dashboard_Live_Data!AD97</f>
        <v>-166.39999999999998</v>
      </c>
      <c r="H1323">
        <f>Dashboard_Live_Data!AE97</f>
        <v>448.49036893055194</v>
      </c>
    </row>
    <row r="1324" spans="1:8">
      <c r="A1324">
        <f>Dashboard_Live_Data!X98</f>
        <v>-12</v>
      </c>
      <c r="B1324">
        <f>Dashboard_Live_Data!Y98</f>
        <v>2669.897439151252</v>
      </c>
      <c r="C1324">
        <f>Dashboard_Live_Data!Z98</f>
        <v>-80</v>
      </c>
      <c r="D1324">
        <f>Dashboard_Live_Data!AA98</f>
        <v>330.81553538368979</v>
      </c>
      <c r="E1324">
        <f>Dashboard_Live_Data!AB98</f>
        <v>-160</v>
      </c>
      <c r="F1324">
        <f>Dashboard_Live_Data!AC98</f>
        <v>490.86443759611723</v>
      </c>
      <c r="G1324">
        <f>Dashboard_Live_Data!AD98</f>
        <v>-160</v>
      </c>
      <c r="H1324">
        <f>Dashboard_Live_Data!AE98</f>
        <v>426.82013131807196</v>
      </c>
    </row>
    <row r="1325" spans="1:8">
      <c r="A1325">
        <f>Dashboard_Live_Data!X99</f>
        <v>-11.519999999999996</v>
      </c>
      <c r="B1325">
        <f>Dashboard_Live_Data!Y99</f>
        <v>2669.7518575562381</v>
      </c>
      <c r="C1325">
        <f>Dashboard_Live_Data!Z99</f>
        <v>-76.799999999999955</v>
      </c>
      <c r="D1325">
        <f>Dashboard_Live_Data!AA99</f>
        <v>323.37933770340271</v>
      </c>
      <c r="E1325">
        <f>Dashboard_Live_Data!AB99</f>
        <v>-153.59999999999991</v>
      </c>
      <c r="F1325">
        <f>Dashboard_Live_Data!AC99</f>
        <v>470.8262366207249</v>
      </c>
      <c r="G1325">
        <f>Dashboard_Live_Data!AD99</f>
        <v>-153.59999999999991</v>
      </c>
      <c r="H1325">
        <f>Dashboard_Live_Data!AE99</f>
        <v>406.57271894217143</v>
      </c>
    </row>
    <row r="1326" spans="1:8">
      <c r="A1326">
        <f>Dashboard_Live_Data!X100</f>
        <v>-10.980000000000004</v>
      </c>
      <c r="B1326">
        <f>Dashboard_Live_Data!Y100</f>
        <v>2669.6399802909527</v>
      </c>
      <c r="C1326">
        <f>Dashboard_Live_Data!Z100</f>
        <v>-73.200000000000045</v>
      </c>
      <c r="D1326">
        <f>Dashboard_Live_Data!AA100</f>
        <v>314.94112454596194</v>
      </c>
      <c r="E1326">
        <f>Dashboard_Live_Data!AB100</f>
        <v>-146.40000000000009</v>
      </c>
      <c r="F1326">
        <f>Dashboard_Live_Data!AC100</f>
        <v>449.38514116972078</v>
      </c>
      <c r="G1326">
        <f>Dashboard_Live_Data!AD100</f>
        <v>-146.40000000000009</v>
      </c>
      <c r="H1326">
        <f>Dashboard_Live_Data!AE100</f>
        <v>384.90646772690855</v>
      </c>
    </row>
    <row r="1327" spans="1:8">
      <c r="A1327">
        <f>Dashboard_Live_Data!X101</f>
        <v>-10.5</v>
      </c>
      <c r="B1327">
        <f>Dashboard_Live_Data!Y101</f>
        <v>2669.6775428195497</v>
      </c>
      <c r="C1327">
        <f>Dashboard_Live_Data!Z101</f>
        <v>-70</v>
      </c>
      <c r="D1327">
        <f>Dashboard_Live_Data!AA101</f>
        <v>307.48456938359294</v>
      </c>
      <c r="E1327">
        <f>Dashboard_Live_Data!AB101</f>
        <v>-140</v>
      </c>
      <c r="F1327">
        <f>Dashboard_Live_Data!AC101</f>
        <v>430.30959564342669</v>
      </c>
      <c r="G1327">
        <f>Dashboard_Live_Data!AD101</f>
        <v>-140</v>
      </c>
      <c r="H1327">
        <f>Dashboard_Live_Data!AE101</f>
        <v>365.63985668688503</v>
      </c>
    </row>
    <row r="1328" spans="1:8">
      <c r="A1328">
        <f>Dashboard_Live_Data!X102</f>
        <v>-10.020000000000003</v>
      </c>
      <c r="B1328">
        <f>Dashboard_Live_Data!Y102</f>
        <v>2669.5329806107666</v>
      </c>
      <c r="C1328">
        <f>Dashboard_Live_Data!Z102</f>
        <v>-66.800000000000011</v>
      </c>
      <c r="D1328">
        <f>Dashboard_Live_Data!AA102</f>
        <v>300.77094466978451</v>
      </c>
      <c r="E1328">
        <f>Dashboard_Live_Data!AB102</f>
        <v>-133.60000000000002</v>
      </c>
      <c r="F1328">
        <f>Dashboard_Live_Data!AC102</f>
        <v>413.13501587361156</v>
      </c>
      <c r="G1328">
        <f>Dashboard_Live_Data!AD102</f>
        <v>-133.60000000000002</v>
      </c>
      <c r="H1328">
        <f>Dashboard_Live_Data!AE102</f>
        <v>348.28275064417738</v>
      </c>
    </row>
    <row r="1329" spans="1:8">
      <c r="A1329">
        <f>Dashboard_Live_Data!X103</f>
        <v>-9.480000000000004</v>
      </c>
      <c r="B1329">
        <f>Dashboard_Live_Data!Y103</f>
        <v>2669.511245132921</v>
      </c>
      <c r="C1329">
        <f>Dashboard_Live_Data!Z103</f>
        <v>-63.199999999999989</v>
      </c>
      <c r="D1329">
        <f>Dashboard_Live_Data!AA103</f>
        <v>294.23661277989663</v>
      </c>
      <c r="E1329">
        <f>Dashboard_Live_Data!AB103</f>
        <v>-126.39999999999998</v>
      </c>
      <c r="F1329">
        <f>Dashboard_Live_Data!AC103</f>
        <v>394.10574765913475</v>
      </c>
      <c r="G1329">
        <f>Dashboard_Live_Data!AD103</f>
        <v>-126.39999999999998</v>
      </c>
      <c r="H1329">
        <f>Dashboard_Live_Data!AE103</f>
        <v>329.0583474340097</v>
      </c>
    </row>
    <row r="1330" spans="1:8">
      <c r="A1330">
        <f>Dashboard_Live_Data!X104</f>
        <v>-9</v>
      </c>
      <c r="B1330">
        <f>Dashboard_Live_Data!Y104</f>
        <v>2669.4295389835215</v>
      </c>
      <c r="C1330">
        <f>Dashboard_Live_Data!Z104</f>
        <v>-60</v>
      </c>
      <c r="D1330">
        <f>Dashboard_Live_Data!AA104</f>
        <v>288.26432799028123</v>
      </c>
      <c r="E1330">
        <f>Dashboard_Live_Data!AB104</f>
        <v>-120</v>
      </c>
      <c r="F1330">
        <f>Dashboard_Live_Data!AC104</f>
        <v>377.82373453094897</v>
      </c>
      <c r="G1330">
        <f>Dashboard_Live_Data!AD104</f>
        <v>-120</v>
      </c>
      <c r="H1330">
        <f>Dashboard_Live_Data!AE104</f>
        <v>312.61195391971023</v>
      </c>
    </row>
    <row r="1331" spans="1:8">
      <c r="A1331">
        <f>Dashboard_Live_Data!X105</f>
        <v>-8.5200000000000031</v>
      </c>
      <c r="B1331">
        <f>Dashboard_Live_Data!Y105</f>
        <v>2669.3804992497408</v>
      </c>
      <c r="C1331">
        <f>Dashboard_Live_Data!Z105</f>
        <v>-56.800000000000011</v>
      </c>
      <c r="D1331">
        <f>Dashboard_Live_Data!AA105</f>
        <v>282.22696445345809</v>
      </c>
      <c r="E1331">
        <f>Dashboard_Live_Data!AB105</f>
        <v>-113.60000000000002</v>
      </c>
      <c r="F1331">
        <f>Dashboard_Live_Data!AC105</f>
        <v>363.28651770825104</v>
      </c>
      <c r="G1331">
        <f>Dashboard_Live_Data!AD105</f>
        <v>-113.60000000000002</v>
      </c>
      <c r="H1331">
        <f>Dashboard_Live_Data!AE105</f>
        <v>297.91889595173575</v>
      </c>
    </row>
    <row r="1332" spans="1:8">
      <c r="A1332">
        <f>Dashboard_Live_Data!X106</f>
        <v>-7.980000000000004</v>
      </c>
      <c r="B1332">
        <f>Dashboard_Live_Data!Y106</f>
        <v>2669.2987438838682</v>
      </c>
      <c r="C1332">
        <f>Dashboard_Live_Data!Z106</f>
        <v>-53.199999999999989</v>
      </c>
      <c r="D1332">
        <f>Dashboard_Live_Data!AA106</f>
        <v>276.28378915801528</v>
      </c>
      <c r="E1332">
        <f>Dashboard_Live_Data!AB106</f>
        <v>-106.39999999999998</v>
      </c>
      <c r="F1332">
        <f>Dashboard_Live_Data!AC106</f>
        <v>347.02160342794394</v>
      </c>
      <c r="G1332">
        <f>Dashboard_Live_Data!AD106</f>
        <v>-106.39999999999998</v>
      </c>
      <c r="H1332">
        <f>Dashboard_Live_Data!AE106</f>
        <v>281.48886744430553</v>
      </c>
    </row>
    <row r="1333" spans="1:8">
      <c r="A1333">
        <f>Dashboard_Live_Data!X107</f>
        <v>-7.5</v>
      </c>
      <c r="B1333">
        <f>Dashboard_Live_Data!Y107</f>
        <v>2669.218074935372</v>
      </c>
      <c r="C1333">
        <f>Dashboard_Live_Data!Z107</f>
        <v>-50</v>
      </c>
      <c r="D1333">
        <f>Dashboard_Live_Data!AA107</f>
        <v>271.34832444874655</v>
      </c>
      <c r="E1333">
        <f>Dashboard_Live_Data!AB107</f>
        <v>-100</v>
      </c>
      <c r="F1333">
        <f>Dashboard_Live_Data!AC107</f>
        <v>333.76794206181557</v>
      </c>
      <c r="G1333">
        <f>Dashboard_Live_Data!AD107</f>
        <v>-100</v>
      </c>
      <c r="H1333">
        <f>Dashboard_Live_Data!AE107</f>
        <v>268.09751081967937</v>
      </c>
    </row>
    <row r="1334" spans="1:8">
      <c r="A1334">
        <f>Dashboard_Live_Data!X108</f>
        <v>-7.019999999999996</v>
      </c>
      <c r="B1334">
        <f>Dashboard_Live_Data!Y108</f>
        <v>2669.21282651006</v>
      </c>
      <c r="C1334">
        <f>Dashboard_Live_Data!Z108</f>
        <v>-46.800000000000011</v>
      </c>
      <c r="D1334">
        <f>Dashboard_Live_Data!AA108</f>
        <v>266.44749315542441</v>
      </c>
      <c r="E1334">
        <f>Dashboard_Live_Data!AB108</f>
        <v>-93.600000000000023</v>
      </c>
      <c r="F1334">
        <f>Dashboard_Live_Data!AC108</f>
        <v>321.74541917953098</v>
      </c>
      <c r="G1334">
        <f>Dashboard_Live_Data!AD108</f>
        <v>-93.600000000000023</v>
      </c>
      <c r="H1334">
        <f>Dashboard_Live_Data!AE108</f>
        <v>255.9458319197341</v>
      </c>
    </row>
    <row r="1335" spans="1:8">
      <c r="A1335">
        <f>Dashboard_Live_Data!X109</f>
        <v>-6.4799999999999969</v>
      </c>
      <c r="B1335">
        <f>Dashboard_Live_Data!Y109</f>
        <v>2669.1536621213982</v>
      </c>
      <c r="C1335">
        <f>Dashboard_Live_Data!Z109</f>
        <v>-43.199999999999989</v>
      </c>
      <c r="D1335">
        <f>Dashboard_Live_Data!AA109</f>
        <v>261.83320614424036</v>
      </c>
      <c r="E1335">
        <f>Dashboard_Live_Data!AB109</f>
        <v>-86.399999999999977</v>
      </c>
      <c r="F1335">
        <f>Dashboard_Live_Data!AC109</f>
        <v>308.09338637329017</v>
      </c>
      <c r="G1335">
        <f>Dashboard_Live_Data!AD109</f>
        <v>-86.399999999999977</v>
      </c>
      <c r="H1335">
        <f>Dashboard_Live_Data!AE109</f>
        <v>242.15870565493802</v>
      </c>
    </row>
    <row r="1336" spans="1:8">
      <c r="A1336">
        <f>Dashboard_Live_Data!X110</f>
        <v>-6</v>
      </c>
      <c r="B1336">
        <f>Dashboard_Live_Data!Y110</f>
        <v>2669.1872191485263</v>
      </c>
      <c r="C1336">
        <f>Dashboard_Live_Data!Z110</f>
        <v>-40</v>
      </c>
      <c r="D1336">
        <f>Dashboard_Live_Data!AA110</f>
        <v>258.05340113702442</v>
      </c>
      <c r="E1336">
        <f>Dashboard_Live_Data!AB110</f>
        <v>-80</v>
      </c>
      <c r="F1336">
        <f>Dashboard_Live_Data!AC110</f>
        <v>297.79268995907279</v>
      </c>
      <c r="G1336">
        <f>Dashboard_Live_Data!AD110</f>
        <v>-80</v>
      </c>
      <c r="H1336">
        <f>Dashboard_Live_Data!AE110</f>
        <v>231.74699910983864</v>
      </c>
    </row>
    <row r="1337" spans="1:8">
      <c r="A1337">
        <f>Dashboard_Live_Data!X111</f>
        <v>-5.519999999999996</v>
      </c>
      <c r="B1337">
        <f>Dashboard_Live_Data!Y111</f>
        <v>2669.1819695313975</v>
      </c>
      <c r="C1337">
        <f>Dashboard_Live_Data!Z111</f>
        <v>-36.800000000000011</v>
      </c>
      <c r="D1337">
        <f>Dashboard_Live_Data!AA111</f>
        <v>254.26353690986213</v>
      </c>
      <c r="E1337">
        <f>Dashboard_Live_Data!AB111</f>
        <v>-73.600000000000023</v>
      </c>
      <c r="F1337">
        <f>Dashboard_Live_Data!AC111</f>
        <v>287.99444888229908</v>
      </c>
      <c r="G1337">
        <f>Dashboard_Live_Data!AD111</f>
        <v>-73.600000000000023</v>
      </c>
      <c r="H1337">
        <f>Dashboard_Live_Data!AE111</f>
        <v>221.84628714302016</v>
      </c>
    </row>
    <row r="1338" spans="1:8">
      <c r="A1338">
        <f>Dashboard_Live_Data!X112</f>
        <v>-4.9799999999999969</v>
      </c>
      <c r="B1338">
        <f>Dashboard_Live_Data!Y112</f>
        <v>2669.1403160796563</v>
      </c>
      <c r="C1338">
        <f>Dashboard_Live_Data!Z112</f>
        <v>-33.199999999999989</v>
      </c>
      <c r="D1338">
        <f>Dashboard_Live_Data!AA112</f>
        <v>250.22595087297077</v>
      </c>
      <c r="E1338">
        <f>Dashboard_Live_Data!AB112</f>
        <v>-66.399999999999977</v>
      </c>
      <c r="F1338">
        <f>Dashboard_Live_Data!AC112</f>
        <v>277.34427520472127</v>
      </c>
      <c r="G1338">
        <f>Dashboard_Live_Data!AD112</f>
        <v>-66.399999999999977</v>
      </c>
      <c r="H1338">
        <f>Dashboard_Live_Data!AE112</f>
        <v>211.09104077545487</v>
      </c>
    </row>
    <row r="1339" spans="1:8">
      <c r="A1339">
        <f>Dashboard_Live_Data!X113</f>
        <v>-4.5</v>
      </c>
      <c r="B1339">
        <f>Dashboard_Live_Data!Y113</f>
        <v>2669.150465091966</v>
      </c>
      <c r="C1339">
        <f>Dashboard_Live_Data!Z113</f>
        <v>-30</v>
      </c>
      <c r="D1339">
        <f>Dashboard_Live_Data!AA113</f>
        <v>247.30870990646252</v>
      </c>
      <c r="E1339">
        <f>Dashboard_Live_Data!AB113</f>
        <v>-60</v>
      </c>
      <c r="F1339">
        <f>Dashboard_Live_Data!AC113</f>
        <v>269.68897743893416</v>
      </c>
      <c r="G1339">
        <f>Dashboard_Live_Data!AD113</f>
        <v>-60</v>
      </c>
      <c r="H1339">
        <f>Dashboard_Live_Data!AE113</f>
        <v>203.35141800640167</v>
      </c>
    </row>
    <row r="1340" spans="1:8">
      <c r="A1340">
        <f>Dashboard_Live_Data!X114</f>
        <v>-4.019999999999996</v>
      </c>
      <c r="B1340">
        <f>Dashboard_Live_Data!Y114</f>
        <v>2669.1164451494619</v>
      </c>
      <c r="C1340">
        <f>Dashboard_Live_Data!Z114</f>
        <v>-26.799999999999955</v>
      </c>
      <c r="D1340">
        <f>Dashboard_Live_Data!AA114</f>
        <v>244.89455924676798</v>
      </c>
      <c r="E1340">
        <f>Dashboard_Live_Data!AB114</f>
        <v>-53.599999999999909</v>
      </c>
      <c r="F1340">
        <f>Dashboard_Live_Data!AC114</f>
        <v>262.1373262830445</v>
      </c>
      <c r="G1340">
        <f>Dashboard_Live_Data!AD114</f>
        <v>-53.599999999999909</v>
      </c>
      <c r="H1340">
        <f>Dashboard_Live_Data!AE114</f>
        <v>195.72398108808298</v>
      </c>
    </row>
    <row r="1341" spans="1:8">
      <c r="A1341">
        <f>Dashboard_Live_Data!X115</f>
        <v>-3.480000000000004</v>
      </c>
      <c r="B1341">
        <f>Dashboard_Live_Data!Y115</f>
        <v>2669.0711271464738</v>
      </c>
      <c r="C1341">
        <f>Dashboard_Live_Data!Z115</f>
        <v>-23.200000000000045</v>
      </c>
      <c r="D1341">
        <f>Dashboard_Live_Data!AA115</f>
        <v>242.50974664246002</v>
      </c>
      <c r="E1341">
        <f>Dashboard_Live_Data!AB115</f>
        <v>-46.400000000000091</v>
      </c>
      <c r="F1341">
        <f>Dashboard_Live_Data!AC115</f>
        <v>254.90519878903751</v>
      </c>
      <c r="G1341">
        <f>Dashboard_Live_Data!AD115</f>
        <v>-46.400000000000091</v>
      </c>
      <c r="H1341">
        <f>Dashboard_Live_Data!AE115</f>
        <v>188.41680167265642</v>
      </c>
    </row>
    <row r="1342" spans="1:8">
      <c r="A1342">
        <f>Dashboard_Live_Data!X116</f>
        <v>-3</v>
      </c>
      <c r="B1342">
        <f>Dashboard_Live_Data!Y116</f>
        <v>2669.0309999552733</v>
      </c>
      <c r="C1342">
        <f>Dashboard_Live_Data!Z116</f>
        <v>-20</v>
      </c>
      <c r="D1342">
        <f>Dashboard_Live_Data!AA116</f>
        <v>240.55860819468157</v>
      </c>
      <c r="E1342">
        <f>Dashboard_Live_Data!AB116</f>
        <v>-40</v>
      </c>
      <c r="F1342">
        <f>Dashboard_Live_Data!AC116</f>
        <v>249.79768978087017</v>
      </c>
      <c r="G1342">
        <f>Dashboard_Live_Data!AD116</f>
        <v>-40</v>
      </c>
      <c r="H1342">
        <f>Dashboard_Live_Data!AE116</f>
        <v>183.25165278883884</v>
      </c>
    </row>
    <row r="1343" spans="1:8">
      <c r="A1343">
        <f>Dashboard_Live_Data!X117</f>
        <v>-2.5200000000000031</v>
      </c>
      <c r="B1343">
        <f>Dashboard_Live_Data!Y117</f>
        <v>2668.8889151109515</v>
      </c>
      <c r="C1343">
        <f>Dashboard_Live_Data!Z117</f>
        <v>-16.800000000000011</v>
      </c>
      <c r="D1343">
        <f>Dashboard_Live_Data!AA117</f>
        <v>238.60170190557463</v>
      </c>
      <c r="E1343">
        <f>Dashboard_Live_Data!AB117</f>
        <v>-33.600000000000023</v>
      </c>
      <c r="F1343">
        <f>Dashboard_Live_Data!AC117</f>
        <v>244.83703512320048</v>
      </c>
      <c r="G1343">
        <f>Dashboard_Live_Data!AD117</f>
        <v>-33.600000000000023</v>
      </c>
      <c r="H1343">
        <f>Dashboard_Live_Data!AE117</f>
        <v>178.24189749635596</v>
      </c>
    </row>
    <row r="1344" spans="1:8">
      <c r="A1344">
        <f>Dashboard_Live_Data!X118</f>
        <v>-1.980000000000004</v>
      </c>
      <c r="B1344">
        <f>Dashboard_Live_Data!Y118</f>
        <v>2668.8599671350553</v>
      </c>
      <c r="C1344">
        <f>Dashboard_Live_Data!Z118</f>
        <v>-13.199999999999989</v>
      </c>
      <c r="D1344">
        <f>Dashboard_Live_Data!AA118</f>
        <v>236.54055700599343</v>
      </c>
      <c r="E1344">
        <f>Dashboard_Live_Data!AB118</f>
        <v>-26.399999999999977</v>
      </c>
      <c r="F1344">
        <f>Dashboard_Live_Data!AC118</f>
        <v>241.1070862491305</v>
      </c>
      <c r="G1344">
        <f>Dashboard_Live_Data!AD118</f>
        <v>-26.399999999999977</v>
      </c>
      <c r="H1344">
        <f>Dashboard_Live_Data!AE118</f>
        <v>174.46691746943421</v>
      </c>
    </row>
    <row r="1345" spans="1:8">
      <c r="A1345">
        <f>Dashboard_Live_Data!X119</f>
        <v>-1.5</v>
      </c>
      <c r="B1345">
        <f>Dashboard_Live_Data!Y119</f>
        <v>2668.7572944221138</v>
      </c>
      <c r="C1345">
        <f>Dashboard_Live_Data!Z119</f>
        <v>-10</v>
      </c>
      <c r="D1345">
        <f>Dashboard_Live_Data!AA119</f>
        <v>235.34646846600202</v>
      </c>
      <c r="E1345">
        <f>Dashboard_Live_Data!AB119</f>
        <v>-20</v>
      </c>
      <c r="F1345">
        <f>Dashboard_Live_Data!AC119</f>
        <v>238.49468035564297</v>
      </c>
      <c r="G1345">
        <f>Dashboard_Live_Data!AD119</f>
        <v>-20</v>
      </c>
      <c r="H1345">
        <f>Dashboard_Live_Data!AE119</f>
        <v>171.82355682791237</v>
      </c>
    </row>
    <row r="1346" spans="1:8">
      <c r="A1346">
        <f>Dashboard_Live_Data!X120</f>
        <v>-1.0200000000000031</v>
      </c>
      <c r="B1346">
        <f>Dashboard_Live_Data!Y120</f>
        <v>2668.6246227078218</v>
      </c>
      <c r="C1346">
        <f>Dashboard_Live_Data!Z120</f>
        <v>-6.8000000000000114</v>
      </c>
      <c r="D1346">
        <f>Dashboard_Live_Data!AA120</f>
        <v>234.64317423280781</v>
      </c>
      <c r="E1346">
        <f>Dashboard_Live_Data!AB120</f>
        <v>-13.600000000000023</v>
      </c>
      <c r="F1346">
        <f>Dashboard_Live_Data!AC120</f>
        <v>235.9173120128643</v>
      </c>
      <c r="G1346">
        <f>Dashboard_Live_Data!AD120</f>
        <v>-13.600000000000023</v>
      </c>
      <c r="H1346">
        <f>Dashboard_Live_Data!AE120</f>
        <v>169.22377297793633</v>
      </c>
    </row>
    <row r="1347" spans="1:8">
      <c r="A1347">
        <f>Dashboard_Live_Data!X121</f>
        <v>-0.48000000000000398</v>
      </c>
      <c r="B1347">
        <f>Dashboard_Live_Data!Y121</f>
        <v>2668.6746994182126</v>
      </c>
      <c r="C1347">
        <f>Dashboard_Live_Data!Z121</f>
        <v>-3.1999999999999886</v>
      </c>
      <c r="D1347">
        <f>Dashboard_Live_Data!AA121</f>
        <v>234.10344532166638</v>
      </c>
      <c r="E1347">
        <f>Dashboard_Live_Data!AB121</f>
        <v>-6.3999999999999773</v>
      </c>
      <c r="F1347">
        <f>Dashboard_Live_Data!AC121</f>
        <v>234.34957585937047</v>
      </c>
      <c r="G1347">
        <f>Dashboard_Live_Data!AD121</f>
        <v>-6.3999999999999773</v>
      </c>
      <c r="H1347">
        <f>Dashboard_Live_Data!AE121</f>
        <v>167.64102644015861</v>
      </c>
    </row>
    <row r="1348" spans="1:8">
      <c r="A1348">
        <f>Dashboard_Live_Data!X122</f>
        <v>0</v>
      </c>
      <c r="B1348">
        <f>Dashboard_Live_Data!Y122</f>
        <v>2668.5457719379128</v>
      </c>
      <c r="C1348">
        <f>Dashboard_Live_Data!Z122</f>
        <v>0</v>
      </c>
      <c r="D1348">
        <f>Dashboard_Live_Data!AA122</f>
        <v>233.52787699140268</v>
      </c>
      <c r="E1348">
        <f>Dashboard_Live_Data!AB122</f>
        <v>0</v>
      </c>
      <c r="F1348">
        <f>Dashboard_Live_Data!AC122</f>
        <v>233.52787699140268</v>
      </c>
      <c r="G1348">
        <f>Dashboard_Live_Data!AD122</f>
        <v>0</v>
      </c>
      <c r="H1348">
        <f>Dashboard_Live_Data!AE122</f>
        <v>166.81505795177227</v>
      </c>
    </row>
    <row r="1349" spans="1:8">
      <c r="A1349">
        <f>Dashboard_Live_Data!X123</f>
        <v>0.48000000000000398</v>
      </c>
      <c r="B1349">
        <f>Dashboard_Live_Data!Y123</f>
        <v>2668.4228325014228</v>
      </c>
      <c r="C1349">
        <f>Dashboard_Live_Data!Z123</f>
        <v>3.1999999999999886</v>
      </c>
      <c r="D1349">
        <f>Dashboard_Live_Data!AA123</f>
        <v>233.03942030536456</v>
      </c>
      <c r="E1349">
        <f>Dashboard_Live_Data!AB123</f>
        <v>6.3999999999999773</v>
      </c>
      <c r="F1349">
        <f>Dashboard_Live_Data!AC123</f>
        <v>233.45037452297623</v>
      </c>
      <c r="G1349">
        <f>Dashboard_Live_Data!AD123</f>
        <v>6.3999999999999773</v>
      </c>
      <c r="H1349">
        <f>Dashboard_Live_Data!AE123</f>
        <v>166.74182510376431</v>
      </c>
    </row>
    <row r="1350" spans="1:8">
      <c r="A1350">
        <f>Dashboard_Live_Data!X124</f>
        <v>1.019999999999996</v>
      </c>
      <c r="B1350">
        <f>Dashboard_Live_Data!Y124</f>
        <v>2668.2784457720195</v>
      </c>
      <c r="C1350">
        <f>Dashboard_Live_Data!Z124</f>
        <v>6.7999999999999545</v>
      </c>
      <c r="D1350">
        <f>Dashboard_Live_Data!AA124</f>
        <v>233.69251190455986</v>
      </c>
      <c r="E1350">
        <f>Dashboard_Live_Data!AB124</f>
        <v>13.599999999999909</v>
      </c>
      <c r="F1350">
        <f>Dashboard_Live_Data!AC124</f>
        <v>235.19841567119786</v>
      </c>
      <c r="G1350">
        <f>Dashboard_Live_Data!AD124</f>
        <v>13.599999999999909</v>
      </c>
      <c r="H1350">
        <f>Dashboard_Live_Data!AE124</f>
        <v>168.50487663626993</v>
      </c>
    </row>
    <row r="1351" spans="1:8">
      <c r="A1351">
        <f>Dashboard_Live_Data!X125</f>
        <v>1.4999999999999929</v>
      </c>
      <c r="B1351">
        <f>Dashboard_Live_Data!Y125</f>
        <v>2668.2171240293146</v>
      </c>
      <c r="C1351">
        <f>Dashboard_Live_Data!Z125</f>
        <v>9.9999999999999432</v>
      </c>
      <c r="D1351">
        <f>Dashboard_Live_Data!AA125</f>
        <v>235.07392198175725</v>
      </c>
      <c r="E1351">
        <f>Dashboard_Live_Data!AB125</f>
        <v>19.999999999999886</v>
      </c>
      <c r="F1351">
        <f>Dashboard_Live_Data!AC125</f>
        <v>237.0225960137918</v>
      </c>
      <c r="G1351">
        <f>Dashboard_Live_Data!AD125</f>
        <v>19.999999999999886</v>
      </c>
      <c r="H1351">
        <f>Dashboard_Live_Data!AE125</f>
        <v>170.3514724860612</v>
      </c>
    </row>
    <row r="1352" spans="1:8">
      <c r="A1352">
        <f>Dashboard_Live_Data!X126</f>
        <v>1.9799999999999969</v>
      </c>
      <c r="B1352">
        <f>Dashboard_Live_Data!Y126</f>
        <v>2668.1155856737228</v>
      </c>
      <c r="C1352">
        <f>Dashboard_Live_Data!Z126</f>
        <v>13.199999999999989</v>
      </c>
      <c r="D1352">
        <f>Dashboard_Live_Data!AA126</f>
        <v>236.07895498772078</v>
      </c>
      <c r="E1352">
        <f>Dashboard_Live_Data!AB126</f>
        <v>26.399999999999977</v>
      </c>
      <c r="F1352">
        <f>Dashboard_Live_Data!AC126</f>
        <v>240.09565006494091</v>
      </c>
      <c r="G1352">
        <f>Dashboard_Live_Data!AD126</f>
        <v>26.399999999999977</v>
      </c>
      <c r="H1352">
        <f>Dashboard_Live_Data!AE126</f>
        <v>173.45548128524464</v>
      </c>
    </row>
    <row r="1353" spans="1:8">
      <c r="A1353">
        <f>Dashboard_Live_Data!X127</f>
        <v>2.5200000000000031</v>
      </c>
      <c r="B1353">
        <f>Dashboard_Live_Data!Y127</f>
        <v>2668.10404084736</v>
      </c>
      <c r="C1353">
        <f>Dashboard_Live_Data!Z127</f>
        <v>16.800000000000011</v>
      </c>
      <c r="D1353">
        <f>Dashboard_Live_Data!AA127</f>
        <v>237.32784196765127</v>
      </c>
      <c r="E1353">
        <f>Dashboard_Live_Data!AB127</f>
        <v>33.600000000000023</v>
      </c>
      <c r="F1353">
        <f>Dashboard_Live_Data!AC127</f>
        <v>244.71146714319224</v>
      </c>
      <c r="G1353">
        <f>Dashboard_Live_Data!AD127</f>
        <v>33.600000000000023</v>
      </c>
      <c r="H1353">
        <f>Dashboard_Live_Data!AE127</f>
        <v>178.11632951634772</v>
      </c>
    </row>
    <row r="1354" spans="1:8">
      <c r="A1354">
        <f>Dashboard_Live_Data!X128</f>
        <v>3</v>
      </c>
      <c r="B1354">
        <f>Dashboard_Live_Data!Y128</f>
        <v>2668.031622957878</v>
      </c>
      <c r="C1354">
        <f>Dashboard_Live_Data!Z128</f>
        <v>20</v>
      </c>
      <c r="D1354">
        <f>Dashboard_Live_Data!AA128</f>
        <v>239.08652386018932</v>
      </c>
      <c r="E1354">
        <f>Dashboard_Live_Data!AB128</f>
        <v>40</v>
      </c>
      <c r="F1354">
        <f>Dashboard_Live_Data!AC128</f>
        <v>249.14725446361194</v>
      </c>
      <c r="G1354">
        <f>Dashboard_Live_Data!AD128</f>
        <v>40</v>
      </c>
      <c r="H1354">
        <f>Dashboard_Live_Data!AE128</f>
        <v>182.60121747158061</v>
      </c>
    </row>
    <row r="1355" spans="1:8">
      <c r="A1355">
        <f>Dashboard_Live_Data!X129</f>
        <v>3.480000000000004</v>
      </c>
      <c r="B1355">
        <f>Dashboard_Live_Data!Y129</f>
        <v>2667.9465338834552</v>
      </c>
      <c r="C1355">
        <f>Dashboard_Live_Data!Z129</f>
        <v>23.200000000000045</v>
      </c>
      <c r="D1355">
        <f>Dashboard_Live_Data!AA129</f>
        <v>241.24252251869183</v>
      </c>
      <c r="E1355">
        <f>Dashboard_Live_Data!AB129</f>
        <v>46.400000000000091</v>
      </c>
      <c r="F1355">
        <f>Dashboard_Live_Data!AC129</f>
        <v>255.21873989523931</v>
      </c>
      <c r="G1355">
        <f>Dashboard_Live_Data!AD129</f>
        <v>46.400000000000091</v>
      </c>
      <c r="H1355">
        <f>Dashboard_Live_Data!AE129</f>
        <v>188.73034277885816</v>
      </c>
    </row>
    <row r="1356" spans="1:8">
      <c r="A1356">
        <f>Dashboard_Live_Data!X130</f>
        <v>4.019999999999996</v>
      </c>
      <c r="B1356">
        <f>Dashboard_Live_Data!Y130</f>
        <v>2668.0413136983166</v>
      </c>
      <c r="C1356">
        <f>Dashboard_Live_Data!Z130</f>
        <v>26.799999999999955</v>
      </c>
      <c r="D1356">
        <f>Dashboard_Live_Data!AA130</f>
        <v>243.91411166454145</v>
      </c>
      <c r="E1356">
        <f>Dashboard_Live_Data!AB130</f>
        <v>53.599999999999909</v>
      </c>
      <c r="F1356">
        <f>Dashboard_Live_Data!AC130</f>
        <v>262.37433251239833</v>
      </c>
      <c r="G1356">
        <f>Dashboard_Live_Data!AD130</f>
        <v>53.599999999999909</v>
      </c>
      <c r="H1356">
        <f>Dashboard_Live_Data!AE130</f>
        <v>195.9609873174368</v>
      </c>
    </row>
    <row r="1357" spans="1:8">
      <c r="A1357">
        <f>Dashboard_Live_Data!X131</f>
        <v>4.5</v>
      </c>
      <c r="B1357">
        <f>Dashboard_Live_Data!Y131</f>
        <v>2668.1123513393559</v>
      </c>
      <c r="C1357">
        <f>Dashboard_Live_Data!Z131</f>
        <v>30</v>
      </c>
      <c r="D1357">
        <f>Dashboard_Live_Data!AA131</f>
        <v>247.11259334940169</v>
      </c>
      <c r="E1357">
        <f>Dashboard_Live_Data!AB131</f>
        <v>60</v>
      </c>
      <c r="F1357">
        <f>Dashboard_Live_Data!AC131</f>
        <v>269.49464398527886</v>
      </c>
      <c r="G1357">
        <f>Dashboard_Live_Data!AD131</f>
        <v>60</v>
      </c>
      <c r="H1357">
        <f>Dashboard_Live_Data!AE131</f>
        <v>203.15708455274637</v>
      </c>
    </row>
    <row r="1358" spans="1:8">
      <c r="A1358">
        <f>Dashboard_Live_Data!X132</f>
        <v>4.980000000000004</v>
      </c>
      <c r="B1358">
        <f>Dashboard_Live_Data!Y132</f>
        <v>2668.0240443711618</v>
      </c>
      <c r="C1358">
        <f>Dashboard_Live_Data!Z132</f>
        <v>33.199999999999989</v>
      </c>
      <c r="D1358">
        <f>Dashboard_Live_Data!AA132</f>
        <v>250.26819786260651</v>
      </c>
      <c r="E1358">
        <f>Dashboard_Live_Data!AB132</f>
        <v>66.399999999999977</v>
      </c>
      <c r="F1358">
        <f>Dashboard_Live_Data!AC132</f>
        <v>278.00342597194327</v>
      </c>
      <c r="G1358">
        <f>Dashboard_Live_Data!AD132</f>
        <v>66.399999999999977</v>
      </c>
      <c r="H1358">
        <f>Dashboard_Live_Data!AE132</f>
        <v>211.7501915426769</v>
      </c>
    </row>
    <row r="1359" spans="1:8">
      <c r="A1359">
        <f>Dashboard_Live_Data!X133</f>
        <v>5.5200000000000102</v>
      </c>
      <c r="B1359">
        <f>Dashboard_Live_Data!Y133</f>
        <v>2668.1188396643256</v>
      </c>
      <c r="C1359">
        <f>Dashboard_Live_Data!Z133</f>
        <v>36.800000000000011</v>
      </c>
      <c r="D1359">
        <f>Dashboard_Live_Data!AA133</f>
        <v>253.68974248855739</v>
      </c>
      <c r="E1359">
        <f>Dashboard_Live_Data!AB133</f>
        <v>73.600000000000023</v>
      </c>
      <c r="F1359">
        <f>Dashboard_Live_Data!AC133</f>
        <v>287.86798453674362</v>
      </c>
      <c r="G1359">
        <f>Dashboard_Live_Data!AD133</f>
        <v>73.600000000000023</v>
      </c>
      <c r="H1359">
        <f>Dashboard_Live_Data!AE133</f>
        <v>221.71982279746464</v>
      </c>
    </row>
    <row r="1360" spans="1:8">
      <c r="A1360">
        <f>Dashboard_Live_Data!X134</f>
        <v>6</v>
      </c>
      <c r="B1360">
        <f>Dashboard_Live_Data!Y134</f>
        <v>2668.3103378572691</v>
      </c>
      <c r="C1360">
        <f>Dashboard_Live_Data!Z134</f>
        <v>40.000000000000057</v>
      </c>
      <c r="D1360">
        <f>Dashboard_Live_Data!AA134</f>
        <v>257.40296582102707</v>
      </c>
      <c r="E1360">
        <f>Dashboard_Live_Data!AB134</f>
        <v>80.000000000000114</v>
      </c>
      <c r="F1360">
        <f>Dashboard_Live_Data!AC134</f>
        <v>297.55144670801428</v>
      </c>
      <c r="G1360">
        <f>Dashboard_Live_Data!AD134</f>
        <v>80.000000000000114</v>
      </c>
      <c r="H1360">
        <f>Dashboard_Live_Data!AE134</f>
        <v>231.50575585878019</v>
      </c>
    </row>
    <row r="1361" spans="1:8">
      <c r="A1361">
        <f>Dashboard_Live_Data!X135</f>
        <v>6.480000000000004</v>
      </c>
      <c r="B1361">
        <f>Dashboard_Live_Data!Y135</f>
        <v>2668.3499734017573</v>
      </c>
      <c r="C1361">
        <f>Dashboard_Live_Data!Z135</f>
        <v>43.200000000000045</v>
      </c>
      <c r="D1361">
        <f>Dashboard_Live_Data!AA135</f>
        <v>261.65670987990978</v>
      </c>
      <c r="E1361">
        <f>Dashboard_Live_Data!AB135</f>
        <v>86.400000000000091</v>
      </c>
      <c r="F1361">
        <f>Dashboard_Live_Data!AC135</f>
        <v>308.68111860671877</v>
      </c>
      <c r="G1361">
        <f>Dashboard_Live_Data!AD135</f>
        <v>86.400000000000091</v>
      </c>
      <c r="H1361">
        <f>Dashboard_Live_Data!AE135</f>
        <v>242.74643788836661</v>
      </c>
    </row>
    <row r="1362" spans="1:8">
      <c r="A1362">
        <f>Dashboard_Live_Data!X136</f>
        <v>7.019999999999996</v>
      </c>
      <c r="B1362">
        <f>Dashboard_Live_Data!Y136</f>
        <v>2668.4165060223545</v>
      </c>
      <c r="C1362">
        <f>Dashboard_Live_Data!Z136</f>
        <v>46.800000000000011</v>
      </c>
      <c r="D1362">
        <f>Dashboard_Live_Data!AA136</f>
        <v>266.87097786523987</v>
      </c>
      <c r="E1362">
        <f>Dashboard_Live_Data!AB136</f>
        <v>93.600000000000023</v>
      </c>
      <c r="F1362">
        <f>Dashboard_Live_Data!AC136</f>
        <v>321.24889389520433</v>
      </c>
      <c r="G1362">
        <f>Dashboard_Live_Data!AD136</f>
        <v>93.600000000000023</v>
      </c>
      <c r="H1362">
        <f>Dashboard_Live_Data!AE136</f>
        <v>255.44930663540742</v>
      </c>
    </row>
    <row r="1363" spans="1:8">
      <c r="A1363">
        <f>Dashboard_Live_Data!X137</f>
        <v>7.5</v>
      </c>
      <c r="B1363">
        <f>Dashboard_Live_Data!Y137</f>
        <v>2668.554777068895</v>
      </c>
      <c r="C1363">
        <f>Dashboard_Live_Data!Z137</f>
        <v>50</v>
      </c>
      <c r="D1363">
        <f>Dashboard_Live_Data!AA137</f>
        <v>271.48749960629391</v>
      </c>
      <c r="E1363">
        <f>Dashboard_Live_Data!AB137</f>
        <v>100</v>
      </c>
      <c r="F1363">
        <f>Dashboard_Live_Data!AC137</f>
        <v>333.96907863243558</v>
      </c>
      <c r="G1363">
        <f>Dashboard_Live_Data!AD137</f>
        <v>100</v>
      </c>
      <c r="H1363">
        <f>Dashboard_Live_Data!AE137</f>
        <v>268.29864739029938</v>
      </c>
    </row>
    <row r="1364" spans="1:8">
      <c r="A1364">
        <f>Dashboard_Live_Data!X138</f>
        <v>7.980000000000004</v>
      </c>
      <c r="B1364">
        <f>Dashboard_Live_Data!Y138</f>
        <v>2668.6191606348211</v>
      </c>
      <c r="C1364">
        <f>Dashboard_Live_Data!Z138</f>
        <v>53.199999999999989</v>
      </c>
      <c r="D1364">
        <f>Dashboard_Live_Data!AA138</f>
        <v>276.56459491862398</v>
      </c>
      <c r="E1364">
        <f>Dashboard_Live_Data!AB138</f>
        <v>106.39999999999998</v>
      </c>
      <c r="F1364">
        <f>Dashboard_Live_Data!AC138</f>
        <v>347.47422266834974</v>
      </c>
      <c r="G1364">
        <f>Dashboard_Live_Data!AD138</f>
        <v>106.39999999999998</v>
      </c>
      <c r="H1364">
        <f>Dashboard_Live_Data!AE138</f>
        <v>281.94148668471132</v>
      </c>
    </row>
    <row r="1365" spans="1:8">
      <c r="A1365">
        <f>Dashboard_Live_Data!X139</f>
        <v>8.519999999999996</v>
      </c>
      <c r="B1365">
        <f>Dashboard_Live_Data!Y139</f>
        <v>2668.9381304597596</v>
      </c>
      <c r="C1365">
        <f>Dashboard_Live_Data!Z139</f>
        <v>56.799999999999955</v>
      </c>
      <c r="D1365">
        <f>Dashboard_Live_Data!AA139</f>
        <v>282.45267503280394</v>
      </c>
      <c r="E1365">
        <f>Dashboard_Live_Data!AB139</f>
        <v>113.59999999999991</v>
      </c>
      <c r="F1365">
        <f>Dashboard_Live_Data!AC139</f>
        <v>363.00118997829571</v>
      </c>
      <c r="G1365">
        <f>Dashboard_Live_Data!AD139</f>
        <v>113.59999999999991</v>
      </c>
      <c r="H1365">
        <f>Dashboard_Live_Data!AE139</f>
        <v>297.63356822178037</v>
      </c>
    </row>
    <row r="1366" spans="1:8">
      <c r="A1366">
        <f>Dashboard_Live_Data!X140</f>
        <v>9</v>
      </c>
      <c r="B1366">
        <f>Dashboard_Live_Data!Y140</f>
        <v>2668.9155192174899</v>
      </c>
      <c r="C1366">
        <f>Dashboard_Live_Data!Z140</f>
        <v>59.999999999999943</v>
      </c>
      <c r="D1366">
        <f>Dashboard_Live_Data!AA140</f>
        <v>288.06999454155164</v>
      </c>
      <c r="E1366">
        <f>Dashboard_Live_Data!AB140</f>
        <v>119.99999999999989</v>
      </c>
      <c r="F1366">
        <f>Dashboard_Live_Data!AC140</f>
        <v>378.40627895976388</v>
      </c>
      <c r="G1366">
        <f>Dashboard_Live_Data!AD140</f>
        <v>119.99999999999989</v>
      </c>
      <c r="H1366">
        <f>Dashboard_Live_Data!AE140</f>
        <v>313.19449834852514</v>
      </c>
    </row>
    <row r="1367" spans="1:8">
      <c r="A1367">
        <f>Dashboard_Live_Data!X141</f>
        <v>9.4799999999999898</v>
      </c>
      <c r="B1367">
        <f>Dashboard_Live_Data!Y141</f>
        <v>2669.0410756188267</v>
      </c>
      <c r="C1367">
        <f>Dashboard_Live_Data!Z141</f>
        <v>63.199999999999989</v>
      </c>
      <c r="D1367">
        <f>Dashboard_Live_Data!AA141</f>
        <v>294.08928666556795</v>
      </c>
      <c r="E1367">
        <f>Dashboard_Live_Data!AB141</f>
        <v>126.39999999999998</v>
      </c>
      <c r="F1367">
        <f>Dashboard_Live_Data!AC141</f>
        <v>393.96041198478542</v>
      </c>
      <c r="G1367">
        <f>Dashboard_Live_Data!AD141</f>
        <v>126.39999999999998</v>
      </c>
      <c r="H1367">
        <f>Dashboard_Live_Data!AE141</f>
        <v>328.91301175966038</v>
      </c>
    </row>
    <row r="1368" spans="1:8">
      <c r="A1368">
        <f>Dashboard_Live_Data!X142</f>
        <v>10.019999999999996</v>
      </c>
      <c r="B1368">
        <f>Dashboard_Live_Data!Y142</f>
        <v>2669.2914899172429</v>
      </c>
      <c r="C1368">
        <f>Dashboard_Live_Data!Z142</f>
        <v>66.800000000000011</v>
      </c>
      <c r="D1368">
        <f>Dashboard_Live_Data!AA142</f>
        <v>301.65407174238152</v>
      </c>
      <c r="E1368">
        <f>Dashboard_Live_Data!AB142</f>
        <v>133.60000000000002</v>
      </c>
      <c r="F1368">
        <f>Dashboard_Live_Data!AC142</f>
        <v>412.67306719892719</v>
      </c>
      <c r="G1368">
        <f>Dashboard_Live_Data!AD142</f>
        <v>133.60000000000002</v>
      </c>
      <c r="H1368">
        <f>Dashboard_Live_Data!AE142</f>
        <v>347.82080196949306</v>
      </c>
    </row>
    <row r="1369" spans="1:8">
      <c r="A1369">
        <f>Dashboard_Live_Data!X143</f>
        <v>10.5</v>
      </c>
      <c r="B1369">
        <f>Dashboard_Live_Data!Y143</f>
        <v>2669.2970622335815</v>
      </c>
      <c r="C1369">
        <f>Dashboard_Live_Data!Z143</f>
        <v>70</v>
      </c>
      <c r="D1369">
        <f>Dashboard_Live_Data!AA143</f>
        <v>308.3339924924266</v>
      </c>
      <c r="E1369">
        <f>Dashboard_Live_Data!AB143</f>
        <v>140</v>
      </c>
      <c r="F1369">
        <f>Dashboard_Live_Data!AC143</f>
        <v>430.47048810299287</v>
      </c>
      <c r="G1369">
        <f>Dashboard_Live_Data!AD143</f>
        <v>140</v>
      </c>
      <c r="H1369">
        <f>Dashboard_Live_Data!AE143</f>
        <v>365.80074914645121</v>
      </c>
    </row>
    <row r="1370" spans="1:8">
      <c r="A1370">
        <f>Dashboard_Live_Data!X144</f>
        <v>10.980000000000004</v>
      </c>
      <c r="B1370">
        <f>Dashboard_Live_Data!Y144</f>
        <v>2669.4129477465203</v>
      </c>
      <c r="C1370">
        <f>Dashboard_Live_Data!Z144</f>
        <v>73.200000000000045</v>
      </c>
      <c r="D1370">
        <f>Dashboard_Live_Data!AA144</f>
        <v>314.94191553996393</v>
      </c>
      <c r="E1370">
        <f>Dashboard_Live_Data!AB144</f>
        <v>146.40000000000009</v>
      </c>
      <c r="F1370">
        <f>Dashboard_Live_Data!AC144</f>
        <v>448.65774247510933</v>
      </c>
      <c r="G1370">
        <f>Dashboard_Live_Data!AD144</f>
        <v>146.40000000000009</v>
      </c>
      <c r="H1370">
        <f>Dashboard_Live_Data!AE144</f>
        <v>384.17906903229709</v>
      </c>
    </row>
    <row r="1371" spans="1:8">
      <c r="A1371">
        <f>Dashboard_Live_Data!X145</f>
        <v>11.519999999999996</v>
      </c>
      <c r="B1371">
        <f>Dashboard_Live_Data!Y145</f>
        <v>2669.607567389517</v>
      </c>
      <c r="C1371">
        <f>Dashboard_Live_Data!Z145</f>
        <v>76.799999999999955</v>
      </c>
      <c r="D1371">
        <f>Dashboard_Live_Data!AA145</f>
        <v>322.83349393173665</v>
      </c>
      <c r="E1371">
        <f>Dashboard_Live_Data!AB145</f>
        <v>153.59999999999991</v>
      </c>
      <c r="F1371">
        <f>Dashboard_Live_Data!AC145</f>
        <v>470.35834754862861</v>
      </c>
      <c r="G1371">
        <f>Dashboard_Live_Data!AD145</f>
        <v>153.59999999999991</v>
      </c>
      <c r="H1371">
        <f>Dashboard_Live_Data!AE145</f>
        <v>406.10482987007515</v>
      </c>
    </row>
    <row r="1372" spans="1:8">
      <c r="A1372">
        <f>Dashboard_Live_Data!X146</f>
        <v>12</v>
      </c>
      <c r="B1372">
        <f>Dashboard_Live_Data!Y146</f>
        <v>2669.5329747634537</v>
      </c>
      <c r="C1372">
        <f>Dashboard_Live_Data!Z146</f>
        <v>80</v>
      </c>
      <c r="D1372">
        <f>Dashboard_Live_Data!AA146</f>
        <v>330.57429212342959</v>
      </c>
      <c r="E1372">
        <f>Dashboard_Live_Data!AB146</f>
        <v>160</v>
      </c>
      <c r="F1372">
        <f>Dashboard_Live_Data!AC146</f>
        <v>490.82527033564003</v>
      </c>
      <c r="G1372">
        <f>Dashboard_Live_Data!AD146</f>
        <v>160</v>
      </c>
      <c r="H1372">
        <f>Dashboard_Live_Data!AE146</f>
        <v>426.78096405759464</v>
      </c>
    </row>
    <row r="1373" spans="1:8">
      <c r="A1373">
        <f>Dashboard_Live_Data!X147</f>
        <v>12.480000000000004</v>
      </c>
      <c r="B1373">
        <f>Dashboard_Live_Data!Y147</f>
        <v>2669.7418428985843</v>
      </c>
      <c r="C1373">
        <f>Dashboard_Live_Data!Z147</f>
        <v>83.199999999999989</v>
      </c>
      <c r="D1373">
        <f>Dashboard_Live_Data!AA147</f>
        <v>339.00288066211834</v>
      </c>
      <c r="E1373">
        <f>Dashboard_Live_Data!AB147</f>
        <v>166.39999999999998</v>
      </c>
      <c r="F1373">
        <f>Dashboard_Live_Data!AC147</f>
        <v>511.52104458926755</v>
      </c>
      <c r="G1373">
        <f>Dashboard_Live_Data!AD147</f>
        <v>166.39999999999998</v>
      </c>
      <c r="H1373">
        <f>Dashboard_Live_Data!AE147</f>
        <v>447.69448895256767</v>
      </c>
    </row>
    <row r="1374" spans="1:8">
      <c r="A1374">
        <f>Dashboard_Live_Data!X148</f>
        <v>13.02000000000001</v>
      </c>
      <c r="B1374">
        <f>Dashboard_Live_Data!Y148</f>
        <v>2669.6890589274435</v>
      </c>
      <c r="C1374">
        <f>Dashboard_Live_Data!Z148</f>
        <v>86.800000000000011</v>
      </c>
      <c r="D1374">
        <f>Dashboard_Live_Data!AA148</f>
        <v>348.18034109312947</v>
      </c>
      <c r="E1374">
        <f>Dashboard_Live_Data!AB148</f>
        <v>173.60000000000002</v>
      </c>
      <c r="F1374">
        <f>Dashboard_Live_Data!AC148</f>
        <v>536.6856283700555</v>
      </c>
      <c r="G1374">
        <f>Dashboard_Live_Data!AD148</f>
        <v>173.60000000000002</v>
      </c>
      <c r="H1374">
        <f>Dashboard_Live_Data!AE148</f>
        <v>473.11424926618224</v>
      </c>
    </row>
    <row r="1375" spans="1:8">
      <c r="A1375">
        <f>Dashboard_Live_Data!X149</f>
        <v>13.5</v>
      </c>
      <c r="B1375">
        <f>Dashboard_Live_Data!Y149</f>
        <v>2669.8633908840679</v>
      </c>
      <c r="C1375">
        <f>Dashboard_Live_Data!Z149</f>
        <v>90.000000000000057</v>
      </c>
      <c r="D1375">
        <f>Dashboard_Live_Data!AA149</f>
        <v>356.58736359705688</v>
      </c>
      <c r="E1375">
        <f>Dashboard_Live_Data!AB149</f>
        <v>180.00000000000011</v>
      </c>
      <c r="F1375">
        <f>Dashboard_Live_Data!AC149</f>
        <v>559.43789397154171</v>
      </c>
      <c r="G1375">
        <f>Dashboard_Live_Data!AD149</f>
        <v>180.00000000000011</v>
      </c>
      <c r="H1375">
        <f>Dashboard_Live_Data!AE149</f>
        <v>496.10241139579267</v>
      </c>
    </row>
    <row r="1376" spans="1:8">
      <c r="A1376">
        <f>Dashboard_Live_Data!X150</f>
        <v>13.980000000000004</v>
      </c>
      <c r="B1376">
        <f>Dashboard_Live_Data!Y150</f>
        <v>2669.8639965508737</v>
      </c>
      <c r="C1376">
        <f>Dashboard_Live_Data!Z150</f>
        <v>93.200000000000045</v>
      </c>
      <c r="D1376">
        <f>Dashboard_Live_Data!AA150</f>
        <v>365.32754339381029</v>
      </c>
      <c r="E1376">
        <f>Dashboard_Live_Data!AB150</f>
        <v>186.40000000000009</v>
      </c>
      <c r="F1376">
        <f>Dashboard_Live_Data!AC150</f>
        <v>582.85498270378582</v>
      </c>
      <c r="G1376">
        <f>Dashboard_Live_Data!AD150</f>
        <v>186.40000000000009</v>
      </c>
      <c r="H1376">
        <f>Dashboard_Live_Data!AE150</f>
        <v>519.76393589699796</v>
      </c>
    </row>
    <row r="1377" spans="1:8">
      <c r="A1377">
        <f>Dashboard_Live_Data!X151</f>
        <v>14.519999999999996</v>
      </c>
      <c r="B1377">
        <f>Dashboard_Live_Data!Y151</f>
        <v>2669.8958574019107</v>
      </c>
      <c r="C1377">
        <f>Dashboard_Live_Data!Z151</f>
        <v>96.800000000000011</v>
      </c>
      <c r="D1377">
        <f>Dashboard_Live_Data!AA151</f>
        <v>375.71361777908754</v>
      </c>
      <c r="E1377">
        <f>Dashboard_Live_Data!AB151</f>
        <v>193.60000000000002</v>
      </c>
      <c r="F1377">
        <f>Dashboard_Live_Data!AC151</f>
        <v>610.8989509460198</v>
      </c>
      <c r="G1377">
        <f>Dashboard_Live_Data!AD151</f>
        <v>193.60000000000002</v>
      </c>
      <c r="H1377">
        <f>Dashboard_Live_Data!AE151</f>
        <v>548.09310144062636</v>
      </c>
    </row>
    <row r="1378" spans="1:8">
      <c r="A1378">
        <f>Dashboard_Live_Data!X152</f>
        <v>15</v>
      </c>
      <c r="B1378">
        <f>Dashboard_Live_Data!Y152</f>
        <v>2669.8779533297052</v>
      </c>
      <c r="C1378">
        <f>Dashboard_Live_Data!Z152</f>
        <v>100</v>
      </c>
      <c r="D1378">
        <f>Dashboard_Live_Data!AA152</f>
        <v>385.56727460839971</v>
      </c>
      <c r="E1378">
        <f>Dashboard_Live_Data!AB152</f>
        <v>200</v>
      </c>
      <c r="F1378">
        <f>Dashboard_Live_Data!AC152</f>
        <v>635.82445594909598</v>
      </c>
      <c r="G1378">
        <f>Dashboard_Live_Data!AD152</f>
        <v>200</v>
      </c>
      <c r="H1378">
        <f>Dashboard_Live_Data!AE152</f>
        <v>573.28118809944237</v>
      </c>
    </row>
    <row r="1379" spans="1:8">
      <c r="A1379">
        <f>Dashboard_Live_Data!X153</f>
        <v>15.480000000000004</v>
      </c>
      <c r="B1379">
        <f>Dashboard_Live_Data!Y153</f>
        <v>2670.0160994406192</v>
      </c>
      <c r="C1379">
        <f>Dashboard_Live_Data!Z153</f>
        <v>103.19999999999999</v>
      </c>
      <c r="D1379">
        <f>Dashboard_Live_Data!AA153</f>
        <v>395.86086394831472</v>
      </c>
      <c r="E1379">
        <f>Dashboard_Live_Data!AB153</f>
        <v>206.39999999999998</v>
      </c>
      <c r="F1379">
        <f>Dashboard_Live_Data!AC153</f>
        <v>661.95151068738699</v>
      </c>
      <c r="G1379">
        <f>Dashboard_Live_Data!AD153</f>
        <v>206.39999999999998</v>
      </c>
      <c r="H1379">
        <f>Dashboard_Live_Data!AE153</f>
        <v>599.67936373431053</v>
      </c>
    </row>
    <row r="1380" spans="1:8">
      <c r="A1380">
        <f>Dashboard_Live_Data!X154</f>
        <v>16.019999999999996</v>
      </c>
      <c r="B1380">
        <f>Dashboard_Live_Data!Y154</f>
        <v>2669.9938584403485</v>
      </c>
      <c r="C1380">
        <f>Dashboard_Live_Data!Z154</f>
        <v>106.79999999999995</v>
      </c>
      <c r="D1380">
        <f>Dashboard_Live_Data!AA154</f>
        <v>407.20518284516277</v>
      </c>
      <c r="E1380">
        <f>Dashboard_Live_Data!AB154</f>
        <v>213.59999999999991</v>
      </c>
      <c r="F1380">
        <f>Dashboard_Live_Data!AC154</f>
        <v>692.4932720409962</v>
      </c>
      <c r="G1380">
        <f>Dashboard_Live_Data!AD154</f>
        <v>213.59999999999991</v>
      </c>
      <c r="H1380">
        <f>Dashboard_Live_Data!AE154</f>
        <v>630.53634315788202</v>
      </c>
    </row>
    <row r="1381" spans="1:8">
      <c r="A1381">
        <f>Dashboard_Live_Data!X155</f>
        <v>16.5</v>
      </c>
      <c r="B1381">
        <f>Dashboard_Live_Data!Y155</f>
        <v>2670.0537663398518</v>
      </c>
      <c r="C1381">
        <f>Dashboard_Live_Data!Z155</f>
        <v>109.99999999999994</v>
      </c>
      <c r="D1381">
        <f>Dashboard_Live_Data!AA155</f>
        <v>417.17224369757116</v>
      </c>
      <c r="E1381">
        <f>Dashboard_Live_Data!AB155</f>
        <v>219.99999999999989</v>
      </c>
      <c r="F1381">
        <f>Dashboard_Live_Data!AC155</f>
        <v>719.98873427612637</v>
      </c>
      <c r="G1381">
        <f>Dashboard_Live_Data!AD155</f>
        <v>219.99999999999989</v>
      </c>
      <c r="H1381">
        <f>Dashboard_Live_Data!AE155</f>
        <v>658.32107217636792</v>
      </c>
    </row>
    <row r="1382" spans="1:8">
      <c r="A1382">
        <f>Dashboard_Live_Data!X156</f>
        <v>16.97999999999999</v>
      </c>
      <c r="B1382">
        <f>Dashboard_Live_Data!Y156</f>
        <v>2670.2131483374369</v>
      </c>
      <c r="C1382">
        <f>Dashboard_Live_Data!Z156</f>
        <v>113.19999999999993</v>
      </c>
      <c r="D1382">
        <f>Dashboard_Live_Data!AA156</f>
        <v>428.17126030241781</v>
      </c>
      <c r="E1382">
        <f>Dashboard_Live_Data!AB156</f>
        <v>226.39999999999986</v>
      </c>
      <c r="F1382">
        <f>Dashboard_Live_Data!AC156</f>
        <v>748.86127758557245</v>
      </c>
      <c r="G1382">
        <f>Dashboard_Live_Data!AD156</f>
        <v>226.39999999999986</v>
      </c>
      <c r="H1382">
        <f>Dashboard_Live_Data!AE156</f>
        <v>687.49142151000706</v>
      </c>
    </row>
    <row r="1383" spans="1:8">
      <c r="A1383">
        <f>Dashboard_Live_Data!X157</f>
        <v>17.519999999999996</v>
      </c>
      <c r="B1383">
        <f>Dashboard_Live_Data!Y157</f>
        <v>2670.3303197350824</v>
      </c>
      <c r="C1383">
        <f>Dashboard_Live_Data!Z157</f>
        <v>116.80000000000007</v>
      </c>
      <c r="D1383">
        <f>Dashboard_Live_Data!AA157</f>
        <v>441.15226021313657</v>
      </c>
      <c r="E1383">
        <f>Dashboard_Live_Data!AB157</f>
        <v>233.60000000000014</v>
      </c>
      <c r="F1383">
        <f>Dashboard_Live_Data!AC157</f>
        <v>782.04327296375436</v>
      </c>
      <c r="G1383">
        <f>Dashboard_Live_Data!AD157</f>
        <v>233.60000000000014</v>
      </c>
      <c r="H1383">
        <f>Dashboard_Live_Data!AE157</f>
        <v>721.0186557267192</v>
      </c>
    </row>
    <row r="1384" spans="1:8">
      <c r="A1384">
        <f>Dashboard_Live_Data!X158</f>
        <v>18</v>
      </c>
      <c r="B1384">
        <f>Dashboard_Live_Data!Y158</f>
        <v>2670.444077775051</v>
      </c>
      <c r="C1384">
        <f>Dashboard_Live_Data!Z158</f>
        <v>120</v>
      </c>
      <c r="D1384">
        <f>Dashboard_Live_Data!AA158</f>
        <v>452.70768115682705</v>
      </c>
      <c r="E1384">
        <f>Dashboard_Live_Data!AB158</f>
        <v>240</v>
      </c>
      <c r="F1384">
        <f>Dashboard_Live_Data!AC158</f>
        <v>812.30782872011355</v>
      </c>
      <c r="G1384">
        <f>Dashboard_Live_Data!AD158</f>
        <v>240</v>
      </c>
      <c r="H1384">
        <f>Dashboard_Live_Data!AE158</f>
        <v>751.59916339404981</v>
      </c>
    </row>
    <row r="1385" spans="1:8">
      <c r="A1385">
        <f>Dashboard_Live_Data!X159</f>
        <v>18.480000000000004</v>
      </c>
      <c r="B1385">
        <f>Dashboard_Live_Data!Y159</f>
        <v>2670.5153353694513</v>
      </c>
      <c r="C1385">
        <f>Dashboard_Live_Data!Z159</f>
        <v>123.20000000000005</v>
      </c>
      <c r="D1385">
        <f>Dashboard_Live_Data!AA159</f>
        <v>464.34221044971468</v>
      </c>
      <c r="E1385">
        <f>Dashboard_Live_Data!AB159</f>
        <v>246.40000000000009</v>
      </c>
      <c r="F1385">
        <f>Dashboard_Live_Data!AC159</f>
        <v>843.99023990953719</v>
      </c>
      <c r="G1385">
        <f>Dashboard_Live_Data!AD159</f>
        <v>246.40000000000009</v>
      </c>
      <c r="H1385">
        <f>Dashboard_Live_Data!AE159</f>
        <v>783.6060657352823</v>
      </c>
    </row>
    <row r="1386" spans="1:8">
      <c r="A1386">
        <f>Dashboard_Live_Data!X160</f>
        <v>19.019999999999996</v>
      </c>
      <c r="B1386">
        <f>Dashboard_Live_Data!Y160</f>
        <v>2670.7374273408423</v>
      </c>
      <c r="C1386">
        <f>Dashboard_Live_Data!Z160</f>
        <v>126.79999999999995</v>
      </c>
      <c r="D1386">
        <f>Dashboard_Live_Data!AA160</f>
        <v>477.97385498477803</v>
      </c>
      <c r="E1386">
        <f>Dashboard_Live_Data!AB160</f>
        <v>253.59999999999991</v>
      </c>
      <c r="F1386">
        <f>Dashboard_Live_Data!AC160</f>
        <v>880.1287937053022</v>
      </c>
      <c r="G1386">
        <f>Dashboard_Live_Data!AD160</f>
        <v>253.59999999999991</v>
      </c>
      <c r="H1386">
        <f>Dashboard_Live_Data!AE160</f>
        <v>820.11987913814539</v>
      </c>
    </row>
    <row r="1387" spans="1:8">
      <c r="A1387">
        <f>Dashboard_Live_Data!X161</f>
        <v>19.5</v>
      </c>
      <c r="B1387">
        <f>Dashboard_Live_Data!Y161</f>
        <v>2670.7971033225708</v>
      </c>
      <c r="C1387">
        <f>Dashboard_Live_Data!Z161</f>
        <v>130</v>
      </c>
      <c r="D1387">
        <f>Dashboard_Live_Data!AA161</f>
        <v>490.48209351261062</v>
      </c>
      <c r="E1387">
        <f>Dashboard_Live_Data!AB161</f>
        <v>260</v>
      </c>
      <c r="F1387">
        <f>Dashboard_Live_Data!AC161</f>
        <v>913.15153955208098</v>
      </c>
      <c r="G1387">
        <f>Dashboard_Live_Data!AD161</f>
        <v>260</v>
      </c>
      <c r="H1387">
        <f>Dashboard_Live_Data!AE161</f>
        <v>853.48526202351161</v>
      </c>
    </row>
    <row r="1388" spans="1:8">
      <c r="A1388">
        <f>Dashboard_Live_Data!X162</f>
        <v>19.980000000000004</v>
      </c>
      <c r="B1388">
        <f>Dashboard_Live_Data!Y162</f>
        <v>2670.9787828596327</v>
      </c>
      <c r="C1388">
        <f>Dashboard_Live_Data!Z162</f>
        <v>133.19999999999993</v>
      </c>
      <c r="D1388">
        <f>Dashboard_Live_Data!AA162</f>
        <v>503.19758645294786</v>
      </c>
      <c r="E1388">
        <f>Dashboard_Live_Data!AB162</f>
        <v>266.39999999999986</v>
      </c>
      <c r="F1388">
        <f>Dashboard_Live_Data!AC162</f>
        <v>947.33527415572405</v>
      </c>
      <c r="G1388">
        <f>Dashboard_Live_Data!AD162</f>
        <v>266.39999999999986</v>
      </c>
      <c r="H1388">
        <f>Dashboard_Live_Data!AE162</f>
        <v>888.02017290657932</v>
      </c>
    </row>
    <row r="1389" spans="1:8">
      <c r="A1389">
        <f>Dashboard_Live_Data!X163</f>
        <v>20.52000000000001</v>
      </c>
      <c r="B1389">
        <f>Dashboard_Live_Data!Y163</f>
        <v>2671.2037863706319</v>
      </c>
      <c r="C1389">
        <f>Dashboard_Live_Data!Z163</f>
        <v>136.80000000000007</v>
      </c>
      <c r="D1389">
        <f>Dashboard_Live_Data!AA163</f>
        <v>518.04057996620304</v>
      </c>
      <c r="E1389">
        <f>Dashboard_Live_Data!AB163</f>
        <v>273.60000000000014</v>
      </c>
      <c r="F1389">
        <f>Dashboard_Live_Data!AC163</f>
        <v>986.21098946721315</v>
      </c>
      <c r="G1389">
        <f>Dashboard_Live_Data!AD163</f>
        <v>273.60000000000014</v>
      </c>
      <c r="H1389">
        <f>Dashboard_Live_Data!AE163</f>
        <v>927.30116859373413</v>
      </c>
    </row>
    <row r="1390" spans="1:8">
      <c r="A1390">
        <f>Dashboard_Live_Data!X164</f>
        <v>21</v>
      </c>
      <c r="B1390">
        <f>Dashboard_Live_Data!Y164</f>
        <v>2671.2172587037949</v>
      </c>
      <c r="C1390">
        <f>Dashboard_Live_Data!Z164</f>
        <v>140</v>
      </c>
      <c r="D1390">
        <f>Dashboard_Live_Data!AA164</f>
        <v>531.60295221588262</v>
      </c>
      <c r="E1390">
        <f>Dashboard_Live_Data!AB164</f>
        <v>280</v>
      </c>
      <c r="F1390">
        <f>Dashboard_Live_Data!AC164</f>
        <v>1021.9898236507371</v>
      </c>
      <c r="G1390">
        <f>Dashboard_Live_Data!AD164</f>
        <v>280</v>
      </c>
      <c r="H1390">
        <f>Dashboard_Live_Data!AE164</f>
        <v>963.44932494346153</v>
      </c>
    </row>
    <row r="1391" spans="1:8">
      <c r="A1391">
        <f>Dashboard_Live_Data!X165</f>
        <v>21.480000000000004</v>
      </c>
      <c r="B1391">
        <f>Dashboard_Live_Data!Y165</f>
        <v>2671.3747102286848</v>
      </c>
      <c r="C1391">
        <f>Dashboard_Live_Data!Z165</f>
        <v>143.20000000000005</v>
      </c>
      <c r="D1391">
        <f>Dashboard_Live_Data!AA165</f>
        <v>545.28476038725898</v>
      </c>
      <c r="E1391">
        <f>Dashboard_Live_Data!AB165</f>
        <v>286.40000000000009</v>
      </c>
      <c r="F1391">
        <f>Dashboard_Live_Data!AC165</f>
        <v>1058.645815735003</v>
      </c>
      <c r="G1391">
        <f>Dashboard_Live_Data!AD165</f>
        <v>286.40000000000009</v>
      </c>
      <c r="H1391">
        <f>Dashboard_Live_Data!AE165</f>
        <v>1000.4831784347678</v>
      </c>
    </row>
    <row r="1392" spans="1:8">
      <c r="A1392">
        <f>Dashboard_Live_Data!X166</f>
        <v>22.019999999999996</v>
      </c>
      <c r="B1392">
        <f>Dashboard_Live_Data!Y166</f>
        <v>2671.6078983056891</v>
      </c>
      <c r="C1392">
        <f>Dashboard_Live_Data!Z166</f>
        <v>146.79999999999995</v>
      </c>
      <c r="D1392">
        <f>Dashboard_Live_Data!AA166</f>
        <v>560.98381466569595</v>
      </c>
      <c r="E1392">
        <f>Dashboard_Live_Data!AB166</f>
        <v>293.59999999999991</v>
      </c>
      <c r="F1392">
        <f>Dashboard_Live_Data!AC166</f>
        <v>1100.2228354690483</v>
      </c>
      <c r="G1392">
        <f>Dashboard_Live_Data!AD166</f>
        <v>293.59999999999991</v>
      </c>
      <c r="H1392">
        <f>Dashboard_Live_Data!AE166</f>
        <v>1042.4954993130464</v>
      </c>
    </row>
    <row r="1393" spans="1:8">
      <c r="A1393">
        <f>Dashboard_Live_Data!X167</f>
        <v>22.5</v>
      </c>
      <c r="B1393">
        <f>Dashboard_Live_Data!Y167</f>
        <v>2671.7725952926621</v>
      </c>
      <c r="C1393">
        <f>Dashboard_Live_Data!Z167</f>
        <v>150</v>
      </c>
      <c r="D1393">
        <f>Dashboard_Live_Data!AA167</f>
        <v>575.25927171581282</v>
      </c>
      <c r="E1393">
        <f>Dashboard_Live_Data!AB167</f>
        <v>300</v>
      </c>
      <c r="F1393">
        <f>Dashboard_Live_Data!AC167</f>
        <v>1138.7605574322938</v>
      </c>
      <c r="G1393">
        <f>Dashboard_Live_Data!AD167</f>
        <v>300</v>
      </c>
      <c r="H1393">
        <f>Dashboard_Live_Data!AE167</f>
        <v>1081.4292285701115</v>
      </c>
    </row>
    <row r="1394" spans="1:8">
      <c r="A1394">
        <f>Dashboard_Live_Data!X168</f>
        <v>22.980000000000004</v>
      </c>
      <c r="B1394">
        <f>Dashboard_Live_Data!Y168</f>
        <v>2671.9036227962388</v>
      </c>
      <c r="C1394">
        <f>Dashboard_Live_Data!Z168</f>
        <v>153.20000000000005</v>
      </c>
      <c r="D1394">
        <f>Dashboard_Live_Data!AA168</f>
        <v>590.28560766568205</v>
      </c>
      <c r="E1394">
        <f>Dashboard_Live_Data!AB168</f>
        <v>306.40000000000009</v>
      </c>
      <c r="F1394">
        <f>Dashboard_Live_Data!AC168</f>
        <v>1177.7366521085348</v>
      </c>
      <c r="G1394">
        <f>Dashboard_Live_Data!AD168</f>
        <v>306.40000000000009</v>
      </c>
      <c r="H1394">
        <f>Dashboard_Live_Data!AE168</f>
        <v>1120.809869781009</v>
      </c>
    </row>
    <row r="1395" spans="1:8">
      <c r="A1395">
        <f>Dashboard_Live_Data!X169</f>
        <v>23.519999999999996</v>
      </c>
      <c r="B1395">
        <f>Dashboard_Live_Data!Y169</f>
        <v>2672.186431982876</v>
      </c>
      <c r="C1395">
        <f>Dashboard_Live_Data!Z169</f>
        <v>156.79999999999995</v>
      </c>
      <c r="D1395">
        <f>Dashboard_Live_Data!AA169</f>
        <v>607.50156153522198</v>
      </c>
      <c r="E1395">
        <f>Dashboard_Live_Data!AB169</f>
        <v>313.59999999999991</v>
      </c>
      <c r="F1395">
        <f>Dashboard_Live_Data!AC169</f>
        <v>1222.6057281367232</v>
      </c>
      <c r="G1395">
        <f>Dashboard_Live_Data!AD169</f>
        <v>313.59999999999991</v>
      </c>
      <c r="H1395">
        <f>Dashboard_Live_Data!AE169</f>
        <v>1166.1442677219984</v>
      </c>
    </row>
    <row r="1396" spans="1:8">
      <c r="A1396">
        <f>Dashboard_Live_Data!X170</f>
        <v>24</v>
      </c>
      <c r="B1396">
        <f>Dashboard_Live_Data!Y170</f>
        <v>2672.2789126991943</v>
      </c>
      <c r="C1396">
        <f>Dashboard_Live_Data!Z170</f>
        <v>160</v>
      </c>
      <c r="D1396">
        <f>Dashboard_Live_Data!AA170</f>
        <v>622.9166520341081</v>
      </c>
      <c r="E1396">
        <f>Dashboard_Live_Data!AB170</f>
        <v>320</v>
      </c>
      <c r="F1396">
        <f>Dashboard_Live_Data!AC170</f>
        <v>1263.7436976342321</v>
      </c>
      <c r="G1396">
        <f>Dashboard_Live_Data!AD170</f>
        <v>320</v>
      </c>
      <c r="H1396">
        <f>Dashboard_Live_Data!AE170</f>
        <v>1207.7049296409427</v>
      </c>
    </row>
    <row r="1397" spans="1:8">
      <c r="A1397">
        <f>Dashboard_Live_Data!X171</f>
        <v>24.47999999999999</v>
      </c>
      <c r="B1397">
        <f>Dashboard_Live_Data!Y171</f>
        <v>2672.4226849537231</v>
      </c>
      <c r="C1397">
        <f>Dashboard_Live_Data!Z171</f>
        <v>163.19999999999993</v>
      </c>
      <c r="D1397">
        <f>Dashboard_Live_Data!AA171</f>
        <v>638.41432921013279</v>
      </c>
      <c r="E1397">
        <f>Dashboard_Live_Data!AB171</f>
        <v>326.39999999999986</v>
      </c>
      <c r="F1397">
        <f>Dashboard_Live_Data!AC171</f>
        <v>1304.993058303427</v>
      </c>
      <c r="G1397">
        <f>Dashboard_Live_Data!AD171</f>
        <v>326.39999999999986</v>
      </c>
      <c r="H1397">
        <f>Dashboard_Live_Data!AE171</f>
        <v>1249.3855219724098</v>
      </c>
    </row>
    <row r="1398" spans="1:8">
      <c r="A1398">
        <f>Dashboard_Live_Data!X172</f>
        <v>25.019999999999996</v>
      </c>
      <c r="B1398">
        <f>Dashboard_Live_Data!Y172</f>
        <v>2672.7507541412438</v>
      </c>
      <c r="C1398">
        <f>Dashboard_Live_Data!Z172</f>
        <v>166.80000000000007</v>
      </c>
      <c r="D1398">
        <f>Dashboard_Live_Data!AA172</f>
        <v>656.4778874083446</v>
      </c>
      <c r="E1398">
        <f>Dashboard_Live_Data!AB172</f>
        <v>333.60000000000014</v>
      </c>
      <c r="F1398">
        <f>Dashboard_Live_Data!AC172</f>
        <v>1352.9496387434049</v>
      </c>
      <c r="G1398">
        <f>Dashboard_Live_Data!AD172</f>
        <v>333.60000000000014</v>
      </c>
      <c r="H1398">
        <f>Dashboard_Live_Data!AE172</f>
        <v>1297.8374450937565</v>
      </c>
    </row>
    <row r="1399" spans="1:8">
      <c r="A1399">
        <f>Dashboard_Live_Data!X173</f>
        <v>25.5</v>
      </c>
      <c r="B1399">
        <f>Dashboard_Live_Data!Y173</f>
        <v>2672.8797701745452</v>
      </c>
      <c r="C1399">
        <f>Dashboard_Live_Data!Z173</f>
        <v>170</v>
      </c>
      <c r="D1399">
        <f>Dashboard_Live_Data!AA173</f>
        <v>672.95215824713694</v>
      </c>
      <c r="E1399">
        <f>Dashboard_Live_Data!AB173</f>
        <v>340</v>
      </c>
      <c r="F1399">
        <f>Dashboard_Live_Data!AC173</f>
        <v>1396.3473019036724</v>
      </c>
      <c r="G1399">
        <f>Dashboard_Live_Data!AD173</f>
        <v>340</v>
      </c>
      <c r="H1399">
        <f>Dashboard_Live_Data!AE173</f>
        <v>1341.6844858030752</v>
      </c>
    </row>
    <row r="1400" spans="1:8">
      <c r="A1400">
        <f>Dashboard_Live_Data!X174</f>
        <v>25.980000000000004</v>
      </c>
      <c r="B1400">
        <f>Dashboard_Live_Data!Y174</f>
        <v>2673.023648727582</v>
      </c>
      <c r="C1400">
        <f>Dashboard_Live_Data!Z174</f>
        <v>173.20000000000005</v>
      </c>
      <c r="D1400">
        <f>Dashboard_Live_Data!AA174</f>
        <v>689.90927027372959</v>
      </c>
      <c r="E1400">
        <f>Dashboard_Live_Data!AB174</f>
        <v>346.40000000000009</v>
      </c>
      <c r="F1400">
        <f>Dashboard_Live_Data!AC174</f>
        <v>1440.15613079986</v>
      </c>
      <c r="G1400">
        <f>Dashboard_Live_Data!AD174</f>
        <v>346.40000000000009</v>
      </c>
      <c r="H1400">
        <f>Dashboard_Live_Data!AE174</f>
        <v>1385.951231489151</v>
      </c>
    </row>
    <row r="1401" spans="1:8">
      <c r="A1401">
        <f>Dashboard_Live_Data!X175</f>
        <v>26.519999999999996</v>
      </c>
      <c r="B1401">
        <f>Dashboard_Live_Data!Y175</f>
        <v>2673.2031514414361</v>
      </c>
      <c r="C1401">
        <f>Dashboard_Live_Data!Z175</f>
        <v>176.79999999999995</v>
      </c>
      <c r="D1401">
        <f>Dashboard_Live_Data!AA175</f>
        <v>709.4713880484527</v>
      </c>
      <c r="E1401">
        <f>Dashboard_Live_Data!AB175</f>
        <v>353.59999999999991</v>
      </c>
      <c r="F1401">
        <f>Dashboard_Live_Data!AC175</f>
        <v>1491.0284044154114</v>
      </c>
      <c r="G1401">
        <f>Dashboard_Live_Data!AD175</f>
        <v>353.59999999999991</v>
      </c>
      <c r="H1401">
        <f>Dashboard_Live_Data!AE175</f>
        <v>1437.3488685546395</v>
      </c>
    </row>
    <row r="1402" spans="1:8">
      <c r="A1402">
        <f>Dashboard_Live_Data!X176</f>
        <v>27</v>
      </c>
      <c r="B1402">
        <f>Dashboard_Live_Data!Y176</f>
        <v>2673.4865059902168</v>
      </c>
      <c r="C1402">
        <f>Dashboard_Live_Data!Z176</f>
        <v>180</v>
      </c>
      <c r="D1402">
        <f>Dashboard_Live_Data!AA176</f>
        <v>726.61604893984861</v>
      </c>
      <c r="E1402">
        <f>Dashboard_Live_Data!AB176</f>
        <v>360</v>
      </c>
      <c r="F1402">
        <f>Dashboard_Live_Data!AC176</f>
        <v>1536.7947165438725</v>
      </c>
      <c r="G1402">
        <f>Dashboard_Live_Data!AD176</f>
        <v>360</v>
      </c>
      <c r="H1402">
        <f>Dashboard_Live_Data!AE176</f>
        <v>1483.5912433597673</v>
      </c>
    </row>
    <row r="1403" spans="1:8">
      <c r="A1403">
        <f>Dashboard_Live_Data!X177</f>
        <v>27.480000000000004</v>
      </c>
      <c r="B1403">
        <f>Dashboard_Live_Data!Y177</f>
        <v>2673.8136935452526</v>
      </c>
      <c r="C1403">
        <f>Dashboard_Live_Data!Z177</f>
        <v>183.19999999999993</v>
      </c>
      <c r="D1403">
        <f>Dashboard_Live_Data!AA177</f>
        <v>743.92120409000484</v>
      </c>
      <c r="E1403">
        <f>Dashboard_Live_Data!AB177</f>
        <v>366.39999999999986</v>
      </c>
      <c r="F1403">
        <f>Dashboard_Live_Data!AC177</f>
        <v>1583.2195430205654</v>
      </c>
      <c r="G1403">
        <f>Dashboard_Live_Data!AD177</f>
        <v>366.39999999999986</v>
      </c>
      <c r="H1403">
        <f>Dashboard_Live_Data!AE177</f>
        <v>1530.5006717539641</v>
      </c>
    </row>
    <row r="1404" spans="1:8">
      <c r="A1404">
        <f>Dashboard_Live_Data!X178</f>
        <v>28.02000000000001</v>
      </c>
      <c r="B1404">
        <f>Dashboard_Live_Data!Y178</f>
        <v>2674.0089909749609</v>
      </c>
      <c r="C1404">
        <f>Dashboard_Live_Data!Z178</f>
        <v>186.80000000000007</v>
      </c>
      <c r="D1404">
        <f>Dashboard_Live_Data!AA178</f>
        <v>764.47980667523132</v>
      </c>
      <c r="E1404">
        <f>Dashboard_Live_Data!AB178</f>
        <v>373.60000000000014</v>
      </c>
      <c r="F1404">
        <f>Dashboard_Live_Data!AC178</f>
        <v>1637.3411182670352</v>
      </c>
      <c r="G1404">
        <f>Dashboard_Live_Data!AD178</f>
        <v>373.60000000000014</v>
      </c>
      <c r="H1404">
        <f>Dashboard_Live_Data!AE178</f>
        <v>1585.1776312189386</v>
      </c>
    </row>
    <row r="1405" spans="1:8">
      <c r="A1405">
        <f>Dashboard_Live_Data!X179</f>
        <v>28.5</v>
      </c>
      <c r="B1405">
        <f>Dashboard_Live_Data!Y179</f>
        <v>2674.1751651503191</v>
      </c>
      <c r="C1405">
        <f>Dashboard_Live_Data!Z179</f>
        <v>190</v>
      </c>
      <c r="D1405">
        <f>Dashboard_Live_Data!AA179</f>
        <v>783.32681314868614</v>
      </c>
      <c r="E1405">
        <f>Dashboard_Live_Data!AB179</f>
        <v>380</v>
      </c>
      <c r="F1405">
        <f>Dashboard_Live_Data!AC179</f>
        <v>1685.5394953979162</v>
      </c>
      <c r="G1405">
        <f>Dashboard_Live_Data!AD179</f>
        <v>380</v>
      </c>
      <c r="H1405">
        <f>Dashboard_Live_Data!AE179</f>
        <v>1633.8787561541026</v>
      </c>
    </row>
    <row r="1406" spans="1:8">
      <c r="A1406">
        <f>Dashboard_Live_Data!X180</f>
        <v>28.980000000000004</v>
      </c>
      <c r="B1406">
        <f>Dashboard_Live_Data!Y180</f>
        <v>2674.4235115684287</v>
      </c>
      <c r="C1406">
        <f>Dashboard_Live_Data!Z180</f>
        <v>193.20000000000005</v>
      </c>
      <c r="D1406">
        <f>Dashboard_Live_Data!AA180</f>
        <v>801.84648320075621</v>
      </c>
      <c r="E1406">
        <f>Dashboard_Live_Data!AB180</f>
        <v>386.40000000000009</v>
      </c>
      <c r="F1406">
        <f>Dashboard_Live_Data!AC180</f>
        <v>1735.101566695354</v>
      </c>
      <c r="G1406">
        <f>Dashboard_Live_Data!AD180</f>
        <v>386.40000000000009</v>
      </c>
      <c r="H1406">
        <f>Dashboard_Live_Data!AE180</f>
        <v>1683.9521144966598</v>
      </c>
    </row>
    <row r="1407" spans="1:8">
      <c r="A1407">
        <f>Dashboard_Live_Data!X181</f>
        <v>29.519999999999996</v>
      </c>
      <c r="B1407">
        <f>Dashboard_Live_Data!Y181</f>
        <v>2674.8583207942811</v>
      </c>
      <c r="C1407">
        <f>Dashboard_Live_Data!Z181</f>
        <v>196.79999999999995</v>
      </c>
      <c r="D1407">
        <f>Dashboard_Live_Data!AA181</f>
        <v>822.96730769889598</v>
      </c>
      <c r="E1407">
        <f>Dashboard_Live_Data!AB181</f>
        <v>393.59999999999991</v>
      </c>
      <c r="F1407">
        <f>Dashboard_Live_Data!AC181</f>
        <v>1791.9512689962028</v>
      </c>
      <c r="G1407">
        <f>Dashboard_Live_Data!AD181</f>
        <v>393.59999999999991</v>
      </c>
      <c r="H1407">
        <f>Dashboard_Live_Data!AE181</f>
        <v>1741.3872217845812</v>
      </c>
    </row>
    <row r="1408" spans="1:8">
      <c r="A1408">
        <f>Dashboard_Live_Data!X182</f>
        <v>30</v>
      </c>
      <c r="B1408">
        <f>Dashboard_Live_Data!Y182</f>
        <v>2675.1047945408004</v>
      </c>
      <c r="C1408">
        <f>Dashboard_Live_Data!Z182</f>
        <v>200</v>
      </c>
      <c r="D1408">
        <f>Dashboard_Live_Data!AA182</f>
        <v>842.2172398529525</v>
      </c>
      <c r="E1408">
        <f>Dashboard_Live_Data!AB182</f>
        <v>400</v>
      </c>
      <c r="F1408">
        <f>Dashboard_Live_Data!AC182</f>
        <v>1842.779486102344</v>
      </c>
      <c r="G1408">
        <f>Dashboard_Live_Data!AD182</f>
        <v>400</v>
      </c>
      <c r="H1408">
        <f>Dashboard_Live_Data!AE182</f>
        <v>1792.7448718226212</v>
      </c>
    </row>
    <row r="1409" spans="1:8">
      <c r="A1409">
        <f>Dashboard_Live_Data!X183</f>
        <v>30.480000000000004</v>
      </c>
      <c r="B1409">
        <f>Dashboard_Live_Data!Y183</f>
        <v>2675.2662006819191</v>
      </c>
      <c r="C1409">
        <f>Dashboard_Live_Data!Z183</f>
        <v>203.20000000000005</v>
      </c>
      <c r="D1409">
        <f>Dashboard_Live_Data!AA183</f>
        <v>861.79271477454358</v>
      </c>
      <c r="E1409">
        <f>Dashboard_Live_Data!AB183</f>
        <v>406.40000000000009</v>
      </c>
      <c r="F1409">
        <f>Dashboard_Live_Data!AC183</f>
        <v>1894.9471352963021</v>
      </c>
      <c r="G1409">
        <f>Dashboard_Live_Data!AD183</f>
        <v>406.40000000000009</v>
      </c>
      <c r="H1409">
        <f>Dashboard_Live_Data!AE183</f>
        <v>1845.4504931893146</v>
      </c>
    </row>
    <row r="1410" spans="1:8">
      <c r="A1410">
        <f>Dashboard_Live_Data!X184</f>
        <v>31.019999999999996</v>
      </c>
      <c r="B1410">
        <f>Dashboard_Live_Data!Y184</f>
        <v>2675.6070097095831</v>
      </c>
      <c r="C1410">
        <f>Dashboard_Live_Data!Z184</f>
        <v>206.79999999999995</v>
      </c>
      <c r="D1410">
        <f>Dashboard_Live_Data!AA184</f>
        <v>884.34748750000233</v>
      </c>
      <c r="E1410">
        <f>Dashboard_Live_Data!AB184</f>
        <v>413.59999999999991</v>
      </c>
      <c r="F1410">
        <f>Dashboard_Live_Data!AC184</f>
        <v>1954.2554299760664</v>
      </c>
      <c r="G1410">
        <f>Dashboard_Live_Data!AD184</f>
        <v>413.59999999999991</v>
      </c>
      <c r="H1410">
        <f>Dashboard_Live_Data!AE184</f>
        <v>1905.3742136247199</v>
      </c>
    </row>
    <row r="1411" spans="1:8">
      <c r="A1411">
        <f>Dashboard_Live_Data!X185</f>
        <v>31.5</v>
      </c>
      <c r="B1411">
        <f>Dashboard_Live_Data!Y185</f>
        <v>2675.7438987522555</v>
      </c>
      <c r="C1411">
        <f>Dashboard_Live_Data!Z185</f>
        <v>210</v>
      </c>
      <c r="D1411">
        <f>Dashboard_Live_Data!AA185</f>
        <v>904.89343483117568</v>
      </c>
      <c r="E1411">
        <f>Dashboard_Live_Data!AB185</f>
        <v>420</v>
      </c>
      <c r="F1411">
        <f>Dashboard_Live_Data!AC185</f>
        <v>2007.7962312536522</v>
      </c>
      <c r="G1411">
        <f>Dashboard_Live_Data!AD185</f>
        <v>420</v>
      </c>
      <c r="H1411">
        <f>Dashboard_Live_Data!AE185</f>
        <v>1959.4711329618194</v>
      </c>
    </row>
    <row r="1412" spans="1:8">
      <c r="A1412">
        <f>Dashboard_Live_Data!X186</f>
        <v>31.97999999999999</v>
      </c>
      <c r="B1412">
        <f>Dashboard_Live_Data!Y186</f>
        <v>2676.0368656583214</v>
      </c>
      <c r="C1412">
        <f>Dashboard_Live_Data!Z186</f>
        <v>213.19999999999993</v>
      </c>
      <c r="D1412">
        <f>Dashboard_Live_Data!AA186</f>
        <v>925.29611336663845</v>
      </c>
      <c r="E1412">
        <f>Dashboard_Live_Data!AB186</f>
        <v>426.39999999999986</v>
      </c>
      <c r="F1412">
        <f>Dashboard_Live_Data!AC186</f>
        <v>2062.4558981393743</v>
      </c>
      <c r="G1412">
        <f>Dashboard_Live_Data!AD186</f>
        <v>426.39999999999986</v>
      </c>
      <c r="H1412">
        <f>Dashboard_Live_Data!AE186</f>
        <v>2014.6954571478936</v>
      </c>
    </row>
    <row r="1413" spans="1:8">
      <c r="A1413">
        <f>Dashboard_Live_Data!X187</f>
        <v>32.519999999999996</v>
      </c>
      <c r="B1413">
        <f>Dashboard_Live_Data!Y187</f>
        <v>2676.2888769199035</v>
      </c>
      <c r="C1413">
        <f>Dashboard_Live_Data!Z187</f>
        <v>216.80000000000007</v>
      </c>
      <c r="D1413">
        <f>Dashboard_Live_Data!AA187</f>
        <v>948.54917388286458</v>
      </c>
      <c r="E1413">
        <f>Dashboard_Live_Data!AB187</f>
        <v>433.60000000000014</v>
      </c>
      <c r="F1413">
        <f>Dashboard_Live_Data!AC187</f>
        <v>2124.4276204023909</v>
      </c>
      <c r="G1413">
        <f>Dashboard_Live_Data!AD187</f>
        <v>433.60000000000014</v>
      </c>
      <c r="H1413">
        <f>Dashboard_Live_Data!AE187</f>
        <v>2077.3126259351188</v>
      </c>
    </row>
    <row r="1414" spans="1:8">
      <c r="A1414">
        <f>Dashboard_Live_Data!X188</f>
        <v>33</v>
      </c>
      <c r="B1414">
        <f>Dashboard_Live_Data!Y188</f>
        <v>2676.6090979579699</v>
      </c>
      <c r="C1414">
        <f>Dashboard_Live_Data!Z188</f>
        <v>220</v>
      </c>
      <c r="D1414">
        <f>Dashboard_Live_Data!AA188</f>
        <v>969.72400279150156</v>
      </c>
      <c r="E1414">
        <f>Dashboard_Live_Data!AB188</f>
        <v>440</v>
      </c>
      <c r="F1414">
        <f>Dashboard_Live_Data!AC188</f>
        <v>2180.7142495266362</v>
      </c>
      <c r="G1414">
        <f>Dashboard_Live_Data!AD188</f>
        <v>440</v>
      </c>
      <c r="H1414">
        <f>Dashboard_Live_Data!AE188</f>
        <v>2134.1820582464943</v>
      </c>
    </row>
    <row r="1415" spans="1:8">
      <c r="A1415">
        <f>Dashboard_Live_Data!X189</f>
        <v>33.480000000000004</v>
      </c>
      <c r="B1415">
        <f>Dashboard_Live_Data!Y189</f>
        <v>2676.7614368371142</v>
      </c>
      <c r="C1415">
        <f>Dashboard_Live_Data!Z189</f>
        <v>223.20000000000005</v>
      </c>
      <c r="D1415">
        <f>Dashboard_Live_Data!AA189</f>
        <v>991.30442967562442</v>
      </c>
      <c r="E1415">
        <f>Dashboard_Live_Data!AB189</f>
        <v>446.40000000000009</v>
      </c>
      <c r="F1415">
        <f>Dashboard_Live_Data!AC189</f>
        <v>2237.9762205627935</v>
      </c>
      <c r="G1415">
        <f>Dashboard_Live_Data!AD189</f>
        <v>446.40000000000009</v>
      </c>
      <c r="H1415">
        <f>Dashboard_Live_Data!AE189</f>
        <v>2192.0353717106186</v>
      </c>
    </row>
    <row r="1416" spans="1:8">
      <c r="A1416">
        <f>Dashboard_Live_Data!X190</f>
        <v>34.019999999999996</v>
      </c>
      <c r="B1416">
        <f>Dashboard_Live_Data!Y190</f>
        <v>2676.9678952459385</v>
      </c>
      <c r="C1416">
        <f>Dashboard_Live_Data!Z190</f>
        <v>226.79999999999995</v>
      </c>
      <c r="D1416">
        <f>Dashboard_Live_Data!AA190</f>
        <v>1016.1752855742253</v>
      </c>
      <c r="E1416">
        <f>Dashboard_Live_Data!AB190</f>
        <v>453.59999999999991</v>
      </c>
      <c r="F1416">
        <f>Dashboard_Live_Data!AC190</f>
        <v>2302.7493589619621</v>
      </c>
      <c r="G1416">
        <f>Dashboard_Live_Data!AD190</f>
        <v>453.59999999999991</v>
      </c>
      <c r="H1416">
        <f>Dashboard_Live_Data!AE190</f>
        <v>2257.4839774025636</v>
      </c>
    </row>
    <row r="1417" spans="1:8">
      <c r="A1417">
        <f>Dashboard_Live_Data!X191</f>
        <v>34.5</v>
      </c>
      <c r="B1417">
        <f>Dashboard_Live_Data!Y191</f>
        <v>2677.1867210166747</v>
      </c>
      <c r="C1417">
        <f>Dashboard_Live_Data!Z191</f>
        <v>230</v>
      </c>
      <c r="D1417">
        <f>Dashboard_Live_Data!AA191</f>
        <v>1038.4017236883185</v>
      </c>
      <c r="E1417">
        <f>Dashboard_Live_Data!AB191</f>
        <v>460</v>
      </c>
      <c r="F1417">
        <f>Dashboard_Live_Data!AC191</f>
        <v>2361.943478253394</v>
      </c>
      <c r="G1417">
        <f>Dashboard_Live_Data!AD191</f>
        <v>460</v>
      </c>
      <c r="H1417">
        <f>Dashboard_Live_Data!AE191</f>
        <v>2317.2875850087416</v>
      </c>
    </row>
    <row r="1418" spans="1:8">
      <c r="A1418">
        <f>Dashboard_Live_Data!X192</f>
        <v>34.980000000000004</v>
      </c>
      <c r="B1418">
        <f>Dashboard_Live_Data!Y192</f>
        <v>2677.3815092232917</v>
      </c>
      <c r="C1418">
        <f>Dashboard_Live_Data!Z192</f>
        <v>233.19999999999993</v>
      </c>
      <c r="D1418">
        <f>Dashboard_Live_Data!AA192</f>
        <v>1060.8081910527985</v>
      </c>
      <c r="E1418">
        <f>Dashboard_Live_Data!AB192</f>
        <v>466.39999999999986</v>
      </c>
      <c r="F1418">
        <f>Dashboard_Live_Data!AC192</f>
        <v>2421.619819894157</v>
      </c>
      <c r="G1418">
        <f>Dashboard_Live_Data!AD192</f>
        <v>466.39999999999986</v>
      </c>
      <c r="H1418">
        <f>Dashboard_Live_Data!AE192</f>
        <v>2377.5819542050881</v>
      </c>
    </row>
    <row r="1419" spans="1:8">
      <c r="A1419">
        <f>Dashboard_Live_Data!X193</f>
        <v>35.52000000000001</v>
      </c>
      <c r="B1419">
        <f>Dashboard_Live_Data!Y193</f>
        <v>2677.619339587693</v>
      </c>
      <c r="C1419">
        <f>Dashboard_Live_Data!Z193</f>
        <v>236.80000000000007</v>
      </c>
      <c r="D1419">
        <f>Dashboard_Live_Data!AA193</f>
        <v>1086.4391980001599</v>
      </c>
      <c r="E1419">
        <f>Dashboard_Live_Data!AB193</f>
        <v>473.60000000000014</v>
      </c>
      <c r="F1419">
        <f>Dashboard_Live_Data!AC193</f>
        <v>2489.3835360654489</v>
      </c>
      <c r="G1419">
        <f>Dashboard_Live_Data!AD193</f>
        <v>473.60000000000014</v>
      </c>
      <c r="H1419">
        <f>Dashboard_Live_Data!AE193</f>
        <v>2446.0511584377236</v>
      </c>
    </row>
    <row r="1420" spans="1:8">
      <c r="A1420">
        <f>Dashboard_Live_Data!X194</f>
        <v>36</v>
      </c>
      <c r="B1420">
        <f>Dashboard_Live_Data!Y194</f>
        <v>2677.8163809813632</v>
      </c>
      <c r="C1420">
        <f>Dashboard_Live_Data!Z194</f>
        <v>240</v>
      </c>
      <c r="D1420">
        <f>Dashboard_Live_Data!AA194</f>
        <v>1109.5134375416669</v>
      </c>
      <c r="E1420">
        <f>Dashboard_Live_Data!AB194</f>
        <v>480</v>
      </c>
      <c r="F1420">
        <f>Dashboard_Live_Data!AC194</f>
        <v>2551.1472763301176</v>
      </c>
      <c r="G1420">
        <f>Dashboard_Live_Data!AD194</f>
        <v>480</v>
      </c>
      <c r="H1420">
        <f>Dashboard_Live_Data!AE194</f>
        <v>2508.4510721447541</v>
      </c>
    </row>
    <row r="1421" spans="1:8">
      <c r="A1421">
        <f>Dashboard_Live_Data!X195</f>
        <v>36.480000000000004</v>
      </c>
      <c r="B1421">
        <f>Dashboard_Live_Data!Y195</f>
        <v>2678.077818920377</v>
      </c>
      <c r="C1421">
        <f>Dashboard_Live_Data!Z195</f>
        <v>243.20000000000005</v>
      </c>
      <c r="D1421">
        <f>Dashboard_Live_Data!AA195</f>
        <v>1133.2303407408722</v>
      </c>
      <c r="E1421">
        <f>Dashboard_Live_Data!AB195</f>
        <v>486.40000000000009</v>
      </c>
      <c r="F1421">
        <f>Dashboard_Live_Data!AC195</f>
        <v>2612.9574942317927</v>
      </c>
      <c r="G1421">
        <f>Dashboard_Live_Data!AD195</f>
        <v>486.40000000000009</v>
      </c>
      <c r="H1421">
        <f>Dashboard_Live_Data!AE195</f>
        <v>2570.9060027296282</v>
      </c>
    </row>
    <row r="1422" spans="1:8">
      <c r="A1422">
        <f>Dashboard_Live_Data!X196</f>
        <v>37.019999999999996</v>
      </c>
      <c r="B1422">
        <f>Dashboard_Live_Data!Y196</f>
        <v>2678.2572674085541</v>
      </c>
      <c r="C1422">
        <f>Dashboard_Live_Data!Z196</f>
        <v>246.79999999999995</v>
      </c>
      <c r="D1422">
        <f>Dashboard_Live_Data!AA196</f>
        <v>1160.4424143897661</v>
      </c>
      <c r="E1422">
        <f>Dashboard_Live_Data!AB196</f>
        <v>493.59999999999991</v>
      </c>
      <c r="F1422">
        <f>Dashboard_Live_Data!AC196</f>
        <v>2683.9185129860048</v>
      </c>
      <c r="G1422">
        <f>Dashboard_Live_Data!AD196</f>
        <v>493.59999999999991</v>
      </c>
      <c r="H1422">
        <f>Dashboard_Live_Data!AE196</f>
        <v>2642.6025303137526</v>
      </c>
    </row>
    <row r="1423" spans="1:8">
      <c r="A1423">
        <f>Dashboard_Live_Data!X197</f>
        <v>37.5</v>
      </c>
      <c r="B1423">
        <f>Dashboard_Live_Data!Y197</f>
        <v>2678.5625068343511</v>
      </c>
      <c r="C1423">
        <f>Dashboard_Live_Data!Z197</f>
        <v>250</v>
      </c>
      <c r="D1423">
        <f>Dashboard_Live_Data!AA197</f>
        <v>1184.7688552263792</v>
      </c>
      <c r="E1423">
        <f>Dashboard_Live_Data!AB197</f>
        <v>500</v>
      </c>
      <c r="F1423">
        <f>Dashboard_Live_Data!AC197</f>
        <v>2748.1539582175906</v>
      </c>
      <c r="G1423">
        <f>Dashboard_Live_Data!AD197</f>
        <v>500</v>
      </c>
      <c r="H1423">
        <f>Dashboard_Live_Data!AE197</f>
        <v>2707.5008341153157</v>
      </c>
    </row>
    <row r="1424" spans="1:8">
      <c r="A1424">
        <f>Dashboard_Live_Data!X198</f>
        <v>37.980000000000004</v>
      </c>
      <c r="B1424">
        <f>Dashboard_Live_Data!Y198</f>
        <v>2678.7296092144975</v>
      </c>
      <c r="C1424">
        <f>Dashboard_Live_Data!Z198</f>
        <v>253.20000000000005</v>
      </c>
      <c r="D1424">
        <f>Dashboard_Live_Data!AA198</f>
        <v>1208.901125428142</v>
      </c>
      <c r="E1424">
        <f>Dashboard_Live_Data!AB198</f>
        <v>506.40000000000009</v>
      </c>
      <c r="F1424">
        <f>Dashboard_Live_Data!AC198</f>
        <v>2812.6430211949514</v>
      </c>
      <c r="G1424">
        <f>Dashboard_Live_Data!AD198</f>
        <v>506.40000000000009</v>
      </c>
      <c r="H1424">
        <f>Dashboard_Live_Data!AE198</f>
        <v>2772.6612949034916</v>
      </c>
    </row>
    <row r="1425" spans="1:8">
      <c r="A1425">
        <f>Dashboard_Live_Data!X199</f>
        <v>38.519999999999996</v>
      </c>
      <c r="B1425">
        <f>Dashboard_Live_Data!Y199</f>
        <v>2678.9468219985015</v>
      </c>
      <c r="C1425">
        <f>Dashboard_Live_Data!Z199</f>
        <v>256.79999999999995</v>
      </c>
      <c r="D1425">
        <f>Dashboard_Live_Data!AA199</f>
        <v>1236.4423753811409</v>
      </c>
      <c r="E1425">
        <f>Dashboard_Live_Data!AB199</f>
        <v>513.59999999999991</v>
      </c>
      <c r="F1425">
        <f>Dashboard_Live_Data!AC199</f>
        <v>2886.7454611946159</v>
      </c>
      <c r="G1425">
        <f>Dashboard_Live_Data!AD199</f>
        <v>513.59999999999991</v>
      </c>
      <c r="H1425">
        <f>Dashboard_Live_Data!AE199</f>
        <v>2847.5292645016361</v>
      </c>
    </row>
    <row r="1426" spans="1:8">
      <c r="A1426">
        <f>Dashboard_Live_Data!X200</f>
        <v>39</v>
      </c>
      <c r="B1426">
        <f>Dashboard_Live_Data!Y200</f>
        <v>2679.2351279428963</v>
      </c>
      <c r="C1426">
        <f>Dashboard_Live_Data!Z200</f>
        <v>260</v>
      </c>
      <c r="D1426">
        <f>Dashboard_Live_Data!AA200</f>
        <v>1261.9553443495984</v>
      </c>
      <c r="E1426">
        <f>Dashboard_Live_Data!AB200</f>
        <v>520</v>
      </c>
      <c r="F1426">
        <f>Dashboard_Live_Data!AC200</f>
        <v>2953.4833326943167</v>
      </c>
      <c r="G1426">
        <f>Dashboard_Live_Data!AD200</f>
        <v>520</v>
      </c>
      <c r="H1426">
        <f>Dashboard_Live_Data!AE200</f>
        <v>2914.9566796989302</v>
      </c>
    </row>
    <row r="1427" spans="1:8">
      <c r="A1427">
        <f>Dashboard_Live_Data!X201</f>
        <v>39.47999999999999</v>
      </c>
      <c r="B1427">
        <f>Dashboard_Live_Data!Y201</f>
        <v>2679.5429217645637</v>
      </c>
      <c r="C1427">
        <f>Dashboard_Live_Data!Z201</f>
        <v>263.19999999999993</v>
      </c>
      <c r="D1427">
        <f>Dashboard_Live_Data!AA201</f>
        <v>1287.9071431225977</v>
      </c>
      <c r="E1427">
        <f>Dashboard_Live_Data!AB201</f>
        <v>526.39999999999986</v>
      </c>
      <c r="F1427">
        <f>Dashboard_Live_Data!AC201</f>
        <v>3020.5476721756841</v>
      </c>
      <c r="G1427">
        <f>Dashboard_Live_Data!AD201</f>
        <v>526.39999999999986</v>
      </c>
      <c r="H1427">
        <f>Dashboard_Live_Data!AE201</f>
        <v>2982.7191021187282</v>
      </c>
    </row>
    <row r="1428" spans="1:8">
      <c r="A1428">
        <f>Dashboard_Live_Data!X202</f>
        <v>40.019999999999996</v>
      </c>
      <c r="B1428">
        <f>Dashboard_Live_Data!Y202</f>
        <v>2679.9105799026788</v>
      </c>
      <c r="C1428">
        <f>Dashboard_Live_Data!Z202</f>
        <v>266.80000000000007</v>
      </c>
      <c r="D1428">
        <f>Dashboard_Live_Data!AA202</f>
        <v>1316.748844131012</v>
      </c>
      <c r="E1428">
        <f>Dashboard_Live_Data!AB202</f>
        <v>533.60000000000014</v>
      </c>
      <c r="F1428">
        <f>Dashboard_Live_Data!AC202</f>
        <v>3097.7527678159954</v>
      </c>
      <c r="G1428">
        <f>Dashboard_Live_Data!AD202</f>
        <v>533.60000000000014</v>
      </c>
      <c r="H1428">
        <f>Dashboard_Live_Data!AE202</f>
        <v>3060.7197481260864</v>
      </c>
    </row>
    <row r="1429" spans="1:8">
      <c r="A1429">
        <f>Dashboard_Live_Data!X203</f>
        <v>40.5</v>
      </c>
      <c r="B1429">
        <f>Dashboard_Live_Data!Y203</f>
        <v>2680.2698805373798</v>
      </c>
      <c r="C1429">
        <f>Dashboard_Live_Data!Z203</f>
        <v>270</v>
      </c>
      <c r="D1429">
        <f>Dashboard_Live_Data!AA203</f>
        <v>1342.781784912361</v>
      </c>
      <c r="E1429">
        <f>Dashboard_Live_Data!AB203</f>
        <v>540</v>
      </c>
      <c r="F1429">
        <f>Dashboard_Live_Data!AC203</f>
        <v>3166.7358346388191</v>
      </c>
      <c r="G1429">
        <f>Dashboard_Live_Data!AD203</f>
        <v>540</v>
      </c>
      <c r="H1429">
        <f>Dashboard_Live_Data!AE203</f>
        <v>3130.4190437741199</v>
      </c>
    </row>
    <row r="1430" spans="1:8">
      <c r="A1430">
        <f>Dashboard_Live_Data!X204</f>
        <v>40.980000000000004</v>
      </c>
      <c r="B1430">
        <f>Dashboard_Live_Data!Y204</f>
        <v>2680.6154974151013</v>
      </c>
      <c r="C1430">
        <f>Dashboard_Live_Data!Z204</f>
        <v>273.20000000000005</v>
      </c>
      <c r="D1430">
        <f>Dashboard_Live_Data!AA204</f>
        <v>1369.0331480409086</v>
      </c>
      <c r="E1430">
        <f>Dashboard_Live_Data!AB204</f>
        <v>546.40000000000009</v>
      </c>
      <c r="F1430">
        <f>Dashboard_Live_Data!AC204</f>
        <v>3236.5059270244437</v>
      </c>
      <c r="G1430">
        <f>Dashboard_Live_Data!AD204</f>
        <v>546.40000000000009</v>
      </c>
      <c r="H1430">
        <f>Dashboard_Live_Data!AE204</f>
        <v>3200.9139042257916</v>
      </c>
    </row>
    <row r="1431" spans="1:8">
      <c r="A1431">
        <f>Dashboard_Live_Data!X205</f>
        <v>41.519999999999996</v>
      </c>
      <c r="B1431">
        <f>Dashboard_Live_Data!Y205</f>
        <v>2681.0146298396603</v>
      </c>
      <c r="C1431">
        <f>Dashboard_Live_Data!Z205</f>
        <v>276.79999999999995</v>
      </c>
      <c r="D1431">
        <f>Dashboard_Live_Data!AA205</f>
        <v>1399.215260026979</v>
      </c>
      <c r="E1431">
        <f>Dashboard_Live_Data!AB205</f>
        <v>553.59999999999991</v>
      </c>
      <c r="F1431">
        <f>Dashboard_Live_Data!AC205</f>
        <v>3316.5188117920811</v>
      </c>
      <c r="G1431">
        <f>Dashboard_Live_Data!AD205</f>
        <v>553.59999999999991</v>
      </c>
      <c r="H1431">
        <f>Dashboard_Live_Data!AE205</f>
        <v>3281.7523601290445</v>
      </c>
    </row>
    <row r="1432" spans="1:8">
      <c r="A1432">
        <f>Dashboard_Live_Data!X206</f>
        <v>42</v>
      </c>
      <c r="B1432">
        <f>Dashboard_Live_Data!Y206</f>
        <v>2681.3581731791746</v>
      </c>
      <c r="C1432">
        <f>Dashboard_Live_Data!Z206</f>
        <v>280</v>
      </c>
      <c r="D1432">
        <f>Dashboard_Live_Data!AA206</f>
        <v>1426.519680102296</v>
      </c>
      <c r="E1432">
        <f>Dashboard_Live_Data!AB206</f>
        <v>560</v>
      </c>
      <c r="F1432">
        <f>Dashboard_Live_Data!AC206</f>
        <v>3387.654474031865</v>
      </c>
      <c r="G1432">
        <f>Dashboard_Live_Data!AD206</f>
        <v>560</v>
      </c>
      <c r="H1432">
        <f>Dashboard_Live_Data!AE206</f>
        <v>3353.6309363216533</v>
      </c>
    </row>
    <row r="1433" spans="1:8">
      <c r="A1433">
        <f>Dashboard_Live_Data!X207</f>
        <v>42.480000000000004</v>
      </c>
      <c r="B1433">
        <f>Dashboard_Live_Data!Y207</f>
        <v>2681.7323374639054</v>
      </c>
      <c r="C1433">
        <f>Dashboard_Live_Data!Z207</f>
        <v>283.19999999999993</v>
      </c>
      <c r="D1433">
        <f>Dashboard_Live_Data!AA207</f>
        <v>1454.3031298706867</v>
      </c>
      <c r="E1433">
        <f>Dashboard_Live_Data!AB207</f>
        <v>566.39999999999986</v>
      </c>
      <c r="F1433">
        <f>Dashboard_Live_Data!AC207</f>
        <v>3460.2015967853608</v>
      </c>
      <c r="G1433">
        <f>Dashboard_Live_Data!AD207</f>
        <v>566.39999999999986</v>
      </c>
      <c r="H1433">
        <f>Dashboard_Live_Data!AE207</f>
        <v>3426.9295122688118</v>
      </c>
    </row>
    <row r="1434" spans="1:8">
      <c r="A1434">
        <f>Dashboard_Live_Data!X208</f>
        <v>43.02000000000001</v>
      </c>
      <c r="B1434">
        <f>Dashboard_Live_Data!Y208</f>
        <v>2682.021911892592</v>
      </c>
      <c r="C1434">
        <f>Dashboard_Live_Data!Z208</f>
        <v>286.80000000000007</v>
      </c>
      <c r="D1434">
        <f>Dashboard_Live_Data!AA208</f>
        <v>1485.195318540033</v>
      </c>
      <c r="E1434">
        <f>Dashboard_Live_Data!AB208</f>
        <v>573.60000000000014</v>
      </c>
      <c r="F1434">
        <f>Dashboard_Live_Data!AC208</f>
        <v>3542.8247059020114</v>
      </c>
      <c r="G1434">
        <f>Dashboard_Live_Data!AD208</f>
        <v>573.60000000000014</v>
      </c>
      <c r="H1434">
        <f>Dashboard_Live_Data!AE208</f>
        <v>3510.4082132896465</v>
      </c>
    </row>
    <row r="1435" spans="1:8">
      <c r="A1435">
        <f>Dashboard_Live_Data!X209</f>
        <v>43.5</v>
      </c>
      <c r="B1435">
        <f>Dashboard_Live_Data!Y209</f>
        <v>2682.4022174144784</v>
      </c>
      <c r="C1435">
        <f>Dashboard_Live_Data!Z209</f>
        <v>290</v>
      </c>
      <c r="D1435">
        <f>Dashboard_Live_Data!AA209</f>
        <v>1512.9108568074798</v>
      </c>
      <c r="E1435">
        <f>Dashboard_Live_Data!AB209</f>
        <v>580</v>
      </c>
      <c r="F1435">
        <f>Dashboard_Live_Data!AC209</f>
        <v>3616.803052164903</v>
      </c>
      <c r="G1435">
        <f>Dashboard_Live_Data!AD209</f>
        <v>580</v>
      </c>
      <c r="H1435">
        <f>Dashboard_Live_Data!AE209</f>
        <v>3585.1561586329776</v>
      </c>
    </row>
    <row r="1436" spans="1:8">
      <c r="A1436">
        <f>Dashboard_Live_Data!X210</f>
        <v>43.980000000000004</v>
      </c>
      <c r="B1436">
        <f>Dashboard_Live_Data!Y210</f>
        <v>2682.7748799157594</v>
      </c>
      <c r="C1436">
        <f>Dashboard_Live_Data!Z210</f>
        <v>293.20000000000005</v>
      </c>
      <c r="D1436">
        <f>Dashboard_Live_Data!AA210</f>
        <v>1541.4540654481948</v>
      </c>
      <c r="E1436">
        <f>Dashboard_Live_Data!AB210</f>
        <v>586.40000000000009</v>
      </c>
      <c r="F1436">
        <f>Dashboard_Live_Data!AC210</f>
        <v>3692.1830494024643</v>
      </c>
      <c r="G1436">
        <f>Dashboard_Live_Data!AD210</f>
        <v>586.40000000000009</v>
      </c>
      <c r="H1436">
        <f>Dashboard_Live_Data!AE210</f>
        <v>3661.3142941918177</v>
      </c>
    </row>
    <row r="1437" spans="1:8">
      <c r="A1437">
        <f>Dashboard_Live_Data!X211</f>
        <v>44.519999999999996</v>
      </c>
      <c r="B1437">
        <f>Dashboard_Live_Data!Y211</f>
        <v>2683.2285243627853</v>
      </c>
      <c r="C1437">
        <f>Dashboard_Live_Data!Z211</f>
        <v>296.79999999999995</v>
      </c>
      <c r="D1437">
        <f>Dashboard_Live_Data!AA211</f>
        <v>1574.1976338491966</v>
      </c>
      <c r="E1437">
        <f>Dashboard_Live_Data!AB211</f>
        <v>593.59999999999991</v>
      </c>
      <c r="F1437">
        <f>Dashboard_Live_Data!AC211</f>
        <v>3777.6203108286313</v>
      </c>
      <c r="G1437">
        <f>Dashboard_Live_Data!AD211</f>
        <v>593.59999999999991</v>
      </c>
      <c r="H1437">
        <f>Dashboard_Live_Data!AE211</f>
        <v>3747.6371682907366</v>
      </c>
    </row>
    <row r="1438" spans="1:8">
      <c r="A1438">
        <f>Dashboard_Live_Data!X212</f>
        <v>45</v>
      </c>
      <c r="B1438">
        <f>Dashboard_Live_Data!Y212</f>
        <v>2683.5548091604642</v>
      </c>
      <c r="C1438">
        <f>Dashboard_Live_Data!Z212</f>
        <v>300</v>
      </c>
      <c r="D1438">
        <f>Dashboard_Live_Data!AA212</f>
        <v>1603.1443212159713</v>
      </c>
      <c r="E1438">
        <f>Dashboard_Live_Data!AB212</f>
        <v>600</v>
      </c>
      <c r="F1438">
        <f>Dashboard_Live_Data!AC212</f>
        <v>3854.3093981437132</v>
      </c>
      <c r="G1438">
        <f>Dashboard_Live_Data!AD212</f>
        <v>600</v>
      </c>
      <c r="H1438">
        <f>Dashboard_Live_Data!AE212</f>
        <v>3825.1225398138749</v>
      </c>
    </row>
    <row r="1439" spans="1:8">
      <c r="A1439">
        <f>Dashboard_Live_Data!X213</f>
        <v>45.480000000000004</v>
      </c>
      <c r="B1439">
        <f>Dashboard_Live_Data!Y213</f>
        <v>2683.8975540425167</v>
      </c>
      <c r="C1439">
        <f>Dashboard_Live_Data!Z213</f>
        <v>303.20000000000005</v>
      </c>
      <c r="D1439">
        <f>Dashboard_Live_Data!AA213</f>
        <v>1632.5427234407928</v>
      </c>
      <c r="E1439">
        <f>Dashboard_Live_Data!AB213</f>
        <v>606.40000000000009</v>
      </c>
      <c r="F1439">
        <f>Dashboard_Live_Data!AC213</f>
        <v>3932.4165893514773</v>
      </c>
      <c r="G1439">
        <f>Dashboard_Live_Data!AD213</f>
        <v>606.40000000000009</v>
      </c>
      <c r="H1439">
        <f>Dashboard_Live_Data!AE213</f>
        <v>3904.0345544705324</v>
      </c>
    </row>
    <row r="1440" spans="1:8">
      <c r="A1440">
        <f>Dashboard_Live_Data!X214</f>
        <v>46.019999999999996</v>
      </c>
      <c r="B1440">
        <f>Dashboard_Live_Data!Y214</f>
        <v>2684.2763942375609</v>
      </c>
      <c r="C1440">
        <f>Dashboard_Live_Data!Z214</f>
        <v>306.79999999999995</v>
      </c>
      <c r="D1440">
        <f>Dashboard_Live_Data!AA214</f>
        <v>1665.8157365634884</v>
      </c>
      <c r="E1440">
        <f>Dashboard_Live_Data!AB214</f>
        <v>613.59999999999991</v>
      </c>
      <c r="F1440">
        <f>Dashboard_Live_Data!AC214</f>
        <v>4020.5820211383834</v>
      </c>
      <c r="G1440">
        <f>Dashboard_Live_Data!AD214</f>
        <v>613.59999999999991</v>
      </c>
      <c r="H1440">
        <f>Dashboard_Live_Data!AE214</f>
        <v>3993.1156196987595</v>
      </c>
    </row>
    <row r="1441" spans="1:8">
      <c r="A1441">
        <f>Dashboard_Live_Data!X215</f>
        <v>46.5</v>
      </c>
      <c r="B1441">
        <f>Dashboard_Live_Data!Y215</f>
        <v>2684.622731679297</v>
      </c>
      <c r="C1441">
        <f>Dashboard_Live_Data!Z215</f>
        <v>310</v>
      </c>
      <c r="D1441">
        <f>Dashboard_Live_Data!AA215</f>
        <v>1695.9271546505779</v>
      </c>
      <c r="E1441">
        <f>Dashboard_Live_Data!AB215</f>
        <v>620</v>
      </c>
      <c r="F1441">
        <f>Dashboard_Live_Data!AC215</f>
        <v>4100.0862314704727</v>
      </c>
      <c r="G1441">
        <f>Dashboard_Live_Data!AD215</f>
        <v>620</v>
      </c>
      <c r="H1441">
        <f>Dashboard_Live_Data!AE215</f>
        <v>4073.4427993665199</v>
      </c>
    </row>
    <row r="1442" spans="1:8">
      <c r="A1442">
        <f>Dashboard_Live_Data!X216</f>
        <v>46.97999999999999</v>
      </c>
      <c r="B1442">
        <f>Dashboard_Live_Data!Y216</f>
        <v>2684.9589026777235</v>
      </c>
      <c r="C1442">
        <f>Dashboard_Live_Data!Z216</f>
        <v>313.19999999999993</v>
      </c>
      <c r="D1442">
        <f>Dashboard_Live_Data!AA216</f>
        <v>1726.1480175819888</v>
      </c>
      <c r="E1442">
        <f>Dashboard_Live_Data!AB216</f>
        <v>626.39999999999986</v>
      </c>
      <c r="F1442">
        <f>Dashboard_Live_Data!AC216</f>
        <v>4180.5724957116963</v>
      </c>
      <c r="G1442">
        <f>Dashboard_Live_Data!AD216</f>
        <v>626.39999999999986</v>
      </c>
      <c r="H1442">
        <f>Dashboard_Live_Data!AE216</f>
        <v>4154.7605721842538</v>
      </c>
    </row>
    <row r="1443" spans="1:8">
      <c r="A1443">
        <f>Dashboard_Live_Data!X217</f>
        <v>47.519999999999996</v>
      </c>
      <c r="B1443">
        <f>Dashboard_Live_Data!Y217</f>
        <v>2685.3018573956542</v>
      </c>
      <c r="C1443">
        <f>Dashboard_Live_Data!Z217</f>
        <v>316.80000000000007</v>
      </c>
      <c r="D1443">
        <f>Dashboard_Live_Data!AA217</f>
        <v>1760.8952378153272</v>
      </c>
      <c r="E1443">
        <f>Dashboard_Live_Data!AB217</f>
        <v>633.60000000000014</v>
      </c>
      <c r="F1443">
        <f>Dashboard_Live_Data!AC217</f>
        <v>4271.2581348630956</v>
      </c>
      <c r="G1443">
        <f>Dashboard_Live_Data!AD217</f>
        <v>633.60000000000014</v>
      </c>
      <c r="H1443">
        <f>Dashboard_Live_Data!AE217</f>
        <v>4246.39186554554</v>
      </c>
    </row>
    <row r="1444" spans="1:8">
      <c r="A1444">
        <f>Dashboard_Live_Data!X218</f>
        <v>48</v>
      </c>
      <c r="B1444">
        <f>Dashboard_Live_Data!Y218</f>
        <v>2685.6517979163368</v>
      </c>
      <c r="C1444">
        <f>Dashboard_Live_Data!Z218</f>
        <v>320</v>
      </c>
      <c r="D1444">
        <f>Dashboard_Live_Data!AA218</f>
        <v>1792.1092244281049</v>
      </c>
      <c r="E1444">
        <f>Dashboard_Live_Data!AB218</f>
        <v>640</v>
      </c>
      <c r="F1444">
        <f>Dashboard_Live_Data!AC218</f>
        <v>4353.6239154244649</v>
      </c>
      <c r="G1444">
        <f>Dashboard_Live_Data!AD218</f>
        <v>640</v>
      </c>
      <c r="H1444">
        <f>Dashboard_Live_Data!AE218</f>
        <v>4329.6073005701974</v>
      </c>
    </row>
    <row r="1445" spans="1:8">
      <c r="A1445">
        <f>Dashboard_Live_Data!X219</f>
        <v>48.480000000000004</v>
      </c>
      <c r="B1445">
        <f>Dashboard_Live_Data!Y219</f>
        <v>2686.0128380585302</v>
      </c>
      <c r="C1445">
        <f>Dashboard_Live_Data!Z219</f>
        <v>323.20000000000005</v>
      </c>
      <c r="D1445">
        <f>Dashboard_Live_Data!AA219</f>
        <v>1823.4048538981949</v>
      </c>
      <c r="E1445">
        <f>Dashboard_Live_Data!AB219</f>
        <v>646.40000000000009</v>
      </c>
      <c r="F1445">
        <f>Dashboard_Live_Data!AC219</f>
        <v>4436.5284317048536</v>
      </c>
      <c r="G1445">
        <f>Dashboard_Live_Data!AD219</f>
        <v>646.40000000000009</v>
      </c>
      <c r="H1445">
        <f>Dashboard_Live_Data!AE219</f>
        <v>4413.3700105547132</v>
      </c>
    </row>
    <row r="1446" spans="1:8">
      <c r="A1446">
        <f>Dashboard_Live_Data!X220</f>
        <v>49.019999999999996</v>
      </c>
      <c r="B1446">
        <f>Dashboard_Live_Data!Y220</f>
        <v>2686.2620306147478</v>
      </c>
      <c r="C1446">
        <f>Dashboard_Live_Data!Z220</f>
        <v>326.79999999999995</v>
      </c>
      <c r="D1446">
        <f>Dashboard_Live_Data!AA220</f>
        <v>1858.7218553094999</v>
      </c>
      <c r="E1446">
        <f>Dashboard_Live_Data!AB220</f>
        <v>653.59999999999991</v>
      </c>
      <c r="F1446">
        <f>Dashboard_Live_Data!AC220</f>
        <v>4530.3282792832006</v>
      </c>
      <c r="G1446">
        <f>Dashboard_Live_Data!AD220</f>
        <v>653.59999999999991</v>
      </c>
      <c r="H1446">
        <f>Dashboard_Live_Data!AE220</f>
        <v>4508.1455331115139</v>
      </c>
    </row>
    <row r="1447" spans="1:8">
      <c r="A1447">
        <f>Dashboard_Live_Data!X221</f>
        <v>49.5</v>
      </c>
      <c r="B1447">
        <f>Dashboard_Live_Data!Y221</f>
        <v>2686.6904699144197</v>
      </c>
      <c r="C1447">
        <f>Dashboard_Live_Data!Z221</f>
        <v>330</v>
      </c>
      <c r="D1447">
        <f>Dashboard_Live_Data!AA221</f>
        <v>1890.6387614596908</v>
      </c>
      <c r="E1447">
        <f>Dashboard_Live_Data!AB221</f>
        <v>660</v>
      </c>
      <c r="F1447">
        <f>Dashboard_Live_Data!AC221</f>
        <v>4615.4294066950188</v>
      </c>
      <c r="G1447">
        <f>Dashboard_Live_Data!AD221</f>
        <v>660</v>
      </c>
      <c r="H1447">
        <f>Dashboard_Live_Data!AE221</f>
        <v>4594.1230001142367</v>
      </c>
    </row>
    <row r="1448" spans="1:8">
      <c r="A1448">
        <f>Dashboard_Live_Data!X222</f>
        <v>49.980000000000004</v>
      </c>
      <c r="B1448">
        <f>Dashboard_Live_Data!Y222</f>
        <v>2687.075837528585</v>
      </c>
      <c r="C1448">
        <f>Dashboard_Live_Data!Z222</f>
        <v>333.19999999999993</v>
      </c>
      <c r="D1448">
        <f>Dashboard_Live_Data!AA222</f>
        <v>1923.1125076645915</v>
      </c>
      <c r="E1448">
        <f>Dashboard_Live_Data!AB222</f>
        <v>666.39999999999986</v>
      </c>
      <c r="F1448">
        <f>Dashboard_Live_Data!AC222</f>
        <v>4700.4031122124379</v>
      </c>
      <c r="G1448">
        <f>Dashboard_Live_Data!AD222</f>
        <v>666.39999999999986</v>
      </c>
      <c r="H1448">
        <f>Dashboard_Live_Data!AE222</f>
        <v>4679.9815844633977</v>
      </c>
    </row>
    <row r="1449" spans="1:8">
      <c r="A1449">
        <f>Dashboard_Live_Data!X223</f>
        <v>50.52000000000001</v>
      </c>
      <c r="B1449">
        <f>Dashboard_Live_Data!Y223</f>
        <v>2687.5172186847417</v>
      </c>
      <c r="C1449">
        <f>Dashboard_Live_Data!Z223</f>
        <v>336.80000000000007</v>
      </c>
      <c r="D1449">
        <f>Dashboard_Live_Data!AA223</f>
        <v>1960.0763885223253</v>
      </c>
      <c r="E1449">
        <f>Dashboard_Live_Data!AB223</f>
        <v>673.60000000000014</v>
      </c>
      <c r="F1449">
        <f>Dashboard_Live_Data!AC223</f>
        <v>4797.5367354717901</v>
      </c>
      <c r="G1449">
        <f>Dashboard_Live_Data!AD223</f>
        <v>673.60000000000014</v>
      </c>
      <c r="H1449">
        <f>Dashboard_Live_Data!AE223</f>
        <v>4778.1209034697722</v>
      </c>
    </row>
    <row r="1450" spans="1:8">
      <c r="A1450">
        <f>Dashboard_Live_Data!X224</f>
        <v>51</v>
      </c>
      <c r="B1450">
        <f>Dashboard_Live_Data!Y224</f>
        <v>2687.7158781777048</v>
      </c>
      <c r="C1450">
        <f>Dashboard_Live_Data!Z224</f>
        <v>340</v>
      </c>
      <c r="D1450">
        <f>Dashboard_Live_Data!AA224</f>
        <v>1992.8224473858181</v>
      </c>
      <c r="E1450">
        <f>Dashboard_Live_Data!AB224</f>
        <v>680</v>
      </c>
      <c r="F1450">
        <f>Dashboard_Live_Data!AC224</f>
        <v>4885.0168871785563</v>
      </c>
      <c r="G1450">
        <f>Dashboard_Live_Data!AD224</f>
        <v>680</v>
      </c>
      <c r="H1450">
        <f>Dashboard_Live_Data!AE224</f>
        <v>4866.5040798950586</v>
      </c>
    </row>
    <row r="1451" spans="1:8">
      <c r="A1451">
        <f>Dashboard_Live_Data!X225</f>
        <v>51.480000000000004</v>
      </c>
      <c r="B1451">
        <f>Dashboard_Live_Data!Y225</f>
        <v>2688.2272914906202</v>
      </c>
      <c r="C1451">
        <f>Dashboard_Live_Data!Z225</f>
        <v>343.20000000000005</v>
      </c>
      <c r="D1451">
        <f>Dashboard_Live_Data!AA225</f>
        <v>2025.9670355035455</v>
      </c>
      <c r="E1451">
        <f>Dashboard_Live_Data!AB225</f>
        <v>686.40000000000009</v>
      </c>
      <c r="F1451">
        <f>Dashboard_Live_Data!AC225</f>
        <v>4972.4418683291915</v>
      </c>
      <c r="G1451">
        <f>Dashboard_Live_Data!AD225</f>
        <v>686.40000000000009</v>
      </c>
      <c r="H1451">
        <f>Dashboard_Live_Data!AE225</f>
        <v>4954.8406250050512</v>
      </c>
    </row>
    <row r="1452" spans="1:8">
      <c r="A1452">
        <f>Dashboard_Live_Data!X226</f>
        <v>52.019999999999996</v>
      </c>
      <c r="B1452">
        <f>Dashboard_Live_Data!Y226</f>
        <v>2688.5106820417809</v>
      </c>
      <c r="C1452">
        <f>Dashboard_Live_Data!Z226</f>
        <v>346.79999999999995</v>
      </c>
      <c r="D1452">
        <f>Dashboard_Live_Data!AA226</f>
        <v>2063.5225689138215</v>
      </c>
      <c r="E1452">
        <f>Dashboard_Live_Data!AB226</f>
        <v>693.59999999999991</v>
      </c>
      <c r="F1452">
        <f>Dashboard_Live_Data!AC226</f>
        <v>5072.5799317173605</v>
      </c>
      <c r="G1452">
        <f>Dashboard_Live_Data!AD226</f>
        <v>693.59999999999991</v>
      </c>
      <c r="H1452">
        <f>Dashboard_Live_Data!AE226</f>
        <v>5056.0144049088103</v>
      </c>
    </row>
    <row r="1453" spans="1:8">
      <c r="A1453">
        <f>Dashboard_Live_Data!X227</f>
        <v>52.5</v>
      </c>
      <c r="B1453">
        <f>Dashboard_Live_Data!Y227</f>
        <v>2688.8996096964388</v>
      </c>
      <c r="C1453">
        <f>Dashboard_Live_Data!Z227</f>
        <v>350</v>
      </c>
      <c r="D1453">
        <f>Dashboard_Live_Data!AA227</f>
        <v>2097.3953409322794</v>
      </c>
      <c r="E1453">
        <f>Dashboard_Live_Data!AB227</f>
        <v>700</v>
      </c>
      <c r="F1453">
        <f>Dashboard_Live_Data!AC227</f>
        <v>5162.2940643604143</v>
      </c>
      <c r="G1453">
        <f>Dashboard_Live_Data!AD227</f>
        <v>700</v>
      </c>
      <c r="H1453">
        <f>Dashboard_Live_Data!AE227</f>
        <v>5146.6582473980006</v>
      </c>
    </row>
    <row r="1454" spans="1:8">
      <c r="A1454">
        <f>Dashboard_Live_Data!X228</f>
        <v>52.980000000000004</v>
      </c>
      <c r="B1454">
        <f>Dashboard_Live_Data!Y228</f>
        <v>2689.4096505813941</v>
      </c>
      <c r="C1454">
        <f>Dashboard_Live_Data!Z228</f>
        <v>353.20000000000005</v>
      </c>
      <c r="D1454">
        <f>Dashboard_Live_Data!AA228</f>
        <v>2131.8969934042402</v>
      </c>
      <c r="E1454">
        <f>Dashboard_Live_Data!AB228</f>
        <v>706.40000000000009</v>
      </c>
      <c r="F1454">
        <f>Dashboard_Live_Data!AC228</f>
        <v>5252.466158272302</v>
      </c>
      <c r="G1454">
        <f>Dashboard_Live_Data!AD228</f>
        <v>706.40000000000009</v>
      </c>
      <c r="H1454">
        <f>Dashboard_Live_Data!AE228</f>
        <v>5237.7685903968631</v>
      </c>
    </row>
    <row r="1455" spans="1:8">
      <c r="A1455">
        <f>Dashboard_Live_Data!X229</f>
        <v>53.519999999999996</v>
      </c>
      <c r="B1455">
        <f>Dashboard_Live_Data!Y229</f>
        <v>2689.7775551001491</v>
      </c>
      <c r="C1455">
        <f>Dashboard_Live_Data!Z229</f>
        <v>356.79999999999995</v>
      </c>
      <c r="D1455">
        <f>Dashboard_Live_Data!AA229</f>
        <v>2170.9661833407722</v>
      </c>
      <c r="E1455">
        <f>Dashboard_Live_Data!AB229</f>
        <v>713.59999999999991</v>
      </c>
      <c r="F1455">
        <f>Dashboard_Live_Data!AC229</f>
        <v>5355.5487004070555</v>
      </c>
      <c r="G1455">
        <f>Dashboard_Live_Data!AD229</f>
        <v>713.59999999999991</v>
      </c>
      <c r="H1455">
        <f>Dashboard_Live_Data!AE229</f>
        <v>5341.9168698157728</v>
      </c>
    </row>
    <row r="1456" spans="1:8">
      <c r="A1456">
        <f>Dashboard_Live_Data!X230</f>
        <v>54</v>
      </c>
      <c r="B1456">
        <f>Dashboard_Live_Data!Y230</f>
        <v>2690.180103448934</v>
      </c>
      <c r="C1456">
        <f>Dashboard_Live_Data!Z230</f>
        <v>360</v>
      </c>
      <c r="D1456">
        <f>Dashboard_Live_Data!AA230</f>
        <v>2205.507336392368</v>
      </c>
      <c r="E1456">
        <f>Dashboard_Live_Data!AB230</f>
        <v>720</v>
      </c>
      <c r="F1456">
        <f>Dashboard_Live_Data!AC230</f>
        <v>5447.708509483361</v>
      </c>
      <c r="G1456">
        <f>Dashboard_Live_Data!AD230</f>
        <v>720</v>
      </c>
      <c r="H1456">
        <f>Dashboard_Live_Data!AE230</f>
        <v>5435.0330738658304</v>
      </c>
    </row>
    <row r="1457" spans="1:8">
      <c r="A1457">
        <f>Dashboard_Live_Data!X231</f>
        <v>54.47999999999999</v>
      </c>
      <c r="B1457">
        <f>Dashboard_Live_Data!Y231</f>
        <v>2690.4336269311352</v>
      </c>
      <c r="C1457">
        <f>Dashboard_Live_Data!Z231</f>
        <v>363.19999999999993</v>
      </c>
      <c r="D1457">
        <f>Dashboard_Live_Data!AA231</f>
        <v>2240.2514311454929</v>
      </c>
      <c r="E1457">
        <f>Dashboard_Live_Data!AB231</f>
        <v>726.39999999999986</v>
      </c>
      <c r="F1457">
        <f>Dashboard_Live_Data!AC231</f>
        <v>5540.6835798491593</v>
      </c>
      <c r="G1457">
        <f>Dashboard_Live_Data!AD231</f>
        <v>726.39999999999986</v>
      </c>
      <c r="H1457">
        <f>Dashboard_Live_Data!AE231</f>
        <v>5528.973078446219</v>
      </c>
    </row>
    <row r="1458" spans="1:8">
      <c r="A1458">
        <f>Dashboard_Live_Data!X232</f>
        <v>55.019999999999996</v>
      </c>
      <c r="B1458">
        <f>Dashboard_Live_Data!Y232</f>
        <v>2690.9276507302575</v>
      </c>
      <c r="C1458">
        <f>Dashboard_Live_Data!Z232</f>
        <v>366.80000000000007</v>
      </c>
      <c r="D1458">
        <f>Dashboard_Live_Data!AA232</f>
        <v>2280.4144483255877</v>
      </c>
      <c r="E1458">
        <f>Dashboard_Live_Data!AB232</f>
        <v>733.60000000000014</v>
      </c>
      <c r="F1458">
        <f>Dashboard_Live_Data!AC232</f>
        <v>5646.9615366363732</v>
      </c>
      <c r="G1458">
        <f>Dashboard_Live_Data!AD232</f>
        <v>733.60000000000014</v>
      </c>
      <c r="H1458">
        <f>Dashboard_Live_Data!AE232</f>
        <v>5636.3467932861586</v>
      </c>
    </row>
    <row r="1459" spans="1:8">
      <c r="A1459">
        <f>Dashboard_Live_Data!X233</f>
        <v>55.5</v>
      </c>
      <c r="B1459">
        <f>Dashboard_Live_Data!Y233</f>
        <v>2691.3888413715872</v>
      </c>
      <c r="C1459">
        <f>Dashboard_Live_Data!Z233</f>
        <v>370</v>
      </c>
      <c r="D1459">
        <f>Dashboard_Live_Data!AA233</f>
        <v>2316.8487948622892</v>
      </c>
      <c r="E1459">
        <f>Dashboard_Live_Data!AB233</f>
        <v>740</v>
      </c>
      <c r="F1459">
        <f>Dashboard_Live_Data!AC233</f>
        <v>5741.5267452040116</v>
      </c>
      <c r="G1459">
        <f>Dashboard_Live_Data!AD233</f>
        <v>740</v>
      </c>
      <c r="H1459">
        <f>Dashboard_Live_Data!AE233</f>
        <v>5731.8950819551656</v>
      </c>
    </row>
    <row r="1460" spans="1:8">
      <c r="A1460">
        <f>Dashboard_Live_Data!X234</f>
        <v>55.980000000000004</v>
      </c>
      <c r="B1460">
        <f>Dashboard_Live_Data!Y234</f>
        <v>2691.6986261121306</v>
      </c>
      <c r="C1460">
        <f>Dashboard_Live_Data!Z234</f>
        <v>373.20000000000005</v>
      </c>
      <c r="D1460">
        <f>Dashboard_Live_Data!AA234</f>
        <v>2352.98151407561</v>
      </c>
      <c r="E1460">
        <f>Dashboard_Live_Data!AB234</f>
        <v>746.40000000000009</v>
      </c>
      <c r="F1460">
        <f>Dashboard_Live_Data!AC234</f>
        <v>5837.5354061440466</v>
      </c>
      <c r="G1460">
        <f>Dashboard_Live_Data!AD234</f>
        <v>746.40000000000009</v>
      </c>
      <c r="H1460">
        <f>Dashboard_Live_Data!AE234</f>
        <v>5828.8953622374065</v>
      </c>
    </row>
    <row r="1461" spans="1:8">
      <c r="A1461">
        <f>Dashboard_Live_Data!X235</f>
        <v>56.519999999999996</v>
      </c>
      <c r="B1461">
        <f>Dashboard_Live_Data!Y235</f>
        <v>2692.1773075299916</v>
      </c>
      <c r="C1461">
        <f>Dashboard_Live_Data!Z235</f>
        <v>376.79999999999995</v>
      </c>
      <c r="D1461">
        <f>Dashboard_Live_Data!AA235</f>
        <v>2393.9029324782355</v>
      </c>
      <c r="E1461">
        <f>Dashboard_Live_Data!AB235</f>
        <v>753.59999999999991</v>
      </c>
      <c r="F1461">
        <f>Dashboard_Live_Data!AC235</f>
        <v>5946.3583069671922</v>
      </c>
      <c r="G1461">
        <f>Dashboard_Live_Data!AD235</f>
        <v>753.59999999999991</v>
      </c>
      <c r="H1461">
        <f>Dashboard_Live_Data!AE235</f>
        <v>5938.8440418818445</v>
      </c>
    </row>
    <row r="1462" spans="1:8">
      <c r="A1462">
        <f>Dashboard_Live_Data!X236</f>
        <v>57</v>
      </c>
      <c r="B1462">
        <f>Dashboard_Live_Data!Y236</f>
        <v>2692.4732471371608</v>
      </c>
      <c r="C1462">
        <f>Dashboard_Live_Data!Z236</f>
        <v>380</v>
      </c>
      <c r="D1462">
        <f>Dashboard_Live_Data!AA236</f>
        <v>2430.6174452908381</v>
      </c>
      <c r="E1462">
        <f>Dashboard_Live_Data!AB236</f>
        <v>760</v>
      </c>
      <c r="F1462">
        <f>Dashboard_Live_Data!AC236</f>
        <v>6043.4383091821073</v>
      </c>
      <c r="G1462">
        <f>Dashboard_Live_Data!AD236</f>
        <v>760</v>
      </c>
      <c r="H1462">
        <f>Dashboard_Live_Data!AE236</f>
        <v>6036.9338093257429</v>
      </c>
    </row>
    <row r="1463" spans="1:8">
      <c r="A1463">
        <f>Dashboard_Live_Data!X237</f>
        <v>57.480000000000004</v>
      </c>
      <c r="B1463">
        <f>Dashboard_Live_Data!Y237</f>
        <v>2692.8575699494995</v>
      </c>
      <c r="C1463">
        <f>Dashboard_Live_Data!Z237</f>
        <v>383.19999999999993</v>
      </c>
      <c r="D1463">
        <f>Dashboard_Live_Data!AA237</f>
        <v>2467.7068528864479</v>
      </c>
      <c r="E1463">
        <f>Dashboard_Live_Data!AB237</f>
        <v>766.39999999999986</v>
      </c>
      <c r="F1463">
        <f>Dashboard_Live_Data!AC237</f>
        <v>6142.1454666172249</v>
      </c>
      <c r="G1463">
        <f>Dashboard_Live_Data!AD237</f>
        <v>766.39999999999986</v>
      </c>
      <c r="H1463">
        <f>Dashboard_Live_Data!AE237</f>
        <v>6136.659271230682</v>
      </c>
    </row>
    <row r="1464" spans="1:8">
      <c r="A1464">
        <f>Dashboard_Live_Data!X238</f>
        <v>58.02000000000001</v>
      </c>
      <c r="B1464">
        <f>Dashboard_Live_Data!Y238</f>
        <v>2693.24758219057</v>
      </c>
      <c r="C1464">
        <f>Dashboard_Live_Data!Z238</f>
        <v>386.80000000000007</v>
      </c>
      <c r="D1464">
        <f>Dashboard_Live_Data!AA238</f>
        <v>2510.2037437880058</v>
      </c>
      <c r="E1464">
        <f>Dashboard_Live_Data!AB238</f>
        <v>773.60000000000014</v>
      </c>
      <c r="F1464">
        <f>Dashboard_Live_Data!AC238</f>
        <v>6253.2838479641896</v>
      </c>
      <c r="G1464">
        <f>Dashboard_Live_Data!AD238</f>
        <v>773.60000000000014</v>
      </c>
      <c r="H1464">
        <f>Dashboard_Live_Data!AE238</f>
        <v>6248.9534521675077</v>
      </c>
    </row>
    <row r="1465" spans="1:8">
      <c r="A1465">
        <f>Dashboard_Live_Data!X239</f>
        <v>58.5</v>
      </c>
      <c r="B1465">
        <f>Dashboard_Live_Data!Y239</f>
        <v>2693.6906778520884</v>
      </c>
      <c r="C1465">
        <f>Dashboard_Live_Data!Z239</f>
        <v>390</v>
      </c>
      <c r="D1465">
        <f>Dashboard_Live_Data!AA239</f>
        <v>2548.3058851808387</v>
      </c>
      <c r="E1465">
        <f>Dashboard_Live_Data!AB239</f>
        <v>780</v>
      </c>
      <c r="F1465">
        <f>Dashboard_Live_Data!AC239</f>
        <v>6353.0935741374824</v>
      </c>
      <c r="G1465">
        <f>Dashboard_Live_Data!AD239</f>
        <v>780</v>
      </c>
      <c r="H1465">
        <f>Dashboard_Live_Data!AE239</f>
        <v>6349.7996286974003</v>
      </c>
    </row>
    <row r="1466" spans="1:8">
      <c r="A1466">
        <f>Dashboard_Live_Data!X240</f>
        <v>58.980000000000004</v>
      </c>
      <c r="B1466">
        <f>Dashboard_Live_Data!Y240</f>
        <v>2694.0752882831848</v>
      </c>
      <c r="C1466">
        <f>Dashboard_Live_Data!Z240</f>
        <v>393.20000000000005</v>
      </c>
      <c r="D1466">
        <f>Dashboard_Live_Data!AA240</f>
        <v>2586.4616875610482</v>
      </c>
      <c r="E1466">
        <f>Dashboard_Live_Data!AB240</f>
        <v>786.40000000000009</v>
      </c>
      <c r="F1466">
        <f>Dashboard_Live_Data!AC240</f>
        <v>6454.2131231685853</v>
      </c>
      <c r="G1466">
        <f>Dashboard_Live_Data!AD240</f>
        <v>786.40000000000009</v>
      </c>
      <c r="H1466">
        <f>Dashboard_Live_Data!AE240</f>
        <v>6451.9641673259403</v>
      </c>
    </row>
    <row r="1467" spans="1:8">
      <c r="A1467">
        <f>Dashboard_Live_Data!X241</f>
        <v>59.519999999999996</v>
      </c>
      <c r="B1467">
        <f>Dashboard_Live_Data!Y241</f>
        <v>2694.6263803403031</v>
      </c>
      <c r="C1467">
        <f>Dashboard_Live_Data!Z241</f>
        <v>396.79999999999995</v>
      </c>
      <c r="D1467">
        <f>Dashboard_Live_Data!AA241</f>
        <v>2629.5885025696607</v>
      </c>
      <c r="E1467">
        <f>Dashboard_Live_Data!AB241</f>
        <v>793.59999999999991</v>
      </c>
      <c r="F1467">
        <f>Dashboard_Live_Data!AC241</f>
        <v>6568.2867749412108</v>
      </c>
      <c r="G1467">
        <f>Dashboard_Live_Data!AD241</f>
        <v>793.59999999999991</v>
      </c>
      <c r="H1467">
        <f>Dashboard_Live_Data!AE241</f>
        <v>6567.2236394569945</v>
      </c>
    </row>
    <row r="1468" spans="1:8">
      <c r="A1468">
        <f>Dashboard_Live_Data!X242</f>
        <v>60</v>
      </c>
      <c r="B1468">
        <f>Dashboard_Live_Data!Y242</f>
        <v>2694.9851144626914</v>
      </c>
      <c r="C1468">
        <f>Dashboard_Live_Data!Z242</f>
        <v>400</v>
      </c>
      <c r="D1468">
        <f>Dashboard_Live_Data!AA242</f>
        <v>2668.3506217177705</v>
      </c>
      <c r="E1468">
        <f>Dashboard_Live_Data!AB242</f>
        <v>800</v>
      </c>
      <c r="F1468">
        <f>Dashboard_Live_Data!AC242</f>
        <v>6670.9703513931627</v>
      </c>
      <c r="G1468">
        <f>Dashboard_Live_Data!AD242</f>
        <v>800</v>
      </c>
      <c r="H1468">
        <f>Dashboard_Live_Data!AE242</f>
        <v>6670.9703513931627</v>
      </c>
    </row>
    <row r="1471" spans="1:8">
      <c r="A1471" t="s">
        <v>1085</v>
      </c>
    </row>
    <row r="1472" spans="1:8">
      <c r="A1472" t="s">
        <v>1064</v>
      </c>
      <c r="B1472" t="s">
        <v>1065</v>
      </c>
      <c r="C1472" t="s">
        <v>1066</v>
      </c>
      <c r="D1472" t="s">
        <v>1067</v>
      </c>
      <c r="E1472" t="s">
        <v>1068</v>
      </c>
      <c r="F1472" t="s">
        <v>1069</v>
      </c>
      <c r="G1472" t="s">
        <v>1070</v>
      </c>
      <c r="H1472" t="s">
        <v>1071</v>
      </c>
    </row>
    <row r="1473" spans="1:8">
      <c r="A1473">
        <f>Dashboard_Live_Data!AG2</f>
        <v>-60</v>
      </c>
      <c r="B1473">
        <f>Dashboard_Live_Data!AH2</f>
        <v>2738.7528797589603</v>
      </c>
      <c r="C1473">
        <f>Dashboard_Live_Data!AI2</f>
        <v>-400</v>
      </c>
      <c r="D1473">
        <f>Dashboard_Live_Data!AJ2</f>
        <v>4006.5669904921833</v>
      </c>
      <c r="E1473">
        <f>Dashboard_Live_Data!AK2</f>
        <v>-800</v>
      </c>
      <c r="F1473">
        <f>Dashboard_Live_Data!AL2</f>
        <v>9500.9899232733605</v>
      </c>
      <c r="G1473">
        <f>Dashboard_Live_Data!AM2</f>
        <v>-800</v>
      </c>
      <c r="H1473">
        <f>Dashboard_Live_Data!AN2</f>
        <v>9500.9899232733605</v>
      </c>
    </row>
    <row r="1474" spans="1:8">
      <c r="A1474">
        <f>Dashboard_Live_Data!AG3</f>
        <v>-59.519999999999996</v>
      </c>
      <c r="B1474">
        <f>Dashboard_Live_Data!AH3</f>
        <v>2737.7462241092339</v>
      </c>
      <c r="C1474">
        <f>Dashboard_Live_Data!AI3</f>
        <v>-396.8</v>
      </c>
      <c r="D1474">
        <f>Dashboard_Live_Data!AJ3</f>
        <v>3959.7846663670321</v>
      </c>
      <c r="E1474">
        <f>Dashboard_Live_Data!AK3</f>
        <v>-793.6</v>
      </c>
      <c r="F1474">
        <f>Dashboard_Live_Data!AL3</f>
        <v>9376.9488060561434</v>
      </c>
      <c r="G1474">
        <f>Dashboard_Live_Data!AM3</f>
        <v>-793.6</v>
      </c>
      <c r="H1474">
        <f>Dashboard_Live_Data!AN3</f>
        <v>9376.0545934952825</v>
      </c>
    </row>
    <row r="1475" spans="1:8">
      <c r="A1475">
        <f>Dashboard_Live_Data!AG4</f>
        <v>-58.98</v>
      </c>
      <c r="B1475">
        <f>Dashboard_Live_Data!AH4</f>
        <v>2736.6230846331491</v>
      </c>
      <c r="C1475">
        <f>Dashboard_Live_Data!AI4</f>
        <v>-393.2</v>
      </c>
      <c r="D1475">
        <f>Dashboard_Live_Data!AJ4</f>
        <v>3907.5201435523309</v>
      </c>
      <c r="E1475">
        <f>Dashboard_Live_Data!AK4</f>
        <v>-786.4</v>
      </c>
      <c r="F1475">
        <f>Dashboard_Live_Data!AL4</f>
        <v>9238.4874028396462</v>
      </c>
      <c r="G1475">
        <f>Dashboard_Live_Data!AM4</f>
        <v>-786.4</v>
      </c>
      <c r="H1475">
        <f>Dashboard_Live_Data!AN4</f>
        <v>9236.6010042814323</v>
      </c>
    </row>
    <row r="1476" spans="1:8">
      <c r="A1476">
        <f>Dashboard_Live_Data!AG5</f>
        <v>-58.5</v>
      </c>
      <c r="B1476">
        <f>Dashboard_Live_Data!AH5</f>
        <v>2735.6330546630293</v>
      </c>
      <c r="C1476">
        <f>Dashboard_Live_Data!AI5</f>
        <v>-390</v>
      </c>
      <c r="D1476">
        <f>Dashboard_Live_Data!AJ5</f>
        <v>3861.3869170271155</v>
      </c>
      <c r="E1476">
        <f>Dashboard_Live_Data!AK5</f>
        <v>-780</v>
      </c>
      <c r="F1476">
        <f>Dashboard_Live_Data!AL5</f>
        <v>9116.3739007837139</v>
      </c>
      <c r="G1476">
        <f>Dashboard_Live_Data!AM5</f>
        <v>-780</v>
      </c>
      <c r="H1476">
        <f>Dashboard_Live_Data!AN5</f>
        <v>9113.617881954191</v>
      </c>
    </row>
    <row r="1477" spans="1:8">
      <c r="A1477">
        <f>Dashboard_Live_Data!AG6</f>
        <v>-58.019999999999996</v>
      </c>
      <c r="B1477">
        <f>Dashboard_Live_Data!AH6</f>
        <v>2734.6508580754062</v>
      </c>
      <c r="C1477">
        <f>Dashboard_Live_Data!AI6</f>
        <v>-386.8</v>
      </c>
      <c r="D1477">
        <f>Dashboard_Live_Data!AJ6</f>
        <v>3815.5579418876782</v>
      </c>
      <c r="E1477">
        <f>Dashboard_Live_Data!AK6</f>
        <v>-773.6</v>
      </c>
      <c r="F1477">
        <f>Dashboard_Live_Data!AL6</f>
        <v>8995.1660445283178</v>
      </c>
      <c r="G1477">
        <f>Dashboard_Live_Data!AM6</f>
        <v>-773.6</v>
      </c>
      <c r="H1477">
        <f>Dashboard_Live_Data!AN6</f>
        <v>8991.5520543354905</v>
      </c>
    </row>
    <row r="1478" spans="1:8">
      <c r="A1478">
        <f>Dashboard_Live_Data!AG7</f>
        <v>-57.48</v>
      </c>
      <c r="B1478">
        <f>Dashboard_Live_Data!AH7</f>
        <v>2733.5552577832691</v>
      </c>
      <c r="C1478">
        <f>Dashboard_Live_Data!AI7</f>
        <v>-383.2</v>
      </c>
      <c r="D1478">
        <f>Dashboard_Live_Data!AJ7</f>
        <v>3764.3630333251954</v>
      </c>
      <c r="E1478">
        <f>Dashboard_Live_Data!AK7</f>
        <v>-766.4</v>
      </c>
      <c r="F1478">
        <f>Dashboard_Live_Data!AL7</f>
        <v>8859.8885063548314</v>
      </c>
      <c r="G1478">
        <f>Dashboard_Live_Data!AM7</f>
        <v>-766.4</v>
      </c>
      <c r="H1478">
        <f>Dashboard_Live_Data!AN7</f>
        <v>8855.3232842094876</v>
      </c>
    </row>
    <row r="1479" spans="1:8">
      <c r="A1479">
        <f>Dashboard_Live_Data!AG8</f>
        <v>-57</v>
      </c>
      <c r="B1479">
        <f>Dashboard_Live_Data!AH8</f>
        <v>2732.5897271659751</v>
      </c>
      <c r="C1479">
        <f>Dashboard_Live_Data!AI8</f>
        <v>-380</v>
      </c>
      <c r="D1479">
        <f>Dashboard_Live_Data!AJ8</f>
        <v>3719.1779432130656</v>
      </c>
      <c r="E1479">
        <f>Dashboard_Live_Data!AK8</f>
        <v>-760</v>
      </c>
      <c r="F1479">
        <f>Dashboard_Live_Data!AL8</f>
        <v>8740.6018276314735</v>
      </c>
      <c r="G1479">
        <f>Dashboard_Live_Data!AM8</f>
        <v>-760</v>
      </c>
      <c r="H1479">
        <f>Dashboard_Live_Data!AN8</f>
        <v>8735.2035534356819</v>
      </c>
    </row>
    <row r="1480" spans="1:8">
      <c r="A1480">
        <f>Dashboard_Live_Data!AG9</f>
        <v>-56.519999999999996</v>
      </c>
      <c r="B1480">
        <f>Dashboard_Live_Data!AH9</f>
        <v>2731.6320487010912</v>
      </c>
      <c r="C1480">
        <f>Dashboard_Live_Data!AI9</f>
        <v>-376.79999999999995</v>
      </c>
      <c r="D1480">
        <f>Dashboard_Live_Data!AJ9</f>
        <v>3674.2945786544519</v>
      </c>
      <c r="E1480">
        <f>Dashboard_Live_Data!AK9</f>
        <v>-753.59999999999991</v>
      </c>
      <c r="F1480">
        <f>Dashboard_Live_Data!AL9</f>
        <v>8622.2175923928862</v>
      </c>
      <c r="G1480">
        <f>Dashboard_Live_Data!AM9</f>
        <v>-753.59999999999991</v>
      </c>
      <c r="H1480">
        <f>Dashboard_Live_Data!AN9</f>
        <v>8615.9980720706571</v>
      </c>
    </row>
    <row r="1481" spans="1:8">
      <c r="A1481">
        <f>Dashboard_Live_Data!AG10</f>
        <v>-55.980000000000004</v>
      </c>
      <c r="B1481">
        <f>Dashboard_Live_Data!AH10</f>
        <v>2730.5640535799016</v>
      </c>
      <c r="C1481">
        <f>Dashboard_Live_Data!AI10</f>
        <v>-373.20000000000005</v>
      </c>
      <c r="D1481">
        <f>Dashboard_Live_Data!AJ10</f>
        <v>3624.1604034921179</v>
      </c>
      <c r="E1481">
        <f>Dashboard_Live_Data!AK10</f>
        <v>-746.40000000000009</v>
      </c>
      <c r="F1481">
        <f>Dashboard_Live_Data!AL10</f>
        <v>8490.1126571758014</v>
      </c>
      <c r="G1481">
        <f>Dashboard_Live_Data!AM10</f>
        <v>-746.40000000000009</v>
      </c>
      <c r="H1481">
        <f>Dashboard_Live_Data!AN10</f>
        <v>8482.9834109222265</v>
      </c>
    </row>
    <row r="1482" spans="1:8">
      <c r="A1482">
        <f>Dashboard_Live_Data!AG11</f>
        <v>-55.5</v>
      </c>
      <c r="B1482">
        <f>Dashboard_Live_Data!AH11</f>
        <v>2729.6230805624396</v>
      </c>
      <c r="C1482">
        <f>Dashboard_Live_Data!AI11</f>
        <v>-370</v>
      </c>
      <c r="D1482">
        <f>Dashboard_Live_Data!AJ11</f>
        <v>3579.915397473851</v>
      </c>
      <c r="E1482">
        <f>Dashboard_Live_Data!AK11</f>
        <v>-740</v>
      </c>
      <c r="F1482">
        <f>Dashboard_Live_Data!AL11</f>
        <v>8373.6424099258602</v>
      </c>
      <c r="G1482">
        <f>Dashboard_Live_Data!AM11</f>
        <v>-740</v>
      </c>
      <c r="H1482">
        <f>Dashboard_Live_Data!AN11</f>
        <v>8365.7171770078276</v>
      </c>
    </row>
    <row r="1483" spans="1:8">
      <c r="A1483">
        <f>Dashboard_Live_Data!AG12</f>
        <v>-55.02</v>
      </c>
      <c r="B1483">
        <f>Dashboard_Live_Data!AH12</f>
        <v>2728.6899780807412</v>
      </c>
      <c r="C1483">
        <f>Dashboard_Live_Data!AI12</f>
        <v>-366.8</v>
      </c>
      <c r="D1483">
        <f>Dashboard_Live_Data!AJ12</f>
        <v>3535.9694398561164</v>
      </c>
      <c r="E1483">
        <f>Dashboard_Live_Data!AK12</f>
        <v>-733.6</v>
      </c>
      <c r="F1483">
        <f>Dashboard_Live_Data!AL12</f>
        <v>8258.0710351577345</v>
      </c>
      <c r="G1483">
        <f>Dashboard_Live_Data!AM12</f>
        <v>-733.6</v>
      </c>
      <c r="H1483">
        <f>Dashboard_Live_Data!AN12</f>
        <v>8249.3617845544723</v>
      </c>
    </row>
    <row r="1484" spans="1:8">
      <c r="A1484">
        <f>Dashboard_Live_Data!AG13</f>
        <v>-54.480000000000004</v>
      </c>
      <c r="B1484">
        <f>Dashboard_Live_Data!AH13</f>
        <v>2727.6496527585241</v>
      </c>
      <c r="C1484">
        <f>Dashboard_Live_Data!AI13</f>
        <v>-363.2</v>
      </c>
      <c r="D1484">
        <f>Dashboard_Live_Data!AJ13</f>
        <v>3486.8865852502836</v>
      </c>
      <c r="E1484">
        <f>Dashboard_Live_Data!AK13</f>
        <v>-726.4</v>
      </c>
      <c r="F1484">
        <f>Dashboard_Live_Data!AL13</f>
        <v>8129.1261442908717</v>
      </c>
      <c r="G1484">
        <f>Dashboard_Live_Data!AM13</f>
        <v>-726.4</v>
      </c>
      <c r="H1484">
        <f>Dashboard_Live_Data!AN13</f>
        <v>8119.5492469653982</v>
      </c>
    </row>
    <row r="1485" spans="1:8">
      <c r="A1485">
        <f>Dashboard_Live_Data!AG14</f>
        <v>-54</v>
      </c>
      <c r="B1485">
        <f>Dashboard_Live_Data!AH14</f>
        <v>2726.7332943721008</v>
      </c>
      <c r="C1485">
        <f>Dashboard_Live_Data!AI14</f>
        <v>-360</v>
      </c>
      <c r="D1485">
        <f>Dashboard_Live_Data!AJ14</f>
        <v>3443.5731304663896</v>
      </c>
      <c r="E1485">
        <f>Dashboard_Live_Data!AK14</f>
        <v>-720</v>
      </c>
      <c r="F1485">
        <f>Dashboard_Live_Data!AL14</f>
        <v>8015.4607514084237</v>
      </c>
      <c r="G1485">
        <f>Dashboard_Live_Data!AM14</f>
        <v>-720</v>
      </c>
      <c r="H1485">
        <f>Dashboard_Live_Data!AN14</f>
        <v>8005.1254484618212</v>
      </c>
    </row>
    <row r="1486" spans="1:8">
      <c r="A1486">
        <f>Dashboard_Live_Data!AG15</f>
        <v>-53.52</v>
      </c>
      <c r="B1486">
        <f>Dashboard_Live_Data!AH15</f>
        <v>2725.8248245109639</v>
      </c>
      <c r="C1486">
        <f>Dashboard_Live_Data!AI15</f>
        <v>-356.8</v>
      </c>
      <c r="D1486">
        <f>Dashboard_Live_Data!AJ15</f>
        <v>3400.5558883978983</v>
      </c>
      <c r="E1486">
        <f>Dashboard_Live_Data!AK15</f>
        <v>-713.6</v>
      </c>
      <c r="F1486">
        <f>Dashboard_Live_Data!AL15</f>
        <v>7902.6902595707297</v>
      </c>
      <c r="G1486">
        <f>Dashboard_Live_Data!AM15</f>
        <v>-713.6</v>
      </c>
      <c r="H1486">
        <f>Dashboard_Live_Data!AN15</f>
        <v>7891.6086886825724</v>
      </c>
    </row>
    <row r="1487" spans="1:8">
      <c r="A1487">
        <f>Dashboard_Live_Data!AG16</f>
        <v>-52.980000000000004</v>
      </c>
      <c r="B1487">
        <f>Dashboard_Live_Data!AH16</f>
        <v>2724.8122322311165</v>
      </c>
      <c r="C1487">
        <f>Dashboard_Live_Data!AI16</f>
        <v>-353.2</v>
      </c>
      <c r="D1487">
        <f>Dashboard_Live_Data!AJ16</f>
        <v>3352.5143841718163</v>
      </c>
      <c r="E1487">
        <f>Dashboard_Live_Data!AK16</f>
        <v>-706.4</v>
      </c>
      <c r="F1487">
        <f>Dashboard_Live_Data!AL16</f>
        <v>7776.8914462931525</v>
      </c>
      <c r="G1487">
        <f>Dashboard_Live_Data!AM16</f>
        <v>-706.4</v>
      </c>
      <c r="H1487">
        <f>Dashboard_Live_Data!AN16</f>
        <v>7764.9849009013669</v>
      </c>
    </row>
    <row r="1488" spans="1:8">
      <c r="A1488">
        <f>Dashboard_Live_Data!AG17</f>
        <v>-52.5</v>
      </c>
      <c r="B1488">
        <f>Dashboard_Live_Data!AH17</f>
        <v>2723.920544268542</v>
      </c>
      <c r="C1488">
        <f>Dashboard_Live_Data!AI17</f>
        <v>-350</v>
      </c>
      <c r="D1488">
        <f>Dashboard_Live_Data!AJ17</f>
        <v>3310.1234447175161</v>
      </c>
      <c r="E1488">
        <f>Dashboard_Live_Data!AK17</f>
        <v>-700</v>
      </c>
      <c r="F1488">
        <f>Dashboard_Live_Data!AL17</f>
        <v>7666.0180432897014</v>
      </c>
      <c r="G1488">
        <f>Dashboard_Live_Data!AM17</f>
        <v>-700</v>
      </c>
      <c r="H1488">
        <f>Dashboard_Live_Data!AN17</f>
        <v>7653.3912060529701</v>
      </c>
    </row>
    <row r="1489" spans="1:8">
      <c r="A1489">
        <f>Dashboard_Live_Data!AG18</f>
        <v>-52.019999999999996</v>
      </c>
      <c r="B1489">
        <f>Dashboard_Live_Data!AH18</f>
        <v>2723.0367624197406</v>
      </c>
      <c r="C1489">
        <f>Dashboard_Live_Data!AI18</f>
        <v>-346.8</v>
      </c>
      <c r="D1489">
        <f>Dashboard_Live_Data!AJ18</f>
        <v>3268.0257165997627</v>
      </c>
      <c r="E1489">
        <f>Dashboard_Live_Data!AK18</f>
        <v>-693.6</v>
      </c>
      <c r="F1489">
        <f>Dashboard_Live_Data!AL18</f>
        <v>7556.0351349179427</v>
      </c>
      <c r="G1489">
        <f>Dashboard_Live_Data!AM18</f>
        <v>-693.6</v>
      </c>
      <c r="H1489">
        <f>Dashboard_Live_Data!AN18</f>
        <v>7542.700317284668</v>
      </c>
    </row>
    <row r="1490" spans="1:8">
      <c r="A1490">
        <f>Dashboard_Live_Data!AG19</f>
        <v>-51.48</v>
      </c>
      <c r="B1490">
        <f>Dashboard_Live_Data!AH19</f>
        <v>2722.0519650158485</v>
      </c>
      <c r="C1490">
        <f>Dashboard_Live_Data!AI19</f>
        <v>-343.2</v>
      </c>
      <c r="D1490">
        <f>Dashboard_Live_Data!AJ19</f>
        <v>3221.0150100806709</v>
      </c>
      <c r="E1490">
        <f>Dashboard_Live_Data!AK19</f>
        <v>-686.4</v>
      </c>
      <c r="F1490">
        <f>Dashboard_Live_Data!AL19</f>
        <v>7433.3669028529466</v>
      </c>
      <c r="G1490">
        <f>Dashboard_Live_Data!AM19</f>
        <v>-686.4</v>
      </c>
      <c r="H1490">
        <f>Dashboard_Live_Data!AN19</f>
        <v>7419.2503937327101</v>
      </c>
    </row>
    <row r="1491" spans="1:8">
      <c r="A1491">
        <f>Dashboard_Live_Data!AG20</f>
        <v>-51</v>
      </c>
      <c r="B1491">
        <f>Dashboard_Live_Data!AH20</f>
        <v>2721.1850020092143</v>
      </c>
      <c r="C1491">
        <f>Dashboard_Live_Data!AI20</f>
        <v>-340</v>
      </c>
      <c r="D1491">
        <f>Dashboard_Live_Data!AJ20</f>
        <v>3179.5370247648771</v>
      </c>
      <c r="E1491">
        <f>Dashboard_Live_Data!AK20</f>
        <v>-680</v>
      </c>
      <c r="F1491">
        <f>Dashboard_Live_Data!AL20</f>
        <v>7325.2712267935003</v>
      </c>
      <c r="G1491">
        <f>Dashboard_Live_Data!AM20</f>
        <v>-680</v>
      </c>
      <c r="H1491">
        <f>Dashboard_Live_Data!AN20</f>
        <v>7310.4730873835651</v>
      </c>
    </row>
    <row r="1492" spans="1:8">
      <c r="A1492">
        <f>Dashboard_Live_Data!AG21</f>
        <v>-50.519999999999996</v>
      </c>
      <c r="B1492">
        <f>Dashboard_Live_Data!AH21</f>
        <v>2720.3259622967576</v>
      </c>
      <c r="C1492">
        <f>Dashboard_Live_Data!AI21</f>
        <v>-336.8</v>
      </c>
      <c r="D1492">
        <f>Dashboard_Live_Data!AJ21</f>
        <v>3138.34907670858</v>
      </c>
      <c r="E1492">
        <f>Dashboard_Live_Data!AK21</f>
        <v>-673.6</v>
      </c>
      <c r="F1492">
        <f>Dashboard_Live_Data!AL21</f>
        <v>7218.0611664589442</v>
      </c>
      <c r="G1492">
        <f>Dashboard_Live_Data!AM21</f>
        <v>-673.6</v>
      </c>
      <c r="H1492">
        <f>Dashboard_Live_Data!AN21</f>
        <v>7202.5938862445973</v>
      </c>
    </row>
    <row r="1493" spans="1:8">
      <c r="A1493">
        <f>Dashboard_Live_Data!AG22</f>
        <v>-49.98</v>
      </c>
      <c r="B1493">
        <f>Dashboard_Live_Data!AH22</f>
        <v>2719.3690201677696</v>
      </c>
      <c r="C1493">
        <f>Dashboard_Live_Data!AI22</f>
        <v>-333.2</v>
      </c>
      <c r="D1493">
        <f>Dashboard_Live_Data!AJ22</f>
        <v>3092.3580081209293</v>
      </c>
      <c r="E1493">
        <f>Dashboard_Live_Data!AK22</f>
        <v>-666.4</v>
      </c>
      <c r="F1493">
        <f>Dashboard_Live_Data!AL22</f>
        <v>7098.506357692575</v>
      </c>
      <c r="G1493">
        <f>Dashboard_Live_Data!AM22</f>
        <v>-666.4</v>
      </c>
      <c r="H1493">
        <f>Dashboard_Live_Data!AN22</f>
        <v>7082.3012947740126</v>
      </c>
    </row>
    <row r="1494" spans="1:8">
      <c r="A1494">
        <f>Dashboard_Live_Data!AG23</f>
        <v>-49.5</v>
      </c>
      <c r="B1494">
        <f>Dashboard_Live_Data!AH23</f>
        <v>2718.5268353664997</v>
      </c>
      <c r="C1494">
        <f>Dashboard_Live_Data!AI23</f>
        <v>-330</v>
      </c>
      <c r="D1494">
        <f>Dashboard_Live_Data!AJ23</f>
        <v>3051.7828688525797</v>
      </c>
      <c r="E1494">
        <f>Dashboard_Live_Data!AK23</f>
        <v>-660</v>
      </c>
      <c r="F1494">
        <f>Dashboard_Live_Data!AL23</f>
        <v>6993.1726266478481</v>
      </c>
      <c r="G1494">
        <f>Dashboard_Live_Data!AM23</f>
        <v>-660</v>
      </c>
      <c r="H1494">
        <f>Dashboard_Live_Data!AN23</f>
        <v>6976.325155041407</v>
      </c>
    </row>
    <row r="1495" spans="1:8">
      <c r="A1495">
        <f>Dashboard_Live_Data!AG24</f>
        <v>-49.019999999999996</v>
      </c>
      <c r="B1495">
        <f>Dashboard_Live_Data!AH24</f>
        <v>2717.6925906248262</v>
      </c>
      <c r="C1495">
        <f>Dashboard_Live_Data!AI24</f>
        <v>-326.79999999999995</v>
      </c>
      <c r="D1495">
        <f>Dashboard_Live_Data!AJ24</f>
        <v>3011.4944133564245</v>
      </c>
      <c r="E1495">
        <f>Dashboard_Live_Data!AK24</f>
        <v>-653.59999999999991</v>
      </c>
      <c r="F1495">
        <f>Dashboard_Live_Data!AL24</f>
        <v>6888.7191192634255</v>
      </c>
      <c r="G1495">
        <f>Dashboard_Live_Data!AM24</f>
        <v>-653.59999999999991</v>
      </c>
      <c r="H1495">
        <f>Dashboard_Live_Data!AN24</f>
        <v>6871.2419096860749</v>
      </c>
    </row>
    <row r="1496" spans="1:8">
      <c r="A1496">
        <f>Dashboard_Live_Data!AG25</f>
        <v>-48.480000000000004</v>
      </c>
      <c r="B1496">
        <f>Dashboard_Live_Data!AH25</f>
        <v>2716.7635627106388</v>
      </c>
      <c r="C1496">
        <f>Dashboard_Live_Data!AI25</f>
        <v>-323.20000000000005</v>
      </c>
      <c r="D1496">
        <f>Dashboard_Live_Data!AJ25</f>
        <v>2966.5111922476426</v>
      </c>
      <c r="E1496">
        <f>Dashboard_Live_Data!AK25</f>
        <v>-646.40000000000009</v>
      </c>
      <c r="F1496">
        <f>Dashboard_Live_Data!AL25</f>
        <v>6772.2587713643579</v>
      </c>
      <c r="G1496">
        <f>Dashboard_Live_Data!AM25</f>
        <v>-646.40000000000009</v>
      </c>
      <c r="H1496">
        <f>Dashboard_Live_Data!AN25</f>
        <v>6754.0883248186901</v>
      </c>
    </row>
    <row r="1497" spans="1:8">
      <c r="A1497">
        <f>Dashboard_Live_Data!AG26</f>
        <v>-48</v>
      </c>
      <c r="B1497">
        <f>Dashboard_Live_Data!AH26</f>
        <v>2715.9462080599938</v>
      </c>
      <c r="C1497">
        <f>Dashboard_Live_Data!AI26</f>
        <v>-320</v>
      </c>
      <c r="D1497">
        <f>Dashboard_Live_Data!AJ26</f>
        <v>2926.8282235073743</v>
      </c>
      <c r="E1497">
        <f>Dashboard_Live_Data!AK26</f>
        <v>-640</v>
      </c>
      <c r="F1497">
        <f>Dashboard_Live_Data!AL26</f>
        <v>6669.6695538641015</v>
      </c>
      <c r="G1497">
        <f>Dashboard_Live_Data!AM26</f>
        <v>-640</v>
      </c>
      <c r="H1497">
        <f>Dashboard_Live_Data!AN26</f>
        <v>6650.8964888556302</v>
      </c>
    </row>
    <row r="1498" spans="1:8">
      <c r="A1498">
        <f>Dashboard_Live_Data!AG27</f>
        <v>-47.52</v>
      </c>
      <c r="B1498">
        <f>Dashboard_Live_Data!AH27</f>
        <v>2715.1368098124726</v>
      </c>
      <c r="C1498">
        <f>Dashboard_Live_Data!AI27</f>
        <v>-316.8</v>
      </c>
      <c r="D1498">
        <f>Dashboard_Live_Data!AJ27</f>
        <v>2887.428399392069</v>
      </c>
      <c r="E1498">
        <f>Dashboard_Live_Data!AK27</f>
        <v>-633.6</v>
      </c>
      <c r="F1498">
        <f>Dashboard_Live_Data!AL27</f>
        <v>6567.9546108397826</v>
      </c>
      <c r="G1498">
        <f>Dashboard_Live_Data!AM27</f>
        <v>-633.6</v>
      </c>
      <c r="H1498">
        <f>Dashboard_Live_Data!AN27</f>
        <v>6548.5917811077279</v>
      </c>
    </row>
    <row r="1499" spans="1:8">
      <c r="A1499">
        <f>Dashboard_Live_Data!AG28</f>
        <v>-46.980000000000004</v>
      </c>
      <c r="B1499">
        <f>Dashboard_Live_Data!AH28</f>
        <v>2714.235753570058</v>
      </c>
      <c r="C1499">
        <f>Dashboard_Live_Data!AI28</f>
        <v>-313.20000000000005</v>
      </c>
      <c r="D1499">
        <f>Dashboard_Live_Data!AJ28</f>
        <v>2843.4405826900111</v>
      </c>
      <c r="E1499">
        <f>Dashboard_Live_Data!AK28</f>
        <v>-626.40000000000009</v>
      </c>
      <c r="F1499">
        <f>Dashboard_Live_Data!AL28</f>
        <v>6454.5678022887669</v>
      </c>
      <c r="G1499">
        <f>Dashboard_Live_Data!AM28</f>
        <v>-626.40000000000009</v>
      </c>
      <c r="H1499">
        <f>Dashboard_Live_Data!AN28</f>
        <v>6434.5569245182351</v>
      </c>
    </row>
    <row r="1500" spans="1:8">
      <c r="A1500">
        <f>Dashboard_Live_Data!AG29</f>
        <v>-46.5</v>
      </c>
      <c r="B1500">
        <f>Dashboard_Live_Data!AH29</f>
        <v>2713.4432796899005</v>
      </c>
      <c r="C1500">
        <f>Dashboard_Live_Data!AI29</f>
        <v>-310</v>
      </c>
      <c r="D1500">
        <f>Dashboard_Live_Data!AJ29</f>
        <v>2804.6385226625612</v>
      </c>
      <c r="E1500">
        <f>Dashboard_Live_Data!AK29</f>
        <v>-620</v>
      </c>
      <c r="F1500">
        <f>Dashboard_Live_Data!AL29</f>
        <v>6354.703876330992</v>
      </c>
      <c r="G1500">
        <f>Dashboard_Live_Data!AM29</f>
        <v>-620</v>
      </c>
      <c r="H1500">
        <f>Dashboard_Live_Data!AN29</f>
        <v>6334.130742726853</v>
      </c>
    </row>
    <row r="1501" spans="1:8">
      <c r="A1501">
        <f>Dashboard_Live_Data!AG30</f>
        <v>-46.02</v>
      </c>
      <c r="B1501">
        <f>Dashboard_Live_Data!AH30</f>
        <v>2712.6587781279418</v>
      </c>
      <c r="C1501">
        <f>Dashboard_Live_Data!AI30</f>
        <v>-306.8</v>
      </c>
      <c r="D1501">
        <f>Dashboard_Live_Data!AJ30</f>
        <v>2766.1158768793084</v>
      </c>
      <c r="E1501">
        <f>Dashboard_Live_Data!AK30</f>
        <v>-613.6</v>
      </c>
      <c r="F1501">
        <f>Dashboard_Live_Data!AL30</f>
        <v>6255.7076711632635</v>
      </c>
      <c r="G1501">
        <f>Dashboard_Live_Data!AM30</f>
        <v>-613.6</v>
      </c>
      <c r="H1501">
        <f>Dashboard_Live_Data!AN30</f>
        <v>6234.5853184731659</v>
      </c>
    </row>
    <row r="1502" spans="1:8">
      <c r="A1502">
        <f>Dashboard_Live_Data!AG31</f>
        <v>-45.480000000000004</v>
      </c>
      <c r="B1502">
        <f>Dashboard_Live_Data!AH31</f>
        <v>2711.7857495077187</v>
      </c>
      <c r="C1502">
        <f>Dashboard_Live_Data!AI31</f>
        <v>-303.2</v>
      </c>
      <c r="D1502">
        <f>Dashboard_Live_Data!AJ31</f>
        <v>2723.1103493336241</v>
      </c>
      <c r="E1502">
        <f>Dashboard_Live_Data!AK31</f>
        <v>-606.4</v>
      </c>
      <c r="F1502">
        <f>Dashboard_Live_Data!AL31</f>
        <v>6145.3713547660091</v>
      </c>
      <c r="G1502">
        <f>Dashboard_Live_Data!AM31</f>
        <v>-606.4</v>
      </c>
      <c r="H1502">
        <f>Dashboard_Live_Data!AN31</f>
        <v>6123.6467860475259</v>
      </c>
    </row>
    <row r="1503" spans="1:8">
      <c r="A1503">
        <f>Dashboard_Live_Data!AG32</f>
        <v>-45</v>
      </c>
      <c r="B1503">
        <f>Dashboard_Live_Data!AH32</f>
        <v>2711.0182056718681</v>
      </c>
      <c r="C1503">
        <f>Dashboard_Live_Data!AI32</f>
        <v>-300</v>
      </c>
      <c r="D1503">
        <f>Dashboard_Live_Data!AJ32</f>
        <v>2685.1773334232421</v>
      </c>
      <c r="E1503">
        <f>Dashboard_Live_Data!AK32</f>
        <v>-600</v>
      </c>
      <c r="F1503">
        <f>Dashboard_Live_Data!AL32</f>
        <v>6048.2115560449747</v>
      </c>
      <c r="G1503">
        <f>Dashboard_Live_Data!AM32</f>
        <v>-600</v>
      </c>
      <c r="H1503">
        <f>Dashboard_Live_Data!AN32</f>
        <v>6025.9656641770644</v>
      </c>
    </row>
    <row r="1504" spans="1:8">
      <c r="A1504">
        <f>Dashboard_Live_Data!AG33</f>
        <v>-44.519999999999996</v>
      </c>
      <c r="B1504">
        <f>Dashboard_Live_Data!AH33</f>
        <v>2710.2586496341951</v>
      </c>
      <c r="C1504">
        <f>Dashboard_Live_Data!AI33</f>
        <v>-296.8</v>
      </c>
      <c r="D1504">
        <f>Dashboard_Live_Data!AJ33</f>
        <v>2647.519805513155</v>
      </c>
      <c r="E1504">
        <f>Dashboard_Live_Data!AK33</f>
        <v>-593.6</v>
      </c>
      <c r="F1504">
        <f>Dashboard_Live_Data!AL33</f>
        <v>5951.9122690476443</v>
      </c>
      <c r="G1504">
        <f>Dashboard_Live_Data!AM33</f>
        <v>-593.6</v>
      </c>
      <c r="H1504">
        <f>Dashboard_Live_Data!AN33</f>
        <v>5929.1582714862652</v>
      </c>
    </row>
    <row r="1505" spans="1:8">
      <c r="A1505">
        <f>Dashboard_Live_Data!AG34</f>
        <v>-43.980000000000004</v>
      </c>
      <c r="B1505">
        <f>Dashboard_Live_Data!AH34</f>
        <v>2709.4137030571701</v>
      </c>
      <c r="C1505">
        <f>Dashboard_Live_Data!AI34</f>
        <v>-293.2</v>
      </c>
      <c r="D1505">
        <f>Dashboard_Live_Data!AJ34</f>
        <v>2605.4827634648645</v>
      </c>
      <c r="E1505">
        <f>Dashboard_Live_Data!AK34</f>
        <v>-586.4</v>
      </c>
      <c r="F1505">
        <f>Dashboard_Live_Data!AL34</f>
        <v>5844.6010930614657</v>
      </c>
      <c r="G1505">
        <f>Dashboard_Live_Data!AM34</f>
        <v>-586.4</v>
      </c>
      <c r="H1505">
        <f>Dashboard_Live_Data!AN34</f>
        <v>5821.2913463973637</v>
      </c>
    </row>
    <row r="1506" spans="1:8">
      <c r="A1506">
        <f>Dashboard_Live_Data!AG35</f>
        <v>-43.5</v>
      </c>
      <c r="B1506">
        <f>Dashboard_Live_Data!AH35</f>
        <v>2708.6711371730257</v>
      </c>
      <c r="C1506">
        <f>Dashboard_Live_Data!AI35</f>
        <v>-290</v>
      </c>
      <c r="D1506">
        <f>Dashboard_Live_Data!AJ35</f>
        <v>2568.4063111009086</v>
      </c>
      <c r="E1506">
        <f>Dashboard_Live_Data!AK35</f>
        <v>-580</v>
      </c>
      <c r="F1506">
        <f>Dashboard_Live_Data!AL35</f>
        <v>5750.1221522344285</v>
      </c>
      <c r="G1506">
        <f>Dashboard_Live_Data!AM35</f>
        <v>-580</v>
      </c>
      <c r="H1506">
        <f>Dashboard_Live_Data!AN35</f>
        <v>5726.332575075653</v>
      </c>
    </row>
    <row r="1507" spans="1:8">
      <c r="A1507">
        <f>Dashboard_Live_Data!AG36</f>
        <v>-43.019999999999996</v>
      </c>
      <c r="B1507">
        <f>Dashboard_Live_Data!AH36</f>
        <v>2707.9365741255974</v>
      </c>
      <c r="C1507">
        <f>Dashboard_Live_Data!AI36</f>
        <v>-286.79999999999995</v>
      </c>
      <c r="D1507">
        <f>Dashboard_Live_Data!AJ36</f>
        <v>2531.6012212817732</v>
      </c>
      <c r="E1507">
        <f>Dashboard_Live_Data!AK36</f>
        <v>-573.59999999999991</v>
      </c>
      <c r="F1507">
        <f>Dashboard_Live_Data!AL36</f>
        <v>5656.4958042939516</v>
      </c>
      <c r="G1507">
        <f>Dashboard_Live_Data!AM36</f>
        <v>-573.59999999999991</v>
      </c>
      <c r="H1507">
        <f>Dashboard_Live_Data!AN36</f>
        <v>5632.2397896392276</v>
      </c>
    </row>
    <row r="1508" spans="1:8">
      <c r="A1508">
        <f>Dashboard_Live_Data!AG37</f>
        <v>-42.48</v>
      </c>
      <c r="B1508">
        <f>Dashboard_Live_Data!AH37</f>
        <v>2707.1197624607562</v>
      </c>
      <c r="C1508">
        <f>Dashboard_Live_Data!AI37</f>
        <v>-283.2</v>
      </c>
      <c r="D1508">
        <f>Dashboard_Live_Data!AJ37</f>
        <v>2490.5181609486822</v>
      </c>
      <c r="E1508">
        <f>Dashboard_Live_Data!AK37</f>
        <v>-566.4</v>
      </c>
      <c r="F1508">
        <f>Dashboard_Live_Data!AL37</f>
        <v>5552.1819212211358</v>
      </c>
      <c r="G1508">
        <f>Dashboard_Live_Data!AM37</f>
        <v>-566.4</v>
      </c>
      <c r="H1508">
        <f>Dashboard_Live_Data!AN37</f>
        <v>5527.4172410510082</v>
      </c>
    </row>
    <row r="1509" spans="1:8">
      <c r="A1509">
        <f>Dashboard_Live_Data!AG38</f>
        <v>-42</v>
      </c>
      <c r="B1509">
        <f>Dashboard_Live_Data!AH38</f>
        <v>2706.4022210494791</v>
      </c>
      <c r="C1509">
        <f>Dashboard_Live_Data!AI38</f>
        <v>-280</v>
      </c>
      <c r="D1509">
        <f>Dashboard_Live_Data!AJ38</f>
        <v>2454.2851668233561</v>
      </c>
      <c r="E1509">
        <f>Dashboard_Live_Data!AK38</f>
        <v>-560</v>
      </c>
      <c r="F1509">
        <f>Dashboard_Live_Data!AL38</f>
        <v>5460.3582902555545</v>
      </c>
      <c r="G1509">
        <f>Dashboard_Live_Data!AM38</f>
        <v>-560</v>
      </c>
      <c r="H1509">
        <f>Dashboard_Live_Data!AN38</f>
        <v>5435.1558124688245</v>
      </c>
    </row>
    <row r="1510" spans="1:8">
      <c r="A1510">
        <f>Dashboard_Live_Data!AG39</f>
        <v>-41.519999999999996</v>
      </c>
      <c r="B1510">
        <f>Dashboard_Live_Data!AH39</f>
        <v>2705.6926970657478</v>
      </c>
      <c r="C1510">
        <f>Dashboard_Live_Data!AI39</f>
        <v>-276.79999999999995</v>
      </c>
      <c r="D1510">
        <f>Dashboard_Live_Data!AJ39</f>
        <v>2418.3192089337513</v>
      </c>
      <c r="E1510">
        <f>Dashboard_Live_Data!AK39</f>
        <v>-553.59999999999991</v>
      </c>
      <c r="F1510">
        <f>Dashboard_Live_Data!AL39</f>
        <v>5369.3785657395565</v>
      </c>
      <c r="G1510">
        <f>Dashboard_Live_Data!AM39</f>
        <v>-553.59999999999991</v>
      </c>
      <c r="H1510">
        <f>Dashboard_Live_Data!AN39</f>
        <v>5343.7518501523427</v>
      </c>
    </row>
    <row r="1511" spans="1:8">
      <c r="A1511">
        <f>Dashboard_Live_Data!AG40</f>
        <v>-40.980000000000004</v>
      </c>
      <c r="B1511">
        <f>Dashboard_Live_Data!AH40</f>
        <v>2704.9040716081277</v>
      </c>
      <c r="C1511">
        <f>Dashboard_Live_Data!AI40</f>
        <v>-273.20000000000005</v>
      </c>
      <c r="D1511">
        <f>Dashboard_Live_Data!AJ40</f>
        <v>2378.1749207105045</v>
      </c>
      <c r="E1511">
        <f>Dashboard_Live_Data!AK40</f>
        <v>-546.40000000000009</v>
      </c>
      <c r="F1511">
        <f>Dashboard_Live_Data!AL40</f>
        <v>5268.0314290477454</v>
      </c>
      <c r="G1511">
        <f>Dashboard_Live_Data!AM40</f>
        <v>-546.40000000000009</v>
      </c>
      <c r="H1511">
        <f>Dashboard_Live_Data!AN40</f>
        <v>5241.943717406506</v>
      </c>
    </row>
    <row r="1512" spans="1:8">
      <c r="A1512">
        <f>Dashboard_Live_Data!AG41</f>
        <v>-40.5</v>
      </c>
      <c r="B1512">
        <f>Dashboard_Live_Data!AH41</f>
        <v>2704.2115997852675</v>
      </c>
      <c r="C1512">
        <f>Dashboard_Live_Data!AI41</f>
        <v>-270</v>
      </c>
      <c r="D1512">
        <f>Dashboard_Live_Data!AJ41</f>
        <v>2342.7716518918514</v>
      </c>
      <c r="E1512">
        <f>Dashboard_Live_Data!AK41</f>
        <v>-540</v>
      </c>
      <c r="F1512">
        <f>Dashboard_Live_Data!AL41</f>
        <v>5178.835096993912</v>
      </c>
      <c r="G1512">
        <f>Dashboard_Live_Data!AM41</f>
        <v>-540</v>
      </c>
      <c r="H1512">
        <f>Dashboard_Live_Data!AN41</f>
        <v>5152.352129116699</v>
      </c>
    </row>
    <row r="1513" spans="1:8">
      <c r="A1513">
        <f>Dashboard_Live_Data!AG42</f>
        <v>-40.020000000000003</v>
      </c>
      <c r="B1513">
        <f>Dashboard_Live_Data!AH42</f>
        <v>2703.527159526966</v>
      </c>
      <c r="C1513">
        <f>Dashboard_Live_Data!AI42</f>
        <v>-266.8</v>
      </c>
      <c r="D1513">
        <f>Dashboard_Live_Data!AJ42</f>
        <v>2307.6308927499517</v>
      </c>
      <c r="E1513">
        <f>Dashboard_Live_Data!AK42</f>
        <v>-533.6</v>
      </c>
      <c r="F1513">
        <f>Dashboard_Live_Data!AL42</f>
        <v>5090.4731562763036</v>
      </c>
      <c r="G1513">
        <f>Dashboard_Live_Data!AM42</f>
        <v>-533.6</v>
      </c>
      <c r="H1513">
        <f>Dashboard_Live_Data!AN42</f>
        <v>5063.6086456793191</v>
      </c>
    </row>
    <row r="1514" spans="1:8">
      <c r="A1514">
        <f>Dashboard_Live_Data!AG43</f>
        <v>-39.480000000000004</v>
      </c>
      <c r="B1514">
        <f>Dashboard_Live_Data!AH43</f>
        <v>2702.7667699761951</v>
      </c>
      <c r="C1514">
        <f>Dashboard_Live_Data!AI43</f>
        <v>-263.20000000000005</v>
      </c>
      <c r="D1514">
        <f>Dashboard_Live_Data!AJ43</f>
        <v>2268.409463423141</v>
      </c>
      <c r="E1514">
        <f>Dashboard_Live_Data!AK43</f>
        <v>-526.40000000000009</v>
      </c>
      <c r="F1514">
        <f>Dashboard_Live_Data!AL43</f>
        <v>4992.0593057230481</v>
      </c>
      <c r="G1514">
        <f>Dashboard_Live_Data!AM43</f>
        <v>-526.40000000000009</v>
      </c>
      <c r="H1514">
        <f>Dashboard_Live_Data!AN43</f>
        <v>4964.782008157169</v>
      </c>
    </row>
    <row r="1515" spans="1:8">
      <c r="A1515">
        <f>Dashboard_Live_Data!AG44</f>
        <v>-39</v>
      </c>
      <c r="B1515">
        <f>Dashboard_Live_Data!AH44</f>
        <v>2702.0994114328023</v>
      </c>
      <c r="C1515">
        <f>Dashboard_Live_Data!AI44</f>
        <v>-260</v>
      </c>
      <c r="D1515">
        <f>Dashboard_Live_Data!AJ44</f>
        <v>2233.8215641775168</v>
      </c>
      <c r="E1515">
        <f>Dashboard_Live_Data!AK44</f>
        <v>-520</v>
      </c>
      <c r="F1515">
        <f>Dashboard_Live_Data!AL44</f>
        <v>4905.4596046667839</v>
      </c>
      <c r="G1515">
        <f>Dashboard_Live_Data!AM44</f>
        <v>-520</v>
      </c>
      <c r="H1515">
        <f>Dashboard_Live_Data!AN44</f>
        <v>4877.8300542852958</v>
      </c>
    </row>
    <row r="1516" spans="1:8">
      <c r="A1516">
        <f>Dashboard_Live_Data!AG45</f>
        <v>-38.519999999999996</v>
      </c>
      <c r="B1516">
        <f>Dashboard_Live_Data!AH45</f>
        <v>2701.4400981312092</v>
      </c>
      <c r="C1516">
        <f>Dashboard_Live_Data!AI45</f>
        <v>-256.8</v>
      </c>
      <c r="D1516">
        <f>Dashboard_Live_Data!AJ45</f>
        <v>2199.4914513372773</v>
      </c>
      <c r="E1516">
        <f>Dashboard_Live_Data!AK45</f>
        <v>-513.6</v>
      </c>
      <c r="F1516">
        <f>Dashboard_Live_Data!AL45</f>
        <v>4819.6838871821446</v>
      </c>
      <c r="G1516">
        <f>Dashboard_Live_Data!AM45</f>
        <v>-513.6</v>
      </c>
      <c r="H1516">
        <f>Dashboard_Live_Data!AN45</f>
        <v>4791.715932694854</v>
      </c>
    </row>
    <row r="1517" spans="1:8">
      <c r="A1517">
        <f>Dashboard_Live_Data!AG46</f>
        <v>-37.980000000000004</v>
      </c>
      <c r="B1517">
        <f>Dashboard_Live_Data!AH46</f>
        <v>2700.7079925706203</v>
      </c>
      <c r="C1517">
        <f>Dashboard_Live_Data!AI46</f>
        <v>-253.2</v>
      </c>
      <c r="D1517">
        <f>Dashboard_Live_Data!AJ46</f>
        <v>2161.1762766414804</v>
      </c>
      <c r="E1517">
        <f>Dashboard_Live_Data!AK46</f>
        <v>-506.4</v>
      </c>
      <c r="F1517">
        <f>Dashboard_Live_Data!AL46</f>
        <v>4724.1667239784019</v>
      </c>
      <c r="G1517">
        <f>Dashboard_Live_Data!AM46</f>
        <v>-506.4</v>
      </c>
      <c r="H1517">
        <f>Dashboard_Live_Data!AN46</f>
        <v>4695.834666007484</v>
      </c>
    </row>
    <row r="1518" spans="1:8">
      <c r="A1518">
        <f>Dashboard_Live_Data!AG47</f>
        <v>-37.5</v>
      </c>
      <c r="B1518">
        <f>Dashboard_Live_Data!AH47</f>
        <v>2700.0657895548352</v>
      </c>
      <c r="C1518">
        <f>Dashboard_Live_Data!AI47</f>
        <v>-250</v>
      </c>
      <c r="D1518">
        <f>Dashboard_Live_Data!AJ47</f>
        <v>2127.3887833117165</v>
      </c>
      <c r="E1518">
        <f>Dashboard_Live_Data!AK47</f>
        <v>-500</v>
      </c>
      <c r="F1518">
        <f>Dashboard_Live_Data!AL47</f>
        <v>4640.1301264745007</v>
      </c>
      <c r="G1518">
        <f>Dashboard_Live_Data!AM47</f>
        <v>-500</v>
      </c>
      <c r="H1518">
        <f>Dashboard_Live_Data!AN47</f>
        <v>4611.4892166235932</v>
      </c>
    </row>
    <row r="1519" spans="1:8">
      <c r="A1519">
        <f>Dashboard_Live_Data!AG48</f>
        <v>-37.019999999999996</v>
      </c>
      <c r="B1519">
        <f>Dashboard_Live_Data!AH48</f>
        <v>2699.43164499259</v>
      </c>
      <c r="C1519">
        <f>Dashboard_Live_Data!AI48</f>
        <v>-246.8</v>
      </c>
      <c r="D1519">
        <f>Dashboard_Live_Data!AJ48</f>
        <v>2093.8541637603007</v>
      </c>
      <c r="E1519">
        <f>Dashboard_Live_Data!AK48</f>
        <v>-493.6</v>
      </c>
      <c r="F1519">
        <f>Dashboard_Live_Data!AL48</f>
        <v>4556.9061458124115</v>
      </c>
      <c r="G1519">
        <f>Dashboard_Live_Data!AM48</f>
        <v>-493.6</v>
      </c>
      <c r="H1519">
        <f>Dashboard_Live_Data!AN48</f>
        <v>4527.9703428921011</v>
      </c>
    </row>
    <row r="1520" spans="1:8">
      <c r="A1520">
        <f>Dashboard_Live_Data!AG49</f>
        <v>-36.480000000000004</v>
      </c>
      <c r="B1520">
        <f>Dashboard_Live_Data!AH49</f>
        <v>2698.7278698689106</v>
      </c>
      <c r="C1520">
        <f>Dashboard_Live_Data!AI49</f>
        <v>-243.2</v>
      </c>
      <c r="D1520">
        <f>Dashboard_Live_Data!AJ49</f>
        <v>2056.4279743959351</v>
      </c>
      <c r="E1520">
        <f>Dashboard_Live_Data!AK49</f>
        <v>-486.4</v>
      </c>
      <c r="F1520">
        <f>Dashboard_Live_Data!AL49</f>
        <v>4464.2456995999191</v>
      </c>
      <c r="G1520">
        <f>Dashboard_Live_Data!AM49</f>
        <v>-486.4</v>
      </c>
      <c r="H1520">
        <f>Dashboard_Live_Data!AN49</f>
        <v>4434.9948626697533</v>
      </c>
    </row>
    <row r="1521" spans="1:8">
      <c r="A1521">
        <f>Dashboard_Live_Data!AG50</f>
        <v>-36</v>
      </c>
      <c r="B1521">
        <f>Dashboard_Live_Data!AH50</f>
        <v>2698.1108631681168</v>
      </c>
      <c r="C1521">
        <f>Dashboard_Live_Data!AI50</f>
        <v>-240</v>
      </c>
      <c r="D1521">
        <f>Dashboard_Live_Data!AJ50</f>
        <v>2023.4253433638573</v>
      </c>
      <c r="E1521">
        <f>Dashboard_Live_Data!AK50</f>
        <v>-480</v>
      </c>
      <c r="F1521">
        <f>Dashboard_Live_Data!AL50</f>
        <v>4382.7356096105759</v>
      </c>
      <c r="G1521">
        <f>Dashboard_Live_Data!AM50</f>
        <v>-480</v>
      </c>
      <c r="H1521">
        <f>Dashboard_Live_Data!AN50</f>
        <v>4353.2196326758594</v>
      </c>
    </row>
    <row r="1522" spans="1:8">
      <c r="A1522">
        <f>Dashboard_Live_Data!AG51</f>
        <v>-35.519999999999996</v>
      </c>
      <c r="B1522">
        <f>Dashboard_Live_Data!AH51</f>
        <v>2697.5019276614603</v>
      </c>
      <c r="C1522">
        <f>Dashboard_Live_Data!AI51</f>
        <v>-236.79999999999998</v>
      </c>
      <c r="D1522">
        <f>Dashboard_Live_Data!AJ51</f>
        <v>1990.6704964522148</v>
      </c>
      <c r="E1522">
        <f>Dashboard_Live_Data!AK51</f>
        <v>-473.59999999999997</v>
      </c>
      <c r="F1522">
        <f>Dashboard_Live_Data!AL51</f>
        <v>4302.025742951585</v>
      </c>
      <c r="G1522">
        <f>Dashboard_Live_Data!AM51</f>
        <v>-473.59999999999997</v>
      </c>
      <c r="H1522">
        <f>Dashboard_Live_Data!AN51</f>
        <v>4272.2586618025425</v>
      </c>
    </row>
    <row r="1523" spans="1:8">
      <c r="A1523">
        <f>Dashboard_Live_Data!AG52</f>
        <v>-34.979999999999997</v>
      </c>
      <c r="B1523">
        <f>Dashboard_Live_Data!AH52</f>
        <v>2696.8265277651735</v>
      </c>
      <c r="C1523">
        <f>Dashboard_Live_Data!AI52</f>
        <v>-233.2</v>
      </c>
      <c r="D1523">
        <f>Dashboard_Live_Data!AJ52</f>
        <v>1954.1154016181265</v>
      </c>
      <c r="E1523">
        <f>Dashboard_Live_Data!AK52</f>
        <v>-466.4</v>
      </c>
      <c r="F1523">
        <f>Dashboard_Live_Data!AL52</f>
        <v>4212.1784335476086</v>
      </c>
      <c r="G1523">
        <f>Dashboard_Live_Data!AM52</f>
        <v>-466.4</v>
      </c>
      <c r="H1523">
        <f>Dashboard_Live_Data!AN52</f>
        <v>4182.1456571735444</v>
      </c>
    </row>
    <row r="1524" spans="1:8">
      <c r="A1524">
        <f>Dashboard_Live_Data!AG53</f>
        <v>-34.5</v>
      </c>
      <c r="B1524">
        <f>Dashboard_Live_Data!AH53</f>
        <v>2696.2347566886478</v>
      </c>
      <c r="C1524">
        <f>Dashboard_Live_Data!AI53</f>
        <v>-229.99999999999997</v>
      </c>
      <c r="D1524">
        <f>Dashboard_Live_Data!AJ53</f>
        <v>1921.8815542974669</v>
      </c>
      <c r="E1524">
        <f>Dashboard_Live_Data!AK53</f>
        <v>-459.99999999999994</v>
      </c>
      <c r="F1524">
        <f>Dashboard_Live_Data!AL53</f>
        <v>4133.1549738663607</v>
      </c>
      <c r="G1524">
        <f>Dashboard_Live_Data!AM53</f>
        <v>-459.99999999999994</v>
      </c>
      <c r="H1524">
        <f>Dashboard_Live_Data!AN53</f>
        <v>4102.9009668625113</v>
      </c>
    </row>
    <row r="1525" spans="1:8">
      <c r="A1525">
        <f>Dashboard_Live_Data!AG54</f>
        <v>-34.019999999999996</v>
      </c>
      <c r="B1525">
        <f>Dashboard_Live_Data!AH54</f>
        <v>2695.6510690703108</v>
      </c>
      <c r="C1525">
        <f>Dashboard_Live_Data!AI54</f>
        <v>-226.79999999999998</v>
      </c>
      <c r="D1525">
        <f>Dashboard_Live_Data!AJ54</f>
        <v>1889.8902432096763</v>
      </c>
      <c r="E1525">
        <f>Dashboard_Live_Data!AK54</f>
        <v>-453.59999999999997</v>
      </c>
      <c r="F1525">
        <f>Dashboard_Live_Data!AL54</f>
        <v>4054.9182491071806</v>
      </c>
      <c r="G1525">
        <f>Dashboard_Live_Data!AM54</f>
        <v>-453.59999999999997</v>
      </c>
      <c r="H1525">
        <f>Dashboard_Live_Data!AN54</f>
        <v>4024.4570813468608</v>
      </c>
    </row>
    <row r="1526" spans="1:8">
      <c r="A1526">
        <f>Dashboard_Live_Data!AG55</f>
        <v>-33.480000000000004</v>
      </c>
      <c r="B1526">
        <f>Dashboard_Live_Data!AH55</f>
        <v>2695.0040875164605</v>
      </c>
      <c r="C1526">
        <f>Dashboard_Live_Data!AI55</f>
        <v>-223.20000000000002</v>
      </c>
      <c r="D1526">
        <f>Dashboard_Live_Data!AJ55</f>
        <v>1854.1877969704217</v>
      </c>
      <c r="E1526">
        <f>Dashboard_Live_Data!AK55</f>
        <v>-446.40000000000003</v>
      </c>
      <c r="F1526">
        <f>Dashboard_Live_Data!AL55</f>
        <v>3967.8366472645534</v>
      </c>
      <c r="G1526">
        <f>Dashboard_Live_Data!AM55</f>
        <v>-446.40000000000003</v>
      </c>
      <c r="H1526">
        <f>Dashboard_Live_Data!AN55</f>
        <v>3937.1592412789855</v>
      </c>
    </row>
    <row r="1527" spans="1:8">
      <c r="A1527">
        <f>Dashboard_Live_Data!AG56</f>
        <v>-33</v>
      </c>
      <c r="B1527">
        <f>Dashboard_Live_Data!AH56</f>
        <v>2694.4375898786375</v>
      </c>
      <c r="C1527">
        <f>Dashboard_Live_Data!AI56</f>
        <v>-220.00000000000003</v>
      </c>
      <c r="D1527">
        <f>Dashboard_Live_Data!AJ56</f>
        <v>1822.7061870307282</v>
      </c>
      <c r="E1527">
        <f>Dashboard_Live_Data!AK56</f>
        <v>-440.00000000000006</v>
      </c>
      <c r="F1527">
        <f>Dashboard_Live_Data!AL56</f>
        <v>3891.256447672386</v>
      </c>
      <c r="G1527">
        <f>Dashboard_Live_Data!AM56</f>
        <v>-440.00000000000006</v>
      </c>
      <c r="H1527">
        <f>Dashboard_Live_Data!AN56</f>
        <v>3860.4017717773222</v>
      </c>
    </row>
    <row r="1528" spans="1:8">
      <c r="A1528">
        <f>Dashboard_Live_Data!AG57</f>
        <v>-32.520000000000003</v>
      </c>
      <c r="B1528">
        <f>Dashboard_Live_Data!AH57</f>
        <v>2693.8791874812646</v>
      </c>
      <c r="C1528">
        <f>Dashboard_Live_Data!AI57</f>
        <v>-216.8</v>
      </c>
      <c r="D1528">
        <f>Dashboard_Live_Data!AJ57</f>
        <v>1791.4617344869769</v>
      </c>
      <c r="E1528">
        <f>Dashboard_Live_Data!AK57</f>
        <v>-433.6</v>
      </c>
      <c r="F1528">
        <f>Dashboard_Live_Data!AL57</f>
        <v>3815.4483329742607</v>
      </c>
      <c r="G1528">
        <f>Dashboard_Live_Data!AM57</f>
        <v>-433.6</v>
      </c>
      <c r="H1528">
        <f>Dashboard_Live_Data!AN57</f>
        <v>3784.4304363200208</v>
      </c>
    </row>
    <row r="1529" spans="1:8">
      <c r="A1529">
        <f>Dashboard_Live_Data!AG58</f>
        <v>-31.98</v>
      </c>
      <c r="B1529">
        <f>Dashboard_Live_Data!AH58</f>
        <v>2693.2606656910839</v>
      </c>
      <c r="C1529">
        <f>Dashboard_Live_Data!AI58</f>
        <v>-213.20000000000002</v>
      </c>
      <c r="D1529">
        <f>Dashboard_Live_Data!AJ58</f>
        <v>1756.5930320423254</v>
      </c>
      <c r="E1529">
        <f>Dashboard_Live_Data!AK58</f>
        <v>-426.40000000000003</v>
      </c>
      <c r="F1529">
        <f>Dashboard_Live_Data!AL58</f>
        <v>3731.0809261239974</v>
      </c>
      <c r="G1529">
        <f>Dashboard_Live_Data!AM58</f>
        <v>-426.40000000000003</v>
      </c>
      <c r="H1529">
        <f>Dashboard_Live_Data!AN58</f>
        <v>3699.8961734258551</v>
      </c>
    </row>
    <row r="1530" spans="1:8">
      <c r="A1530">
        <f>Dashboard_Live_Data!AG59</f>
        <v>-31.5</v>
      </c>
      <c r="B1530">
        <f>Dashboard_Live_Data!AH59</f>
        <v>2692.7194777953123</v>
      </c>
      <c r="C1530">
        <f>Dashboard_Live_Data!AI59</f>
        <v>-210</v>
      </c>
      <c r="D1530">
        <f>Dashboard_Live_Data!AJ59</f>
        <v>1725.8467418024873</v>
      </c>
      <c r="E1530">
        <f>Dashboard_Live_Data!AK59</f>
        <v>-420</v>
      </c>
      <c r="F1530">
        <f>Dashboard_Live_Data!AL59</f>
        <v>3656.8969182108149</v>
      </c>
      <c r="G1530">
        <f>Dashboard_Live_Data!AM59</f>
        <v>-420</v>
      </c>
      <c r="H1530">
        <f>Dashboard_Live_Data!AN59</f>
        <v>3625.5787216297722</v>
      </c>
    </row>
    <row r="1531" spans="1:8">
      <c r="A1531">
        <f>Dashboard_Live_Data!AG60</f>
        <v>-31.02</v>
      </c>
      <c r="B1531">
        <f>Dashboard_Live_Data!AH60</f>
        <v>2692.1863964353583</v>
      </c>
      <c r="C1531">
        <f>Dashboard_Live_Data!AI60</f>
        <v>-206.8</v>
      </c>
      <c r="D1531">
        <f>Dashboard_Live_Data!AJ60</f>
        <v>1695.3321376263839</v>
      </c>
      <c r="E1531">
        <f>Dashboard_Live_Data!AK60</f>
        <v>-413.6</v>
      </c>
      <c r="F1531">
        <f>Dashboard_Live_Data!AL60</f>
        <v>3583.4691205577215</v>
      </c>
      <c r="G1531">
        <f>Dashboard_Live_Data!AM60</f>
        <v>-413.6</v>
      </c>
      <c r="H1531">
        <f>Dashboard_Live_Data!AN60</f>
        <v>3552.0314391676843</v>
      </c>
    </row>
    <row r="1532" spans="1:8">
      <c r="A1532">
        <f>Dashboard_Live_Data!AG61</f>
        <v>-30.48</v>
      </c>
      <c r="B1532">
        <f>Dashboard_Live_Data!AH61</f>
        <v>2691.5963741184592</v>
      </c>
      <c r="C1532">
        <f>Dashboard_Live_Data!AI61</f>
        <v>-203.2</v>
      </c>
      <c r="D1532">
        <f>Dashboard_Live_Data!AJ61</f>
        <v>1661.27795099574</v>
      </c>
      <c r="E1532">
        <f>Dashboard_Live_Data!AK61</f>
        <v>-406.4</v>
      </c>
      <c r="F1532">
        <f>Dashboard_Live_Data!AL61</f>
        <v>3501.760091807711</v>
      </c>
      <c r="G1532">
        <f>Dashboard_Live_Data!AM61</f>
        <v>-406.4</v>
      </c>
      <c r="H1532">
        <f>Dashboard_Live_Data!AN61</f>
        <v>3470.2046174700768</v>
      </c>
    </row>
    <row r="1533" spans="1:8">
      <c r="A1533">
        <f>Dashboard_Live_Data!AG62</f>
        <v>-30</v>
      </c>
      <c r="B1533">
        <f>Dashboard_Live_Data!AH62</f>
        <v>2691.0805307414003</v>
      </c>
      <c r="C1533">
        <f>Dashboard_Live_Data!AI62</f>
        <v>-200</v>
      </c>
      <c r="D1533">
        <f>Dashboard_Live_Data!AJ62</f>
        <v>1631.2498263703887</v>
      </c>
      <c r="E1533">
        <f>Dashboard_Live_Data!AK62</f>
        <v>-400</v>
      </c>
      <c r="F1533">
        <f>Dashboard_Live_Data!AL62</f>
        <v>3429.9213186632924</v>
      </c>
      <c r="G1533">
        <f>Dashboard_Live_Data!AM62</f>
        <v>-400</v>
      </c>
      <c r="H1533">
        <f>Dashboard_Live_Data!AN62</f>
        <v>3398.275856941299</v>
      </c>
    </row>
    <row r="1534" spans="1:8">
      <c r="A1534">
        <f>Dashboard_Live_Data!AG63</f>
        <v>-29.52</v>
      </c>
      <c r="B1534">
        <f>Dashboard_Live_Data!AH63</f>
        <v>2690.5728047037751</v>
      </c>
      <c r="C1534">
        <f>Dashboard_Live_Data!AI63</f>
        <v>-196.8</v>
      </c>
      <c r="D1534">
        <f>Dashboard_Live_Data!AJ63</f>
        <v>1601.4478772869256</v>
      </c>
      <c r="E1534">
        <f>Dashboard_Live_Data!AK63</f>
        <v>-393.6</v>
      </c>
      <c r="F1534">
        <f>Dashboard_Live_Data!AL63</f>
        <v>3358.8216005216295</v>
      </c>
      <c r="G1534">
        <f>Dashboard_Live_Data!AM63</f>
        <v>-393.6</v>
      </c>
      <c r="H1534">
        <f>Dashboard_Live_Data!AN63</f>
        <v>3327.0999332019856</v>
      </c>
    </row>
    <row r="1535" spans="1:8">
      <c r="A1535">
        <f>Dashboard_Live_Data!AG64</f>
        <v>-28.98</v>
      </c>
      <c r="B1535">
        <f>Dashboard_Live_Data!AH64</f>
        <v>2690.0113198410036</v>
      </c>
      <c r="C1535">
        <f>Dashboard_Live_Data!AI64</f>
        <v>-193.2</v>
      </c>
      <c r="D1535">
        <f>Dashboard_Live_Data!AJ64</f>
        <v>1568.1888433957399</v>
      </c>
      <c r="E1535">
        <f>Dashboard_Live_Data!AK64</f>
        <v>-386.4</v>
      </c>
      <c r="F1535">
        <f>Dashboard_Live_Data!AL64</f>
        <v>3279.710632319749</v>
      </c>
      <c r="G1535">
        <f>Dashboard_Live_Data!AM64</f>
        <v>-386.4</v>
      </c>
      <c r="H1535">
        <f>Dashboard_Live_Data!AN64</f>
        <v>3247.9196088934864</v>
      </c>
    </row>
    <row r="1536" spans="1:8">
      <c r="A1536">
        <f>Dashboard_Live_Data!AG65</f>
        <v>-28.5</v>
      </c>
      <c r="B1536">
        <f>Dashboard_Live_Data!AH65</f>
        <v>2689.520854217586</v>
      </c>
      <c r="C1536">
        <f>Dashboard_Live_Data!AI65</f>
        <v>-190</v>
      </c>
      <c r="D1536">
        <f>Dashboard_Live_Data!AJ65</f>
        <v>1538.8616802693725</v>
      </c>
      <c r="E1536">
        <f>Dashboard_Live_Data!AK65</f>
        <v>-380</v>
      </c>
      <c r="F1536">
        <f>Dashboard_Live_Data!AL65</f>
        <v>3210.1620844044405</v>
      </c>
      <c r="G1536">
        <f>Dashboard_Live_Data!AM65</f>
        <v>-380</v>
      </c>
      <c r="H1536">
        <f>Dashboard_Live_Data!AN65</f>
        <v>3178.3238656808849</v>
      </c>
    </row>
    <row r="1537" spans="1:8">
      <c r="A1537">
        <f>Dashboard_Live_Data!AG66</f>
        <v>-28.020000000000003</v>
      </c>
      <c r="B1537">
        <f>Dashboard_Live_Data!AH66</f>
        <v>2689.038516240782</v>
      </c>
      <c r="C1537">
        <f>Dashboard_Live_Data!AI66</f>
        <v>-186.80000000000004</v>
      </c>
      <c r="D1537">
        <f>Dashboard_Live_Data!AJ66</f>
        <v>1509.7552162254726</v>
      </c>
      <c r="E1537">
        <f>Dashboard_Live_Data!AK66</f>
        <v>-373.60000000000008</v>
      </c>
      <c r="F1537">
        <f>Dashboard_Live_Data!AL66</f>
        <v>3141.3341110240226</v>
      </c>
      <c r="G1537">
        <f>Dashboard_Live_Data!AM66</f>
        <v>-373.60000000000008</v>
      </c>
      <c r="H1537">
        <f>Dashboard_Live_Data!AN66</f>
        <v>3109.4621922008068</v>
      </c>
    </row>
    <row r="1538" spans="1:8">
      <c r="A1538">
        <f>Dashboard_Live_Data!AG67</f>
        <v>-27.479999999999997</v>
      </c>
      <c r="B1538">
        <f>Dashboard_Live_Data!AH67</f>
        <v>2688.505605067754</v>
      </c>
      <c r="C1538">
        <f>Dashboard_Live_Data!AI67</f>
        <v>-183.2</v>
      </c>
      <c r="D1538">
        <f>Dashboard_Live_Data!AJ67</f>
        <v>1477.272095393459</v>
      </c>
      <c r="E1538">
        <f>Dashboard_Live_Data!AK67</f>
        <v>-366.4</v>
      </c>
      <c r="F1538">
        <f>Dashboard_Live_Data!AL67</f>
        <v>3064.7562292393345</v>
      </c>
      <c r="G1538">
        <f>Dashboard_Live_Data!AM67</f>
        <v>-366.4</v>
      </c>
      <c r="H1538">
        <f>Dashboard_Live_Data!AN67</f>
        <v>3032.8623798858607</v>
      </c>
    </row>
    <row r="1539" spans="1:8">
      <c r="A1539">
        <f>Dashboard_Live_Data!AG68</f>
        <v>-27</v>
      </c>
      <c r="B1539">
        <f>Dashboard_Live_Data!AH68</f>
        <v>2688.0405488767533</v>
      </c>
      <c r="C1539">
        <f>Dashboard_Live_Data!AI68</f>
        <v>-179.99999999999997</v>
      </c>
      <c r="D1539">
        <f>Dashboard_Live_Data!AJ68</f>
        <v>1448.628895361848</v>
      </c>
      <c r="E1539">
        <f>Dashboard_Live_Data!AK68</f>
        <v>-359.99999999999994</v>
      </c>
      <c r="F1539">
        <f>Dashboard_Live_Data!AL68</f>
        <v>2997.4387220817075</v>
      </c>
      <c r="G1539">
        <f>Dashboard_Live_Data!AM68</f>
        <v>-359.99999999999994</v>
      </c>
      <c r="H1539">
        <f>Dashboard_Live_Data!AN68</f>
        <v>2965.5394356653028</v>
      </c>
    </row>
    <row r="1540" spans="1:8">
      <c r="A1540">
        <f>Dashboard_Live_Data!AG69</f>
        <v>-26.519999999999996</v>
      </c>
      <c r="B1540">
        <f>Dashboard_Live_Data!AH69</f>
        <v>2687.5836301386457</v>
      </c>
      <c r="C1540">
        <f>Dashboard_Live_Data!AI69</f>
        <v>-176.79999999999998</v>
      </c>
      <c r="D1540">
        <f>Dashboard_Live_Data!AJ69</f>
        <v>1420.2010523856848</v>
      </c>
      <c r="E1540">
        <f>Dashboard_Live_Data!AK69</f>
        <v>-353.59999999999997</v>
      </c>
      <c r="F1540">
        <f>Dashboard_Live_Data!AL69</f>
        <v>2930.8219568286472</v>
      </c>
      <c r="G1540">
        <f>Dashboard_Live_Data!AM69</f>
        <v>-353.59999999999997</v>
      </c>
      <c r="H1540">
        <f>Dashboard_Live_Data!AN69</f>
        <v>2898.930305024403</v>
      </c>
    </row>
    <row r="1541" spans="1:8">
      <c r="A1541">
        <f>Dashboard_Live_Data!AG70</f>
        <v>-25.980000000000004</v>
      </c>
      <c r="B1541">
        <f>Dashboard_Live_Data!AH70</f>
        <v>2687.0793271300054</v>
      </c>
      <c r="C1541">
        <f>Dashboard_Live_Data!AI70</f>
        <v>-173.20000000000002</v>
      </c>
      <c r="D1541">
        <f>Dashboard_Live_Data!AJ70</f>
        <v>1388.4750825653464</v>
      </c>
      <c r="E1541">
        <f>Dashboard_Live_Data!AK70</f>
        <v>-346.40000000000003</v>
      </c>
      <c r="F1541">
        <f>Dashboard_Live_Data!AL70</f>
        <v>2856.707437171217</v>
      </c>
      <c r="G1541">
        <f>Dashboard_Live_Data!AM70</f>
        <v>-346.40000000000003</v>
      </c>
      <c r="H1541">
        <f>Dashboard_Live_Data!AN70</f>
        <v>2824.8397867428093</v>
      </c>
    </row>
    <row r="1542" spans="1:8">
      <c r="A1542">
        <f>Dashboard_Live_Data!AG71</f>
        <v>-25.5</v>
      </c>
      <c r="B1542">
        <f>Dashboard_Live_Data!AH71</f>
        <v>2686.6397104802963</v>
      </c>
      <c r="C1542">
        <f>Dashboard_Live_Data!AI71</f>
        <v>-170.00000000000003</v>
      </c>
      <c r="D1542">
        <f>Dashboard_Live_Data!AJ71</f>
        <v>1360.4994034490926</v>
      </c>
      <c r="E1542">
        <f>Dashboard_Live_Data!AK71</f>
        <v>-340.00000000000006</v>
      </c>
      <c r="F1542">
        <f>Dashboard_Live_Data!AL71</f>
        <v>2791.5575527526471</v>
      </c>
      <c r="G1542">
        <f>Dashboard_Live_Data!AM71</f>
        <v>-340.00000000000006</v>
      </c>
      <c r="H1542">
        <f>Dashboard_Live_Data!AN71</f>
        <v>2759.7247264813568</v>
      </c>
    </row>
    <row r="1543" spans="1:8">
      <c r="A1543">
        <f>Dashboard_Live_Data!AG72</f>
        <v>-25.020000000000003</v>
      </c>
      <c r="B1543">
        <f>Dashboard_Live_Data!AH72</f>
        <v>2686.2082405845767</v>
      </c>
      <c r="C1543">
        <f>Dashboard_Live_Data!AI72</f>
        <v>-166.8</v>
      </c>
      <c r="D1543">
        <f>Dashboard_Live_Data!AJ72</f>
        <v>1332.7340115462373</v>
      </c>
      <c r="E1543">
        <f>Dashboard_Live_Data!AK72</f>
        <v>-333.6</v>
      </c>
      <c r="F1543">
        <f>Dashboard_Live_Data!AL72</f>
        <v>2727.0872248769224</v>
      </c>
      <c r="G1543">
        <f>Dashboard_Live_Data!AM72</f>
        <v>-333.6</v>
      </c>
      <c r="H1543">
        <f>Dashboard_Live_Data!AN72</f>
        <v>2695.3016989076077</v>
      </c>
    </row>
    <row r="1544" spans="1:8">
      <c r="A1544">
        <f>Dashboard_Live_Data!AG73</f>
        <v>-24.479999999999997</v>
      </c>
      <c r="B1544">
        <f>Dashboard_Live_Data!AH73</f>
        <v>2685.7325784389564</v>
      </c>
      <c r="C1544">
        <f>Dashboard_Live_Data!AI73</f>
        <v>-163.19999999999996</v>
      </c>
      <c r="D1544">
        <f>Dashboard_Live_Data!AJ73</f>
        <v>1301.7473946103885</v>
      </c>
      <c r="E1544">
        <f>Dashboard_Live_Data!AK73</f>
        <v>-326.39999999999992</v>
      </c>
      <c r="F1544">
        <f>Dashboard_Live_Data!AL73</f>
        <v>2655.3615925812765</v>
      </c>
      <c r="G1544">
        <f>Dashboard_Live_Data!AM73</f>
        <v>-326.39999999999992</v>
      </c>
      <c r="H1544">
        <f>Dashboard_Live_Data!AN73</f>
        <v>2623.643900129246</v>
      </c>
    </row>
    <row r="1545" spans="1:8">
      <c r="A1545">
        <f>Dashboard_Live_Data!AG74</f>
        <v>-24</v>
      </c>
      <c r="B1545">
        <f>Dashboard_Live_Data!AH74</f>
        <v>2685.318429856306</v>
      </c>
      <c r="C1545">
        <f>Dashboard_Live_Data!AI74</f>
        <v>-160</v>
      </c>
      <c r="D1545">
        <f>Dashboard_Live_Data!AJ74</f>
        <v>1274.4238323326915</v>
      </c>
      <c r="E1545">
        <f>Dashboard_Live_Data!AK74</f>
        <v>-320</v>
      </c>
      <c r="F1545">
        <f>Dashboard_Live_Data!AL74</f>
        <v>2592.3117154336151</v>
      </c>
      <c r="G1545">
        <f>Dashboard_Live_Data!AM74</f>
        <v>-320</v>
      </c>
      <c r="H1545">
        <f>Dashboard_Live_Data!AN74</f>
        <v>2560.6670284536167</v>
      </c>
    </row>
    <row r="1546" spans="1:8">
      <c r="A1546">
        <f>Dashboard_Live_Data!AG75</f>
        <v>-23.520000000000003</v>
      </c>
      <c r="B1546">
        <f>Dashboard_Live_Data!AH75</f>
        <v>2684.9124368195003</v>
      </c>
      <c r="C1546">
        <f>Dashboard_Live_Data!AI75</f>
        <v>-156.80000000000001</v>
      </c>
      <c r="D1546">
        <f>Dashboard_Live_Data!AJ75</f>
        <v>1247.305949695761</v>
      </c>
      <c r="E1546">
        <f>Dashboard_Live_Data!AK75</f>
        <v>-313.60000000000002</v>
      </c>
      <c r="F1546">
        <f>Dashboard_Live_Data!AL75</f>
        <v>2529.9188951271449</v>
      </c>
      <c r="G1546">
        <f>Dashboard_Live_Data!AM75</f>
        <v>-313.60000000000002</v>
      </c>
      <c r="H1546">
        <f>Dashboard_Live_Data!AN75</f>
        <v>2498.3588768603126</v>
      </c>
    </row>
    <row r="1547" spans="1:8">
      <c r="A1547">
        <f>Dashboard_Live_Data!AG76</f>
        <v>-22.980000000000004</v>
      </c>
      <c r="B1547">
        <f>Dashboard_Live_Data!AH76</f>
        <v>2684.4654464452342</v>
      </c>
      <c r="C1547">
        <f>Dashboard_Live_Data!AI76</f>
        <v>-153.19999999999999</v>
      </c>
      <c r="D1547">
        <f>Dashboard_Live_Data!AJ76</f>
        <v>1217.0425226665805</v>
      </c>
      <c r="E1547">
        <f>Dashboard_Live_Data!AK76</f>
        <v>-306.39999999999998</v>
      </c>
      <c r="F1547">
        <f>Dashboard_Live_Data!AL76</f>
        <v>2460.5030623996822</v>
      </c>
      <c r="G1547">
        <f>Dashboard_Live_Data!AM76</f>
        <v>-306.39999999999998</v>
      </c>
      <c r="H1547">
        <f>Dashboard_Live_Data!AN76</f>
        <v>2429.0518438601966</v>
      </c>
    </row>
    <row r="1548" spans="1:8">
      <c r="A1548">
        <f>Dashboard_Live_Data!AG77</f>
        <v>-22.5</v>
      </c>
      <c r="B1548">
        <f>Dashboard_Live_Data!AH77</f>
        <v>2684.0767928598584</v>
      </c>
      <c r="C1548">
        <f>Dashboard_Live_Data!AI77</f>
        <v>-150</v>
      </c>
      <c r="D1548">
        <f>Dashboard_Live_Data!AJ77</f>
        <v>1190.3573781400514</v>
      </c>
      <c r="E1548">
        <f>Dashboard_Live_Data!AK77</f>
        <v>-300</v>
      </c>
      <c r="F1548">
        <f>Dashboard_Live_Data!AL77</f>
        <v>2399.4815554213374</v>
      </c>
      <c r="G1548">
        <f>Dashboard_Live_Data!AM77</f>
        <v>-300</v>
      </c>
      <c r="H1548">
        <f>Dashboard_Live_Data!AN77</f>
        <v>2368.1387047809635</v>
      </c>
    </row>
    <row r="1549" spans="1:8">
      <c r="A1549">
        <f>Dashboard_Live_Data!AG78</f>
        <v>-22.019999999999996</v>
      </c>
      <c r="B1549">
        <f>Dashboard_Live_Data!AH78</f>
        <v>2683.6963030990701</v>
      </c>
      <c r="C1549">
        <f>Dashboard_Live_Data!AI78</f>
        <v>-146.80000000000001</v>
      </c>
      <c r="D1549">
        <f>Dashboard_Live_Data!AJ78</f>
        <v>1163.8740325347778</v>
      </c>
      <c r="E1549">
        <f>Dashboard_Live_Data!AK78</f>
        <v>-293.60000000000002</v>
      </c>
      <c r="F1549">
        <f>Dashboard_Live_Data!AL78</f>
        <v>2339.0933871403463</v>
      </c>
      <c r="G1549">
        <f>Dashboard_Live_Data!AM78</f>
        <v>-293.60000000000002</v>
      </c>
      <c r="H1549">
        <f>Dashboard_Live_Data!AN78</f>
        <v>2307.869477325939</v>
      </c>
    </row>
    <row r="1550" spans="1:8">
      <c r="A1550">
        <f>Dashboard_Live_Data!AG79</f>
        <v>-21.479999999999997</v>
      </c>
      <c r="B1550">
        <f>Dashboard_Live_Data!AH79</f>
        <v>2683.2780136005345</v>
      </c>
      <c r="C1550">
        <f>Dashboard_Live_Data!AI79</f>
        <v>-143.19999999999999</v>
      </c>
      <c r="D1550">
        <f>Dashboard_Live_Data!AJ79</f>
        <v>1134.3202022333339</v>
      </c>
      <c r="E1550">
        <f>Dashboard_Live_Data!AK79</f>
        <v>-286.39999999999998</v>
      </c>
      <c r="F1550">
        <f>Dashboard_Live_Data!AL79</f>
        <v>2271.9039940577863</v>
      </c>
      <c r="G1550">
        <f>Dashboard_Live_Data!AM79</f>
        <v>-286.39999999999998</v>
      </c>
      <c r="H1550">
        <f>Dashboard_Live_Data!AN79</f>
        <v>2240.8260060943512</v>
      </c>
    </row>
    <row r="1551" spans="1:8">
      <c r="A1551">
        <f>Dashboard_Live_Data!AG80</f>
        <v>-21</v>
      </c>
      <c r="B1551">
        <f>Dashboard_Live_Data!AH80</f>
        <v>2682.9148803352541</v>
      </c>
      <c r="C1551">
        <f>Dashboard_Live_Data!AI80</f>
        <v>-140</v>
      </c>
      <c r="D1551">
        <f>Dashboard_Live_Data!AJ80</f>
        <v>1108.2624133501783</v>
      </c>
      <c r="E1551">
        <f>Dashboard_Live_Data!AK80</f>
        <v>-280</v>
      </c>
      <c r="F1551">
        <f>Dashboard_Live_Data!AL80</f>
        <v>2212.8355811384035</v>
      </c>
      <c r="G1551">
        <f>Dashboard_Live_Data!AM80</f>
        <v>-280</v>
      </c>
      <c r="H1551">
        <f>Dashboard_Live_Data!AN80</f>
        <v>2181.8975570992638</v>
      </c>
    </row>
    <row r="1552" spans="1:8">
      <c r="A1552">
        <f>Dashboard_Live_Data!AG81</f>
        <v>-20.520000000000003</v>
      </c>
      <c r="B1552">
        <f>Dashboard_Live_Data!AH81</f>
        <v>2682.5599186564959</v>
      </c>
      <c r="C1552">
        <f>Dashboard_Live_Data!AI81</f>
        <v>-136.80000000000001</v>
      </c>
      <c r="D1552">
        <f>Dashboard_Live_Data!AJ81</f>
        <v>1082.4036420950645</v>
      </c>
      <c r="E1552">
        <f>Dashboard_Live_Data!AK81</f>
        <v>-273.60000000000002</v>
      </c>
      <c r="F1552">
        <f>Dashboard_Live_Data!AL81</f>
        <v>2154.3757519290621</v>
      </c>
      <c r="G1552">
        <f>Dashboard_Live_Data!AM81</f>
        <v>-273.60000000000002</v>
      </c>
      <c r="H1552">
        <f>Dashboard_Live_Data!AN81</f>
        <v>2123.5868153942761</v>
      </c>
    </row>
    <row r="1553" spans="1:8">
      <c r="A1553">
        <f>Dashboard_Live_Data!AG82</f>
        <v>-19.979999999999997</v>
      </c>
      <c r="B1553">
        <f>Dashboard_Live_Data!AH82</f>
        <v>2682.1703573214322</v>
      </c>
      <c r="C1553">
        <f>Dashboard_Live_Data!AI82</f>
        <v>-133.19999999999999</v>
      </c>
      <c r="D1553">
        <f>Dashboard_Live_Data!AJ82</f>
        <v>1053.5497018470367</v>
      </c>
      <c r="E1553">
        <f>Dashboard_Live_Data!AK82</f>
        <v>-266.39999999999998</v>
      </c>
      <c r="F1553">
        <f>Dashboard_Live_Data!AL82</f>
        <v>2089.3258107719435</v>
      </c>
      <c r="G1553">
        <f>Dashboard_Live_Data!AM82</f>
        <v>-266.39999999999998</v>
      </c>
      <c r="H1553">
        <f>Dashboard_Live_Data!AN82</f>
        <v>2058.7148075309083</v>
      </c>
    </row>
    <row r="1554" spans="1:8">
      <c r="A1554">
        <f>Dashboard_Live_Data!AG83</f>
        <v>-19.5</v>
      </c>
      <c r="B1554">
        <f>Dashboard_Live_Data!AH83</f>
        <v>2681.8327680804646</v>
      </c>
      <c r="C1554">
        <f>Dashboard_Live_Data!AI83</f>
        <v>-130</v>
      </c>
      <c r="D1554">
        <f>Dashboard_Live_Data!AJ83</f>
        <v>1028.1121624339564</v>
      </c>
      <c r="E1554">
        <f>Dashboard_Live_Data!AK83</f>
        <v>-260</v>
      </c>
      <c r="F1554">
        <f>Dashboard_Live_Data!AL83</f>
        <v>2032.1322695231349</v>
      </c>
      <c r="G1554">
        <f>Dashboard_Live_Data!AM83</f>
        <v>-260</v>
      </c>
      <c r="H1554">
        <f>Dashboard_Live_Data!AN83</f>
        <v>2001.6878257232431</v>
      </c>
    </row>
    <row r="1555" spans="1:8">
      <c r="A1555">
        <f>Dashboard_Live_Data!AG84</f>
        <v>-19.019999999999996</v>
      </c>
      <c r="B1555">
        <f>Dashboard_Live_Data!AH84</f>
        <v>2681.5033576678143</v>
      </c>
      <c r="C1555">
        <f>Dashboard_Live_Data!AI84</f>
        <v>-126.79999999999995</v>
      </c>
      <c r="D1555">
        <f>Dashboard_Live_Data!AJ84</f>
        <v>1002.8724909144175</v>
      </c>
      <c r="E1555">
        <f>Dashboard_Live_Data!AK84</f>
        <v>-253.59999999999991</v>
      </c>
      <c r="F1555">
        <f>Dashboard_Live_Data!AL84</f>
        <v>1975.5218318440923</v>
      </c>
      <c r="G1555">
        <f>Dashboard_Live_Data!AM84</f>
        <v>-253.59999999999991</v>
      </c>
      <c r="H1555">
        <f>Dashboard_Live_Data!AN84</f>
        <v>1945.2511482815198</v>
      </c>
    </row>
    <row r="1556" spans="1:8">
      <c r="A1556">
        <f>Dashboard_Live_Data!AG85</f>
        <v>-18.480000000000004</v>
      </c>
      <c r="B1556">
        <f>Dashboard_Live_Data!AH85</f>
        <v>2681.1425499551765</v>
      </c>
      <c r="C1556">
        <f>Dashboard_Live_Data!AI85</f>
        <v>-123.20000000000005</v>
      </c>
      <c r="D1556">
        <f>Dashboard_Live_Data!AJ85</f>
        <v>974.71450211271815</v>
      </c>
      <c r="E1556">
        <f>Dashboard_Live_Data!AK85</f>
        <v>-246.40000000000009</v>
      </c>
      <c r="F1556">
        <f>Dashboard_Live_Data!AL85</f>
        <v>1912.5218325119242</v>
      </c>
      <c r="G1556">
        <f>Dashboard_Live_Data!AM85</f>
        <v>-246.40000000000009</v>
      </c>
      <c r="H1556">
        <f>Dashboard_Live_Data!AN85</f>
        <v>1882.4543117385992</v>
      </c>
    </row>
    <row r="1557" spans="1:8">
      <c r="A1557">
        <f>Dashboard_Live_Data!AG86</f>
        <v>-18</v>
      </c>
      <c r="B1557">
        <f>Dashboard_Live_Data!AH86</f>
        <v>2680.8305268137187</v>
      </c>
      <c r="C1557">
        <f>Dashboard_Live_Data!AI86</f>
        <v>-120</v>
      </c>
      <c r="D1557">
        <f>Dashboard_Live_Data!AJ86</f>
        <v>949.89595685143365</v>
      </c>
      <c r="E1557">
        <f>Dashboard_Live_Data!AK86</f>
        <v>-240</v>
      </c>
      <c r="F1557">
        <f>Dashboard_Live_Data!AL86</f>
        <v>1857.1231620816707</v>
      </c>
      <c r="G1557">
        <f>Dashboard_Live_Data!AM86</f>
        <v>-240</v>
      </c>
      <c r="H1557">
        <f>Dashboard_Live_Data!AN86</f>
        <v>1827.2421550832848</v>
      </c>
    </row>
    <row r="1558" spans="1:8">
      <c r="A1558">
        <f>Dashboard_Live_Data!AG87</f>
        <v>-17.520000000000003</v>
      </c>
      <c r="B1558">
        <f>Dashboard_Live_Data!AH87</f>
        <v>2680.526689218967</v>
      </c>
      <c r="C1558">
        <f>Dashboard_Live_Data!AI87</f>
        <v>-116.80000000000001</v>
      </c>
      <c r="D1558">
        <f>Dashboard_Live_Data!AJ87</f>
        <v>925.27653395464438</v>
      </c>
      <c r="E1558">
        <f>Dashboard_Live_Data!AK87</f>
        <v>-233.60000000000002</v>
      </c>
      <c r="F1558">
        <f>Dashboard_Live_Data!AL87</f>
        <v>1802.2819043727304</v>
      </c>
      <c r="G1558">
        <f>Dashboard_Live_Data!AM87</f>
        <v>-233.60000000000002</v>
      </c>
      <c r="H1558">
        <f>Dashboard_Live_Data!AN87</f>
        <v>1772.5920499108024</v>
      </c>
    </row>
    <row r="1559" spans="1:8">
      <c r="A1559">
        <f>Dashboard_Live_Data!AG88</f>
        <v>-16.979999999999997</v>
      </c>
      <c r="B1559">
        <f>Dashboard_Live_Data!AH88</f>
        <v>2680.1946587476814</v>
      </c>
      <c r="C1559">
        <f>Dashboard_Live_Data!AI88</f>
        <v>-113.19999999999999</v>
      </c>
      <c r="D1559">
        <f>Dashboard_Live_Data!AJ88</f>
        <v>897.81905962626126</v>
      </c>
      <c r="E1559">
        <f>Dashboard_Live_Data!AK88</f>
        <v>-226.39999999999998</v>
      </c>
      <c r="F1559">
        <f>Dashboard_Live_Data!AL88</f>
        <v>1741.2416393615815</v>
      </c>
      <c r="G1559">
        <f>Dashboard_Live_Data!AM88</f>
        <v>-226.39999999999998</v>
      </c>
      <c r="H1559">
        <f>Dashboard_Live_Data!AN88</f>
        <v>1711.7711368171172</v>
      </c>
    </row>
    <row r="1560" spans="1:8">
      <c r="A1560">
        <f>Dashboard_Live_Data!AG89</f>
        <v>-16.5</v>
      </c>
      <c r="B1560">
        <f>Dashboard_Live_Data!AH89</f>
        <v>2679.9082221420913</v>
      </c>
      <c r="C1560">
        <f>Dashboard_Live_Data!AI89</f>
        <v>-110</v>
      </c>
      <c r="D1560">
        <f>Dashboard_Live_Data!AJ89</f>
        <v>873.62687375191115</v>
      </c>
      <c r="E1560">
        <f>Dashboard_Live_Data!AK89</f>
        <v>-220</v>
      </c>
      <c r="F1560">
        <f>Dashboard_Live_Data!AL89</f>
        <v>1687.5579776583929</v>
      </c>
      <c r="G1560">
        <f>Dashboard_Live_Data!AM89</f>
        <v>-220</v>
      </c>
      <c r="H1560">
        <f>Dashboard_Live_Data!AN89</f>
        <v>1658.2850643618456</v>
      </c>
    </row>
    <row r="1561" spans="1:8">
      <c r="A1561">
        <f>Dashboard_Live_Data!AG90</f>
        <v>-16.020000000000003</v>
      </c>
      <c r="B1561">
        <f>Dashboard_Live_Data!AH90</f>
        <v>2679.6299772752322</v>
      </c>
      <c r="C1561">
        <f>Dashboard_Live_Data!AI90</f>
        <v>-106.80000000000001</v>
      </c>
      <c r="D1561">
        <f>Dashboard_Live_Data!AJ90</f>
        <v>849.63861157700319</v>
      </c>
      <c r="E1561">
        <f>Dashboard_Live_Data!AK90</f>
        <v>-213.60000000000002</v>
      </c>
      <c r="F1561">
        <f>Dashboard_Live_Data!AL90</f>
        <v>1634.406668398929</v>
      </c>
      <c r="G1561">
        <f>Dashboard_Live_Data!AM90</f>
        <v>-213.60000000000002</v>
      </c>
      <c r="H1561">
        <f>Dashboard_Live_Data!AN90</f>
        <v>1605.3325327342354</v>
      </c>
    </row>
    <row r="1562" spans="1:8">
      <c r="A1562">
        <f>Dashboard_Live_Data!AG91</f>
        <v>-15.480000000000004</v>
      </c>
      <c r="B1562">
        <f>Dashboard_Live_Data!AH91</f>
        <v>2679.3267458137466</v>
      </c>
      <c r="C1562">
        <f>Dashboard_Live_Data!AI91</f>
        <v>-103.19999999999999</v>
      </c>
      <c r="D1562">
        <f>Dashboard_Live_Data!AJ91</f>
        <v>822.89876155971092</v>
      </c>
      <c r="E1562">
        <f>Dashboard_Live_Data!AK91</f>
        <v>-206.39999999999998</v>
      </c>
      <c r="F1562">
        <f>Dashboard_Live_Data!AL91</f>
        <v>1575.2382195812656</v>
      </c>
      <c r="G1562">
        <f>Dashboard_Live_Data!AM91</f>
        <v>-206.39999999999998</v>
      </c>
      <c r="H1562">
        <f>Dashboard_Live_Data!AN91</f>
        <v>1546.3874430517001</v>
      </c>
    </row>
    <row r="1563" spans="1:8">
      <c r="A1563">
        <f>Dashboard_Live_Data!AG92</f>
        <v>-15</v>
      </c>
      <c r="B1563">
        <f>Dashboard_Live_Data!AH92</f>
        <v>2679.0659145324939</v>
      </c>
      <c r="C1563">
        <f>Dashboard_Live_Data!AI92</f>
        <v>-100</v>
      </c>
      <c r="D1563">
        <f>Dashboard_Live_Data!AJ92</f>
        <v>799.35304652578816</v>
      </c>
      <c r="E1563">
        <f>Dashboard_Live_Data!AK92</f>
        <v>-200</v>
      </c>
      <c r="F1563">
        <f>Dashboard_Live_Data!AL92</f>
        <v>1523.1929864371127</v>
      </c>
      <c r="G1563">
        <f>Dashboard_Live_Data!AM92</f>
        <v>-200</v>
      </c>
      <c r="H1563">
        <f>Dashboard_Live_Data!AN92</f>
        <v>1494.538848738704</v>
      </c>
    </row>
    <row r="1564" spans="1:8">
      <c r="A1564">
        <f>Dashboard_Live_Data!AG93</f>
        <v>-14.519999999999996</v>
      </c>
      <c r="B1564">
        <f>Dashboard_Live_Data!AH93</f>
        <v>2678.8132806528729</v>
      </c>
      <c r="C1564">
        <f>Dashboard_Live_Data!AI93</f>
        <v>-96.800000000000011</v>
      </c>
      <c r="D1564">
        <f>Dashboard_Live_Data!AJ93</f>
        <v>776.02132681113301</v>
      </c>
      <c r="E1564">
        <f>Dashboard_Live_Data!AK93</f>
        <v>-193.60000000000002</v>
      </c>
      <c r="F1564">
        <f>Dashboard_Live_Data!AL93</f>
        <v>1471.657065923119</v>
      </c>
      <c r="G1564">
        <f>Dashboard_Live_Data!AM93</f>
        <v>-193.60000000000002</v>
      </c>
      <c r="H1564">
        <f>Dashboard_Live_Data!AN93</f>
        <v>1443.1960281662846</v>
      </c>
    </row>
    <row r="1565" spans="1:8">
      <c r="A1565">
        <f>Dashboard_Live_Data!AG94</f>
        <v>-13.979999999999997</v>
      </c>
      <c r="B1565">
        <f>Dashboard_Live_Data!AH94</f>
        <v>2678.53886810944</v>
      </c>
      <c r="C1565">
        <f>Dashboard_Live_Data!AI94</f>
        <v>-93.199999999999989</v>
      </c>
      <c r="D1565">
        <f>Dashboard_Live_Data!AJ94</f>
        <v>750.03486285335612</v>
      </c>
      <c r="E1565">
        <f>Dashboard_Live_Data!AK94</f>
        <v>-186.39999999999998</v>
      </c>
      <c r="F1565">
        <f>Dashboard_Live_Data!AL94</f>
        <v>1414.2797453815531</v>
      </c>
      <c r="G1565">
        <f>Dashboard_Live_Data!AM94</f>
        <v>-186.39999999999998</v>
      </c>
      <c r="H1565">
        <f>Dashboard_Live_Data!AN94</f>
        <v>1386.0293710733336</v>
      </c>
    </row>
    <row r="1566" spans="1:8">
      <c r="A1566">
        <f>Dashboard_Live_Data!AG95</f>
        <v>-13.5</v>
      </c>
      <c r="B1566">
        <f>Dashboard_Live_Data!AH95</f>
        <v>2678.3036592847507</v>
      </c>
      <c r="C1566">
        <f>Dashboard_Live_Data!AI95</f>
        <v>-90</v>
      </c>
      <c r="D1566">
        <f>Dashboard_Live_Data!AJ95</f>
        <v>727.17474536725172</v>
      </c>
      <c r="E1566">
        <f>Dashboard_Live_Data!AK95</f>
        <v>-180</v>
      </c>
      <c r="F1566">
        <f>Dashboard_Live_Data!AL95</f>
        <v>1363.8048794660731</v>
      </c>
      <c r="G1566">
        <f>Dashboard_Live_Data!AM95</f>
        <v>-180</v>
      </c>
      <c r="H1566">
        <f>Dashboard_Live_Data!AN95</f>
        <v>1335.7335814317601</v>
      </c>
    </row>
    <row r="1567" spans="1:8">
      <c r="A1567">
        <f>Dashboard_Live_Data!AG96</f>
        <v>-13.019999999999996</v>
      </c>
      <c r="B1567">
        <f>Dashboard_Live_Data!AH96</f>
        <v>2678.0766529929315</v>
      </c>
      <c r="C1567">
        <f>Dashboard_Live_Data!AI96</f>
        <v>-86.800000000000011</v>
      </c>
      <c r="D1567">
        <f>Dashboard_Live_Data!AJ96</f>
        <v>704.54661686923862</v>
      </c>
      <c r="E1567">
        <f>Dashboard_Live_Data!AK96</f>
        <v>-173.60000000000002</v>
      </c>
      <c r="F1567">
        <f>Dashboard_Live_Data!AL96</f>
        <v>1313.820661862484</v>
      </c>
      <c r="G1567">
        <f>Dashboard_Live_Data!AM96</f>
        <v>-173.60000000000002</v>
      </c>
      <c r="H1567">
        <f>Dashboard_Live_Data!AN96</f>
        <v>1285.9182668026356</v>
      </c>
    </row>
    <row r="1568" spans="1:8">
      <c r="A1568">
        <f>Dashboard_Live_Data!AG97</f>
        <v>-12.479999999999997</v>
      </c>
      <c r="B1568">
        <f>Dashboard_Live_Data!AH97</f>
        <v>2677.8310774067595</v>
      </c>
      <c r="C1568">
        <f>Dashboard_Live_Data!AI97</f>
        <v>-83.199999999999989</v>
      </c>
      <c r="D1568">
        <f>Dashboard_Live_Data!AJ97</f>
        <v>679.37735188566262</v>
      </c>
      <c r="E1568">
        <f>Dashboard_Live_Data!AK97</f>
        <v>-166.39999999999998</v>
      </c>
      <c r="F1568">
        <f>Dashboard_Live_Data!AL97</f>
        <v>1258.1693986938863</v>
      </c>
      <c r="G1568">
        <f>Dashboard_Live_Data!AM97</f>
        <v>-166.39999999999998</v>
      </c>
      <c r="H1568">
        <f>Dashboard_Live_Data!AN97</f>
        <v>1230.4415066288307</v>
      </c>
    </row>
    <row r="1569" spans="1:8">
      <c r="A1569">
        <f>Dashboard_Live_Data!AG98</f>
        <v>-12</v>
      </c>
      <c r="B1569">
        <f>Dashboard_Live_Data!AH98</f>
        <v>2677.6215065069619</v>
      </c>
      <c r="C1569">
        <f>Dashboard_Live_Data!AI98</f>
        <v>-80</v>
      </c>
      <c r="D1569">
        <f>Dashboard_Live_Data!AJ98</f>
        <v>657.27068851642468</v>
      </c>
      <c r="E1569">
        <f>Dashboard_Live_Data!AK98</f>
        <v>-160</v>
      </c>
      <c r="F1569">
        <f>Dashboard_Live_Data!AL98</f>
        <v>1209.2143519498034</v>
      </c>
      <c r="G1569">
        <f>Dashboard_Live_Data!AM98</f>
        <v>-160</v>
      </c>
      <c r="H1569">
        <f>Dashboard_Live_Data!AN98</f>
        <v>1181.6244054437507</v>
      </c>
    </row>
    <row r="1570" spans="1:8">
      <c r="A1570">
        <f>Dashboard_Live_Data!AG99</f>
        <v>-11.519999999999996</v>
      </c>
      <c r="B1570">
        <f>Dashboard_Live_Data!AH99</f>
        <v>2677.4201427373237</v>
      </c>
      <c r="C1570">
        <f>Dashboard_Live_Data!AI99</f>
        <v>-76.799999999999955</v>
      </c>
      <c r="D1570">
        <f>Dashboard_Live_Data!AJ99</f>
        <v>635.42608587189397</v>
      </c>
      <c r="E1570">
        <f>Dashboard_Live_Data!AK99</f>
        <v>-153.59999999999991</v>
      </c>
      <c r="F1570">
        <f>Dashboard_Live_Data!AL99</f>
        <v>1160.7398106982935</v>
      </c>
      <c r="G1570">
        <f>Dashboard_Live_Data!AM99</f>
        <v>-153.59999999999991</v>
      </c>
      <c r="H1570">
        <f>Dashboard_Live_Data!AN99</f>
        <v>1133.2680310356866</v>
      </c>
    </row>
    <row r="1571" spans="1:8">
      <c r="A1571">
        <f>Dashboard_Live_Data!AG100</f>
        <v>-10.980000000000004</v>
      </c>
      <c r="B1571">
        <f>Dashboard_Live_Data!AH100</f>
        <v>2677.2034202705154</v>
      </c>
      <c r="C1571">
        <f>Dashboard_Live_Data!AI100</f>
        <v>-73.200000000000045</v>
      </c>
      <c r="D1571">
        <f>Dashboard_Live_Data!AJ100</f>
        <v>611.18062071366592</v>
      </c>
      <c r="E1571">
        <f>Dashboard_Live_Data!AK100</f>
        <v>-146.40000000000009</v>
      </c>
      <c r="F1571">
        <f>Dashboard_Live_Data!AL100</f>
        <v>1106.7799512839299</v>
      </c>
      <c r="G1571">
        <f>Dashboard_Live_Data!AM100</f>
        <v>-146.40000000000009</v>
      </c>
      <c r="H1571">
        <f>Dashboard_Live_Data!AN100</f>
        <v>1079.4124988914414</v>
      </c>
    </row>
    <row r="1572" spans="1:8">
      <c r="A1572">
        <f>Dashboard_Live_Data!AG101</f>
        <v>-10.5</v>
      </c>
      <c r="B1572">
        <f>Dashboard_Live_Data!AH101</f>
        <v>2677.019501093122</v>
      </c>
      <c r="C1572">
        <f>Dashboard_Live_Data!AI101</f>
        <v>-70</v>
      </c>
      <c r="D1572">
        <f>Dashboard_Live_Data!AJ101</f>
        <v>589.93930874913281</v>
      </c>
      <c r="E1572">
        <f>Dashboard_Live_Data!AK101</f>
        <v>-140</v>
      </c>
      <c r="F1572">
        <f>Dashboard_Live_Data!AL101</f>
        <v>1059.3278163208254</v>
      </c>
      <c r="G1572">
        <f>Dashboard_Live_Data!AM101</f>
        <v>-140</v>
      </c>
      <c r="H1572">
        <f>Dashboard_Live_Data!AN101</f>
        <v>1032.0225937697833</v>
      </c>
    </row>
    <row r="1573" spans="1:8">
      <c r="A1573">
        <f>Dashboard_Live_Data!AG102</f>
        <v>-10.020000000000003</v>
      </c>
      <c r="B1573">
        <f>Dashboard_Live_Data!AH102</f>
        <v>2676.843793107199</v>
      </c>
      <c r="C1573">
        <f>Dashboard_Live_Data!AI102</f>
        <v>-66.800000000000011</v>
      </c>
      <c r="D1573">
        <f>Dashboard_Live_Data!AJ102</f>
        <v>569.00880810029753</v>
      </c>
      <c r="E1573">
        <f>Dashboard_Live_Data!AK102</f>
        <v>-133.60000000000002</v>
      </c>
      <c r="F1573">
        <f>Dashboard_Live_Data!AL102</f>
        <v>1012.362240937457</v>
      </c>
      <c r="G1573">
        <f>Dashboard_Live_Data!AM102</f>
        <v>-133.60000000000002</v>
      </c>
      <c r="H1573">
        <f>Dashboard_Live_Data!AN102</f>
        <v>985.08502580385175</v>
      </c>
    </row>
    <row r="1574" spans="1:8">
      <c r="A1574">
        <f>Dashboard_Live_Data!AG103</f>
        <v>-9.480000000000004</v>
      </c>
      <c r="B1574">
        <f>Dashboard_Live_Data!AH103</f>
        <v>2676.6559380375311</v>
      </c>
      <c r="C1574">
        <f>Dashboard_Live_Data!AI103</f>
        <v>-63.199999999999989</v>
      </c>
      <c r="D1574">
        <f>Dashboard_Live_Data!AJ103</f>
        <v>545.85993350873184</v>
      </c>
      <c r="E1574">
        <f>Dashboard_Live_Data!AK103</f>
        <v>-126.39999999999998</v>
      </c>
      <c r="F1574">
        <f>Dashboard_Live_Data!AL103</f>
        <v>960.11703342820601</v>
      </c>
      <c r="G1574">
        <f>Dashboard_Live_Data!AM103</f>
        <v>-126.39999999999998</v>
      </c>
      <c r="H1574">
        <f>Dashboard_Live_Data!AN103</f>
        <v>932.82274514534868</v>
      </c>
    </row>
    <row r="1575" spans="1:8">
      <c r="A1575">
        <f>Dashboard_Live_Data!AG104</f>
        <v>-9</v>
      </c>
      <c r="B1575">
        <f>Dashboard_Live_Data!AH104</f>
        <v>2676.4976827030932</v>
      </c>
      <c r="C1575">
        <f>Dashboard_Live_Data!AI104</f>
        <v>-60</v>
      </c>
      <c r="D1575">
        <f>Dashboard_Live_Data!AJ104</f>
        <v>525.66427144455326</v>
      </c>
      <c r="E1575">
        <f>Dashboard_Live_Data!AK104</f>
        <v>-120</v>
      </c>
      <c r="F1575">
        <f>Dashboard_Live_Data!AL104</f>
        <v>914.21509447541018</v>
      </c>
      <c r="G1575">
        <f>Dashboard_Live_Data!AM104</f>
        <v>-120</v>
      </c>
      <c r="H1575">
        <f>Dashboard_Live_Data!AN104</f>
        <v>886.85449472026994</v>
      </c>
    </row>
    <row r="1576" spans="1:8">
      <c r="A1576">
        <f>Dashboard_Live_Data!AG105</f>
        <v>-8.5200000000000031</v>
      </c>
      <c r="B1576">
        <f>Dashboard_Live_Data!AH105</f>
        <v>2676.3476420836173</v>
      </c>
      <c r="C1576">
        <f>Dashboard_Live_Data!AI105</f>
        <v>-56.800000000000011</v>
      </c>
      <c r="D1576">
        <f>Dashboard_Live_Data!AJ105</f>
        <v>505.85734229616077</v>
      </c>
      <c r="E1576">
        <f>Dashboard_Live_Data!AK105</f>
        <v>-113.60000000000002</v>
      </c>
      <c r="F1576">
        <f>Dashboard_Live_Data!AL105</f>
        <v>868.83708028220633</v>
      </c>
      <c r="G1576">
        <f>Dashboard_Live_Data!AM105</f>
        <v>-113.60000000000002</v>
      </c>
      <c r="H1576">
        <f>Dashboard_Live_Data!AN105</f>
        <v>841.35327888293671</v>
      </c>
    </row>
    <row r="1577" spans="1:8">
      <c r="A1577">
        <f>Dashboard_Live_Data!AG106</f>
        <v>-7.980000000000004</v>
      </c>
      <c r="B1577">
        <f>Dashboard_Live_Data!AH106</f>
        <v>2676.1886667981512</v>
      </c>
      <c r="C1577">
        <f>Dashboard_Live_Data!AI106</f>
        <v>-53.199999999999989</v>
      </c>
      <c r="D1577">
        <f>Dashboard_Live_Data!AJ106</f>
        <v>484.08118424505756</v>
      </c>
      <c r="E1577">
        <f>Dashboard_Live_Data!AK106</f>
        <v>-106.39999999999998</v>
      </c>
      <c r="F1577">
        <f>Dashboard_Live_Data!AL106</f>
        <v>818.44200766992435</v>
      </c>
      <c r="G1577">
        <f>Dashboard_Live_Data!AM106</f>
        <v>-106.39999999999998</v>
      </c>
      <c r="H1577">
        <f>Dashboard_Live_Data!AN106</f>
        <v>790.73922174294944</v>
      </c>
    </row>
    <row r="1578" spans="1:8">
      <c r="A1578">
        <f>Dashboard_Live_Data!AG107</f>
        <v>-7.5</v>
      </c>
      <c r="B1578">
        <f>Dashboard_Live_Data!AH107</f>
        <v>2676.0560857448104</v>
      </c>
      <c r="C1578">
        <f>Dashboard_Live_Data!AI107</f>
        <v>-50</v>
      </c>
      <c r="D1578">
        <f>Dashboard_Live_Data!AJ107</f>
        <v>465.21831918360385</v>
      </c>
      <c r="E1578">
        <f>Dashboard_Live_Data!AK107</f>
        <v>-100</v>
      </c>
      <c r="F1578">
        <f>Dashboard_Live_Data!AL107</f>
        <v>774.26357736360831</v>
      </c>
      <c r="G1578">
        <f>Dashboard_Live_Data!AM107</f>
        <v>-100</v>
      </c>
      <c r="H1578">
        <f>Dashboard_Live_Data!AN107</f>
        <v>746.28169026439843</v>
      </c>
    </row>
    <row r="1579" spans="1:8">
      <c r="A1579">
        <f>Dashboard_Live_Data!AG108</f>
        <v>-7.019999999999996</v>
      </c>
      <c r="B1579">
        <f>Dashboard_Live_Data!AH108</f>
        <v>2675.93172239053</v>
      </c>
      <c r="C1579">
        <f>Dashboard_Live_Data!AI108</f>
        <v>-46.800000000000011</v>
      </c>
      <c r="D1579">
        <f>Dashboard_Live_Data!AJ108</f>
        <v>446.86749403358624</v>
      </c>
      <c r="E1579">
        <f>Dashboard_Live_Data!AK108</f>
        <v>-93.600000000000023</v>
      </c>
      <c r="F1579">
        <f>Dashboard_Live_Data!AL108</f>
        <v>730.70973255620993</v>
      </c>
      <c r="G1579">
        <f>Dashboard_Live_Data!AM108</f>
        <v>-93.600000000000023</v>
      </c>
      <c r="H1579">
        <f>Dashboard_Live_Data!AN108</f>
        <v>702.35477860817696</v>
      </c>
    </row>
    <row r="1580" spans="1:8">
      <c r="A1580">
        <f>Dashboard_Live_Data!AG109</f>
        <v>-6.4799999999999969</v>
      </c>
      <c r="B1580">
        <f>Dashboard_Live_Data!AH109</f>
        <v>2675.801637380072</v>
      </c>
      <c r="C1580">
        <f>Dashboard_Live_Data!AI109</f>
        <v>-43.199999999999989</v>
      </c>
      <c r="D1580">
        <f>Dashboard_Live_Data!AJ109</f>
        <v>426.90066876687405</v>
      </c>
      <c r="E1580">
        <f>Dashboard_Live_Data!AK109</f>
        <v>-86.399999999999977</v>
      </c>
      <c r="F1580">
        <f>Dashboard_Live_Data!AL109</f>
        <v>682.52802138756863</v>
      </c>
      <c r="G1580">
        <f>Dashboard_Live_Data!AM109</f>
        <v>-86.399999999999977</v>
      </c>
      <c r="H1580">
        <f>Dashboard_Live_Data!AN109</f>
        <v>653.62041243254544</v>
      </c>
    </row>
    <row r="1581" spans="1:8">
      <c r="A1581">
        <f>Dashboard_Live_Data!AG110</f>
        <v>-6</v>
      </c>
      <c r="B1581">
        <f>Dashboard_Live_Data!AH110</f>
        <v>2675.6947393589066</v>
      </c>
      <c r="C1581">
        <f>Dashboard_Live_Data!AI110</f>
        <v>-40</v>
      </c>
      <c r="D1581">
        <f>Dashboard_Live_Data!AJ110</f>
        <v>409.82236463418178</v>
      </c>
      <c r="E1581">
        <f>Dashboard_Live_Data!AK110</f>
        <v>-80</v>
      </c>
      <c r="F1581">
        <f>Dashboard_Live_Data!AL110</f>
        <v>640.5073835750494</v>
      </c>
      <c r="G1581">
        <f>Dashboard_Live_Data!AM110</f>
        <v>-80</v>
      </c>
      <c r="H1581">
        <f>Dashboard_Live_Data!AN110</f>
        <v>610.9686237412925</v>
      </c>
    </row>
    <row r="1582" spans="1:8">
      <c r="A1582">
        <f>Dashboard_Live_Data!AG111</f>
        <v>-5.519999999999996</v>
      </c>
      <c r="B1582">
        <f>Dashboard_Live_Data!AH111</f>
        <v>2675.5960614801529</v>
      </c>
      <c r="C1582">
        <f>Dashboard_Live_Data!AI111</f>
        <v>-36.800000000000011</v>
      </c>
      <c r="D1582">
        <f>Dashboard_Live_Data!AJ111</f>
        <v>393.44746490213646</v>
      </c>
      <c r="E1582">
        <f>Dashboard_Live_Data!AK111</f>
        <v>-73.600000000000023</v>
      </c>
      <c r="F1582">
        <f>Dashboard_Live_Data!AL111</f>
        <v>599.34841039901539</v>
      </c>
      <c r="G1582">
        <f>Dashboard_Live_Data!AM111</f>
        <v>-73.600000000000023</v>
      </c>
      <c r="H1582">
        <f>Dashboard_Live_Data!AN111</f>
        <v>569.02276868174431</v>
      </c>
    </row>
    <row r="1583" spans="1:8">
      <c r="A1583">
        <f>Dashboard_Live_Data!AG112</f>
        <v>-4.9799999999999969</v>
      </c>
      <c r="B1583">
        <f>Dashboard_Live_Data!AH112</f>
        <v>2675.4948753344852</v>
      </c>
      <c r="C1583">
        <f>Dashboard_Live_Data!AI112</f>
        <v>-33.199999999999989</v>
      </c>
      <c r="D1583">
        <f>Dashboard_Live_Data!AJ112</f>
        <v>375.96606957909472</v>
      </c>
      <c r="E1583">
        <f>Dashboard_Live_Data!AK112</f>
        <v>-66.399999999999977</v>
      </c>
      <c r="F1583">
        <f>Dashboard_Live_Data!AL112</f>
        <v>554.23623167510391</v>
      </c>
      <c r="G1583">
        <f>Dashboard_Live_Data!AM112</f>
        <v>-66.399999999999977</v>
      </c>
      <c r="H1583">
        <f>Dashboard_Live_Data!AN112</f>
        <v>522.8056693168993</v>
      </c>
    </row>
    <row r="1584" spans="1:8">
      <c r="A1584">
        <f>Dashboard_Live_Data!AG113</f>
        <v>-4.5</v>
      </c>
      <c r="B1584">
        <f>Dashboard_Live_Data!AH113</f>
        <v>2675.4136674055262</v>
      </c>
      <c r="C1584">
        <f>Dashboard_Live_Data!AI113</f>
        <v>-30</v>
      </c>
      <c r="D1584">
        <f>Dashboard_Live_Data!AJ113</f>
        <v>361.36283308427818</v>
      </c>
      <c r="E1584">
        <f>Dashboard_Live_Data!AK113</f>
        <v>-60</v>
      </c>
      <c r="F1584">
        <f>Dashboard_Live_Data!AL113</f>
        <v>515.38593594731606</v>
      </c>
      <c r="G1584">
        <f>Dashboard_Live_Data!AM113</f>
        <v>-60</v>
      </c>
      <c r="H1584">
        <f>Dashboard_Live_Data!AN113</f>
        <v>482.74430884328382</v>
      </c>
    </row>
    <row r="1585" spans="1:8">
      <c r="A1585">
        <f>Dashboard_Live_Data!AG114</f>
        <v>-4.019999999999996</v>
      </c>
      <c r="B1585">
        <f>Dashboard_Live_Data!AH114</f>
        <v>2675.3406815205371</v>
      </c>
      <c r="C1585">
        <f>Dashboard_Live_Data!AI114</f>
        <v>-26.799999999999955</v>
      </c>
      <c r="D1585">
        <f>Dashboard_Live_Data!AJ114</f>
        <v>347.74512770791858</v>
      </c>
      <c r="E1585">
        <f>Dashboard_Live_Data!AK114</f>
        <v>-53.599999999999909</v>
      </c>
      <c r="F1585">
        <f>Dashboard_Live_Data!AL114</f>
        <v>477.94862974966588</v>
      </c>
      <c r="G1585">
        <f>Dashboard_Live_Data!AM114</f>
        <v>-53.599999999999909</v>
      </c>
      <c r="H1585">
        <f>Dashboard_Live_Data!AN114</f>
        <v>443.8466445893456</v>
      </c>
    </row>
    <row r="1586" spans="1:8">
      <c r="A1586">
        <f>Dashboard_Live_Data!AG115</f>
        <v>-3.480000000000004</v>
      </c>
      <c r="B1586">
        <f>Dashboard_Live_Data!AH115</f>
        <v>2675.2684009246454</v>
      </c>
      <c r="C1586">
        <f>Dashboard_Live_Data!AI115</f>
        <v>-23.200000000000045</v>
      </c>
      <c r="D1586">
        <f>Dashboard_Live_Data!AJ115</f>
        <v>333.7408733876195</v>
      </c>
      <c r="E1586">
        <f>Dashboard_Live_Data!AK115</f>
        <v>-46.400000000000091</v>
      </c>
      <c r="F1586">
        <f>Dashboard_Live_Data!AL115</f>
        <v>437.89929731903487</v>
      </c>
      <c r="G1586">
        <f>Dashboard_Live_Data!AM115</f>
        <v>-46.400000000000091</v>
      </c>
      <c r="H1586">
        <f>Dashboard_Live_Data!AN115</f>
        <v>401.81820551497754</v>
      </c>
    </row>
    <row r="1587" spans="1:8">
      <c r="A1587">
        <f>Dashboard_Live_Data!AG116</f>
        <v>-3</v>
      </c>
      <c r="B1587">
        <f>Dashboard_Live_Data!AH116</f>
        <v>2675.2128884537788</v>
      </c>
      <c r="C1587">
        <f>Dashboard_Live_Data!AI116</f>
        <v>-20</v>
      </c>
      <c r="D1587">
        <f>Dashboard_Live_Data!AJ116</f>
        <v>322.5932252064959</v>
      </c>
      <c r="E1587">
        <f>Dashboard_Live_Data!AK116</f>
        <v>-40</v>
      </c>
      <c r="F1587">
        <f>Dashboard_Live_Data!AL116</f>
        <v>404.58204465567519</v>
      </c>
      <c r="G1587">
        <f>Dashboard_Live_Data!AM116</f>
        <v>-40</v>
      </c>
      <c r="H1587">
        <f>Dashboard_Live_Data!AN116</f>
        <v>366.42028097133147</v>
      </c>
    </row>
    <row r="1588" spans="1:8">
      <c r="A1588">
        <f>Dashboard_Live_Data!AG117</f>
        <v>-2.5200000000000031</v>
      </c>
      <c r="B1588">
        <f>Dashboard_Live_Data!AH117</f>
        <v>2675.1655993857221</v>
      </c>
      <c r="C1588">
        <f>Dashboard_Live_Data!AI117</f>
        <v>-16.800000000000011</v>
      </c>
      <c r="D1588">
        <f>Dashboard_Live_Data!AJ117</f>
        <v>312.79808444872799</v>
      </c>
      <c r="E1588">
        <f>Dashboard_Live_Data!AK117</f>
        <v>-33.600000000000023</v>
      </c>
      <c r="F1588">
        <f>Dashboard_Live_Data!AL117</f>
        <v>373.95808704286753</v>
      </c>
      <c r="G1588">
        <f>Dashboard_Live_Data!AM117</f>
        <v>-33.600000000000023</v>
      </c>
      <c r="H1588">
        <f>Dashboard_Live_Data!AN117</f>
        <v>333.41947696346216</v>
      </c>
    </row>
    <row r="1589" spans="1:8">
      <c r="A1589">
        <f>Dashboard_Live_Data!AG118</f>
        <v>-1.980000000000004</v>
      </c>
      <c r="B1589">
        <f>Dashboard_Live_Data!AH118</f>
        <v>2675.1222291167342</v>
      </c>
      <c r="C1589">
        <f>Dashboard_Live_Data!AI118</f>
        <v>-13.199999999999989</v>
      </c>
      <c r="D1589">
        <f>Dashboard_Live_Data!AJ118</f>
        <v>303.54886988121996</v>
      </c>
      <c r="E1589">
        <f>Dashboard_Live_Data!AK118</f>
        <v>-26.399999999999977</v>
      </c>
      <c r="F1589">
        <f>Dashboard_Live_Data!AL118</f>
        <v>343.5612623013572</v>
      </c>
      <c r="G1589">
        <f>Dashboard_Live_Data!AM118</f>
        <v>-26.399999999999977</v>
      </c>
      <c r="H1589">
        <f>Dashboard_Live_Data!AN118</f>
        <v>300.07341715264386</v>
      </c>
    </row>
    <row r="1590" spans="1:8">
      <c r="A1590">
        <f>Dashboard_Live_Data!AG119</f>
        <v>-1.5</v>
      </c>
      <c r="B1590">
        <f>Dashboard_Live_Data!AH119</f>
        <v>2675.0924157732229</v>
      </c>
      <c r="C1590">
        <f>Dashboard_Live_Data!AI119</f>
        <v>-10</v>
      </c>
      <c r="D1590">
        <f>Dashboard_Live_Data!AJ119</f>
        <v>297.03061836832649</v>
      </c>
      <c r="E1590">
        <f>Dashboard_Live_Data!AK119</f>
        <v>-20</v>
      </c>
      <c r="F1590">
        <f>Dashboard_Live_Data!AL119</f>
        <v>321.04928767386309</v>
      </c>
      <c r="G1590">
        <f>Dashboard_Live_Data!AM119</f>
        <v>-20</v>
      </c>
      <c r="H1590">
        <f>Dashboard_Live_Data!AN119</f>
        <v>274.87151736535009</v>
      </c>
    </row>
    <row r="1591" spans="1:8">
      <c r="A1591">
        <f>Dashboard_Live_Data!AG120</f>
        <v>-1.0200000000000031</v>
      </c>
      <c r="B1591">
        <f>Dashboard_Live_Data!AH120</f>
        <v>2675.0708266480583</v>
      </c>
      <c r="C1591">
        <f>Dashboard_Live_Data!AI120</f>
        <v>-6.8000000000000114</v>
      </c>
      <c r="D1591">
        <f>Dashboard_Live_Data!AJ120</f>
        <v>292.22322937692019</v>
      </c>
      <c r="E1591">
        <f>Dashboard_Live_Data!AK120</f>
        <v>-13.600000000000023</v>
      </c>
      <c r="F1591">
        <f>Dashboard_Live_Data!AL120</f>
        <v>303.73346224026676</v>
      </c>
      <c r="G1591">
        <f>Dashboard_Live_Data!AM120</f>
        <v>-13.600000000000023</v>
      </c>
      <c r="H1591">
        <f>Dashboard_Live_Data!AN120</f>
        <v>255.10349072494134</v>
      </c>
    </row>
    <row r="1592" spans="1:8">
      <c r="A1592">
        <f>Dashboard_Live_Data!AG121</f>
        <v>-0.48000000000000398</v>
      </c>
      <c r="B1592">
        <f>Dashboard_Live_Data!AH121</f>
        <v>2675.0563695731153</v>
      </c>
      <c r="C1592">
        <f>Dashboard_Live_Data!AI121</f>
        <v>-3.1999999999999886</v>
      </c>
      <c r="D1592">
        <f>Dashboard_Live_Data!AJ121</f>
        <v>288.96093772220826</v>
      </c>
      <c r="E1592">
        <f>Dashboard_Live_Data!AK121</f>
        <v>-6.3999999999999773</v>
      </c>
      <c r="F1592">
        <f>Dashboard_Live_Data!AL121</f>
        <v>291.57635730626026</v>
      </c>
      <c r="G1592">
        <f>Dashboard_Live_Data!AM121</f>
        <v>-6.3999999999999773</v>
      </c>
      <c r="H1592">
        <f>Dashboard_Live_Data!AN121</f>
        <v>240.97664531965657</v>
      </c>
    </row>
    <row r="1593" spans="1:8">
      <c r="A1593">
        <f>Dashboard_Live_Data!AG122</f>
        <v>0</v>
      </c>
      <c r="B1593">
        <f>Dashboard_Live_Data!AH122</f>
        <v>2675.0522573279914</v>
      </c>
      <c r="C1593">
        <f>Dashboard_Live_Data!AI122</f>
        <v>0</v>
      </c>
      <c r="D1593">
        <f>Dashboard_Live_Data!AJ122</f>
        <v>288.02648974651419</v>
      </c>
      <c r="E1593">
        <f>Dashboard_Live_Data!AK122</f>
        <v>0</v>
      </c>
      <c r="F1593">
        <f>Dashboard_Live_Data!AL122</f>
        <v>288.02648974651419</v>
      </c>
      <c r="G1593">
        <f>Dashboard_Live_Data!AM122</f>
        <v>0</v>
      </c>
      <c r="H1593">
        <f>Dashboard_Live_Data!AN122</f>
        <v>236.80676373491008</v>
      </c>
    </row>
    <row r="1594" spans="1:8">
      <c r="A1594">
        <f>Dashboard_Live_Data!AG123</f>
        <v>0.48000000000000398</v>
      </c>
      <c r="B1594">
        <f>Dashboard_Live_Data!AH123</f>
        <v>2675.0563695731153</v>
      </c>
      <c r="C1594">
        <f>Dashboard_Live_Data!AI123</f>
        <v>3.1999999999999886</v>
      </c>
      <c r="D1594">
        <f>Dashboard_Live_Data!AJ123</f>
        <v>288.96093772220826</v>
      </c>
      <c r="E1594">
        <f>Dashboard_Live_Data!AK123</f>
        <v>6.3999999999999773</v>
      </c>
      <c r="F1594">
        <f>Dashboard_Live_Data!AL123</f>
        <v>291.57635730626026</v>
      </c>
      <c r="G1594">
        <f>Dashboard_Live_Data!AM123</f>
        <v>6.3999999999999773</v>
      </c>
      <c r="H1594">
        <f>Dashboard_Live_Data!AN123</f>
        <v>240.97664531965657</v>
      </c>
    </row>
    <row r="1595" spans="1:8">
      <c r="A1595">
        <f>Dashboard_Live_Data!AG124</f>
        <v>1.019999999999996</v>
      </c>
      <c r="B1595">
        <f>Dashboard_Live_Data!AH124</f>
        <v>2675.0708266480583</v>
      </c>
      <c r="C1595">
        <f>Dashboard_Live_Data!AI124</f>
        <v>6.7999999999999545</v>
      </c>
      <c r="D1595">
        <f>Dashboard_Live_Data!AJ124</f>
        <v>292.22322937692019</v>
      </c>
      <c r="E1595">
        <f>Dashboard_Live_Data!AK124</f>
        <v>13.599999999999909</v>
      </c>
      <c r="F1595">
        <f>Dashboard_Live_Data!AL124</f>
        <v>303.73346224026676</v>
      </c>
      <c r="G1595">
        <f>Dashboard_Live_Data!AM124</f>
        <v>13.599999999999909</v>
      </c>
      <c r="H1595">
        <f>Dashboard_Live_Data!AN124</f>
        <v>255.10349072494134</v>
      </c>
    </row>
    <row r="1596" spans="1:8">
      <c r="A1596">
        <f>Dashboard_Live_Data!AG125</f>
        <v>1.4999999999999929</v>
      </c>
      <c r="B1596">
        <f>Dashboard_Live_Data!AH125</f>
        <v>2675.0924157732229</v>
      </c>
      <c r="C1596">
        <f>Dashboard_Live_Data!AI125</f>
        <v>9.9999999999999432</v>
      </c>
      <c r="D1596">
        <f>Dashboard_Live_Data!AJ125</f>
        <v>297.03061836832649</v>
      </c>
      <c r="E1596">
        <f>Dashboard_Live_Data!AK125</f>
        <v>19.999999999999886</v>
      </c>
      <c r="F1596">
        <f>Dashboard_Live_Data!AL125</f>
        <v>321.04928767386309</v>
      </c>
      <c r="G1596">
        <f>Dashboard_Live_Data!AM125</f>
        <v>19.999999999999886</v>
      </c>
      <c r="H1596">
        <f>Dashboard_Live_Data!AN125</f>
        <v>274.87151736535009</v>
      </c>
    </row>
    <row r="1597" spans="1:8">
      <c r="A1597">
        <f>Dashboard_Live_Data!AG126</f>
        <v>1.9799999999999969</v>
      </c>
      <c r="B1597">
        <f>Dashboard_Live_Data!AH126</f>
        <v>2675.1222291167342</v>
      </c>
      <c r="C1597">
        <f>Dashboard_Live_Data!AI126</f>
        <v>13.199999999999989</v>
      </c>
      <c r="D1597">
        <f>Dashboard_Live_Data!AJ126</f>
        <v>303.54886988121996</v>
      </c>
      <c r="E1597">
        <f>Dashboard_Live_Data!AK126</f>
        <v>26.399999999999977</v>
      </c>
      <c r="F1597">
        <f>Dashboard_Live_Data!AL126</f>
        <v>343.5612623013572</v>
      </c>
      <c r="G1597">
        <f>Dashboard_Live_Data!AM126</f>
        <v>26.399999999999977</v>
      </c>
      <c r="H1597">
        <f>Dashboard_Live_Data!AN126</f>
        <v>300.07341715264386</v>
      </c>
    </row>
    <row r="1598" spans="1:8">
      <c r="A1598">
        <f>Dashboard_Live_Data!AG127</f>
        <v>2.5200000000000031</v>
      </c>
      <c r="B1598">
        <f>Dashboard_Live_Data!AH127</f>
        <v>2675.1655993857221</v>
      </c>
      <c r="C1598">
        <f>Dashboard_Live_Data!AI127</f>
        <v>16.800000000000011</v>
      </c>
      <c r="D1598">
        <f>Dashboard_Live_Data!AJ127</f>
        <v>312.79808444872799</v>
      </c>
      <c r="E1598">
        <f>Dashboard_Live_Data!AK127</f>
        <v>33.600000000000023</v>
      </c>
      <c r="F1598">
        <f>Dashboard_Live_Data!AL127</f>
        <v>373.95808704286753</v>
      </c>
      <c r="G1598">
        <f>Dashboard_Live_Data!AM127</f>
        <v>33.600000000000023</v>
      </c>
      <c r="H1598">
        <f>Dashboard_Live_Data!AN127</f>
        <v>333.41947696346216</v>
      </c>
    </row>
    <row r="1599" spans="1:8">
      <c r="A1599">
        <f>Dashboard_Live_Data!AG128</f>
        <v>3</v>
      </c>
      <c r="B1599">
        <f>Dashboard_Live_Data!AH128</f>
        <v>2675.2128884537788</v>
      </c>
      <c r="C1599">
        <f>Dashboard_Live_Data!AI128</f>
        <v>20</v>
      </c>
      <c r="D1599">
        <f>Dashboard_Live_Data!AJ128</f>
        <v>322.5932252064959</v>
      </c>
      <c r="E1599">
        <f>Dashboard_Live_Data!AK128</f>
        <v>40</v>
      </c>
      <c r="F1599">
        <f>Dashboard_Live_Data!AL128</f>
        <v>404.58204465567519</v>
      </c>
      <c r="G1599">
        <f>Dashboard_Live_Data!AM128</f>
        <v>40</v>
      </c>
      <c r="H1599">
        <f>Dashboard_Live_Data!AN128</f>
        <v>366.42028097133147</v>
      </c>
    </row>
    <row r="1600" spans="1:8">
      <c r="A1600">
        <f>Dashboard_Live_Data!AG129</f>
        <v>3.480000000000004</v>
      </c>
      <c r="B1600">
        <f>Dashboard_Live_Data!AH129</f>
        <v>2675.2684009246454</v>
      </c>
      <c r="C1600">
        <f>Dashboard_Live_Data!AI129</f>
        <v>23.200000000000045</v>
      </c>
      <c r="D1600">
        <f>Dashboard_Live_Data!AJ129</f>
        <v>333.7408733876195</v>
      </c>
      <c r="E1600">
        <f>Dashboard_Live_Data!AK129</f>
        <v>46.400000000000091</v>
      </c>
      <c r="F1600">
        <f>Dashboard_Live_Data!AL129</f>
        <v>437.89929731903487</v>
      </c>
      <c r="G1600">
        <f>Dashboard_Live_Data!AM129</f>
        <v>46.400000000000091</v>
      </c>
      <c r="H1600">
        <f>Dashboard_Live_Data!AN129</f>
        <v>401.81820551497754</v>
      </c>
    </row>
    <row r="1601" spans="1:8">
      <c r="A1601">
        <f>Dashboard_Live_Data!AG130</f>
        <v>4.019999999999996</v>
      </c>
      <c r="B1601">
        <f>Dashboard_Live_Data!AH130</f>
        <v>2675.3406815205371</v>
      </c>
      <c r="C1601">
        <f>Dashboard_Live_Data!AI130</f>
        <v>26.799999999999955</v>
      </c>
      <c r="D1601">
        <f>Dashboard_Live_Data!AJ130</f>
        <v>347.74512770791858</v>
      </c>
      <c r="E1601">
        <f>Dashboard_Live_Data!AK130</f>
        <v>53.599999999999909</v>
      </c>
      <c r="F1601">
        <f>Dashboard_Live_Data!AL130</f>
        <v>477.94862974966588</v>
      </c>
      <c r="G1601">
        <f>Dashboard_Live_Data!AM130</f>
        <v>53.599999999999909</v>
      </c>
      <c r="H1601">
        <f>Dashboard_Live_Data!AN130</f>
        <v>443.8466445893456</v>
      </c>
    </row>
    <row r="1602" spans="1:8">
      <c r="A1602">
        <f>Dashboard_Live_Data!AG131</f>
        <v>4.5</v>
      </c>
      <c r="B1602">
        <f>Dashboard_Live_Data!AH131</f>
        <v>2675.4136674055262</v>
      </c>
      <c r="C1602">
        <f>Dashboard_Live_Data!AI131</f>
        <v>30</v>
      </c>
      <c r="D1602">
        <f>Dashboard_Live_Data!AJ131</f>
        <v>361.36283308427818</v>
      </c>
      <c r="E1602">
        <f>Dashboard_Live_Data!AK131</f>
        <v>60</v>
      </c>
      <c r="F1602">
        <f>Dashboard_Live_Data!AL131</f>
        <v>515.38593594731606</v>
      </c>
      <c r="G1602">
        <f>Dashboard_Live_Data!AM131</f>
        <v>60</v>
      </c>
      <c r="H1602">
        <f>Dashboard_Live_Data!AN131</f>
        <v>482.74430884328382</v>
      </c>
    </row>
    <row r="1603" spans="1:8">
      <c r="A1603">
        <f>Dashboard_Live_Data!AG132</f>
        <v>4.980000000000004</v>
      </c>
      <c r="B1603">
        <f>Dashboard_Live_Data!AH132</f>
        <v>2675.4948753344852</v>
      </c>
      <c r="C1603">
        <f>Dashboard_Live_Data!AI132</f>
        <v>33.199999999999989</v>
      </c>
      <c r="D1603">
        <f>Dashboard_Live_Data!AJ132</f>
        <v>375.96606957909472</v>
      </c>
      <c r="E1603">
        <f>Dashboard_Live_Data!AK132</f>
        <v>66.399999999999977</v>
      </c>
      <c r="F1603">
        <f>Dashboard_Live_Data!AL132</f>
        <v>554.23623167510391</v>
      </c>
      <c r="G1603">
        <f>Dashboard_Live_Data!AM132</f>
        <v>66.399999999999977</v>
      </c>
      <c r="H1603">
        <f>Dashboard_Live_Data!AN132</f>
        <v>522.8056693168993</v>
      </c>
    </row>
    <row r="1604" spans="1:8">
      <c r="A1604">
        <f>Dashboard_Live_Data!AG133</f>
        <v>5.5200000000000102</v>
      </c>
      <c r="B1604">
        <f>Dashboard_Live_Data!AH133</f>
        <v>2675.5960614801529</v>
      </c>
      <c r="C1604">
        <f>Dashboard_Live_Data!AI133</f>
        <v>36.800000000000011</v>
      </c>
      <c r="D1604">
        <f>Dashboard_Live_Data!AJ133</f>
        <v>393.44746490213646</v>
      </c>
      <c r="E1604">
        <f>Dashboard_Live_Data!AK133</f>
        <v>73.600000000000023</v>
      </c>
      <c r="F1604">
        <f>Dashboard_Live_Data!AL133</f>
        <v>599.34841039901539</v>
      </c>
      <c r="G1604">
        <f>Dashboard_Live_Data!AM133</f>
        <v>73.600000000000023</v>
      </c>
      <c r="H1604">
        <f>Dashboard_Live_Data!AN133</f>
        <v>569.02276868174431</v>
      </c>
    </row>
    <row r="1605" spans="1:8">
      <c r="A1605">
        <f>Dashboard_Live_Data!AG134</f>
        <v>6</v>
      </c>
      <c r="B1605">
        <f>Dashboard_Live_Data!AH134</f>
        <v>2675.6947393589066</v>
      </c>
      <c r="C1605">
        <f>Dashboard_Live_Data!AI134</f>
        <v>40.000000000000057</v>
      </c>
      <c r="D1605">
        <f>Dashboard_Live_Data!AJ134</f>
        <v>409.82236463418178</v>
      </c>
      <c r="E1605">
        <f>Dashboard_Live_Data!AK134</f>
        <v>80.000000000000114</v>
      </c>
      <c r="F1605">
        <f>Dashboard_Live_Data!AL134</f>
        <v>640.5073835750494</v>
      </c>
      <c r="G1605">
        <f>Dashboard_Live_Data!AM134</f>
        <v>80.000000000000114</v>
      </c>
      <c r="H1605">
        <f>Dashboard_Live_Data!AN134</f>
        <v>610.9686237412925</v>
      </c>
    </row>
    <row r="1606" spans="1:8">
      <c r="A1606">
        <f>Dashboard_Live_Data!AG135</f>
        <v>6.480000000000004</v>
      </c>
      <c r="B1606">
        <f>Dashboard_Live_Data!AH135</f>
        <v>2675.801637380072</v>
      </c>
      <c r="C1606">
        <f>Dashboard_Live_Data!AI135</f>
        <v>43.200000000000045</v>
      </c>
      <c r="D1606">
        <f>Dashboard_Live_Data!AJ135</f>
        <v>426.90066876687405</v>
      </c>
      <c r="E1606">
        <f>Dashboard_Live_Data!AK135</f>
        <v>86.400000000000091</v>
      </c>
      <c r="F1606">
        <f>Dashboard_Live_Data!AL135</f>
        <v>682.52802138756863</v>
      </c>
      <c r="G1606">
        <f>Dashboard_Live_Data!AM135</f>
        <v>86.400000000000091</v>
      </c>
      <c r="H1606">
        <f>Dashboard_Live_Data!AN135</f>
        <v>653.62041243254544</v>
      </c>
    </row>
    <row r="1607" spans="1:8">
      <c r="A1607">
        <f>Dashboard_Live_Data!AG136</f>
        <v>7.019999999999996</v>
      </c>
      <c r="B1607">
        <f>Dashboard_Live_Data!AH136</f>
        <v>2675.93172239053</v>
      </c>
      <c r="C1607">
        <f>Dashboard_Live_Data!AI136</f>
        <v>46.800000000000011</v>
      </c>
      <c r="D1607">
        <f>Dashboard_Live_Data!AJ136</f>
        <v>446.86749403358624</v>
      </c>
      <c r="E1607">
        <f>Dashboard_Live_Data!AK136</f>
        <v>93.600000000000023</v>
      </c>
      <c r="F1607">
        <f>Dashboard_Live_Data!AL136</f>
        <v>730.70973255620993</v>
      </c>
      <c r="G1607">
        <f>Dashboard_Live_Data!AM136</f>
        <v>93.600000000000023</v>
      </c>
      <c r="H1607">
        <f>Dashboard_Live_Data!AN136</f>
        <v>702.35477860817696</v>
      </c>
    </row>
    <row r="1608" spans="1:8">
      <c r="A1608">
        <f>Dashboard_Live_Data!AG137</f>
        <v>7.5</v>
      </c>
      <c r="B1608">
        <f>Dashboard_Live_Data!AH137</f>
        <v>2676.0560857448104</v>
      </c>
      <c r="C1608">
        <f>Dashboard_Live_Data!AI137</f>
        <v>50</v>
      </c>
      <c r="D1608">
        <f>Dashboard_Live_Data!AJ137</f>
        <v>465.21831918360385</v>
      </c>
      <c r="E1608">
        <f>Dashboard_Live_Data!AK137</f>
        <v>100</v>
      </c>
      <c r="F1608">
        <f>Dashboard_Live_Data!AL137</f>
        <v>774.26357736360831</v>
      </c>
      <c r="G1608">
        <f>Dashboard_Live_Data!AM137</f>
        <v>100</v>
      </c>
      <c r="H1608">
        <f>Dashboard_Live_Data!AN137</f>
        <v>746.28169026439843</v>
      </c>
    </row>
    <row r="1609" spans="1:8">
      <c r="A1609">
        <f>Dashboard_Live_Data!AG138</f>
        <v>7.980000000000004</v>
      </c>
      <c r="B1609">
        <f>Dashboard_Live_Data!AH138</f>
        <v>2676.1886667981512</v>
      </c>
      <c r="C1609">
        <f>Dashboard_Live_Data!AI138</f>
        <v>53.199999999999989</v>
      </c>
      <c r="D1609">
        <f>Dashboard_Live_Data!AJ138</f>
        <v>484.08118424505756</v>
      </c>
      <c r="E1609">
        <f>Dashboard_Live_Data!AK138</f>
        <v>106.39999999999998</v>
      </c>
      <c r="F1609">
        <f>Dashboard_Live_Data!AL138</f>
        <v>818.44200766992435</v>
      </c>
      <c r="G1609">
        <f>Dashboard_Live_Data!AM138</f>
        <v>106.39999999999998</v>
      </c>
      <c r="H1609">
        <f>Dashboard_Live_Data!AN138</f>
        <v>790.73922174294944</v>
      </c>
    </row>
    <row r="1610" spans="1:8">
      <c r="A1610">
        <f>Dashboard_Live_Data!AG139</f>
        <v>8.519999999999996</v>
      </c>
      <c r="B1610">
        <f>Dashboard_Live_Data!AH139</f>
        <v>2676.3476420836173</v>
      </c>
      <c r="C1610">
        <f>Dashboard_Live_Data!AI139</f>
        <v>56.799999999999955</v>
      </c>
      <c r="D1610">
        <f>Dashboard_Live_Data!AJ139</f>
        <v>505.85734229616077</v>
      </c>
      <c r="E1610">
        <f>Dashboard_Live_Data!AK139</f>
        <v>113.59999999999991</v>
      </c>
      <c r="F1610">
        <f>Dashboard_Live_Data!AL139</f>
        <v>868.83708028218246</v>
      </c>
      <c r="G1610">
        <f>Dashboard_Live_Data!AM139</f>
        <v>113.59999999999991</v>
      </c>
      <c r="H1610">
        <f>Dashboard_Live_Data!AN139</f>
        <v>841.35327888296126</v>
      </c>
    </row>
    <row r="1611" spans="1:8">
      <c r="A1611">
        <f>Dashboard_Live_Data!AG140</f>
        <v>9</v>
      </c>
      <c r="B1611">
        <f>Dashboard_Live_Data!AH140</f>
        <v>2676.4976827030932</v>
      </c>
      <c r="C1611">
        <f>Dashboard_Live_Data!AI140</f>
        <v>59.999999999999943</v>
      </c>
      <c r="D1611">
        <f>Dashboard_Live_Data!AJ140</f>
        <v>525.66427144455326</v>
      </c>
      <c r="E1611">
        <f>Dashboard_Live_Data!AK140</f>
        <v>119.99999999999989</v>
      </c>
      <c r="F1611">
        <f>Dashboard_Live_Data!AL140</f>
        <v>914.21509447536471</v>
      </c>
      <c r="G1611">
        <f>Dashboard_Live_Data!AM140</f>
        <v>119.99999999999989</v>
      </c>
      <c r="H1611">
        <f>Dashboard_Live_Data!AN140</f>
        <v>886.85449472026994</v>
      </c>
    </row>
    <row r="1612" spans="1:8">
      <c r="A1612">
        <f>Dashboard_Live_Data!AG141</f>
        <v>9.4799999999999898</v>
      </c>
      <c r="B1612">
        <f>Dashboard_Live_Data!AH141</f>
        <v>2676.6559380375311</v>
      </c>
      <c r="C1612">
        <f>Dashboard_Live_Data!AI141</f>
        <v>63.199999999999989</v>
      </c>
      <c r="D1612">
        <f>Dashboard_Live_Data!AJ141</f>
        <v>545.85993350873184</v>
      </c>
      <c r="E1612">
        <f>Dashboard_Live_Data!AK141</f>
        <v>126.39999999999998</v>
      </c>
      <c r="F1612">
        <f>Dashboard_Live_Data!AL141</f>
        <v>960.11703342820601</v>
      </c>
      <c r="G1612">
        <f>Dashboard_Live_Data!AM141</f>
        <v>126.39999999999998</v>
      </c>
      <c r="H1612">
        <f>Dashboard_Live_Data!AN141</f>
        <v>932.82274514534868</v>
      </c>
    </row>
    <row r="1613" spans="1:8">
      <c r="A1613">
        <f>Dashboard_Live_Data!AG142</f>
        <v>10.019999999999996</v>
      </c>
      <c r="B1613">
        <f>Dashboard_Live_Data!AH142</f>
        <v>2676.843793107199</v>
      </c>
      <c r="C1613">
        <f>Dashboard_Live_Data!AI142</f>
        <v>66.800000000000011</v>
      </c>
      <c r="D1613">
        <f>Dashboard_Live_Data!AJ142</f>
        <v>569.00880810029753</v>
      </c>
      <c r="E1613">
        <f>Dashboard_Live_Data!AK142</f>
        <v>133.60000000000002</v>
      </c>
      <c r="F1613">
        <f>Dashboard_Live_Data!AL142</f>
        <v>1012.362240937457</v>
      </c>
      <c r="G1613">
        <f>Dashboard_Live_Data!AM142</f>
        <v>133.60000000000002</v>
      </c>
      <c r="H1613">
        <f>Dashboard_Live_Data!AN142</f>
        <v>985.08502580385175</v>
      </c>
    </row>
    <row r="1614" spans="1:8">
      <c r="A1614">
        <f>Dashboard_Live_Data!AG143</f>
        <v>10.5</v>
      </c>
      <c r="B1614">
        <f>Dashboard_Live_Data!AH143</f>
        <v>2677.019501093122</v>
      </c>
      <c r="C1614">
        <f>Dashboard_Live_Data!AI143</f>
        <v>70</v>
      </c>
      <c r="D1614">
        <f>Dashboard_Live_Data!AJ143</f>
        <v>589.93930874913281</v>
      </c>
      <c r="E1614">
        <f>Dashboard_Live_Data!AK143</f>
        <v>140</v>
      </c>
      <c r="F1614">
        <f>Dashboard_Live_Data!AL143</f>
        <v>1059.3278163208254</v>
      </c>
      <c r="G1614">
        <f>Dashboard_Live_Data!AM143</f>
        <v>140</v>
      </c>
      <c r="H1614">
        <f>Dashboard_Live_Data!AN143</f>
        <v>1032.0225937697833</v>
      </c>
    </row>
    <row r="1615" spans="1:8">
      <c r="A1615">
        <f>Dashboard_Live_Data!AG144</f>
        <v>10.980000000000004</v>
      </c>
      <c r="B1615">
        <f>Dashboard_Live_Data!AH144</f>
        <v>2677.2034202705154</v>
      </c>
      <c r="C1615">
        <f>Dashboard_Live_Data!AI144</f>
        <v>73.200000000000045</v>
      </c>
      <c r="D1615">
        <f>Dashboard_Live_Data!AJ144</f>
        <v>611.18062071366592</v>
      </c>
      <c r="E1615">
        <f>Dashboard_Live_Data!AK144</f>
        <v>146.40000000000009</v>
      </c>
      <c r="F1615">
        <f>Dashboard_Live_Data!AL144</f>
        <v>1106.7799512839299</v>
      </c>
      <c r="G1615">
        <f>Dashboard_Live_Data!AM144</f>
        <v>146.40000000000009</v>
      </c>
      <c r="H1615">
        <f>Dashboard_Live_Data!AN144</f>
        <v>1079.4124988914414</v>
      </c>
    </row>
    <row r="1616" spans="1:8">
      <c r="A1616">
        <f>Dashboard_Live_Data!AG145</f>
        <v>11.519999999999996</v>
      </c>
      <c r="B1616">
        <f>Dashboard_Live_Data!AH145</f>
        <v>2677.4201427373237</v>
      </c>
      <c r="C1616">
        <f>Dashboard_Live_Data!AI145</f>
        <v>76.799999999999955</v>
      </c>
      <c r="D1616">
        <f>Dashboard_Live_Data!AJ145</f>
        <v>635.42608587189397</v>
      </c>
      <c r="E1616">
        <f>Dashboard_Live_Data!AK145</f>
        <v>153.59999999999991</v>
      </c>
      <c r="F1616">
        <f>Dashboard_Live_Data!AL145</f>
        <v>1160.7398106982935</v>
      </c>
      <c r="G1616">
        <f>Dashboard_Live_Data!AM145</f>
        <v>153.59999999999991</v>
      </c>
      <c r="H1616">
        <f>Dashboard_Live_Data!AN145</f>
        <v>1133.2680310356866</v>
      </c>
    </row>
    <row r="1617" spans="1:8">
      <c r="A1617">
        <f>Dashboard_Live_Data!AG146</f>
        <v>12</v>
      </c>
      <c r="B1617">
        <f>Dashboard_Live_Data!AH146</f>
        <v>2677.6215065069619</v>
      </c>
      <c r="C1617">
        <f>Dashboard_Live_Data!AI146</f>
        <v>80</v>
      </c>
      <c r="D1617">
        <f>Dashboard_Live_Data!AJ146</f>
        <v>657.27068851642468</v>
      </c>
      <c r="E1617">
        <f>Dashboard_Live_Data!AK146</f>
        <v>160</v>
      </c>
      <c r="F1617">
        <f>Dashboard_Live_Data!AL146</f>
        <v>1209.2143519498034</v>
      </c>
      <c r="G1617">
        <f>Dashboard_Live_Data!AM146</f>
        <v>160</v>
      </c>
      <c r="H1617">
        <f>Dashboard_Live_Data!AN146</f>
        <v>1181.6244054437507</v>
      </c>
    </row>
    <row r="1618" spans="1:8">
      <c r="A1618">
        <f>Dashboard_Live_Data!AG147</f>
        <v>12.480000000000004</v>
      </c>
      <c r="B1618">
        <f>Dashboard_Live_Data!AH147</f>
        <v>2677.8310774067595</v>
      </c>
      <c r="C1618">
        <f>Dashboard_Live_Data!AI147</f>
        <v>83.199999999999989</v>
      </c>
      <c r="D1618">
        <f>Dashboard_Live_Data!AJ147</f>
        <v>679.37735188566262</v>
      </c>
      <c r="E1618">
        <f>Dashboard_Live_Data!AK147</f>
        <v>166.39999999999998</v>
      </c>
      <c r="F1618">
        <f>Dashboard_Live_Data!AL147</f>
        <v>1258.1693986938863</v>
      </c>
      <c r="G1618">
        <f>Dashboard_Live_Data!AM147</f>
        <v>166.39999999999998</v>
      </c>
      <c r="H1618">
        <f>Dashboard_Live_Data!AN147</f>
        <v>1230.4415066288307</v>
      </c>
    </row>
    <row r="1619" spans="1:8">
      <c r="A1619">
        <f>Dashboard_Live_Data!AG148</f>
        <v>13.02000000000001</v>
      </c>
      <c r="B1619">
        <f>Dashboard_Live_Data!AH148</f>
        <v>2678.0766529929315</v>
      </c>
      <c r="C1619">
        <f>Dashboard_Live_Data!AI148</f>
        <v>86.800000000000011</v>
      </c>
      <c r="D1619">
        <f>Dashboard_Live_Data!AJ148</f>
        <v>704.54661686923862</v>
      </c>
      <c r="E1619">
        <f>Dashboard_Live_Data!AK148</f>
        <v>173.60000000000002</v>
      </c>
      <c r="F1619">
        <f>Dashboard_Live_Data!AL148</f>
        <v>1313.820661862484</v>
      </c>
      <c r="G1619">
        <f>Dashboard_Live_Data!AM148</f>
        <v>173.60000000000002</v>
      </c>
      <c r="H1619">
        <f>Dashboard_Live_Data!AN148</f>
        <v>1285.9182668026356</v>
      </c>
    </row>
    <row r="1620" spans="1:8">
      <c r="A1620">
        <f>Dashboard_Live_Data!AG149</f>
        <v>13.5</v>
      </c>
      <c r="B1620">
        <f>Dashboard_Live_Data!AH149</f>
        <v>2678.3036592847507</v>
      </c>
      <c r="C1620">
        <f>Dashboard_Live_Data!AI149</f>
        <v>90.000000000000057</v>
      </c>
      <c r="D1620">
        <f>Dashboard_Live_Data!AJ149</f>
        <v>727.17474536725172</v>
      </c>
      <c r="E1620">
        <f>Dashboard_Live_Data!AK149</f>
        <v>180.00000000000011</v>
      </c>
      <c r="F1620">
        <f>Dashboard_Live_Data!AL149</f>
        <v>1363.8048794660731</v>
      </c>
      <c r="G1620">
        <f>Dashboard_Live_Data!AM149</f>
        <v>180.00000000000011</v>
      </c>
      <c r="H1620">
        <f>Dashboard_Live_Data!AN149</f>
        <v>1335.7335814317601</v>
      </c>
    </row>
    <row r="1621" spans="1:8">
      <c r="A1621">
        <f>Dashboard_Live_Data!AG150</f>
        <v>13.980000000000004</v>
      </c>
      <c r="B1621">
        <f>Dashboard_Live_Data!AH150</f>
        <v>2678.53886810944</v>
      </c>
      <c r="C1621">
        <f>Dashboard_Live_Data!AI150</f>
        <v>93.200000000000045</v>
      </c>
      <c r="D1621">
        <f>Dashboard_Live_Data!AJ150</f>
        <v>750.03486285335612</v>
      </c>
      <c r="E1621">
        <f>Dashboard_Live_Data!AK150</f>
        <v>186.40000000000009</v>
      </c>
      <c r="F1621">
        <f>Dashboard_Live_Data!AL150</f>
        <v>1414.2797453815531</v>
      </c>
      <c r="G1621">
        <f>Dashboard_Live_Data!AM150</f>
        <v>186.40000000000009</v>
      </c>
      <c r="H1621">
        <f>Dashboard_Live_Data!AN150</f>
        <v>1386.0293710733336</v>
      </c>
    </row>
    <row r="1622" spans="1:8">
      <c r="A1622">
        <f>Dashboard_Live_Data!AG151</f>
        <v>14.519999999999996</v>
      </c>
      <c r="B1622">
        <f>Dashboard_Live_Data!AH151</f>
        <v>2678.8132806528729</v>
      </c>
      <c r="C1622">
        <f>Dashboard_Live_Data!AI151</f>
        <v>96.800000000000011</v>
      </c>
      <c r="D1622">
        <f>Dashboard_Live_Data!AJ151</f>
        <v>776.02132681113301</v>
      </c>
      <c r="E1622">
        <f>Dashboard_Live_Data!AK151</f>
        <v>193.60000000000002</v>
      </c>
      <c r="F1622">
        <f>Dashboard_Live_Data!AL151</f>
        <v>1471.657065923119</v>
      </c>
      <c r="G1622">
        <f>Dashboard_Live_Data!AM151</f>
        <v>193.60000000000002</v>
      </c>
      <c r="H1622">
        <f>Dashboard_Live_Data!AN151</f>
        <v>1443.1960281662846</v>
      </c>
    </row>
    <row r="1623" spans="1:8">
      <c r="A1623">
        <f>Dashboard_Live_Data!AG152</f>
        <v>15</v>
      </c>
      <c r="B1623">
        <f>Dashboard_Live_Data!AH152</f>
        <v>2679.0659145324939</v>
      </c>
      <c r="C1623">
        <f>Dashboard_Live_Data!AI152</f>
        <v>100</v>
      </c>
      <c r="D1623">
        <f>Dashboard_Live_Data!AJ152</f>
        <v>799.35304652578816</v>
      </c>
      <c r="E1623">
        <f>Dashboard_Live_Data!AK152</f>
        <v>200</v>
      </c>
      <c r="F1623">
        <f>Dashboard_Live_Data!AL152</f>
        <v>1523.1929864371127</v>
      </c>
      <c r="G1623">
        <f>Dashboard_Live_Data!AM152</f>
        <v>200</v>
      </c>
      <c r="H1623">
        <f>Dashboard_Live_Data!AN152</f>
        <v>1494.538848738704</v>
      </c>
    </row>
    <row r="1624" spans="1:8">
      <c r="A1624">
        <f>Dashboard_Live_Data!AG153</f>
        <v>15.480000000000004</v>
      </c>
      <c r="B1624">
        <f>Dashboard_Live_Data!AH153</f>
        <v>2679.3267458137466</v>
      </c>
      <c r="C1624">
        <f>Dashboard_Live_Data!AI153</f>
        <v>103.19999999999999</v>
      </c>
      <c r="D1624">
        <f>Dashboard_Live_Data!AJ153</f>
        <v>822.89876155971092</v>
      </c>
      <c r="E1624">
        <f>Dashboard_Live_Data!AK153</f>
        <v>206.39999999999998</v>
      </c>
      <c r="F1624">
        <f>Dashboard_Live_Data!AL153</f>
        <v>1575.2382195812656</v>
      </c>
      <c r="G1624">
        <f>Dashboard_Live_Data!AM153</f>
        <v>206.39999999999998</v>
      </c>
      <c r="H1624">
        <f>Dashboard_Live_Data!AN153</f>
        <v>1546.3874430517001</v>
      </c>
    </row>
    <row r="1625" spans="1:8">
      <c r="A1625">
        <f>Dashboard_Live_Data!AG154</f>
        <v>16.019999999999996</v>
      </c>
      <c r="B1625">
        <f>Dashboard_Live_Data!AH154</f>
        <v>2679.6299772752322</v>
      </c>
      <c r="C1625">
        <f>Dashboard_Live_Data!AI154</f>
        <v>106.79999999999995</v>
      </c>
      <c r="D1625">
        <f>Dashboard_Live_Data!AJ154</f>
        <v>849.63861157700319</v>
      </c>
      <c r="E1625">
        <f>Dashboard_Live_Data!AK154</f>
        <v>213.59999999999991</v>
      </c>
      <c r="F1625">
        <f>Dashboard_Live_Data!AL154</f>
        <v>1634.406668398929</v>
      </c>
      <c r="G1625">
        <f>Dashboard_Live_Data!AM154</f>
        <v>213.59999999999991</v>
      </c>
      <c r="H1625">
        <f>Dashboard_Live_Data!AN154</f>
        <v>1605.3325327342354</v>
      </c>
    </row>
    <row r="1626" spans="1:8">
      <c r="A1626">
        <f>Dashboard_Live_Data!AG155</f>
        <v>16.5</v>
      </c>
      <c r="B1626">
        <f>Dashboard_Live_Data!AH155</f>
        <v>2679.9082221420913</v>
      </c>
      <c r="C1626">
        <f>Dashboard_Live_Data!AI155</f>
        <v>109.99999999999994</v>
      </c>
      <c r="D1626">
        <f>Dashboard_Live_Data!AJ155</f>
        <v>873.6268737519348</v>
      </c>
      <c r="E1626">
        <f>Dashboard_Live_Data!AK155</f>
        <v>219.99999999999989</v>
      </c>
      <c r="F1626">
        <f>Dashboard_Live_Data!AL155</f>
        <v>1687.5579776583929</v>
      </c>
      <c r="G1626">
        <f>Dashboard_Live_Data!AM155</f>
        <v>219.99999999999989</v>
      </c>
      <c r="H1626">
        <f>Dashboard_Live_Data!AN155</f>
        <v>1658.2850643618456</v>
      </c>
    </row>
    <row r="1627" spans="1:8">
      <c r="A1627">
        <f>Dashboard_Live_Data!AG156</f>
        <v>16.97999999999999</v>
      </c>
      <c r="B1627">
        <f>Dashboard_Live_Data!AH156</f>
        <v>2680.1946587476814</v>
      </c>
      <c r="C1627">
        <f>Dashboard_Live_Data!AI156</f>
        <v>113.19999999999993</v>
      </c>
      <c r="D1627">
        <f>Dashboard_Live_Data!AJ156</f>
        <v>897.81905962626126</v>
      </c>
      <c r="E1627">
        <f>Dashboard_Live_Data!AK156</f>
        <v>226.39999999999986</v>
      </c>
      <c r="F1627">
        <f>Dashboard_Live_Data!AL156</f>
        <v>1741.2416393615815</v>
      </c>
      <c r="G1627">
        <f>Dashboard_Live_Data!AM156</f>
        <v>226.39999999999986</v>
      </c>
      <c r="H1627">
        <f>Dashboard_Live_Data!AN156</f>
        <v>1711.7711368171172</v>
      </c>
    </row>
    <row r="1628" spans="1:8">
      <c r="A1628">
        <f>Dashboard_Live_Data!AG157</f>
        <v>17.519999999999996</v>
      </c>
      <c r="B1628">
        <f>Dashboard_Live_Data!AH157</f>
        <v>2680.526689218967</v>
      </c>
      <c r="C1628">
        <f>Dashboard_Live_Data!AI157</f>
        <v>116.80000000000007</v>
      </c>
      <c r="D1628">
        <f>Dashboard_Live_Data!AJ157</f>
        <v>925.27653395464438</v>
      </c>
      <c r="E1628">
        <f>Dashboard_Live_Data!AK157</f>
        <v>233.60000000000014</v>
      </c>
      <c r="F1628">
        <f>Dashboard_Live_Data!AL157</f>
        <v>1802.2819043727418</v>
      </c>
      <c r="G1628">
        <f>Dashboard_Live_Data!AM157</f>
        <v>233.60000000000014</v>
      </c>
      <c r="H1628">
        <f>Dashboard_Live_Data!AN157</f>
        <v>1772.5920499108024</v>
      </c>
    </row>
    <row r="1629" spans="1:8">
      <c r="A1629">
        <f>Dashboard_Live_Data!AG158</f>
        <v>18</v>
      </c>
      <c r="B1629">
        <f>Dashboard_Live_Data!AH158</f>
        <v>2680.8305268137187</v>
      </c>
      <c r="C1629">
        <f>Dashboard_Live_Data!AI158</f>
        <v>120</v>
      </c>
      <c r="D1629">
        <f>Dashboard_Live_Data!AJ158</f>
        <v>949.89595685143365</v>
      </c>
      <c r="E1629">
        <f>Dashboard_Live_Data!AK158</f>
        <v>240</v>
      </c>
      <c r="F1629">
        <f>Dashboard_Live_Data!AL158</f>
        <v>1857.1231620816707</v>
      </c>
      <c r="G1629">
        <f>Dashboard_Live_Data!AM158</f>
        <v>240</v>
      </c>
      <c r="H1629">
        <f>Dashboard_Live_Data!AN158</f>
        <v>1827.2421550832848</v>
      </c>
    </row>
    <row r="1630" spans="1:8">
      <c r="A1630">
        <f>Dashboard_Live_Data!AG159</f>
        <v>18.480000000000004</v>
      </c>
      <c r="B1630">
        <f>Dashboard_Live_Data!AH159</f>
        <v>2681.1425499551765</v>
      </c>
      <c r="C1630">
        <f>Dashboard_Live_Data!AI159</f>
        <v>123.20000000000005</v>
      </c>
      <c r="D1630">
        <f>Dashboard_Live_Data!AJ159</f>
        <v>974.71450211271815</v>
      </c>
      <c r="E1630">
        <f>Dashboard_Live_Data!AK159</f>
        <v>246.40000000000009</v>
      </c>
      <c r="F1630">
        <f>Dashboard_Live_Data!AL159</f>
        <v>1912.5218325119242</v>
      </c>
      <c r="G1630">
        <f>Dashboard_Live_Data!AM159</f>
        <v>246.40000000000009</v>
      </c>
      <c r="H1630">
        <f>Dashboard_Live_Data!AN159</f>
        <v>1882.4543117385992</v>
      </c>
    </row>
    <row r="1631" spans="1:8">
      <c r="A1631">
        <f>Dashboard_Live_Data!AG160</f>
        <v>19.019999999999996</v>
      </c>
      <c r="B1631">
        <f>Dashboard_Live_Data!AH160</f>
        <v>2681.5033576678143</v>
      </c>
      <c r="C1631">
        <f>Dashboard_Live_Data!AI160</f>
        <v>126.79999999999995</v>
      </c>
      <c r="D1631">
        <f>Dashboard_Live_Data!AJ160</f>
        <v>1002.8724909144175</v>
      </c>
      <c r="E1631">
        <f>Dashboard_Live_Data!AK160</f>
        <v>253.59999999999991</v>
      </c>
      <c r="F1631">
        <f>Dashboard_Live_Data!AL160</f>
        <v>1975.5218318440923</v>
      </c>
      <c r="G1631">
        <f>Dashboard_Live_Data!AM160</f>
        <v>253.59999999999991</v>
      </c>
      <c r="H1631">
        <f>Dashboard_Live_Data!AN160</f>
        <v>1945.2511482815198</v>
      </c>
    </row>
    <row r="1632" spans="1:8">
      <c r="A1632">
        <f>Dashboard_Live_Data!AG161</f>
        <v>19.5</v>
      </c>
      <c r="B1632">
        <f>Dashboard_Live_Data!AH161</f>
        <v>2681.8327680804646</v>
      </c>
      <c r="C1632">
        <f>Dashboard_Live_Data!AI161</f>
        <v>130</v>
      </c>
      <c r="D1632">
        <f>Dashboard_Live_Data!AJ161</f>
        <v>1028.1121624339564</v>
      </c>
      <c r="E1632">
        <f>Dashboard_Live_Data!AK161</f>
        <v>260</v>
      </c>
      <c r="F1632">
        <f>Dashboard_Live_Data!AL161</f>
        <v>2032.1322695231349</v>
      </c>
      <c r="G1632">
        <f>Dashboard_Live_Data!AM161</f>
        <v>260</v>
      </c>
      <c r="H1632">
        <f>Dashboard_Live_Data!AN161</f>
        <v>2001.6878257232431</v>
      </c>
    </row>
    <row r="1633" spans="1:8">
      <c r="A1633">
        <f>Dashboard_Live_Data!AG162</f>
        <v>19.980000000000004</v>
      </c>
      <c r="B1633">
        <f>Dashboard_Live_Data!AH162</f>
        <v>2682.1703573214322</v>
      </c>
      <c r="C1633">
        <f>Dashboard_Live_Data!AI162</f>
        <v>133.19999999999993</v>
      </c>
      <c r="D1633">
        <f>Dashboard_Live_Data!AJ162</f>
        <v>1053.5497018470367</v>
      </c>
      <c r="E1633">
        <f>Dashboard_Live_Data!AK162</f>
        <v>266.39999999999986</v>
      </c>
      <c r="F1633">
        <f>Dashboard_Live_Data!AL162</f>
        <v>2089.3258107719435</v>
      </c>
      <c r="G1633">
        <f>Dashboard_Live_Data!AM162</f>
        <v>266.39999999999986</v>
      </c>
      <c r="H1633">
        <f>Dashboard_Live_Data!AN162</f>
        <v>2058.7148075309083</v>
      </c>
    </row>
    <row r="1634" spans="1:8">
      <c r="A1634">
        <f>Dashboard_Live_Data!AG163</f>
        <v>20.52000000000001</v>
      </c>
      <c r="B1634">
        <f>Dashboard_Live_Data!AH163</f>
        <v>2682.5599186564959</v>
      </c>
      <c r="C1634">
        <f>Dashboard_Live_Data!AI163</f>
        <v>136.80000000000007</v>
      </c>
      <c r="D1634">
        <f>Dashboard_Live_Data!AJ163</f>
        <v>1082.4036420950645</v>
      </c>
      <c r="E1634">
        <f>Dashboard_Live_Data!AK163</f>
        <v>273.60000000000014</v>
      </c>
      <c r="F1634">
        <f>Dashboard_Live_Data!AL163</f>
        <v>2154.3757519290621</v>
      </c>
      <c r="G1634">
        <f>Dashboard_Live_Data!AM163</f>
        <v>273.60000000000014</v>
      </c>
      <c r="H1634">
        <f>Dashboard_Live_Data!AN163</f>
        <v>2123.5868153942665</v>
      </c>
    </row>
    <row r="1635" spans="1:8">
      <c r="A1635">
        <f>Dashboard_Live_Data!AG164</f>
        <v>21</v>
      </c>
      <c r="B1635">
        <f>Dashboard_Live_Data!AH164</f>
        <v>2682.9148803352541</v>
      </c>
      <c r="C1635">
        <f>Dashboard_Live_Data!AI164</f>
        <v>140</v>
      </c>
      <c r="D1635">
        <f>Dashboard_Live_Data!AJ164</f>
        <v>1108.2624133501783</v>
      </c>
      <c r="E1635">
        <f>Dashboard_Live_Data!AK164</f>
        <v>280</v>
      </c>
      <c r="F1635">
        <f>Dashboard_Live_Data!AL164</f>
        <v>2212.8355811384035</v>
      </c>
      <c r="G1635">
        <f>Dashboard_Live_Data!AM164</f>
        <v>280</v>
      </c>
      <c r="H1635">
        <f>Dashboard_Live_Data!AN164</f>
        <v>2181.8975570992638</v>
      </c>
    </row>
    <row r="1636" spans="1:8">
      <c r="A1636">
        <f>Dashboard_Live_Data!AG165</f>
        <v>21.480000000000004</v>
      </c>
      <c r="B1636">
        <f>Dashboard_Live_Data!AH165</f>
        <v>2683.2780136005345</v>
      </c>
      <c r="C1636">
        <f>Dashboard_Live_Data!AI165</f>
        <v>143.20000000000005</v>
      </c>
      <c r="D1636">
        <f>Dashboard_Live_Data!AJ165</f>
        <v>1134.3202022333339</v>
      </c>
      <c r="E1636">
        <f>Dashboard_Live_Data!AK165</f>
        <v>286.40000000000009</v>
      </c>
      <c r="F1636">
        <f>Dashboard_Live_Data!AL165</f>
        <v>2271.9039940577863</v>
      </c>
      <c r="G1636">
        <f>Dashboard_Live_Data!AM165</f>
        <v>286.40000000000009</v>
      </c>
      <c r="H1636">
        <f>Dashboard_Live_Data!AN165</f>
        <v>2240.8260060943512</v>
      </c>
    </row>
    <row r="1637" spans="1:8">
      <c r="A1637">
        <f>Dashboard_Live_Data!AG166</f>
        <v>22.019999999999996</v>
      </c>
      <c r="B1637">
        <f>Dashboard_Live_Data!AH166</f>
        <v>2683.6963030990701</v>
      </c>
      <c r="C1637">
        <f>Dashboard_Live_Data!AI166</f>
        <v>146.79999999999995</v>
      </c>
      <c r="D1637">
        <f>Dashboard_Live_Data!AJ166</f>
        <v>1163.8740325347601</v>
      </c>
      <c r="E1637">
        <f>Dashboard_Live_Data!AK166</f>
        <v>293.59999999999991</v>
      </c>
      <c r="F1637">
        <f>Dashboard_Live_Data!AL166</f>
        <v>2339.0933871403463</v>
      </c>
      <c r="G1637">
        <f>Dashboard_Live_Data!AM166</f>
        <v>293.59999999999991</v>
      </c>
      <c r="H1637">
        <f>Dashboard_Live_Data!AN166</f>
        <v>2307.8694773259299</v>
      </c>
    </row>
    <row r="1638" spans="1:8">
      <c r="A1638">
        <f>Dashboard_Live_Data!AG167</f>
        <v>22.5</v>
      </c>
      <c r="B1638">
        <f>Dashboard_Live_Data!AH167</f>
        <v>2684.0767928598584</v>
      </c>
      <c r="C1638">
        <f>Dashboard_Live_Data!AI167</f>
        <v>150</v>
      </c>
      <c r="D1638">
        <f>Dashboard_Live_Data!AJ167</f>
        <v>1190.3573781400514</v>
      </c>
      <c r="E1638">
        <f>Dashboard_Live_Data!AK167</f>
        <v>300</v>
      </c>
      <c r="F1638">
        <f>Dashboard_Live_Data!AL167</f>
        <v>2399.4815554213374</v>
      </c>
      <c r="G1638">
        <f>Dashboard_Live_Data!AM167</f>
        <v>300</v>
      </c>
      <c r="H1638">
        <f>Dashboard_Live_Data!AN167</f>
        <v>2368.1387047809635</v>
      </c>
    </row>
    <row r="1639" spans="1:8">
      <c r="A1639">
        <f>Dashboard_Live_Data!AG168</f>
        <v>22.980000000000004</v>
      </c>
      <c r="B1639">
        <f>Dashboard_Live_Data!AH168</f>
        <v>2684.4654464452342</v>
      </c>
      <c r="C1639">
        <f>Dashboard_Live_Data!AI168</f>
        <v>153.20000000000005</v>
      </c>
      <c r="D1639">
        <f>Dashboard_Live_Data!AJ168</f>
        <v>1217.0425226665805</v>
      </c>
      <c r="E1639">
        <f>Dashboard_Live_Data!AK168</f>
        <v>306.40000000000009</v>
      </c>
      <c r="F1639">
        <f>Dashboard_Live_Data!AL168</f>
        <v>2460.5030623996822</v>
      </c>
      <c r="G1639">
        <f>Dashboard_Live_Data!AM168</f>
        <v>306.40000000000009</v>
      </c>
      <c r="H1639">
        <f>Dashboard_Live_Data!AN168</f>
        <v>2429.0518438601889</v>
      </c>
    </row>
    <row r="1640" spans="1:8">
      <c r="A1640">
        <f>Dashboard_Live_Data!AG169</f>
        <v>23.519999999999996</v>
      </c>
      <c r="B1640">
        <f>Dashboard_Live_Data!AH169</f>
        <v>2684.9124368195003</v>
      </c>
      <c r="C1640">
        <f>Dashboard_Live_Data!AI169</f>
        <v>156.79999999999995</v>
      </c>
      <c r="D1640">
        <f>Dashboard_Live_Data!AJ169</f>
        <v>1247.305949695761</v>
      </c>
      <c r="E1640">
        <f>Dashboard_Live_Data!AK169</f>
        <v>313.59999999999991</v>
      </c>
      <c r="F1640">
        <f>Dashboard_Live_Data!AL169</f>
        <v>2529.9188951271449</v>
      </c>
      <c r="G1640">
        <f>Dashboard_Live_Data!AM169</f>
        <v>313.59999999999991</v>
      </c>
      <c r="H1640">
        <f>Dashboard_Live_Data!AN169</f>
        <v>2498.3588768603126</v>
      </c>
    </row>
    <row r="1641" spans="1:8">
      <c r="A1641">
        <f>Dashboard_Live_Data!AG170</f>
        <v>24</v>
      </c>
      <c r="B1641">
        <f>Dashboard_Live_Data!AH170</f>
        <v>2685.318429856306</v>
      </c>
      <c r="C1641">
        <f>Dashboard_Live_Data!AI170</f>
        <v>160</v>
      </c>
      <c r="D1641">
        <f>Dashboard_Live_Data!AJ170</f>
        <v>1274.4238323326915</v>
      </c>
      <c r="E1641">
        <f>Dashboard_Live_Data!AK170</f>
        <v>320</v>
      </c>
      <c r="F1641">
        <f>Dashboard_Live_Data!AL170</f>
        <v>2592.3117154336151</v>
      </c>
      <c r="G1641">
        <f>Dashboard_Live_Data!AM170</f>
        <v>320</v>
      </c>
      <c r="H1641">
        <f>Dashboard_Live_Data!AN170</f>
        <v>2560.6670284536167</v>
      </c>
    </row>
    <row r="1642" spans="1:8">
      <c r="A1642">
        <f>Dashboard_Live_Data!AG171</f>
        <v>24.47999999999999</v>
      </c>
      <c r="B1642">
        <f>Dashboard_Live_Data!AH171</f>
        <v>2685.7325784389564</v>
      </c>
      <c r="C1642">
        <f>Dashboard_Live_Data!AI171</f>
        <v>163.19999999999993</v>
      </c>
      <c r="D1642">
        <f>Dashboard_Live_Data!AJ171</f>
        <v>1301.7473946103885</v>
      </c>
      <c r="E1642">
        <f>Dashboard_Live_Data!AK171</f>
        <v>326.39999999999986</v>
      </c>
      <c r="F1642">
        <f>Dashboard_Live_Data!AL171</f>
        <v>2655.3615925812765</v>
      </c>
      <c r="G1642">
        <f>Dashboard_Live_Data!AM171</f>
        <v>326.39999999999986</v>
      </c>
      <c r="H1642">
        <f>Dashboard_Live_Data!AN171</f>
        <v>2623.6439001292542</v>
      </c>
    </row>
    <row r="1643" spans="1:8">
      <c r="A1643">
        <f>Dashboard_Live_Data!AG172</f>
        <v>25.019999999999996</v>
      </c>
      <c r="B1643">
        <f>Dashboard_Live_Data!AH172</f>
        <v>2686.2082405845767</v>
      </c>
      <c r="C1643">
        <f>Dashboard_Live_Data!AI172</f>
        <v>166.80000000000007</v>
      </c>
      <c r="D1643">
        <f>Dashboard_Live_Data!AJ172</f>
        <v>1332.7340115462373</v>
      </c>
      <c r="E1643">
        <f>Dashboard_Live_Data!AK172</f>
        <v>333.60000000000014</v>
      </c>
      <c r="F1643">
        <f>Dashboard_Live_Data!AL172</f>
        <v>2727.0872248769224</v>
      </c>
      <c r="G1643">
        <f>Dashboard_Live_Data!AM172</f>
        <v>333.60000000000014</v>
      </c>
      <c r="H1643">
        <f>Dashboard_Live_Data!AN172</f>
        <v>2695.3016989076004</v>
      </c>
    </row>
    <row r="1644" spans="1:8">
      <c r="A1644">
        <f>Dashboard_Live_Data!AG173</f>
        <v>25.5</v>
      </c>
      <c r="B1644">
        <f>Dashboard_Live_Data!AH173</f>
        <v>2686.6397104802963</v>
      </c>
      <c r="C1644">
        <f>Dashboard_Live_Data!AI173</f>
        <v>170</v>
      </c>
      <c r="D1644">
        <f>Dashboard_Live_Data!AJ173</f>
        <v>1360.4994034490926</v>
      </c>
      <c r="E1644">
        <f>Dashboard_Live_Data!AK173</f>
        <v>340</v>
      </c>
      <c r="F1644">
        <f>Dashboard_Live_Data!AL173</f>
        <v>2791.5575527526471</v>
      </c>
      <c r="G1644">
        <f>Dashboard_Live_Data!AM173</f>
        <v>340</v>
      </c>
      <c r="H1644">
        <f>Dashboard_Live_Data!AN173</f>
        <v>2759.7247264813568</v>
      </c>
    </row>
    <row r="1645" spans="1:8">
      <c r="A1645">
        <f>Dashboard_Live_Data!AG174</f>
        <v>25.980000000000004</v>
      </c>
      <c r="B1645">
        <f>Dashboard_Live_Data!AH174</f>
        <v>2687.0793271300054</v>
      </c>
      <c r="C1645">
        <f>Dashboard_Live_Data!AI174</f>
        <v>173.20000000000005</v>
      </c>
      <c r="D1645">
        <f>Dashboard_Live_Data!AJ174</f>
        <v>1388.4750825653464</v>
      </c>
      <c r="E1645">
        <f>Dashboard_Live_Data!AK174</f>
        <v>346.40000000000009</v>
      </c>
      <c r="F1645">
        <f>Dashboard_Live_Data!AL174</f>
        <v>2856.707437171217</v>
      </c>
      <c r="G1645">
        <f>Dashboard_Live_Data!AM174</f>
        <v>346.40000000000009</v>
      </c>
      <c r="H1645">
        <f>Dashboard_Live_Data!AN174</f>
        <v>2824.8397867428093</v>
      </c>
    </row>
    <row r="1646" spans="1:8">
      <c r="A1646">
        <f>Dashboard_Live_Data!AG175</f>
        <v>26.519999999999996</v>
      </c>
      <c r="B1646">
        <f>Dashboard_Live_Data!AH175</f>
        <v>2687.5836301386457</v>
      </c>
      <c r="C1646">
        <f>Dashboard_Live_Data!AI175</f>
        <v>176.79999999999995</v>
      </c>
      <c r="D1646">
        <f>Dashboard_Live_Data!AJ175</f>
        <v>1420.2010523856848</v>
      </c>
      <c r="E1646">
        <f>Dashboard_Live_Data!AK175</f>
        <v>353.59999999999991</v>
      </c>
      <c r="F1646">
        <f>Dashboard_Live_Data!AL175</f>
        <v>2930.8219568286472</v>
      </c>
      <c r="G1646">
        <f>Dashboard_Live_Data!AM175</f>
        <v>353.59999999999991</v>
      </c>
      <c r="H1646">
        <f>Dashboard_Live_Data!AN175</f>
        <v>2898.9303050244098</v>
      </c>
    </row>
    <row r="1647" spans="1:8">
      <c r="A1647">
        <f>Dashboard_Live_Data!AG176</f>
        <v>27</v>
      </c>
      <c r="B1647">
        <f>Dashboard_Live_Data!AH176</f>
        <v>2688.0405488767533</v>
      </c>
      <c r="C1647">
        <f>Dashboard_Live_Data!AI176</f>
        <v>180</v>
      </c>
      <c r="D1647">
        <f>Dashboard_Live_Data!AJ176</f>
        <v>1448.6288953618625</v>
      </c>
      <c r="E1647">
        <f>Dashboard_Live_Data!AK176</f>
        <v>360</v>
      </c>
      <c r="F1647">
        <f>Dashboard_Live_Data!AL176</f>
        <v>2997.4387220817075</v>
      </c>
      <c r="G1647">
        <f>Dashboard_Live_Data!AM176</f>
        <v>360</v>
      </c>
      <c r="H1647">
        <f>Dashboard_Live_Data!AN176</f>
        <v>2965.5394356653028</v>
      </c>
    </row>
    <row r="1648" spans="1:8">
      <c r="A1648">
        <f>Dashboard_Live_Data!AG177</f>
        <v>27.480000000000004</v>
      </c>
      <c r="B1648">
        <f>Dashboard_Live_Data!AH177</f>
        <v>2688.505605067754</v>
      </c>
      <c r="C1648">
        <f>Dashboard_Live_Data!AI177</f>
        <v>183.19999999999993</v>
      </c>
      <c r="D1648">
        <f>Dashboard_Live_Data!AJ177</f>
        <v>1477.272095393459</v>
      </c>
      <c r="E1648">
        <f>Dashboard_Live_Data!AK177</f>
        <v>366.39999999999986</v>
      </c>
      <c r="F1648">
        <f>Dashboard_Live_Data!AL177</f>
        <v>3064.7562292393281</v>
      </c>
      <c r="G1648">
        <f>Dashboard_Live_Data!AM177</f>
        <v>366.39999999999986</v>
      </c>
      <c r="H1648">
        <f>Dashboard_Live_Data!AN177</f>
        <v>3032.8623798858607</v>
      </c>
    </row>
    <row r="1649" spans="1:8">
      <c r="A1649">
        <f>Dashboard_Live_Data!AG178</f>
        <v>28.02000000000001</v>
      </c>
      <c r="B1649">
        <f>Dashboard_Live_Data!AH178</f>
        <v>2689.038516240782</v>
      </c>
      <c r="C1649">
        <f>Dashboard_Live_Data!AI178</f>
        <v>186.80000000000007</v>
      </c>
      <c r="D1649">
        <f>Dashboard_Live_Data!AJ178</f>
        <v>1509.7552162254726</v>
      </c>
      <c r="E1649">
        <f>Dashboard_Live_Data!AK178</f>
        <v>373.60000000000014</v>
      </c>
      <c r="F1649">
        <f>Dashboard_Live_Data!AL178</f>
        <v>3141.3341110240226</v>
      </c>
      <c r="G1649">
        <f>Dashboard_Live_Data!AM178</f>
        <v>373.60000000000014</v>
      </c>
      <c r="H1649">
        <f>Dashboard_Live_Data!AN178</f>
        <v>3109.4621922008068</v>
      </c>
    </row>
    <row r="1650" spans="1:8">
      <c r="A1650">
        <f>Dashboard_Live_Data!AG179</f>
        <v>28.5</v>
      </c>
      <c r="B1650">
        <f>Dashboard_Live_Data!AH179</f>
        <v>2689.520854217586</v>
      </c>
      <c r="C1650">
        <f>Dashboard_Live_Data!AI179</f>
        <v>190</v>
      </c>
      <c r="D1650">
        <f>Dashboard_Live_Data!AJ179</f>
        <v>1538.8616802693725</v>
      </c>
      <c r="E1650">
        <f>Dashboard_Live_Data!AK179</f>
        <v>380</v>
      </c>
      <c r="F1650">
        <f>Dashboard_Live_Data!AL179</f>
        <v>3210.1620844044405</v>
      </c>
      <c r="G1650">
        <f>Dashboard_Live_Data!AM179</f>
        <v>380</v>
      </c>
      <c r="H1650">
        <f>Dashboard_Live_Data!AN179</f>
        <v>3178.3238656808849</v>
      </c>
    </row>
    <row r="1651" spans="1:8">
      <c r="A1651">
        <f>Dashboard_Live_Data!AG180</f>
        <v>28.980000000000004</v>
      </c>
      <c r="B1651">
        <f>Dashboard_Live_Data!AH180</f>
        <v>2690.0113198410036</v>
      </c>
      <c r="C1651">
        <f>Dashboard_Live_Data!AI180</f>
        <v>193.20000000000005</v>
      </c>
      <c r="D1651">
        <f>Dashboard_Live_Data!AJ180</f>
        <v>1568.1888433957661</v>
      </c>
      <c r="E1651">
        <f>Dashboard_Live_Data!AK180</f>
        <v>386.40000000000009</v>
      </c>
      <c r="F1651">
        <f>Dashboard_Live_Data!AL180</f>
        <v>3279.710632319749</v>
      </c>
      <c r="G1651">
        <f>Dashboard_Live_Data!AM180</f>
        <v>386.40000000000009</v>
      </c>
      <c r="H1651">
        <f>Dashboard_Live_Data!AN180</f>
        <v>3247.91960889348</v>
      </c>
    </row>
    <row r="1652" spans="1:8">
      <c r="A1652">
        <f>Dashboard_Live_Data!AG181</f>
        <v>29.519999999999996</v>
      </c>
      <c r="B1652">
        <f>Dashboard_Live_Data!AH181</f>
        <v>2690.5728047037751</v>
      </c>
      <c r="C1652">
        <f>Dashboard_Live_Data!AI181</f>
        <v>196.79999999999995</v>
      </c>
      <c r="D1652">
        <f>Dashboard_Live_Data!AJ181</f>
        <v>1601.4478772869256</v>
      </c>
      <c r="E1652">
        <f>Dashboard_Live_Data!AK181</f>
        <v>393.59999999999991</v>
      </c>
      <c r="F1652">
        <f>Dashboard_Live_Data!AL181</f>
        <v>3358.8216005216295</v>
      </c>
      <c r="G1652">
        <f>Dashboard_Live_Data!AM181</f>
        <v>393.59999999999991</v>
      </c>
      <c r="H1652">
        <f>Dashboard_Live_Data!AN181</f>
        <v>3327.0999332019915</v>
      </c>
    </row>
    <row r="1653" spans="1:8">
      <c r="A1653">
        <f>Dashboard_Live_Data!AG182</f>
        <v>30</v>
      </c>
      <c r="B1653">
        <f>Dashboard_Live_Data!AH182</f>
        <v>2691.0805307414003</v>
      </c>
      <c r="C1653">
        <f>Dashboard_Live_Data!AI182</f>
        <v>200</v>
      </c>
      <c r="D1653">
        <f>Dashboard_Live_Data!AJ182</f>
        <v>1631.2498263703887</v>
      </c>
      <c r="E1653">
        <f>Dashboard_Live_Data!AK182</f>
        <v>400</v>
      </c>
      <c r="F1653">
        <f>Dashboard_Live_Data!AL182</f>
        <v>3429.9213186632924</v>
      </c>
      <c r="G1653">
        <f>Dashboard_Live_Data!AM182</f>
        <v>400</v>
      </c>
      <c r="H1653">
        <f>Dashboard_Live_Data!AN182</f>
        <v>3398.275856941299</v>
      </c>
    </row>
    <row r="1654" spans="1:8">
      <c r="A1654">
        <f>Dashboard_Live_Data!AG183</f>
        <v>30.480000000000004</v>
      </c>
      <c r="B1654">
        <f>Dashboard_Live_Data!AH183</f>
        <v>2691.5963741184592</v>
      </c>
      <c r="C1654">
        <f>Dashboard_Live_Data!AI183</f>
        <v>203.20000000000005</v>
      </c>
      <c r="D1654">
        <f>Dashboard_Live_Data!AJ183</f>
        <v>1661.27795099574</v>
      </c>
      <c r="E1654">
        <f>Dashboard_Live_Data!AK183</f>
        <v>406.40000000000009</v>
      </c>
      <c r="F1654">
        <f>Dashboard_Live_Data!AL183</f>
        <v>3501.760091807711</v>
      </c>
      <c r="G1654">
        <f>Dashboard_Live_Data!AM183</f>
        <v>406.40000000000009</v>
      </c>
      <c r="H1654">
        <f>Dashboard_Live_Data!AN183</f>
        <v>3470.2046174700704</v>
      </c>
    </row>
    <row r="1655" spans="1:8">
      <c r="A1655">
        <f>Dashboard_Live_Data!AG184</f>
        <v>31.019999999999996</v>
      </c>
      <c r="B1655">
        <f>Dashboard_Live_Data!AH184</f>
        <v>2692.1863964353583</v>
      </c>
      <c r="C1655">
        <f>Dashboard_Live_Data!AI184</f>
        <v>206.79999999999995</v>
      </c>
      <c r="D1655">
        <f>Dashboard_Live_Data!AJ184</f>
        <v>1695.3321376263839</v>
      </c>
      <c r="E1655">
        <f>Dashboard_Live_Data!AK184</f>
        <v>413.59999999999991</v>
      </c>
      <c r="F1655">
        <f>Dashboard_Live_Data!AL184</f>
        <v>3583.4691205577215</v>
      </c>
      <c r="G1655">
        <f>Dashboard_Live_Data!AM184</f>
        <v>413.59999999999991</v>
      </c>
      <c r="H1655">
        <f>Dashboard_Live_Data!AN184</f>
        <v>3552.0314391676843</v>
      </c>
    </row>
    <row r="1656" spans="1:8">
      <c r="A1656">
        <f>Dashboard_Live_Data!AG185</f>
        <v>31.5</v>
      </c>
      <c r="B1656">
        <f>Dashboard_Live_Data!AH185</f>
        <v>2692.7194777953123</v>
      </c>
      <c r="C1656">
        <f>Dashboard_Live_Data!AI185</f>
        <v>210</v>
      </c>
      <c r="D1656">
        <f>Dashboard_Live_Data!AJ185</f>
        <v>1725.8467418024873</v>
      </c>
      <c r="E1656">
        <f>Dashboard_Live_Data!AK185</f>
        <v>420</v>
      </c>
      <c r="F1656">
        <f>Dashboard_Live_Data!AL185</f>
        <v>3656.8969182108149</v>
      </c>
      <c r="G1656">
        <f>Dashboard_Live_Data!AM185</f>
        <v>420</v>
      </c>
      <c r="H1656">
        <f>Dashboard_Live_Data!AN185</f>
        <v>3625.5787216297722</v>
      </c>
    </row>
    <row r="1657" spans="1:8">
      <c r="A1657">
        <f>Dashboard_Live_Data!AG186</f>
        <v>31.97999999999999</v>
      </c>
      <c r="B1657">
        <f>Dashboard_Live_Data!AH186</f>
        <v>2693.2606656910839</v>
      </c>
      <c r="C1657">
        <f>Dashboard_Live_Data!AI186</f>
        <v>213.19999999999993</v>
      </c>
      <c r="D1657">
        <f>Dashboard_Live_Data!AJ186</f>
        <v>1756.5930320423138</v>
      </c>
      <c r="E1657">
        <f>Dashboard_Live_Data!AK186</f>
        <v>426.39999999999986</v>
      </c>
      <c r="F1657">
        <f>Dashboard_Live_Data!AL186</f>
        <v>3731.0809261239924</v>
      </c>
      <c r="G1657">
        <f>Dashboard_Live_Data!AM186</f>
        <v>426.39999999999986</v>
      </c>
      <c r="H1657">
        <f>Dashboard_Live_Data!AN186</f>
        <v>3699.896173425861</v>
      </c>
    </row>
    <row r="1658" spans="1:8">
      <c r="A1658">
        <f>Dashboard_Live_Data!AG187</f>
        <v>32.519999999999996</v>
      </c>
      <c r="B1658">
        <f>Dashboard_Live_Data!AH187</f>
        <v>2693.8791874812646</v>
      </c>
      <c r="C1658">
        <f>Dashboard_Live_Data!AI187</f>
        <v>216.80000000000007</v>
      </c>
      <c r="D1658">
        <f>Dashboard_Live_Data!AJ187</f>
        <v>1791.4617344869769</v>
      </c>
      <c r="E1658">
        <f>Dashboard_Live_Data!AK187</f>
        <v>433.60000000000014</v>
      </c>
      <c r="F1658">
        <f>Dashboard_Live_Data!AL187</f>
        <v>3815.4483329742607</v>
      </c>
      <c r="G1658">
        <f>Dashboard_Live_Data!AM187</f>
        <v>433.60000000000014</v>
      </c>
      <c r="H1658">
        <f>Dashboard_Live_Data!AN187</f>
        <v>3784.4304363200208</v>
      </c>
    </row>
    <row r="1659" spans="1:8">
      <c r="A1659">
        <f>Dashboard_Live_Data!AG188</f>
        <v>33</v>
      </c>
      <c r="B1659">
        <f>Dashboard_Live_Data!AH188</f>
        <v>2694.4375898786375</v>
      </c>
      <c r="C1659">
        <f>Dashboard_Live_Data!AI188</f>
        <v>220</v>
      </c>
      <c r="D1659">
        <f>Dashboard_Live_Data!AJ188</f>
        <v>1822.7061870307282</v>
      </c>
      <c r="E1659">
        <f>Dashboard_Live_Data!AK188</f>
        <v>440</v>
      </c>
      <c r="F1659">
        <f>Dashboard_Live_Data!AL188</f>
        <v>3891.256447672386</v>
      </c>
      <c r="G1659">
        <f>Dashboard_Live_Data!AM188</f>
        <v>440</v>
      </c>
      <c r="H1659">
        <f>Dashboard_Live_Data!AN188</f>
        <v>3860.4017717773222</v>
      </c>
    </row>
    <row r="1660" spans="1:8">
      <c r="A1660">
        <f>Dashboard_Live_Data!AG189</f>
        <v>33.480000000000004</v>
      </c>
      <c r="B1660">
        <f>Dashboard_Live_Data!AH189</f>
        <v>2695.0040875164605</v>
      </c>
      <c r="C1660">
        <f>Dashboard_Live_Data!AI189</f>
        <v>223.20000000000005</v>
      </c>
      <c r="D1660">
        <f>Dashboard_Live_Data!AJ189</f>
        <v>1854.1877969704217</v>
      </c>
      <c r="E1660">
        <f>Dashboard_Live_Data!AK189</f>
        <v>446.40000000000009</v>
      </c>
      <c r="F1660">
        <f>Dashboard_Live_Data!AL189</f>
        <v>3967.8366472645534</v>
      </c>
      <c r="G1660">
        <f>Dashboard_Live_Data!AM189</f>
        <v>446.40000000000009</v>
      </c>
      <c r="H1660">
        <f>Dashboard_Live_Data!AN189</f>
        <v>3937.159241278996</v>
      </c>
    </row>
    <row r="1661" spans="1:8">
      <c r="A1661">
        <f>Dashboard_Live_Data!AG190</f>
        <v>34.019999999999996</v>
      </c>
      <c r="B1661">
        <f>Dashboard_Live_Data!AH190</f>
        <v>2695.6510690703108</v>
      </c>
      <c r="C1661">
        <f>Dashboard_Live_Data!AI190</f>
        <v>226.79999999999995</v>
      </c>
      <c r="D1661">
        <f>Dashboard_Live_Data!AJ190</f>
        <v>1889.8902432096763</v>
      </c>
      <c r="E1661">
        <f>Dashboard_Live_Data!AK190</f>
        <v>453.59999999999991</v>
      </c>
      <c r="F1661">
        <f>Dashboard_Live_Data!AL190</f>
        <v>4054.9182491071751</v>
      </c>
      <c r="G1661">
        <f>Dashboard_Live_Data!AM190</f>
        <v>453.59999999999991</v>
      </c>
      <c r="H1661">
        <f>Dashboard_Live_Data!AN190</f>
        <v>4024.4570813468608</v>
      </c>
    </row>
    <row r="1662" spans="1:8">
      <c r="A1662">
        <f>Dashboard_Live_Data!AG191</f>
        <v>34.5</v>
      </c>
      <c r="B1662">
        <f>Dashboard_Live_Data!AH191</f>
        <v>2696.2347566886478</v>
      </c>
      <c r="C1662">
        <f>Dashboard_Live_Data!AI191</f>
        <v>230</v>
      </c>
      <c r="D1662">
        <f>Dashboard_Live_Data!AJ191</f>
        <v>1921.8815542974669</v>
      </c>
      <c r="E1662">
        <f>Dashboard_Live_Data!AK191</f>
        <v>460</v>
      </c>
      <c r="F1662">
        <f>Dashboard_Live_Data!AL191</f>
        <v>4133.1549738663607</v>
      </c>
      <c r="G1662">
        <f>Dashboard_Live_Data!AM191</f>
        <v>460</v>
      </c>
      <c r="H1662">
        <f>Dashboard_Live_Data!AN191</f>
        <v>4102.9009668625113</v>
      </c>
    </row>
    <row r="1663" spans="1:8">
      <c r="A1663">
        <f>Dashboard_Live_Data!AG192</f>
        <v>34.980000000000004</v>
      </c>
      <c r="B1663">
        <f>Dashboard_Live_Data!AH192</f>
        <v>2696.8265277651735</v>
      </c>
      <c r="C1663">
        <f>Dashboard_Live_Data!AI192</f>
        <v>233.19999999999993</v>
      </c>
      <c r="D1663">
        <f>Dashboard_Live_Data!AJ192</f>
        <v>1954.1154016181265</v>
      </c>
      <c r="E1663">
        <f>Dashboard_Live_Data!AK192</f>
        <v>466.39999999999986</v>
      </c>
      <c r="F1663">
        <f>Dashboard_Live_Data!AL192</f>
        <v>4212.1784335476086</v>
      </c>
      <c r="G1663">
        <f>Dashboard_Live_Data!AM192</f>
        <v>466.39999999999986</v>
      </c>
      <c r="H1663">
        <f>Dashboard_Live_Data!AN192</f>
        <v>4182.1456571735444</v>
      </c>
    </row>
    <row r="1664" spans="1:8">
      <c r="A1664">
        <f>Dashboard_Live_Data!AG193</f>
        <v>35.52000000000001</v>
      </c>
      <c r="B1664">
        <f>Dashboard_Live_Data!AH193</f>
        <v>2697.5019276614603</v>
      </c>
      <c r="C1664">
        <f>Dashboard_Live_Data!AI193</f>
        <v>236.80000000000007</v>
      </c>
      <c r="D1664">
        <f>Dashboard_Live_Data!AJ193</f>
        <v>1990.6704964522148</v>
      </c>
      <c r="E1664">
        <f>Dashboard_Live_Data!AK193</f>
        <v>473.60000000000014</v>
      </c>
      <c r="F1664">
        <f>Dashboard_Live_Data!AL193</f>
        <v>4302.0257429515896</v>
      </c>
      <c r="G1664">
        <f>Dashboard_Live_Data!AM193</f>
        <v>473.60000000000014</v>
      </c>
      <c r="H1664">
        <f>Dashboard_Live_Data!AN193</f>
        <v>4272.258661802538</v>
      </c>
    </row>
    <row r="1665" spans="1:8">
      <c r="A1665">
        <f>Dashboard_Live_Data!AG194</f>
        <v>36</v>
      </c>
      <c r="B1665">
        <f>Dashboard_Live_Data!AH194</f>
        <v>2698.1108631681168</v>
      </c>
      <c r="C1665">
        <f>Dashboard_Live_Data!AI194</f>
        <v>240</v>
      </c>
      <c r="D1665">
        <f>Dashboard_Live_Data!AJ194</f>
        <v>2023.4253433638573</v>
      </c>
      <c r="E1665">
        <f>Dashboard_Live_Data!AK194</f>
        <v>480</v>
      </c>
      <c r="F1665">
        <f>Dashboard_Live_Data!AL194</f>
        <v>4382.7356096105759</v>
      </c>
      <c r="G1665">
        <f>Dashboard_Live_Data!AM194</f>
        <v>480</v>
      </c>
      <c r="H1665">
        <f>Dashboard_Live_Data!AN194</f>
        <v>4353.2196326758594</v>
      </c>
    </row>
    <row r="1666" spans="1:8">
      <c r="A1666">
        <f>Dashboard_Live_Data!AG195</f>
        <v>36.480000000000004</v>
      </c>
      <c r="B1666">
        <f>Dashboard_Live_Data!AH195</f>
        <v>2698.7278698689106</v>
      </c>
      <c r="C1666">
        <f>Dashboard_Live_Data!AI195</f>
        <v>243.20000000000005</v>
      </c>
      <c r="D1666">
        <f>Dashboard_Live_Data!AJ195</f>
        <v>2056.4279743959246</v>
      </c>
      <c r="E1666">
        <f>Dashboard_Live_Data!AK195</f>
        <v>486.40000000000009</v>
      </c>
      <c r="F1666">
        <f>Dashboard_Live_Data!AL195</f>
        <v>4464.2456995999191</v>
      </c>
      <c r="G1666">
        <f>Dashboard_Live_Data!AM195</f>
        <v>486.40000000000009</v>
      </c>
      <c r="H1666">
        <f>Dashboard_Live_Data!AN195</f>
        <v>4434.9948626697578</v>
      </c>
    </row>
    <row r="1667" spans="1:8">
      <c r="A1667">
        <f>Dashboard_Live_Data!AG196</f>
        <v>37.019999999999996</v>
      </c>
      <c r="B1667">
        <f>Dashboard_Live_Data!AH196</f>
        <v>2699.43164499259</v>
      </c>
      <c r="C1667">
        <f>Dashboard_Live_Data!AI196</f>
        <v>246.79999999999995</v>
      </c>
      <c r="D1667">
        <f>Dashboard_Live_Data!AJ196</f>
        <v>2093.8541637602912</v>
      </c>
      <c r="E1667">
        <f>Dashboard_Live_Data!AK196</f>
        <v>493.59999999999991</v>
      </c>
      <c r="F1667">
        <f>Dashboard_Live_Data!AL196</f>
        <v>4556.9061458124152</v>
      </c>
      <c r="G1667">
        <f>Dashboard_Live_Data!AM196</f>
        <v>493.59999999999991</v>
      </c>
      <c r="H1667">
        <f>Dashboard_Live_Data!AN196</f>
        <v>4527.9703428920966</v>
      </c>
    </row>
    <row r="1668" spans="1:8">
      <c r="A1668">
        <f>Dashboard_Live_Data!AG197</f>
        <v>37.5</v>
      </c>
      <c r="B1668">
        <f>Dashboard_Live_Data!AH197</f>
        <v>2700.0657895548352</v>
      </c>
      <c r="C1668">
        <f>Dashboard_Live_Data!AI197</f>
        <v>250</v>
      </c>
      <c r="D1668">
        <f>Dashboard_Live_Data!AJ197</f>
        <v>2127.3887833117165</v>
      </c>
      <c r="E1668">
        <f>Dashboard_Live_Data!AK197</f>
        <v>500</v>
      </c>
      <c r="F1668">
        <f>Dashboard_Live_Data!AL197</f>
        <v>4640.1301264745007</v>
      </c>
      <c r="G1668">
        <f>Dashboard_Live_Data!AM197</f>
        <v>500</v>
      </c>
      <c r="H1668">
        <f>Dashboard_Live_Data!AN197</f>
        <v>4611.4892166235932</v>
      </c>
    </row>
    <row r="1669" spans="1:8">
      <c r="A1669">
        <f>Dashboard_Live_Data!AG198</f>
        <v>37.980000000000004</v>
      </c>
      <c r="B1669">
        <f>Dashboard_Live_Data!AH198</f>
        <v>2700.7079925706203</v>
      </c>
      <c r="C1669">
        <f>Dashboard_Live_Data!AI198</f>
        <v>253.20000000000005</v>
      </c>
      <c r="D1669">
        <f>Dashboard_Live_Data!AJ198</f>
        <v>2161.1762766414804</v>
      </c>
      <c r="E1669">
        <f>Dashboard_Live_Data!AK198</f>
        <v>506.40000000000009</v>
      </c>
      <c r="F1669">
        <f>Dashboard_Live_Data!AL198</f>
        <v>4724.1667239784065</v>
      </c>
      <c r="G1669">
        <f>Dashboard_Live_Data!AM198</f>
        <v>506.40000000000009</v>
      </c>
      <c r="H1669">
        <f>Dashboard_Live_Data!AN198</f>
        <v>4695.8346660074885</v>
      </c>
    </row>
    <row r="1670" spans="1:8">
      <c r="A1670">
        <f>Dashboard_Live_Data!AG199</f>
        <v>38.519999999999996</v>
      </c>
      <c r="B1670">
        <f>Dashboard_Live_Data!AH199</f>
        <v>2701.4400981312092</v>
      </c>
      <c r="C1670">
        <f>Dashboard_Live_Data!AI199</f>
        <v>256.79999999999995</v>
      </c>
      <c r="D1670">
        <f>Dashboard_Live_Data!AJ199</f>
        <v>2199.4914513372773</v>
      </c>
      <c r="E1670">
        <f>Dashboard_Live_Data!AK199</f>
        <v>513.59999999999991</v>
      </c>
      <c r="F1670">
        <f>Dashboard_Live_Data!AL199</f>
        <v>4819.6838871821474</v>
      </c>
      <c r="G1670">
        <f>Dashboard_Live_Data!AM199</f>
        <v>513.59999999999991</v>
      </c>
      <c r="H1670">
        <f>Dashboard_Live_Data!AN199</f>
        <v>4791.715932694854</v>
      </c>
    </row>
    <row r="1671" spans="1:8">
      <c r="A1671">
        <f>Dashboard_Live_Data!AG200</f>
        <v>39</v>
      </c>
      <c r="B1671">
        <f>Dashboard_Live_Data!AH200</f>
        <v>2702.0994114328023</v>
      </c>
      <c r="C1671">
        <f>Dashboard_Live_Data!AI200</f>
        <v>260</v>
      </c>
      <c r="D1671">
        <f>Dashboard_Live_Data!AJ200</f>
        <v>2233.8215641775168</v>
      </c>
      <c r="E1671">
        <f>Dashboard_Live_Data!AK200</f>
        <v>520</v>
      </c>
      <c r="F1671">
        <f>Dashboard_Live_Data!AL200</f>
        <v>4905.4596046667839</v>
      </c>
      <c r="G1671">
        <f>Dashboard_Live_Data!AM200</f>
        <v>520</v>
      </c>
      <c r="H1671">
        <f>Dashboard_Live_Data!AN200</f>
        <v>4877.8300542852958</v>
      </c>
    </row>
    <row r="1672" spans="1:8">
      <c r="A1672">
        <f>Dashboard_Live_Data!AG201</f>
        <v>39.47999999999999</v>
      </c>
      <c r="B1672">
        <f>Dashboard_Live_Data!AH201</f>
        <v>2702.7667699761951</v>
      </c>
      <c r="C1672">
        <f>Dashboard_Live_Data!AI201</f>
        <v>263.19999999999993</v>
      </c>
      <c r="D1672">
        <f>Dashboard_Live_Data!AJ201</f>
        <v>2268.4094634231324</v>
      </c>
      <c r="E1672">
        <f>Dashboard_Live_Data!AK201</f>
        <v>526.39999999999986</v>
      </c>
      <c r="F1672">
        <f>Dashboard_Live_Data!AL201</f>
        <v>4992.0593057230435</v>
      </c>
      <c r="G1672">
        <f>Dashboard_Live_Data!AM201</f>
        <v>526.39999999999986</v>
      </c>
      <c r="H1672">
        <f>Dashboard_Live_Data!AN201</f>
        <v>4964.7820081571645</v>
      </c>
    </row>
    <row r="1673" spans="1:8">
      <c r="A1673">
        <f>Dashboard_Live_Data!AG202</f>
        <v>40.019999999999996</v>
      </c>
      <c r="B1673">
        <f>Dashboard_Live_Data!AH202</f>
        <v>2703.527159526966</v>
      </c>
      <c r="C1673">
        <f>Dashboard_Live_Data!AI202</f>
        <v>266.80000000000007</v>
      </c>
      <c r="D1673">
        <f>Dashboard_Live_Data!AJ202</f>
        <v>2307.6308927499517</v>
      </c>
      <c r="E1673">
        <f>Dashboard_Live_Data!AK202</f>
        <v>533.60000000000014</v>
      </c>
      <c r="F1673">
        <f>Dashboard_Live_Data!AL202</f>
        <v>5090.4731562763036</v>
      </c>
      <c r="G1673">
        <f>Dashboard_Live_Data!AM202</f>
        <v>533.60000000000014</v>
      </c>
      <c r="H1673">
        <f>Dashboard_Live_Data!AN202</f>
        <v>5063.6086456793228</v>
      </c>
    </row>
    <row r="1674" spans="1:8">
      <c r="A1674">
        <f>Dashboard_Live_Data!AG203</f>
        <v>40.5</v>
      </c>
      <c r="B1674">
        <f>Dashboard_Live_Data!AH203</f>
        <v>2704.2115997852675</v>
      </c>
      <c r="C1674">
        <f>Dashboard_Live_Data!AI203</f>
        <v>270</v>
      </c>
      <c r="D1674">
        <f>Dashboard_Live_Data!AJ203</f>
        <v>2342.7716518918514</v>
      </c>
      <c r="E1674">
        <f>Dashboard_Live_Data!AK203</f>
        <v>540</v>
      </c>
      <c r="F1674">
        <f>Dashboard_Live_Data!AL203</f>
        <v>5178.835096993912</v>
      </c>
      <c r="G1674">
        <f>Dashboard_Live_Data!AM203</f>
        <v>540</v>
      </c>
      <c r="H1674">
        <f>Dashboard_Live_Data!AN203</f>
        <v>5152.352129116699</v>
      </c>
    </row>
    <row r="1675" spans="1:8">
      <c r="A1675">
        <f>Dashboard_Live_Data!AG204</f>
        <v>40.980000000000004</v>
      </c>
      <c r="B1675">
        <f>Dashboard_Live_Data!AH204</f>
        <v>2704.9040716081277</v>
      </c>
      <c r="C1675">
        <f>Dashboard_Live_Data!AI204</f>
        <v>273.20000000000005</v>
      </c>
      <c r="D1675">
        <f>Dashboard_Live_Data!AJ204</f>
        <v>2378.1749207105045</v>
      </c>
      <c r="E1675">
        <f>Dashboard_Live_Data!AK204</f>
        <v>546.40000000000009</v>
      </c>
      <c r="F1675">
        <f>Dashboard_Live_Data!AL204</f>
        <v>5268.0314290477454</v>
      </c>
      <c r="G1675">
        <f>Dashboard_Live_Data!AM204</f>
        <v>546.40000000000009</v>
      </c>
      <c r="H1675">
        <f>Dashboard_Live_Data!AN204</f>
        <v>5241.943717406506</v>
      </c>
    </row>
    <row r="1676" spans="1:8">
      <c r="A1676">
        <f>Dashboard_Live_Data!AG205</f>
        <v>41.519999999999996</v>
      </c>
      <c r="B1676">
        <f>Dashboard_Live_Data!AH205</f>
        <v>2705.6926970657478</v>
      </c>
      <c r="C1676">
        <f>Dashboard_Live_Data!AI205</f>
        <v>276.79999999999995</v>
      </c>
      <c r="D1676">
        <f>Dashboard_Live_Data!AJ205</f>
        <v>2418.3192089337513</v>
      </c>
      <c r="E1676">
        <f>Dashboard_Live_Data!AK205</f>
        <v>553.59999999999991</v>
      </c>
      <c r="F1676">
        <f>Dashboard_Live_Data!AL205</f>
        <v>5369.3785657395565</v>
      </c>
      <c r="G1676">
        <f>Dashboard_Live_Data!AM205</f>
        <v>553.59999999999991</v>
      </c>
      <c r="H1676">
        <f>Dashboard_Live_Data!AN205</f>
        <v>5343.7518501523427</v>
      </c>
    </row>
    <row r="1677" spans="1:8">
      <c r="A1677">
        <f>Dashboard_Live_Data!AG206</f>
        <v>42</v>
      </c>
      <c r="B1677">
        <f>Dashboard_Live_Data!AH206</f>
        <v>2706.4022210494791</v>
      </c>
      <c r="C1677">
        <f>Dashboard_Live_Data!AI206</f>
        <v>280</v>
      </c>
      <c r="D1677">
        <f>Dashboard_Live_Data!AJ206</f>
        <v>2454.2851668233561</v>
      </c>
      <c r="E1677">
        <f>Dashboard_Live_Data!AK206</f>
        <v>560</v>
      </c>
      <c r="F1677">
        <f>Dashboard_Live_Data!AL206</f>
        <v>5460.3582902555545</v>
      </c>
      <c r="G1677">
        <f>Dashboard_Live_Data!AM206</f>
        <v>560</v>
      </c>
      <c r="H1677">
        <f>Dashboard_Live_Data!AN206</f>
        <v>5435.1558124688245</v>
      </c>
    </row>
    <row r="1678" spans="1:8">
      <c r="A1678">
        <f>Dashboard_Live_Data!AG207</f>
        <v>42.480000000000004</v>
      </c>
      <c r="B1678">
        <f>Dashboard_Live_Data!AH207</f>
        <v>2707.1197624607562</v>
      </c>
      <c r="C1678">
        <f>Dashboard_Live_Data!AI207</f>
        <v>283.19999999999993</v>
      </c>
      <c r="D1678">
        <f>Dashboard_Live_Data!AJ207</f>
        <v>2490.5181609486822</v>
      </c>
      <c r="E1678">
        <f>Dashboard_Live_Data!AK207</f>
        <v>566.39999999999986</v>
      </c>
      <c r="F1678">
        <f>Dashboard_Live_Data!AL207</f>
        <v>5552.1819212211276</v>
      </c>
      <c r="G1678">
        <f>Dashboard_Live_Data!AM207</f>
        <v>566.39999999999986</v>
      </c>
      <c r="H1678">
        <f>Dashboard_Live_Data!AN207</f>
        <v>5527.4172410510055</v>
      </c>
    </row>
    <row r="1679" spans="1:8">
      <c r="A1679">
        <f>Dashboard_Live_Data!AG208</f>
        <v>43.02000000000001</v>
      </c>
      <c r="B1679">
        <f>Dashboard_Live_Data!AH208</f>
        <v>2707.9365741255974</v>
      </c>
      <c r="C1679">
        <f>Dashboard_Live_Data!AI208</f>
        <v>286.80000000000007</v>
      </c>
      <c r="D1679">
        <f>Dashboard_Live_Data!AJ208</f>
        <v>2531.6012212817732</v>
      </c>
      <c r="E1679">
        <f>Dashboard_Live_Data!AK208</f>
        <v>573.60000000000014</v>
      </c>
      <c r="F1679">
        <f>Dashboard_Live_Data!AL208</f>
        <v>5656.4958042939516</v>
      </c>
      <c r="G1679">
        <f>Dashboard_Live_Data!AM208</f>
        <v>573.60000000000014</v>
      </c>
      <c r="H1679">
        <f>Dashboard_Live_Data!AN208</f>
        <v>5632.2397896392322</v>
      </c>
    </row>
    <row r="1680" spans="1:8">
      <c r="A1680">
        <f>Dashboard_Live_Data!AG209</f>
        <v>43.5</v>
      </c>
      <c r="B1680">
        <f>Dashboard_Live_Data!AH209</f>
        <v>2708.6711371730257</v>
      </c>
      <c r="C1680">
        <f>Dashboard_Live_Data!AI209</f>
        <v>290</v>
      </c>
      <c r="D1680">
        <f>Dashboard_Live_Data!AJ209</f>
        <v>2568.4063111009086</v>
      </c>
      <c r="E1680">
        <f>Dashboard_Live_Data!AK209</f>
        <v>580</v>
      </c>
      <c r="F1680">
        <f>Dashboard_Live_Data!AL209</f>
        <v>5750.1221522344285</v>
      </c>
      <c r="G1680">
        <f>Dashboard_Live_Data!AM209</f>
        <v>580</v>
      </c>
      <c r="H1680">
        <f>Dashboard_Live_Data!AN209</f>
        <v>5726.332575075653</v>
      </c>
    </row>
    <row r="1681" spans="1:8">
      <c r="A1681">
        <f>Dashboard_Live_Data!AG210</f>
        <v>43.980000000000004</v>
      </c>
      <c r="B1681">
        <f>Dashboard_Live_Data!AH210</f>
        <v>2709.4137030571701</v>
      </c>
      <c r="C1681">
        <f>Dashboard_Live_Data!AI210</f>
        <v>293.20000000000005</v>
      </c>
      <c r="D1681">
        <f>Dashboard_Live_Data!AJ210</f>
        <v>2605.4827634648645</v>
      </c>
      <c r="E1681">
        <f>Dashboard_Live_Data!AK210</f>
        <v>586.40000000000009</v>
      </c>
      <c r="F1681">
        <f>Dashboard_Live_Data!AL210</f>
        <v>5844.6010930614657</v>
      </c>
      <c r="G1681">
        <f>Dashboard_Live_Data!AM210</f>
        <v>586.40000000000009</v>
      </c>
      <c r="H1681">
        <f>Dashboard_Live_Data!AN210</f>
        <v>5821.2913463973637</v>
      </c>
    </row>
    <row r="1682" spans="1:8">
      <c r="A1682">
        <f>Dashboard_Live_Data!AG211</f>
        <v>44.519999999999996</v>
      </c>
      <c r="B1682">
        <f>Dashboard_Live_Data!AH211</f>
        <v>2710.2586496341951</v>
      </c>
      <c r="C1682">
        <f>Dashboard_Live_Data!AI211</f>
        <v>296.79999999999995</v>
      </c>
      <c r="D1682">
        <f>Dashboard_Live_Data!AJ211</f>
        <v>2647.519805513155</v>
      </c>
      <c r="E1682">
        <f>Dashboard_Live_Data!AK211</f>
        <v>593.59999999999991</v>
      </c>
      <c r="F1682">
        <f>Dashboard_Live_Data!AL211</f>
        <v>5951.9122690476443</v>
      </c>
      <c r="G1682">
        <f>Dashboard_Live_Data!AM211</f>
        <v>593.59999999999991</v>
      </c>
      <c r="H1682">
        <f>Dashboard_Live_Data!AN211</f>
        <v>5929.1582714862625</v>
      </c>
    </row>
    <row r="1683" spans="1:8">
      <c r="A1683">
        <f>Dashboard_Live_Data!AG212</f>
        <v>45</v>
      </c>
      <c r="B1683">
        <f>Dashboard_Live_Data!AH212</f>
        <v>2711.0182056718681</v>
      </c>
      <c r="C1683">
        <f>Dashboard_Live_Data!AI212</f>
        <v>300</v>
      </c>
      <c r="D1683">
        <f>Dashboard_Live_Data!AJ212</f>
        <v>2685.1773334232421</v>
      </c>
      <c r="E1683">
        <f>Dashboard_Live_Data!AK212</f>
        <v>600</v>
      </c>
      <c r="F1683">
        <f>Dashboard_Live_Data!AL212</f>
        <v>6048.2115560449747</v>
      </c>
      <c r="G1683">
        <f>Dashboard_Live_Data!AM212</f>
        <v>600</v>
      </c>
      <c r="H1683">
        <f>Dashboard_Live_Data!AN212</f>
        <v>6025.9656641770644</v>
      </c>
    </row>
    <row r="1684" spans="1:8">
      <c r="A1684">
        <f>Dashboard_Live_Data!AG213</f>
        <v>45.480000000000004</v>
      </c>
      <c r="B1684">
        <f>Dashboard_Live_Data!AH213</f>
        <v>2711.7857495077187</v>
      </c>
      <c r="C1684">
        <f>Dashboard_Live_Data!AI213</f>
        <v>303.20000000000005</v>
      </c>
      <c r="D1684">
        <f>Dashboard_Live_Data!AJ213</f>
        <v>2723.1103493336241</v>
      </c>
      <c r="E1684">
        <f>Dashboard_Live_Data!AK213</f>
        <v>606.40000000000009</v>
      </c>
      <c r="F1684">
        <f>Dashboard_Live_Data!AL213</f>
        <v>6145.3713547660127</v>
      </c>
      <c r="G1684">
        <f>Dashboard_Live_Data!AM213</f>
        <v>606.40000000000009</v>
      </c>
      <c r="H1684">
        <f>Dashboard_Live_Data!AN213</f>
        <v>6123.6467860475295</v>
      </c>
    </row>
    <row r="1685" spans="1:8">
      <c r="A1685">
        <f>Dashboard_Live_Data!AG214</f>
        <v>46.019999999999996</v>
      </c>
      <c r="B1685">
        <f>Dashboard_Live_Data!AH214</f>
        <v>2712.6587781279418</v>
      </c>
      <c r="C1685">
        <f>Dashboard_Live_Data!AI214</f>
        <v>306.79999999999995</v>
      </c>
      <c r="D1685">
        <f>Dashboard_Live_Data!AJ214</f>
        <v>2766.1158768793084</v>
      </c>
      <c r="E1685">
        <f>Dashboard_Live_Data!AK214</f>
        <v>613.59999999999991</v>
      </c>
      <c r="F1685">
        <f>Dashboard_Live_Data!AL214</f>
        <v>6255.7076711632635</v>
      </c>
      <c r="G1685">
        <f>Dashboard_Live_Data!AM214</f>
        <v>613.59999999999991</v>
      </c>
      <c r="H1685">
        <f>Dashboard_Live_Data!AN214</f>
        <v>6234.5853184731659</v>
      </c>
    </row>
    <row r="1686" spans="1:8">
      <c r="A1686">
        <f>Dashboard_Live_Data!AG215</f>
        <v>46.5</v>
      </c>
      <c r="B1686">
        <f>Dashboard_Live_Data!AH215</f>
        <v>2713.4432796899005</v>
      </c>
      <c r="C1686">
        <f>Dashboard_Live_Data!AI215</f>
        <v>310</v>
      </c>
      <c r="D1686">
        <f>Dashboard_Live_Data!AJ215</f>
        <v>2804.6385226625612</v>
      </c>
      <c r="E1686">
        <f>Dashboard_Live_Data!AK215</f>
        <v>620</v>
      </c>
      <c r="F1686">
        <f>Dashboard_Live_Data!AL215</f>
        <v>6354.703876330992</v>
      </c>
      <c r="G1686">
        <f>Dashboard_Live_Data!AM215</f>
        <v>620</v>
      </c>
      <c r="H1686">
        <f>Dashboard_Live_Data!AN215</f>
        <v>6334.130742726853</v>
      </c>
    </row>
    <row r="1687" spans="1:8">
      <c r="A1687">
        <f>Dashboard_Live_Data!AG216</f>
        <v>46.97999999999999</v>
      </c>
      <c r="B1687">
        <f>Dashboard_Live_Data!AH216</f>
        <v>2714.235753570058</v>
      </c>
      <c r="C1687">
        <f>Dashboard_Live_Data!AI216</f>
        <v>313.19999999999993</v>
      </c>
      <c r="D1687">
        <f>Dashboard_Live_Data!AJ216</f>
        <v>2843.4405826900188</v>
      </c>
      <c r="E1687">
        <f>Dashboard_Live_Data!AK216</f>
        <v>626.39999999999986</v>
      </c>
      <c r="F1687">
        <f>Dashboard_Live_Data!AL216</f>
        <v>6454.5678022887641</v>
      </c>
      <c r="G1687">
        <f>Dashboard_Live_Data!AM216</f>
        <v>626.39999999999986</v>
      </c>
      <c r="H1687">
        <f>Dashboard_Live_Data!AN216</f>
        <v>6434.5569245182351</v>
      </c>
    </row>
    <row r="1688" spans="1:8">
      <c r="A1688">
        <f>Dashboard_Live_Data!AG217</f>
        <v>47.519999999999996</v>
      </c>
      <c r="B1688">
        <f>Dashboard_Live_Data!AH217</f>
        <v>2715.1368098124726</v>
      </c>
      <c r="C1688">
        <f>Dashboard_Live_Data!AI217</f>
        <v>316.80000000000007</v>
      </c>
      <c r="D1688">
        <f>Dashboard_Live_Data!AJ217</f>
        <v>2887.428399392069</v>
      </c>
      <c r="E1688">
        <f>Dashboard_Live_Data!AK217</f>
        <v>633.60000000000014</v>
      </c>
      <c r="F1688">
        <f>Dashboard_Live_Data!AL217</f>
        <v>6567.9546108397826</v>
      </c>
      <c r="G1688">
        <f>Dashboard_Live_Data!AM217</f>
        <v>633.60000000000014</v>
      </c>
      <c r="H1688">
        <f>Dashboard_Live_Data!AN217</f>
        <v>6548.5917811077343</v>
      </c>
    </row>
    <row r="1689" spans="1:8">
      <c r="A1689">
        <f>Dashboard_Live_Data!AG218</f>
        <v>48</v>
      </c>
      <c r="B1689">
        <f>Dashboard_Live_Data!AH218</f>
        <v>2715.9462080599938</v>
      </c>
      <c r="C1689">
        <f>Dashboard_Live_Data!AI218</f>
        <v>320</v>
      </c>
      <c r="D1689">
        <f>Dashboard_Live_Data!AJ218</f>
        <v>2926.8282235073743</v>
      </c>
      <c r="E1689">
        <f>Dashboard_Live_Data!AK218</f>
        <v>640</v>
      </c>
      <c r="F1689">
        <f>Dashboard_Live_Data!AL218</f>
        <v>6669.6695538641015</v>
      </c>
      <c r="G1689">
        <f>Dashboard_Live_Data!AM218</f>
        <v>640</v>
      </c>
      <c r="H1689">
        <f>Dashboard_Live_Data!AN218</f>
        <v>6650.8964888556302</v>
      </c>
    </row>
    <row r="1690" spans="1:8">
      <c r="A1690">
        <f>Dashboard_Live_Data!AG219</f>
        <v>48.480000000000004</v>
      </c>
      <c r="B1690">
        <f>Dashboard_Live_Data!AH219</f>
        <v>2716.7635627106388</v>
      </c>
      <c r="C1690">
        <f>Dashboard_Live_Data!AI219</f>
        <v>323.20000000000005</v>
      </c>
      <c r="D1690">
        <f>Dashboard_Live_Data!AJ219</f>
        <v>2966.5111922476426</v>
      </c>
      <c r="E1690">
        <f>Dashboard_Live_Data!AK219</f>
        <v>646.40000000000009</v>
      </c>
      <c r="F1690">
        <f>Dashboard_Live_Data!AL219</f>
        <v>6772.2587713643579</v>
      </c>
      <c r="G1690">
        <f>Dashboard_Live_Data!AM219</f>
        <v>646.40000000000009</v>
      </c>
      <c r="H1690">
        <f>Dashboard_Live_Data!AN219</f>
        <v>6754.0883248186901</v>
      </c>
    </row>
    <row r="1691" spans="1:8">
      <c r="A1691">
        <f>Dashboard_Live_Data!AG220</f>
        <v>49.019999999999996</v>
      </c>
      <c r="B1691">
        <f>Dashboard_Live_Data!AH220</f>
        <v>2717.6925906248262</v>
      </c>
      <c r="C1691">
        <f>Dashboard_Live_Data!AI220</f>
        <v>326.79999999999995</v>
      </c>
      <c r="D1691">
        <f>Dashboard_Live_Data!AJ220</f>
        <v>3011.4944133564245</v>
      </c>
      <c r="E1691">
        <f>Dashboard_Live_Data!AK220</f>
        <v>653.59999999999991</v>
      </c>
      <c r="F1691">
        <f>Dashboard_Live_Data!AL220</f>
        <v>6888.7191192634255</v>
      </c>
      <c r="G1691">
        <f>Dashboard_Live_Data!AM220</f>
        <v>653.59999999999991</v>
      </c>
      <c r="H1691">
        <f>Dashboard_Live_Data!AN220</f>
        <v>6871.2419096860749</v>
      </c>
    </row>
    <row r="1692" spans="1:8">
      <c r="A1692">
        <f>Dashboard_Live_Data!AG221</f>
        <v>49.5</v>
      </c>
      <c r="B1692">
        <f>Dashboard_Live_Data!AH221</f>
        <v>2718.5268353664997</v>
      </c>
      <c r="C1692">
        <f>Dashboard_Live_Data!AI221</f>
        <v>330</v>
      </c>
      <c r="D1692">
        <f>Dashboard_Live_Data!AJ221</f>
        <v>3051.7828688525797</v>
      </c>
      <c r="E1692">
        <f>Dashboard_Live_Data!AK221</f>
        <v>660</v>
      </c>
      <c r="F1692">
        <f>Dashboard_Live_Data!AL221</f>
        <v>6993.1726266478481</v>
      </c>
      <c r="G1692">
        <f>Dashboard_Live_Data!AM221</f>
        <v>660</v>
      </c>
      <c r="H1692">
        <f>Dashboard_Live_Data!AN221</f>
        <v>6976.325155041407</v>
      </c>
    </row>
    <row r="1693" spans="1:8">
      <c r="A1693">
        <f>Dashboard_Live_Data!AG222</f>
        <v>49.980000000000004</v>
      </c>
      <c r="B1693">
        <f>Dashboard_Live_Data!AH222</f>
        <v>2719.3690201677696</v>
      </c>
      <c r="C1693">
        <f>Dashboard_Live_Data!AI222</f>
        <v>333.19999999999993</v>
      </c>
      <c r="D1693">
        <f>Dashboard_Live_Data!AJ222</f>
        <v>3092.3580081209293</v>
      </c>
      <c r="E1693">
        <f>Dashboard_Live_Data!AK222</f>
        <v>666.39999999999986</v>
      </c>
      <c r="F1693">
        <f>Dashboard_Live_Data!AL222</f>
        <v>7098.5063576925695</v>
      </c>
      <c r="G1693">
        <f>Dashboard_Live_Data!AM222</f>
        <v>666.39999999999986</v>
      </c>
      <c r="H1693">
        <f>Dashboard_Live_Data!AN222</f>
        <v>7082.3012947740099</v>
      </c>
    </row>
    <row r="1694" spans="1:8">
      <c r="A1694">
        <f>Dashboard_Live_Data!AG223</f>
        <v>50.52000000000001</v>
      </c>
      <c r="B1694">
        <f>Dashboard_Live_Data!AH223</f>
        <v>2720.3259622967576</v>
      </c>
      <c r="C1694">
        <f>Dashboard_Live_Data!AI223</f>
        <v>336.80000000000007</v>
      </c>
      <c r="D1694">
        <f>Dashboard_Live_Data!AJ223</f>
        <v>3138.34907670858</v>
      </c>
      <c r="E1694">
        <f>Dashboard_Live_Data!AK223</f>
        <v>673.60000000000014</v>
      </c>
      <c r="F1694">
        <f>Dashboard_Live_Data!AL223</f>
        <v>7218.0611664589442</v>
      </c>
      <c r="G1694">
        <f>Dashboard_Live_Data!AM223</f>
        <v>673.60000000000014</v>
      </c>
      <c r="H1694">
        <f>Dashboard_Live_Data!AN223</f>
        <v>7202.5938862445973</v>
      </c>
    </row>
    <row r="1695" spans="1:8">
      <c r="A1695">
        <f>Dashboard_Live_Data!AG224</f>
        <v>51</v>
      </c>
      <c r="B1695">
        <f>Dashboard_Live_Data!AH224</f>
        <v>2721.1850020092143</v>
      </c>
      <c r="C1695">
        <f>Dashboard_Live_Data!AI224</f>
        <v>340</v>
      </c>
      <c r="D1695">
        <f>Dashboard_Live_Data!AJ224</f>
        <v>3179.5370247648771</v>
      </c>
      <c r="E1695">
        <f>Dashboard_Live_Data!AK224</f>
        <v>680</v>
      </c>
      <c r="F1695">
        <f>Dashboard_Live_Data!AL224</f>
        <v>7325.2712267935003</v>
      </c>
      <c r="G1695">
        <f>Dashboard_Live_Data!AM224</f>
        <v>680</v>
      </c>
      <c r="H1695">
        <f>Dashboard_Live_Data!AN224</f>
        <v>7310.4730873835651</v>
      </c>
    </row>
    <row r="1696" spans="1:8">
      <c r="A1696">
        <f>Dashboard_Live_Data!AG225</f>
        <v>51.480000000000004</v>
      </c>
      <c r="B1696">
        <f>Dashboard_Live_Data!AH225</f>
        <v>2722.0519650158485</v>
      </c>
      <c r="C1696">
        <f>Dashboard_Live_Data!AI225</f>
        <v>343.20000000000005</v>
      </c>
      <c r="D1696">
        <f>Dashboard_Live_Data!AJ225</f>
        <v>3221.0150100806709</v>
      </c>
      <c r="E1696">
        <f>Dashboard_Live_Data!AK225</f>
        <v>686.40000000000009</v>
      </c>
      <c r="F1696">
        <f>Dashboard_Live_Data!AL225</f>
        <v>7433.3669028529466</v>
      </c>
      <c r="G1696">
        <f>Dashboard_Live_Data!AM225</f>
        <v>686.40000000000009</v>
      </c>
      <c r="H1696">
        <f>Dashboard_Live_Data!AN225</f>
        <v>7419.2503937327128</v>
      </c>
    </row>
    <row r="1697" spans="1:8">
      <c r="A1697">
        <f>Dashboard_Live_Data!AG226</f>
        <v>52.019999999999996</v>
      </c>
      <c r="B1697">
        <f>Dashboard_Live_Data!AH226</f>
        <v>2723.0367624197406</v>
      </c>
      <c r="C1697">
        <f>Dashboard_Live_Data!AI226</f>
        <v>346.79999999999995</v>
      </c>
      <c r="D1697">
        <f>Dashboard_Live_Data!AJ226</f>
        <v>3268.0257165997627</v>
      </c>
      <c r="E1697">
        <f>Dashboard_Live_Data!AK226</f>
        <v>693.59999999999991</v>
      </c>
      <c r="F1697">
        <f>Dashboard_Live_Data!AL226</f>
        <v>7556.0351349179427</v>
      </c>
      <c r="G1697">
        <f>Dashboard_Live_Data!AM226</f>
        <v>693.59999999999991</v>
      </c>
      <c r="H1697">
        <f>Dashboard_Live_Data!AN226</f>
        <v>7542.700317284668</v>
      </c>
    </row>
    <row r="1698" spans="1:8">
      <c r="A1698">
        <f>Dashboard_Live_Data!AG227</f>
        <v>52.5</v>
      </c>
      <c r="B1698">
        <f>Dashboard_Live_Data!AH227</f>
        <v>2723.920544268542</v>
      </c>
      <c r="C1698">
        <f>Dashboard_Live_Data!AI227</f>
        <v>350</v>
      </c>
      <c r="D1698">
        <f>Dashboard_Live_Data!AJ227</f>
        <v>3310.1234447175161</v>
      </c>
      <c r="E1698">
        <f>Dashboard_Live_Data!AK227</f>
        <v>700</v>
      </c>
      <c r="F1698">
        <f>Dashboard_Live_Data!AL227</f>
        <v>7666.0180432897014</v>
      </c>
      <c r="G1698">
        <f>Dashboard_Live_Data!AM227</f>
        <v>700</v>
      </c>
      <c r="H1698">
        <f>Dashboard_Live_Data!AN227</f>
        <v>7653.3912060529701</v>
      </c>
    </row>
    <row r="1699" spans="1:8">
      <c r="A1699">
        <f>Dashboard_Live_Data!AG228</f>
        <v>52.980000000000004</v>
      </c>
      <c r="B1699">
        <f>Dashboard_Live_Data!AH228</f>
        <v>2724.8122322311165</v>
      </c>
      <c r="C1699">
        <f>Dashboard_Live_Data!AI228</f>
        <v>353.20000000000005</v>
      </c>
      <c r="D1699">
        <f>Dashboard_Live_Data!AJ228</f>
        <v>3352.5143841718163</v>
      </c>
      <c r="E1699">
        <f>Dashboard_Live_Data!AK228</f>
        <v>706.40000000000009</v>
      </c>
      <c r="F1699">
        <f>Dashboard_Live_Data!AL228</f>
        <v>7776.8914462931562</v>
      </c>
      <c r="G1699">
        <f>Dashboard_Live_Data!AM228</f>
        <v>706.40000000000009</v>
      </c>
      <c r="H1699">
        <f>Dashboard_Live_Data!AN228</f>
        <v>7764.9849009013706</v>
      </c>
    </row>
    <row r="1700" spans="1:8">
      <c r="A1700">
        <f>Dashboard_Live_Data!AG229</f>
        <v>53.519999999999996</v>
      </c>
      <c r="B1700">
        <f>Dashboard_Live_Data!AH229</f>
        <v>2725.8248245109639</v>
      </c>
      <c r="C1700">
        <f>Dashboard_Live_Data!AI229</f>
        <v>356.79999999999995</v>
      </c>
      <c r="D1700">
        <f>Dashboard_Live_Data!AJ229</f>
        <v>3400.5558883978983</v>
      </c>
      <c r="E1700">
        <f>Dashboard_Live_Data!AK229</f>
        <v>713.59999999999991</v>
      </c>
      <c r="F1700">
        <f>Dashboard_Live_Data!AL229</f>
        <v>7902.6902595707261</v>
      </c>
      <c r="G1700">
        <f>Dashboard_Live_Data!AM229</f>
        <v>713.59999999999991</v>
      </c>
      <c r="H1700">
        <f>Dashboard_Live_Data!AN229</f>
        <v>7891.6086886825724</v>
      </c>
    </row>
    <row r="1701" spans="1:8">
      <c r="A1701">
        <f>Dashboard_Live_Data!AG230</f>
        <v>54</v>
      </c>
      <c r="B1701">
        <f>Dashboard_Live_Data!AH230</f>
        <v>2726.7332943721008</v>
      </c>
      <c r="C1701">
        <f>Dashboard_Live_Data!AI230</f>
        <v>360</v>
      </c>
      <c r="D1701">
        <f>Dashboard_Live_Data!AJ230</f>
        <v>3443.5731304663896</v>
      </c>
      <c r="E1701">
        <f>Dashboard_Live_Data!AK230</f>
        <v>720</v>
      </c>
      <c r="F1701">
        <f>Dashboard_Live_Data!AL230</f>
        <v>8015.4607514084237</v>
      </c>
      <c r="G1701">
        <f>Dashboard_Live_Data!AM230</f>
        <v>720</v>
      </c>
      <c r="H1701">
        <f>Dashboard_Live_Data!AN230</f>
        <v>8005.1254484618212</v>
      </c>
    </row>
    <row r="1702" spans="1:8">
      <c r="A1702">
        <f>Dashboard_Live_Data!AG231</f>
        <v>54.47999999999999</v>
      </c>
      <c r="B1702">
        <f>Dashboard_Live_Data!AH231</f>
        <v>2727.6496527585241</v>
      </c>
      <c r="C1702">
        <f>Dashboard_Live_Data!AI231</f>
        <v>363.19999999999993</v>
      </c>
      <c r="D1702">
        <f>Dashboard_Live_Data!AJ231</f>
        <v>3486.8865852502836</v>
      </c>
      <c r="E1702">
        <f>Dashboard_Live_Data!AK231</f>
        <v>726.39999999999986</v>
      </c>
      <c r="F1702">
        <f>Dashboard_Live_Data!AL231</f>
        <v>8129.1261442908699</v>
      </c>
      <c r="G1702">
        <f>Dashboard_Live_Data!AM231</f>
        <v>726.39999999999986</v>
      </c>
      <c r="H1702">
        <f>Dashboard_Live_Data!AN231</f>
        <v>8119.5492469653946</v>
      </c>
    </row>
    <row r="1703" spans="1:8">
      <c r="A1703">
        <f>Dashboard_Live_Data!AG232</f>
        <v>55.019999999999996</v>
      </c>
      <c r="B1703">
        <f>Dashboard_Live_Data!AH232</f>
        <v>2728.6899780807412</v>
      </c>
      <c r="C1703">
        <f>Dashboard_Live_Data!AI232</f>
        <v>366.80000000000007</v>
      </c>
      <c r="D1703">
        <f>Dashboard_Live_Data!AJ232</f>
        <v>3535.9694398561164</v>
      </c>
      <c r="E1703">
        <f>Dashboard_Live_Data!AK232</f>
        <v>733.60000000000014</v>
      </c>
      <c r="F1703">
        <f>Dashboard_Live_Data!AL232</f>
        <v>8258.0710351577345</v>
      </c>
      <c r="G1703">
        <f>Dashboard_Live_Data!AM232</f>
        <v>733.60000000000014</v>
      </c>
      <c r="H1703">
        <f>Dashboard_Live_Data!AN232</f>
        <v>8249.3617845544723</v>
      </c>
    </row>
    <row r="1704" spans="1:8">
      <c r="A1704">
        <f>Dashboard_Live_Data!AG233</f>
        <v>55.5</v>
      </c>
      <c r="B1704">
        <f>Dashboard_Live_Data!AH233</f>
        <v>2729.6230805624396</v>
      </c>
      <c r="C1704">
        <f>Dashboard_Live_Data!AI233</f>
        <v>370</v>
      </c>
      <c r="D1704">
        <f>Dashboard_Live_Data!AJ233</f>
        <v>3579.915397473851</v>
      </c>
      <c r="E1704">
        <f>Dashboard_Live_Data!AK233</f>
        <v>740</v>
      </c>
      <c r="F1704">
        <f>Dashboard_Live_Data!AL233</f>
        <v>8373.6424099258602</v>
      </c>
      <c r="G1704">
        <f>Dashboard_Live_Data!AM233</f>
        <v>740</v>
      </c>
      <c r="H1704">
        <f>Dashboard_Live_Data!AN233</f>
        <v>8365.7171770078276</v>
      </c>
    </row>
    <row r="1705" spans="1:8">
      <c r="A1705">
        <f>Dashboard_Live_Data!AG234</f>
        <v>55.980000000000004</v>
      </c>
      <c r="B1705">
        <f>Dashboard_Live_Data!AH234</f>
        <v>2730.5640535799016</v>
      </c>
      <c r="C1705">
        <f>Dashboard_Live_Data!AI234</f>
        <v>373.20000000000005</v>
      </c>
      <c r="D1705">
        <f>Dashboard_Live_Data!AJ234</f>
        <v>3624.1604034921179</v>
      </c>
      <c r="E1705">
        <f>Dashboard_Live_Data!AK234</f>
        <v>746.40000000000009</v>
      </c>
      <c r="F1705">
        <f>Dashboard_Live_Data!AL234</f>
        <v>8490.1126571758014</v>
      </c>
      <c r="G1705">
        <f>Dashboard_Live_Data!AM234</f>
        <v>746.40000000000009</v>
      </c>
      <c r="H1705">
        <f>Dashboard_Live_Data!AN234</f>
        <v>8482.9834109222265</v>
      </c>
    </row>
    <row r="1706" spans="1:8">
      <c r="A1706">
        <f>Dashboard_Live_Data!AG235</f>
        <v>56.519999999999996</v>
      </c>
      <c r="B1706">
        <f>Dashboard_Live_Data!AH235</f>
        <v>2731.6320487010912</v>
      </c>
      <c r="C1706">
        <f>Dashboard_Live_Data!AI235</f>
        <v>376.79999999999995</v>
      </c>
      <c r="D1706">
        <f>Dashboard_Live_Data!AJ235</f>
        <v>3674.2945786544519</v>
      </c>
      <c r="E1706">
        <f>Dashboard_Live_Data!AK235</f>
        <v>753.59999999999991</v>
      </c>
      <c r="F1706">
        <f>Dashboard_Live_Data!AL235</f>
        <v>8622.2175923928862</v>
      </c>
      <c r="G1706">
        <f>Dashboard_Live_Data!AM235</f>
        <v>753.59999999999991</v>
      </c>
      <c r="H1706">
        <f>Dashboard_Live_Data!AN235</f>
        <v>8615.9980720706571</v>
      </c>
    </row>
    <row r="1707" spans="1:8">
      <c r="A1707">
        <f>Dashboard_Live_Data!AG236</f>
        <v>57</v>
      </c>
      <c r="B1707">
        <f>Dashboard_Live_Data!AH236</f>
        <v>2732.5897271659751</v>
      </c>
      <c r="C1707">
        <f>Dashboard_Live_Data!AI236</f>
        <v>380</v>
      </c>
      <c r="D1707">
        <f>Dashboard_Live_Data!AJ236</f>
        <v>3719.1779432130656</v>
      </c>
      <c r="E1707">
        <f>Dashboard_Live_Data!AK236</f>
        <v>760</v>
      </c>
      <c r="F1707">
        <f>Dashboard_Live_Data!AL236</f>
        <v>8740.6018276314735</v>
      </c>
      <c r="G1707">
        <f>Dashboard_Live_Data!AM236</f>
        <v>760</v>
      </c>
      <c r="H1707">
        <f>Dashboard_Live_Data!AN236</f>
        <v>8735.2035534356819</v>
      </c>
    </row>
    <row r="1708" spans="1:8">
      <c r="A1708">
        <f>Dashboard_Live_Data!AG237</f>
        <v>57.480000000000004</v>
      </c>
      <c r="B1708">
        <f>Dashboard_Live_Data!AH237</f>
        <v>2733.5552577832691</v>
      </c>
      <c r="C1708">
        <f>Dashboard_Live_Data!AI237</f>
        <v>383.19999999999993</v>
      </c>
      <c r="D1708">
        <f>Dashboard_Live_Data!AJ237</f>
        <v>3764.3630333251954</v>
      </c>
      <c r="E1708">
        <f>Dashboard_Live_Data!AK237</f>
        <v>766.39999999999986</v>
      </c>
      <c r="F1708">
        <f>Dashboard_Live_Data!AL237</f>
        <v>8859.8885063548314</v>
      </c>
      <c r="G1708">
        <f>Dashboard_Live_Data!AM237</f>
        <v>766.39999999999986</v>
      </c>
      <c r="H1708">
        <f>Dashboard_Live_Data!AN237</f>
        <v>8855.3232842094876</v>
      </c>
    </row>
    <row r="1709" spans="1:8">
      <c r="A1709">
        <f>Dashboard_Live_Data!AG238</f>
        <v>58.02000000000001</v>
      </c>
      <c r="B1709">
        <f>Dashboard_Live_Data!AH238</f>
        <v>2734.6508580754062</v>
      </c>
      <c r="C1709">
        <f>Dashboard_Live_Data!AI238</f>
        <v>386.80000000000007</v>
      </c>
      <c r="D1709">
        <f>Dashboard_Live_Data!AJ238</f>
        <v>3815.5579418876782</v>
      </c>
      <c r="E1709">
        <f>Dashboard_Live_Data!AK238</f>
        <v>773.60000000000014</v>
      </c>
      <c r="F1709">
        <f>Dashboard_Live_Data!AL238</f>
        <v>8995.1660445283196</v>
      </c>
      <c r="G1709">
        <f>Dashboard_Live_Data!AM238</f>
        <v>773.60000000000014</v>
      </c>
      <c r="H1709">
        <f>Dashboard_Live_Data!AN238</f>
        <v>8991.5520543354942</v>
      </c>
    </row>
    <row r="1710" spans="1:8">
      <c r="A1710">
        <f>Dashboard_Live_Data!AG239</f>
        <v>58.5</v>
      </c>
      <c r="B1710">
        <f>Dashboard_Live_Data!AH239</f>
        <v>2735.6330546630293</v>
      </c>
      <c r="C1710">
        <f>Dashboard_Live_Data!AI239</f>
        <v>390</v>
      </c>
      <c r="D1710">
        <f>Dashboard_Live_Data!AJ239</f>
        <v>3861.3869170271155</v>
      </c>
      <c r="E1710">
        <f>Dashboard_Live_Data!AK239</f>
        <v>780</v>
      </c>
      <c r="F1710">
        <f>Dashboard_Live_Data!AL239</f>
        <v>9116.3739007837139</v>
      </c>
      <c r="G1710">
        <f>Dashboard_Live_Data!AM239</f>
        <v>780</v>
      </c>
      <c r="H1710">
        <f>Dashboard_Live_Data!AN239</f>
        <v>9113.617881954191</v>
      </c>
    </row>
    <row r="1711" spans="1:8">
      <c r="A1711">
        <f>Dashboard_Live_Data!AG240</f>
        <v>58.980000000000004</v>
      </c>
      <c r="B1711">
        <f>Dashboard_Live_Data!AH240</f>
        <v>2736.6230846331491</v>
      </c>
      <c r="C1711">
        <f>Dashboard_Live_Data!AI240</f>
        <v>393.20000000000005</v>
      </c>
      <c r="D1711">
        <f>Dashboard_Live_Data!AJ240</f>
        <v>3907.5201435523309</v>
      </c>
      <c r="E1711">
        <f>Dashboard_Live_Data!AK240</f>
        <v>786.40000000000009</v>
      </c>
      <c r="F1711">
        <f>Dashboard_Live_Data!AL240</f>
        <v>9238.487402839648</v>
      </c>
      <c r="G1711">
        <f>Dashboard_Live_Data!AM240</f>
        <v>786.40000000000009</v>
      </c>
      <c r="H1711">
        <f>Dashboard_Live_Data!AN240</f>
        <v>9236.6010042814341</v>
      </c>
    </row>
    <row r="1712" spans="1:8">
      <c r="A1712">
        <f>Dashboard_Live_Data!AG241</f>
        <v>59.519999999999996</v>
      </c>
      <c r="B1712">
        <f>Dashboard_Live_Data!AH241</f>
        <v>2737.7462241092339</v>
      </c>
      <c r="C1712">
        <f>Dashboard_Live_Data!AI241</f>
        <v>396.79999999999995</v>
      </c>
      <c r="D1712">
        <f>Dashboard_Live_Data!AJ241</f>
        <v>3959.7846663670321</v>
      </c>
      <c r="E1712">
        <f>Dashboard_Live_Data!AK241</f>
        <v>793.59999999999991</v>
      </c>
      <c r="F1712">
        <f>Dashboard_Live_Data!AL241</f>
        <v>9376.948806056138</v>
      </c>
      <c r="G1712">
        <f>Dashboard_Live_Data!AM241</f>
        <v>793.59999999999991</v>
      </c>
      <c r="H1712">
        <f>Dashboard_Live_Data!AN241</f>
        <v>9376.0545934952825</v>
      </c>
    </row>
    <row r="1713" spans="1:8">
      <c r="A1713">
        <f>Dashboard_Live_Data!AG242</f>
        <v>60</v>
      </c>
      <c r="B1713">
        <f>Dashboard_Live_Data!AH242</f>
        <v>2738.7528797589603</v>
      </c>
      <c r="C1713">
        <f>Dashboard_Live_Data!AI242</f>
        <v>400</v>
      </c>
      <c r="D1713">
        <f>Dashboard_Live_Data!AJ242</f>
        <v>4006.5669904921833</v>
      </c>
      <c r="E1713">
        <f>Dashboard_Live_Data!AK242</f>
        <v>800</v>
      </c>
      <c r="F1713">
        <f>Dashboard_Live_Data!AL242</f>
        <v>9500.9899232733605</v>
      </c>
      <c r="G1713">
        <f>Dashboard_Live_Data!AM242</f>
        <v>800</v>
      </c>
      <c r="H1713">
        <f>Dashboard_Live_Data!AN242</f>
        <v>9500.9899232733605</v>
      </c>
    </row>
    <row r="1716" spans="1:8">
      <c r="A1716" t="s">
        <v>1086</v>
      </c>
    </row>
    <row r="1717" spans="1:8">
      <c r="A1717" t="s">
        <v>1064</v>
      </c>
      <c r="B1717" t="s">
        <v>1065</v>
      </c>
      <c r="C1717" t="s">
        <v>1066</v>
      </c>
      <c r="D1717" t="s">
        <v>1067</v>
      </c>
      <c r="E1717" t="s">
        <v>1068</v>
      </c>
      <c r="F1717" t="s">
        <v>1069</v>
      </c>
      <c r="G1717" t="s">
        <v>1070</v>
      </c>
      <c r="H1717" t="s">
        <v>1071</v>
      </c>
    </row>
    <row r="1718" spans="1:8">
      <c r="A1718">
        <f>Dashboard_Live_Data!AP2</f>
        <v>-60</v>
      </c>
      <c r="B1718">
        <f>Dashboard_Live_Data!AQ2</f>
        <v>2737.9721339616262</v>
      </c>
      <c r="C1718">
        <f>Dashboard_Live_Data!AR2</f>
        <v>-400</v>
      </c>
      <c r="D1718">
        <f>Dashboard_Live_Data!AS2</f>
        <v>4006.1845220388846</v>
      </c>
      <c r="E1718">
        <f>Dashboard_Live_Data!AT2</f>
        <v>-800</v>
      </c>
      <c r="F1718">
        <f>Dashboard_Live_Data!AU2</f>
        <v>9500.5563713434549</v>
      </c>
      <c r="G1718">
        <f>Dashboard_Live_Data!AV2</f>
        <v>-800</v>
      </c>
      <c r="H1718">
        <f>Dashboard_Live_Data!AW2</f>
        <v>9500.5563713434549</v>
      </c>
    </row>
    <row r="1719" spans="1:8">
      <c r="A1719">
        <f>Dashboard_Live_Data!AP3</f>
        <v>-59.519999999999996</v>
      </c>
      <c r="B1719">
        <f>Dashboard_Live_Data!AQ3</f>
        <v>2736.9528201395592</v>
      </c>
      <c r="C1719">
        <f>Dashboard_Live_Data!AR3</f>
        <v>-396.8</v>
      </c>
      <c r="D1719">
        <f>Dashboard_Live_Data!AS3</f>
        <v>3959.1477374020114</v>
      </c>
      <c r="E1719">
        <f>Dashboard_Live_Data!AT3</f>
        <v>-793.6</v>
      </c>
      <c r="F1719">
        <f>Dashboard_Live_Data!AU3</f>
        <v>9376.6806348938517</v>
      </c>
      <c r="G1719">
        <f>Dashboard_Live_Data!AV3</f>
        <v>-793.6</v>
      </c>
      <c r="H1719">
        <f>Dashboard_Live_Data!AW3</f>
        <v>9375.7864531212308</v>
      </c>
    </row>
    <row r="1720" spans="1:8">
      <c r="A1720">
        <f>Dashboard_Live_Data!AP4</f>
        <v>-58.98</v>
      </c>
      <c r="B1720">
        <f>Dashboard_Live_Data!AQ4</f>
        <v>2735.8693928822458</v>
      </c>
      <c r="C1720">
        <f>Dashboard_Live_Data!AR4</f>
        <v>-393.2</v>
      </c>
      <c r="D1720">
        <f>Dashboard_Live_Data!AS4</f>
        <v>3906.6899803154161</v>
      </c>
      <c r="E1720">
        <f>Dashboard_Live_Data!AT4</f>
        <v>-786.4</v>
      </c>
      <c r="F1720">
        <f>Dashboard_Live_Data!AU4</f>
        <v>9237.8669365752503</v>
      </c>
      <c r="G1720">
        <f>Dashboard_Live_Data!AV4</f>
        <v>-786.4</v>
      </c>
      <c r="H1720">
        <f>Dashboard_Live_Data!AW4</f>
        <v>9235.9806918794056</v>
      </c>
    </row>
    <row r="1721" spans="1:8">
      <c r="A1721">
        <f>Dashboard_Live_Data!AP5</f>
        <v>-58.5</v>
      </c>
      <c r="B1721">
        <f>Dashboard_Live_Data!AQ5</f>
        <v>2734.7537852754253</v>
      </c>
      <c r="C1721">
        <f>Dashboard_Live_Data!AR5</f>
        <v>-390</v>
      </c>
      <c r="D1721">
        <f>Dashboard_Live_Data!AS5</f>
        <v>3860.6694546054136</v>
      </c>
      <c r="E1721">
        <f>Dashboard_Live_Data!AT5</f>
        <v>-780</v>
      </c>
      <c r="F1721">
        <f>Dashboard_Live_Data!AU5</f>
        <v>9116.2154348858567</v>
      </c>
      <c r="G1721">
        <f>Dashboard_Live_Data!AV5</f>
        <v>-780</v>
      </c>
      <c r="H1721">
        <f>Dashboard_Live_Data!AW5</f>
        <v>9113.459474677602</v>
      </c>
    </row>
    <row r="1722" spans="1:8">
      <c r="A1722">
        <f>Dashboard_Live_Data!AP6</f>
        <v>-58.019999999999996</v>
      </c>
      <c r="B1722">
        <f>Dashboard_Live_Data!AQ6</f>
        <v>2733.8712853195143</v>
      </c>
      <c r="C1722">
        <f>Dashboard_Live_Data!AR6</f>
        <v>-386.8</v>
      </c>
      <c r="D1722">
        <f>Dashboard_Live_Data!AS6</f>
        <v>3815.0773000226741</v>
      </c>
      <c r="E1722">
        <f>Dashboard_Live_Data!AT6</f>
        <v>-773.6</v>
      </c>
      <c r="F1722">
        <f>Dashboard_Live_Data!AU6</f>
        <v>8994.6970197989122</v>
      </c>
      <c r="G1722">
        <f>Dashboard_Live_Data!AV6</f>
        <v>-773.6</v>
      </c>
      <c r="H1722">
        <f>Dashboard_Live_Data!AW6</f>
        <v>8991.083262053251</v>
      </c>
    </row>
    <row r="1723" spans="1:8">
      <c r="A1723">
        <f>Dashboard_Live_Data!AP7</f>
        <v>-57.48</v>
      </c>
      <c r="B1723">
        <f>Dashboard_Live_Data!AQ7</f>
        <v>2732.687149406082</v>
      </c>
      <c r="C1723">
        <f>Dashboard_Live_Data!AR7</f>
        <v>-383.2</v>
      </c>
      <c r="D1723">
        <f>Dashboard_Live_Data!AS7</f>
        <v>3764.0154250777559</v>
      </c>
      <c r="E1723">
        <f>Dashboard_Live_Data!AT7</f>
        <v>-766.4</v>
      </c>
      <c r="F1723">
        <f>Dashboard_Live_Data!AU7</f>
        <v>8859.3401609879784</v>
      </c>
      <c r="G1723">
        <f>Dashboard_Live_Data!AV7</f>
        <v>-766.4</v>
      </c>
      <c r="H1723">
        <f>Dashboard_Live_Data!AW7</f>
        <v>8854.7752905537527</v>
      </c>
    </row>
    <row r="1724" spans="1:8">
      <c r="A1724">
        <f>Dashboard_Live_Data!AP8</f>
        <v>-57</v>
      </c>
      <c r="B1724">
        <f>Dashboard_Live_Data!AQ8</f>
        <v>2731.6895767899719</v>
      </c>
      <c r="C1724">
        <f>Dashboard_Live_Data!AR8</f>
        <v>-380</v>
      </c>
      <c r="D1724">
        <f>Dashboard_Live_Data!AS8</f>
        <v>3718.7207527081573</v>
      </c>
      <c r="E1724">
        <f>Dashboard_Live_Data!AT8</f>
        <v>-760</v>
      </c>
      <c r="F1724">
        <f>Dashboard_Live_Data!AU8</f>
        <v>8740.3317888613292</v>
      </c>
      <c r="G1724">
        <f>Dashboard_Live_Data!AV8</f>
        <v>-760</v>
      </c>
      <c r="H1724">
        <f>Dashboard_Live_Data!AW8</f>
        <v>8734.9337239521119</v>
      </c>
    </row>
    <row r="1725" spans="1:8">
      <c r="A1725">
        <f>Dashboard_Live_Data!AP9</f>
        <v>-56.519999999999996</v>
      </c>
      <c r="B1725">
        <f>Dashboard_Live_Data!AQ9</f>
        <v>2730.7088318781148</v>
      </c>
      <c r="C1725">
        <f>Dashboard_Live_Data!AR9</f>
        <v>-376.79999999999995</v>
      </c>
      <c r="D1725">
        <f>Dashboard_Live_Data!AS9</f>
        <v>3673.7176119881537</v>
      </c>
      <c r="E1725">
        <f>Dashboard_Live_Data!AT9</f>
        <v>-753.59999999999991</v>
      </c>
      <c r="F1725">
        <f>Dashboard_Live_Data!AU9</f>
        <v>8621.5307574745584</v>
      </c>
      <c r="G1725">
        <f>Dashboard_Live_Data!AV9</f>
        <v>-753.59999999999991</v>
      </c>
      <c r="H1725">
        <f>Dashboard_Live_Data!AW9</f>
        <v>8615.311864200492</v>
      </c>
    </row>
    <row r="1726" spans="1:8">
      <c r="A1726">
        <f>Dashboard_Live_Data!AP10</f>
        <v>-55.980000000000004</v>
      </c>
      <c r="B1726">
        <f>Dashboard_Live_Data!AQ10</f>
        <v>2729.5241867812651</v>
      </c>
      <c r="C1726">
        <f>Dashboard_Live_Data!AR10</f>
        <v>-373.20000000000005</v>
      </c>
      <c r="D1726">
        <f>Dashboard_Live_Data!AS10</f>
        <v>3623.5784569317379</v>
      </c>
      <c r="E1726">
        <f>Dashboard_Live_Data!AT10</f>
        <v>-746.40000000000009</v>
      </c>
      <c r="F1726">
        <f>Dashboard_Live_Data!AU10</f>
        <v>8489.7380215571848</v>
      </c>
      <c r="G1726">
        <f>Dashboard_Live_Data!AV10</f>
        <v>-746.40000000000009</v>
      </c>
      <c r="H1726">
        <f>Dashboard_Live_Data!AW10</f>
        <v>8482.6091772207692</v>
      </c>
    </row>
    <row r="1727" spans="1:8">
      <c r="A1727">
        <f>Dashboard_Live_Data!AP11</f>
        <v>-55.5</v>
      </c>
      <c r="B1727">
        <f>Dashboard_Live_Data!AQ11</f>
        <v>2728.5707503638432</v>
      </c>
      <c r="C1727">
        <f>Dashboard_Live_Data!AR11</f>
        <v>-370</v>
      </c>
      <c r="D1727">
        <f>Dashboard_Live_Data!AS11</f>
        <v>3579.3219687815858</v>
      </c>
      <c r="E1727">
        <f>Dashboard_Live_Data!AT11</f>
        <v>-740</v>
      </c>
      <c r="F1727">
        <f>Dashboard_Live_Data!AU11</f>
        <v>8373.1619172502797</v>
      </c>
      <c r="G1727">
        <f>Dashboard_Live_Data!AV11</f>
        <v>-740</v>
      </c>
      <c r="H1727">
        <f>Dashboard_Live_Data!AW11</f>
        <v>8365.2372704199115</v>
      </c>
    </row>
    <row r="1728" spans="1:8">
      <c r="A1728">
        <f>Dashboard_Live_Data!AP12</f>
        <v>-55.02</v>
      </c>
      <c r="B1728">
        <f>Dashboard_Live_Data!AQ12</f>
        <v>2727.45681982305</v>
      </c>
      <c r="C1728">
        <f>Dashboard_Live_Data!AR12</f>
        <v>-366.8</v>
      </c>
      <c r="D1728">
        <f>Dashboard_Live_Data!AS12</f>
        <v>3535.5397391924798</v>
      </c>
      <c r="E1728">
        <f>Dashboard_Live_Data!AT12</f>
        <v>-733.6</v>
      </c>
      <c r="F1728">
        <f>Dashboard_Live_Data!AU12</f>
        <v>8257.4964797093962</v>
      </c>
      <c r="G1728">
        <f>Dashboard_Live_Data!AV12</f>
        <v>-733.6</v>
      </c>
      <c r="H1728">
        <f>Dashboard_Live_Data!AW12</f>
        <v>8248.7880169790551</v>
      </c>
    </row>
    <row r="1729" spans="1:8">
      <c r="A1729">
        <f>Dashboard_Live_Data!AP13</f>
        <v>-54.480000000000004</v>
      </c>
      <c r="B1729">
        <f>Dashboard_Live_Data!AQ13</f>
        <v>2726.3354650184833</v>
      </c>
      <c r="C1729">
        <f>Dashboard_Live_Data!AR13</f>
        <v>-363.2</v>
      </c>
      <c r="D1729">
        <f>Dashboard_Live_Data!AS13</f>
        <v>3486.6311054490343</v>
      </c>
      <c r="E1729">
        <f>Dashboard_Live_Data!AT13</f>
        <v>-726.4</v>
      </c>
      <c r="F1729">
        <f>Dashboard_Live_Data!AU13</f>
        <v>8128.7951309951241</v>
      </c>
      <c r="G1729">
        <f>Dashboard_Live_Data!AV13</f>
        <v>-726.4</v>
      </c>
      <c r="H1729">
        <f>Dashboard_Live_Data!AW13</f>
        <v>8119.2187457949549</v>
      </c>
    </row>
    <row r="1730" spans="1:8">
      <c r="A1730">
        <f>Dashboard_Live_Data!AP14</f>
        <v>-54</v>
      </c>
      <c r="B1730">
        <f>Dashboard_Live_Data!AQ14</f>
        <v>2725.4452542994177</v>
      </c>
      <c r="C1730">
        <f>Dashboard_Live_Data!AR14</f>
        <v>-360</v>
      </c>
      <c r="D1730">
        <f>Dashboard_Live_Data!AS14</f>
        <v>3443.2133979979462</v>
      </c>
      <c r="E1730">
        <f>Dashboard_Live_Data!AT14</f>
        <v>-720</v>
      </c>
      <c r="F1730">
        <f>Dashboard_Live_Data!AU14</f>
        <v>8015.0991696438123</v>
      </c>
      <c r="G1730">
        <f>Dashboard_Live_Data!AV14</f>
        <v>-720</v>
      </c>
      <c r="H1730">
        <f>Dashboard_Live_Data!AW14</f>
        <v>8004.7644846026124</v>
      </c>
    </row>
    <row r="1731" spans="1:8">
      <c r="A1731">
        <f>Dashboard_Live_Data!AP15</f>
        <v>-53.52</v>
      </c>
      <c r="B1731">
        <f>Dashboard_Live_Data!AQ15</f>
        <v>2724.3586238461326</v>
      </c>
      <c r="C1731">
        <f>Dashboard_Live_Data!AR15</f>
        <v>-356.8</v>
      </c>
      <c r="D1731">
        <f>Dashboard_Live_Data!AS15</f>
        <v>3399.8955380999778</v>
      </c>
      <c r="E1731">
        <f>Dashboard_Live_Data!AT15</f>
        <v>-713.6</v>
      </c>
      <c r="F1731">
        <f>Dashboard_Live_Data!AU15</f>
        <v>7902.1303992220219</v>
      </c>
      <c r="G1731">
        <f>Dashboard_Live_Data!AV15</f>
        <v>-713.6</v>
      </c>
      <c r="H1731">
        <f>Dashboard_Live_Data!AW15</f>
        <v>7891.0498786081262</v>
      </c>
    </row>
    <row r="1732" spans="1:8">
      <c r="A1732">
        <f>Dashboard_Live_Data!AP16</f>
        <v>-52.980000000000004</v>
      </c>
      <c r="B1732">
        <f>Dashboard_Live_Data!AQ16</f>
        <v>2723.2627061687181</v>
      </c>
      <c r="C1732">
        <f>Dashboard_Live_Data!AR16</f>
        <v>-353.2</v>
      </c>
      <c r="D1732">
        <f>Dashboard_Live_Data!AS16</f>
        <v>3351.8342589880513</v>
      </c>
      <c r="E1732">
        <f>Dashboard_Live_Data!AT16</f>
        <v>-706.4</v>
      </c>
      <c r="F1732">
        <f>Dashboard_Live_Data!AU16</f>
        <v>7776.6419921566758</v>
      </c>
      <c r="G1732">
        <f>Dashboard_Live_Data!AV16</f>
        <v>-706.4</v>
      </c>
      <c r="H1732">
        <f>Dashboard_Live_Data!AW16</f>
        <v>7764.7359630806814</v>
      </c>
    </row>
    <row r="1733" spans="1:8">
      <c r="A1733">
        <f>Dashboard_Live_Data!AP17</f>
        <v>-52.5</v>
      </c>
      <c r="B1733">
        <f>Dashboard_Live_Data!AQ17</f>
        <v>2722.4209257280004</v>
      </c>
      <c r="C1733">
        <f>Dashboard_Live_Data!AR17</f>
        <v>-350</v>
      </c>
      <c r="D1733">
        <f>Dashboard_Live_Data!AS17</f>
        <v>3309.70809101759</v>
      </c>
      <c r="E1733">
        <f>Dashboard_Live_Data!AT17</f>
        <v>-700</v>
      </c>
      <c r="F1733">
        <f>Dashboard_Live_Data!AU17</f>
        <v>7665.4810009588955</v>
      </c>
      <c r="G1733">
        <f>Dashboard_Live_Data!AV17</f>
        <v>-700</v>
      </c>
      <c r="H1733">
        <f>Dashboard_Live_Data!AW17</f>
        <v>7652.8553713180618</v>
      </c>
    </row>
    <row r="1734" spans="1:8">
      <c r="A1734">
        <f>Dashboard_Live_Data!AP18</f>
        <v>-52.019999999999996</v>
      </c>
      <c r="B1734">
        <f>Dashboard_Live_Data!AQ18</f>
        <v>2721.453798788491</v>
      </c>
      <c r="C1734">
        <f>Dashboard_Live_Data!AR18</f>
        <v>-346.8</v>
      </c>
      <c r="D1734">
        <f>Dashboard_Live_Data!AS18</f>
        <v>3267.7091245426209</v>
      </c>
      <c r="E1734">
        <f>Dashboard_Live_Data!AT18</f>
        <v>-693.6</v>
      </c>
      <c r="F1734">
        <f>Dashboard_Live_Data!AU18</f>
        <v>7555.4396771768133</v>
      </c>
      <c r="G1734">
        <f>Dashboard_Live_Data!AV18</f>
        <v>-693.6</v>
      </c>
      <c r="H1734">
        <f>Dashboard_Live_Data!AW18</f>
        <v>7542.1063082979317</v>
      </c>
    </row>
    <row r="1735" spans="1:8">
      <c r="A1735">
        <f>Dashboard_Live_Data!AP19</f>
        <v>-51.48</v>
      </c>
      <c r="B1735">
        <f>Dashboard_Live_Data!AQ19</f>
        <v>2720.3789439041557</v>
      </c>
      <c r="C1735">
        <f>Dashboard_Live_Data!AR19</f>
        <v>-343.2</v>
      </c>
      <c r="D1735">
        <f>Dashboard_Live_Data!AS19</f>
        <v>3220.525348840778</v>
      </c>
      <c r="E1735">
        <f>Dashboard_Live_Data!AT19</f>
        <v>-686.4</v>
      </c>
      <c r="F1735">
        <f>Dashboard_Live_Data!AU19</f>
        <v>7433.0998810073406</v>
      </c>
      <c r="G1735">
        <f>Dashboard_Live_Data!AV19</f>
        <v>-686.4</v>
      </c>
      <c r="H1735">
        <f>Dashboard_Live_Data!AW19</f>
        <v>7418.9840787376506</v>
      </c>
    </row>
    <row r="1736" spans="1:8">
      <c r="A1736">
        <f>Dashboard_Live_Data!AP20</f>
        <v>-51</v>
      </c>
      <c r="B1736">
        <f>Dashboard_Live_Data!AQ20</f>
        <v>2719.5300576923719</v>
      </c>
      <c r="C1736">
        <f>Dashboard_Live_Data!AR20</f>
        <v>-340</v>
      </c>
      <c r="D1736">
        <f>Dashboard_Live_Data!AS20</f>
        <v>3178.9032534055073</v>
      </c>
      <c r="E1736">
        <f>Dashboard_Live_Data!AT20</f>
        <v>-680</v>
      </c>
      <c r="F1736">
        <f>Dashboard_Live_Data!AU20</f>
        <v>7324.5461683556623</v>
      </c>
      <c r="G1736">
        <f>Dashboard_Live_Data!AV20</f>
        <v>-680</v>
      </c>
      <c r="H1736">
        <f>Dashboard_Live_Data!AW20</f>
        <v>7309.7500919691383</v>
      </c>
    </row>
    <row r="1737" spans="1:8">
      <c r="A1737">
        <f>Dashboard_Live_Data!AP21</f>
        <v>-50.519999999999996</v>
      </c>
      <c r="B1737">
        <f>Dashboard_Live_Data!AQ21</f>
        <v>2718.6801987581757</v>
      </c>
      <c r="C1737">
        <f>Dashboard_Live_Data!AR21</f>
        <v>-336.8</v>
      </c>
      <c r="D1737">
        <f>Dashboard_Live_Data!AS21</f>
        <v>3137.6276900805829</v>
      </c>
      <c r="E1737">
        <f>Dashboard_Live_Data!AT21</f>
        <v>-673.6</v>
      </c>
      <c r="F1737">
        <f>Dashboard_Live_Data!AU21</f>
        <v>7217.7111257460656</v>
      </c>
      <c r="G1737">
        <f>Dashboard_Live_Data!AV21</f>
        <v>-673.6</v>
      </c>
      <c r="H1737">
        <f>Dashboard_Live_Data!AW21</f>
        <v>7202.2449127278005</v>
      </c>
    </row>
    <row r="1738" spans="1:8">
      <c r="A1738">
        <f>Dashboard_Live_Data!AP22</f>
        <v>-49.98</v>
      </c>
      <c r="B1738">
        <f>Dashboard_Live_Data!AQ22</f>
        <v>2717.6974345549215</v>
      </c>
      <c r="C1738">
        <f>Dashboard_Live_Data!AR22</f>
        <v>-333.2</v>
      </c>
      <c r="D1738">
        <f>Dashboard_Live_Data!AS22</f>
        <v>3091.6849371722919</v>
      </c>
      <c r="E1738">
        <f>Dashboard_Live_Data!AT22</f>
        <v>-666.4</v>
      </c>
      <c r="F1738">
        <f>Dashboard_Live_Data!AU22</f>
        <v>7098.019488341909</v>
      </c>
      <c r="G1738">
        <f>Dashboard_Live_Data!AV22</f>
        <v>-666.4</v>
      </c>
      <c r="H1738">
        <f>Dashboard_Live_Data!AW22</f>
        <v>7081.8160256542114</v>
      </c>
    </row>
    <row r="1739" spans="1:8">
      <c r="A1739">
        <f>Dashboard_Live_Data!AP23</f>
        <v>-49.5</v>
      </c>
      <c r="B1739">
        <f>Dashboard_Live_Data!AQ23</f>
        <v>2716.8250307204657</v>
      </c>
      <c r="C1739">
        <f>Dashboard_Live_Data!AR23</f>
        <v>-330</v>
      </c>
      <c r="D1739">
        <f>Dashboard_Live_Data!AS23</f>
        <v>3051.4674905866668</v>
      </c>
      <c r="E1739">
        <f>Dashboard_Live_Data!AT23</f>
        <v>-660</v>
      </c>
      <c r="F1739">
        <f>Dashboard_Live_Data!AU23</f>
        <v>6992.6479613045003</v>
      </c>
      <c r="G1739">
        <f>Dashboard_Live_Data!AV23</f>
        <v>-660</v>
      </c>
      <c r="H1739">
        <f>Dashboard_Live_Data!AW23</f>
        <v>6975.8023290740502</v>
      </c>
    </row>
    <row r="1740" spans="1:8">
      <c r="A1740">
        <f>Dashboard_Live_Data!AP24</f>
        <v>-49.019999999999996</v>
      </c>
      <c r="B1740">
        <f>Dashboard_Live_Data!AQ24</f>
        <v>2716.0170983071607</v>
      </c>
      <c r="C1740">
        <f>Dashboard_Live_Data!AR24</f>
        <v>-326.79999999999995</v>
      </c>
      <c r="D1740">
        <f>Dashboard_Live_Data!AS24</f>
        <v>3011.205038375484</v>
      </c>
      <c r="E1740">
        <f>Dashboard_Live_Data!AT24</f>
        <v>-653.59999999999991</v>
      </c>
      <c r="F1740">
        <f>Dashboard_Live_Data!AU24</f>
        <v>6888.445538379483</v>
      </c>
      <c r="G1740">
        <f>Dashboard_Live_Data!AV24</f>
        <v>-653.59999999999991</v>
      </c>
      <c r="H1740">
        <f>Dashboard_Live_Data!AW24</f>
        <v>6870.9693497228955</v>
      </c>
    </row>
    <row r="1741" spans="1:8">
      <c r="A1741">
        <f>Dashboard_Live_Data!AP25</f>
        <v>-48.480000000000004</v>
      </c>
      <c r="B1741">
        <f>Dashboard_Live_Data!AQ25</f>
        <v>2715.0613483936577</v>
      </c>
      <c r="C1741">
        <f>Dashboard_Live_Data!AR25</f>
        <v>-323.20000000000005</v>
      </c>
      <c r="D1741">
        <f>Dashboard_Live_Data!AS25</f>
        <v>2965.8915391952009</v>
      </c>
      <c r="E1741">
        <f>Dashboard_Live_Data!AT25</f>
        <v>-646.40000000000009</v>
      </c>
      <c r="F1741">
        <f>Dashboard_Live_Data!AU25</f>
        <v>6771.7898508147382</v>
      </c>
      <c r="G1741">
        <f>Dashboard_Live_Data!AV25</f>
        <v>-646.40000000000009</v>
      </c>
      <c r="H1741">
        <f>Dashboard_Live_Data!AW25</f>
        <v>6753.6212781446657</v>
      </c>
    </row>
    <row r="1742" spans="1:8">
      <c r="A1742">
        <f>Dashboard_Live_Data!AP26</f>
        <v>-48</v>
      </c>
      <c r="B1742">
        <f>Dashboard_Live_Data!AQ26</f>
        <v>2714.2779556726477</v>
      </c>
      <c r="C1742">
        <f>Dashboard_Live_Data!AR26</f>
        <v>-320</v>
      </c>
      <c r="D1742">
        <f>Dashboard_Live_Data!AS26</f>
        <v>2926.020997254117</v>
      </c>
      <c r="E1742">
        <f>Dashboard_Live_Data!AT26</f>
        <v>-640</v>
      </c>
      <c r="F1742">
        <f>Dashboard_Live_Data!AU26</f>
        <v>6669.2420000628108</v>
      </c>
      <c r="G1742">
        <f>Dashboard_Live_Data!AV26</f>
        <v>-640</v>
      </c>
      <c r="H1742">
        <f>Dashboard_Live_Data!AW26</f>
        <v>6650.4707476140602</v>
      </c>
    </row>
    <row r="1743" spans="1:8">
      <c r="A1743">
        <f>Dashboard_Live_Data!AP27</f>
        <v>-47.52</v>
      </c>
      <c r="B1743">
        <f>Dashboard_Live_Data!AQ27</f>
        <v>2713.5291977559514</v>
      </c>
      <c r="C1743">
        <f>Dashboard_Live_Data!AR27</f>
        <v>-316.8</v>
      </c>
      <c r="D1743">
        <f>Dashboard_Live_Data!AS27</f>
        <v>2886.8217574751084</v>
      </c>
      <c r="E1743">
        <f>Dashboard_Live_Data!AT27</f>
        <v>-633.6</v>
      </c>
      <c r="F1743">
        <f>Dashboard_Live_Data!AU27</f>
        <v>6567.6171221874147</v>
      </c>
      <c r="G1743">
        <f>Dashboard_Live_Data!AV27</f>
        <v>-633.6</v>
      </c>
      <c r="H1743">
        <f>Dashboard_Live_Data!AW27</f>
        <v>6548.2558080936396</v>
      </c>
    </row>
    <row r="1744" spans="1:8">
      <c r="A1744">
        <f>Dashboard_Live_Data!AP28</f>
        <v>-46.980000000000004</v>
      </c>
      <c r="B1744">
        <f>Dashboard_Live_Data!AQ28</f>
        <v>2712.5601656074723</v>
      </c>
      <c r="C1744">
        <f>Dashboard_Live_Data!AR28</f>
        <v>-313.20000000000005</v>
      </c>
      <c r="D1744">
        <f>Dashboard_Live_Data!AS28</f>
        <v>2843.1030562454516</v>
      </c>
      <c r="E1744">
        <f>Dashboard_Live_Data!AT28</f>
        <v>-626.40000000000009</v>
      </c>
      <c r="F1744">
        <f>Dashboard_Live_Data!AU28</f>
        <v>6453.9467364016009</v>
      </c>
      <c r="G1744">
        <f>Dashboard_Live_Data!AV28</f>
        <v>-626.40000000000009</v>
      </c>
      <c r="H1744">
        <f>Dashboard_Live_Data!AW28</f>
        <v>6433.9388308039552</v>
      </c>
    </row>
    <row r="1745" spans="1:8">
      <c r="A1745">
        <f>Dashboard_Live_Data!AP29</f>
        <v>-46.5</v>
      </c>
      <c r="B1745">
        <f>Dashboard_Live_Data!AQ29</f>
        <v>2711.7731730634732</v>
      </c>
      <c r="C1745">
        <f>Dashboard_Live_Data!AR29</f>
        <v>-310</v>
      </c>
      <c r="D1745">
        <f>Dashboard_Live_Data!AS29</f>
        <v>2804.3248063441019</v>
      </c>
      <c r="E1745">
        <f>Dashboard_Live_Data!AT29</f>
        <v>-620</v>
      </c>
      <c r="F1745">
        <f>Dashboard_Live_Data!AU29</f>
        <v>6354.1486283599243</v>
      </c>
      <c r="G1745">
        <f>Dashboard_Live_Data!AV29</f>
        <v>-620</v>
      </c>
      <c r="H1745">
        <f>Dashboard_Live_Data!AW29</f>
        <v>6333.5783023463191</v>
      </c>
    </row>
    <row r="1746" spans="1:8">
      <c r="A1746">
        <f>Dashboard_Live_Data!AP30</f>
        <v>-46.02</v>
      </c>
      <c r="B1746">
        <f>Dashboard_Live_Data!AQ30</f>
        <v>2711.1609992569461</v>
      </c>
      <c r="C1746">
        <f>Dashboard_Live_Data!AR30</f>
        <v>-306.8</v>
      </c>
      <c r="D1746">
        <f>Dashboard_Live_Data!AS30</f>
        <v>2765.6399481746071</v>
      </c>
      <c r="E1746">
        <f>Dashboard_Live_Data!AT30</f>
        <v>-613.6</v>
      </c>
      <c r="F1746">
        <f>Dashboard_Live_Data!AU30</f>
        <v>6255.3661723368041</v>
      </c>
      <c r="G1746">
        <f>Dashboard_Live_Data!AV30</f>
        <v>-613.6</v>
      </c>
      <c r="H1746">
        <f>Dashboard_Live_Data!AW30</f>
        <v>6234.2456420387598</v>
      </c>
    </row>
    <row r="1747" spans="1:8">
      <c r="A1747">
        <f>Dashboard_Live_Data!AP31</f>
        <v>-45.480000000000004</v>
      </c>
      <c r="B1747">
        <f>Dashboard_Live_Data!AQ31</f>
        <v>2710.338289310354</v>
      </c>
      <c r="C1747">
        <f>Dashboard_Live_Data!AR31</f>
        <v>-303.2</v>
      </c>
      <c r="D1747">
        <f>Dashboard_Live_Data!AS31</f>
        <v>2722.5308660022711</v>
      </c>
      <c r="E1747">
        <f>Dashboard_Live_Data!AT31</f>
        <v>-606.4</v>
      </c>
      <c r="F1747">
        <f>Dashboard_Live_Data!AU31</f>
        <v>6144.6351333130369</v>
      </c>
      <c r="G1747">
        <f>Dashboard_Live_Data!AV31</f>
        <v>-606.4</v>
      </c>
      <c r="H1747">
        <f>Dashboard_Live_Data!AW31</f>
        <v>6122.9147357874672</v>
      </c>
    </row>
    <row r="1748" spans="1:8">
      <c r="A1748">
        <f>Dashboard_Live_Data!AP32</f>
        <v>-45</v>
      </c>
      <c r="B1748">
        <f>Dashboard_Live_Data!AQ32</f>
        <v>2709.6428929865006</v>
      </c>
      <c r="C1748">
        <f>Dashboard_Live_Data!AR32</f>
        <v>-300</v>
      </c>
      <c r="D1748">
        <f>Dashboard_Live_Data!AS32</f>
        <v>2684.5852689818762</v>
      </c>
      <c r="E1748">
        <f>Dashboard_Live_Data!AT32</f>
        <v>-600</v>
      </c>
      <c r="F1748">
        <f>Dashboard_Live_Data!AU32</f>
        <v>6047.9709491570866</v>
      </c>
      <c r="G1748">
        <f>Dashboard_Live_Data!AV32</f>
        <v>-600</v>
      </c>
      <c r="H1748">
        <f>Dashboard_Live_Data!AW32</f>
        <v>6025.7264928486038</v>
      </c>
    </row>
    <row r="1749" spans="1:8">
      <c r="A1749">
        <f>Dashboard_Live_Data!AP33</f>
        <v>-44.519999999999996</v>
      </c>
      <c r="B1749">
        <f>Dashboard_Live_Data!AQ33</f>
        <v>2708.85476109416</v>
      </c>
      <c r="C1749">
        <f>Dashboard_Live_Data!AR33</f>
        <v>-296.8</v>
      </c>
      <c r="D1749">
        <f>Dashboard_Live_Data!AS33</f>
        <v>2647.0848704043919</v>
      </c>
      <c r="E1749">
        <f>Dashboard_Live_Data!AT33</f>
        <v>-593.6</v>
      </c>
      <c r="F1749">
        <f>Dashboard_Live_Data!AU33</f>
        <v>5951.3995132318396</v>
      </c>
      <c r="G1749">
        <f>Dashboard_Live_Data!AV33</f>
        <v>-593.6</v>
      </c>
      <c r="H1749">
        <f>Dashboard_Live_Data!AW33</f>
        <v>5928.6487363287824</v>
      </c>
    </row>
    <row r="1750" spans="1:8">
      <c r="A1750">
        <f>Dashboard_Live_Data!AP34</f>
        <v>-43.980000000000004</v>
      </c>
      <c r="B1750">
        <f>Dashboard_Live_Data!AQ34</f>
        <v>2708.0463093967692</v>
      </c>
      <c r="C1750">
        <f>Dashboard_Live_Data!AR34</f>
        <v>-293.2</v>
      </c>
      <c r="D1750">
        <f>Dashboard_Live_Data!AS34</f>
        <v>2605.1463027637274</v>
      </c>
      <c r="E1750">
        <f>Dashboard_Live_Data!AT34</f>
        <v>-586.4</v>
      </c>
      <c r="F1750">
        <f>Dashboard_Live_Data!AU34</f>
        <v>5844.0721638618543</v>
      </c>
      <c r="G1750">
        <f>Dashboard_Live_Data!AV34</f>
        <v>-586.4</v>
      </c>
      <c r="H1750">
        <f>Dashboard_Live_Data!AW34</f>
        <v>5820.7659333649044</v>
      </c>
    </row>
    <row r="1751" spans="1:8">
      <c r="A1751">
        <f>Dashboard_Live_Data!AP35</f>
        <v>-43.5</v>
      </c>
      <c r="B1751">
        <f>Dashboard_Live_Data!AQ35</f>
        <v>2707.2816005599116</v>
      </c>
      <c r="C1751">
        <f>Dashboard_Live_Data!AR35</f>
        <v>-290</v>
      </c>
      <c r="D1751">
        <f>Dashboard_Live_Data!AS35</f>
        <v>2568.0199583114172</v>
      </c>
      <c r="E1751">
        <f>Dashboard_Live_Data!AT35</f>
        <v>-580</v>
      </c>
      <c r="F1751">
        <f>Dashboard_Live_Data!AU35</f>
        <v>5749.953698963689</v>
      </c>
      <c r="G1751">
        <f>Dashboard_Live_Data!AV35</f>
        <v>-580</v>
      </c>
      <c r="H1751">
        <f>Dashboard_Live_Data!AW35</f>
        <v>5726.1652983833264</v>
      </c>
    </row>
    <row r="1752" spans="1:8">
      <c r="A1752">
        <f>Dashboard_Live_Data!AP36</f>
        <v>-43.019999999999996</v>
      </c>
      <c r="B1752">
        <f>Dashboard_Live_Data!AQ36</f>
        <v>2706.6595368359267</v>
      </c>
      <c r="C1752">
        <f>Dashboard_Live_Data!AR36</f>
        <v>-286.79999999999995</v>
      </c>
      <c r="D1752">
        <f>Dashboard_Live_Data!AS36</f>
        <v>2531.0671004076148</v>
      </c>
      <c r="E1752">
        <f>Dashboard_Live_Data!AT36</f>
        <v>-573.59999999999991</v>
      </c>
      <c r="F1752">
        <f>Dashboard_Live_Data!AU36</f>
        <v>5655.9040450008442</v>
      </c>
      <c r="G1752">
        <f>Dashboard_Live_Data!AV36</f>
        <v>-573.59999999999991</v>
      </c>
      <c r="H1752">
        <f>Dashboard_Live_Data!AW36</f>
        <v>5631.6523725758498</v>
      </c>
    </row>
    <row r="1753" spans="1:8">
      <c r="A1753">
        <f>Dashboard_Live_Data!AP37</f>
        <v>-42.48</v>
      </c>
      <c r="B1753">
        <f>Dashboard_Live_Data!AQ37</f>
        <v>2705.8693463886002</v>
      </c>
      <c r="C1753">
        <f>Dashboard_Live_Data!AR37</f>
        <v>-283.2</v>
      </c>
      <c r="D1753">
        <f>Dashboard_Live_Data!AS37</f>
        <v>2489.8874815984691</v>
      </c>
      <c r="E1753">
        <f>Dashboard_Live_Data!AT37</f>
        <v>-566.4</v>
      </c>
      <c r="F1753">
        <f>Dashboard_Live_Data!AU37</f>
        <v>5551.8507587493432</v>
      </c>
      <c r="G1753">
        <f>Dashboard_Live_Data!AV37</f>
        <v>-566.4</v>
      </c>
      <c r="H1753">
        <f>Dashboard_Live_Data!AW37</f>
        <v>5527.0886441711264</v>
      </c>
    </row>
    <row r="1754" spans="1:8">
      <c r="A1754">
        <f>Dashboard_Live_Data!AP38</f>
        <v>-42</v>
      </c>
      <c r="B1754">
        <f>Dashboard_Live_Data!AQ38</f>
        <v>2705.2770547538398</v>
      </c>
      <c r="C1754">
        <f>Dashboard_Live_Data!AR38</f>
        <v>-280</v>
      </c>
      <c r="D1754">
        <f>Dashboard_Live_Data!AS38</f>
        <v>2453.7296576050267</v>
      </c>
      <c r="E1754">
        <f>Dashboard_Live_Data!AT38</f>
        <v>-560</v>
      </c>
      <c r="F1754">
        <f>Dashboard_Live_Data!AU38</f>
        <v>5459.9978954557082</v>
      </c>
      <c r="G1754">
        <f>Dashboard_Live_Data!AV38</f>
        <v>-560</v>
      </c>
      <c r="H1754">
        <f>Dashboard_Live_Data!AW38</f>
        <v>5434.7983466366604</v>
      </c>
    </row>
    <row r="1755" spans="1:8">
      <c r="A1755">
        <f>Dashboard_Live_Data!AP39</f>
        <v>-41.519999999999996</v>
      </c>
      <c r="B1755">
        <f>Dashboard_Live_Data!AQ39</f>
        <v>2704.5693253611653</v>
      </c>
      <c r="C1755">
        <f>Dashboard_Live_Data!AR39</f>
        <v>-276.79999999999995</v>
      </c>
      <c r="D1755">
        <f>Dashboard_Live_Data!AS39</f>
        <v>2417.9520871285163</v>
      </c>
      <c r="E1755">
        <f>Dashboard_Live_Data!AT39</f>
        <v>-553.59999999999991</v>
      </c>
      <c r="F1755">
        <f>Dashboard_Live_Data!AU39</f>
        <v>5368.7858670736305</v>
      </c>
      <c r="G1755">
        <f>Dashboard_Live_Data!AV39</f>
        <v>-553.59999999999991</v>
      </c>
      <c r="H1755">
        <f>Dashboard_Live_Data!AW39</f>
        <v>5343.1642028627093</v>
      </c>
    </row>
    <row r="1756" spans="1:8">
      <c r="A1756">
        <f>Dashboard_Live_Data!AP40</f>
        <v>-40.980000000000004</v>
      </c>
      <c r="B1756">
        <f>Dashboard_Live_Data!AQ40</f>
        <v>2703.6905678073786</v>
      </c>
      <c r="C1756">
        <f>Dashboard_Live_Data!AR40</f>
        <v>-273.20000000000005</v>
      </c>
      <c r="D1756">
        <f>Dashboard_Live_Data!AS40</f>
        <v>2377.7187158263891</v>
      </c>
      <c r="E1756">
        <f>Dashboard_Live_Data!AT40</f>
        <v>-546.40000000000009</v>
      </c>
      <c r="F1756">
        <f>Dashboard_Live_Data!AU40</f>
        <v>5267.6229939401692</v>
      </c>
      <c r="G1756">
        <f>Dashboard_Live_Data!AV40</f>
        <v>-546.40000000000009</v>
      </c>
      <c r="H1756">
        <f>Dashboard_Live_Data!AW40</f>
        <v>5241.5389512381753</v>
      </c>
    </row>
    <row r="1757" spans="1:8">
      <c r="A1757">
        <f>Dashboard_Live_Data!AP41</f>
        <v>-40.5</v>
      </c>
      <c r="B1757">
        <f>Dashboard_Live_Data!AQ41</f>
        <v>2702.949725274078</v>
      </c>
      <c r="C1757">
        <f>Dashboard_Live_Data!AR41</f>
        <v>-270</v>
      </c>
      <c r="D1757">
        <f>Dashboard_Live_Data!AS41</f>
        <v>2342.2688468973838</v>
      </c>
      <c r="E1757">
        <f>Dashboard_Live_Data!AT41</f>
        <v>-540</v>
      </c>
      <c r="F1757">
        <f>Dashboard_Live_Data!AU41</f>
        <v>5178.4098507792496</v>
      </c>
      <c r="G1757">
        <f>Dashboard_Live_Data!AV41</f>
        <v>-540</v>
      </c>
      <c r="H1757">
        <f>Dashboard_Live_Data!AW41</f>
        <v>5151.930884437782</v>
      </c>
    </row>
    <row r="1758" spans="1:8">
      <c r="A1758">
        <f>Dashboard_Live_Data!AP42</f>
        <v>-40.020000000000003</v>
      </c>
      <c r="B1758">
        <f>Dashboard_Live_Data!AQ42</f>
        <v>2702.3426391343892</v>
      </c>
      <c r="C1758">
        <f>Dashboard_Live_Data!AR42</f>
        <v>-266.8</v>
      </c>
      <c r="D1758">
        <f>Dashboard_Live_Data!AS42</f>
        <v>2306.9945829969192</v>
      </c>
      <c r="E1758">
        <f>Dashboard_Live_Data!AT42</f>
        <v>-533.6</v>
      </c>
      <c r="F1758">
        <f>Dashboard_Live_Data!AU42</f>
        <v>5089.8373760297081</v>
      </c>
      <c r="G1758">
        <f>Dashboard_Live_Data!AV42</f>
        <v>-533.6</v>
      </c>
      <c r="H1758">
        <f>Dashboard_Live_Data!AW42</f>
        <v>5062.979131012552</v>
      </c>
    </row>
    <row r="1759" spans="1:8">
      <c r="A1759">
        <f>Dashboard_Live_Data!AP43</f>
        <v>-39.480000000000004</v>
      </c>
      <c r="B1759">
        <f>Dashboard_Live_Data!AQ43</f>
        <v>2701.587502760221</v>
      </c>
      <c r="C1759">
        <f>Dashboard_Live_Data!AR43</f>
        <v>-263.20000000000005</v>
      </c>
      <c r="D1759">
        <f>Dashboard_Live_Data!AS43</f>
        <v>2267.7158327632287</v>
      </c>
      <c r="E1759">
        <f>Dashboard_Live_Data!AT43</f>
        <v>-526.40000000000009</v>
      </c>
      <c r="F1759">
        <f>Dashboard_Live_Data!AU43</f>
        <v>4991.7556848343556</v>
      </c>
      <c r="G1759">
        <f>Dashboard_Live_Data!AV43</f>
        <v>-526.40000000000009</v>
      </c>
      <c r="H1759">
        <f>Dashboard_Live_Data!AW43</f>
        <v>4964.4815363743965</v>
      </c>
    </row>
    <row r="1760" spans="1:8">
      <c r="A1760">
        <f>Dashboard_Live_Data!AP44</f>
        <v>-39</v>
      </c>
      <c r="B1760">
        <f>Dashboard_Live_Data!AQ44</f>
        <v>2700.8810640310994</v>
      </c>
      <c r="C1760">
        <f>Dashboard_Live_Data!AR44</f>
        <v>-260</v>
      </c>
      <c r="D1760">
        <f>Dashboard_Live_Data!AS44</f>
        <v>2233.2466648870986</v>
      </c>
      <c r="E1760">
        <f>Dashboard_Live_Data!AT44</f>
        <v>-520</v>
      </c>
      <c r="F1760">
        <f>Dashboard_Live_Data!AU44</f>
        <v>4904.9522223155282</v>
      </c>
      <c r="G1760">
        <f>Dashboard_Live_Data!AV44</f>
        <v>-520</v>
      </c>
      <c r="H1760">
        <f>Dashboard_Live_Data!AW44</f>
        <v>4877.3281793595488</v>
      </c>
    </row>
    <row r="1761" spans="1:8">
      <c r="A1761">
        <f>Dashboard_Live_Data!AP45</f>
        <v>-38.519999999999996</v>
      </c>
      <c r="B1761">
        <f>Dashboard_Live_Data!AQ45</f>
        <v>2700.0703913209777</v>
      </c>
      <c r="C1761">
        <f>Dashboard_Live_Data!AR45</f>
        <v>-256.8</v>
      </c>
      <c r="D1761">
        <f>Dashboard_Live_Data!AS45</f>
        <v>2199.1466378667237</v>
      </c>
      <c r="E1761">
        <f>Dashboard_Live_Data!AT45</f>
        <v>-513.6</v>
      </c>
      <c r="F1761">
        <f>Dashboard_Live_Data!AU45</f>
        <v>4819.1911730470674</v>
      </c>
      <c r="G1761">
        <f>Dashboard_Live_Data!AV45</f>
        <v>-513.6</v>
      </c>
      <c r="H1761">
        <f>Dashboard_Live_Data!AW45</f>
        <v>4791.2288130859006</v>
      </c>
    </row>
    <row r="1762" spans="1:8">
      <c r="A1762">
        <f>Dashboard_Live_Data!AP46</f>
        <v>-37.980000000000004</v>
      </c>
      <c r="B1762">
        <f>Dashboard_Live_Data!AQ46</f>
        <v>2699.2430908261645</v>
      </c>
      <c r="C1762">
        <f>Dashboard_Live_Data!AR46</f>
        <v>-253.2</v>
      </c>
      <c r="D1762">
        <f>Dashboard_Live_Data!AS46</f>
        <v>2160.8515796643778</v>
      </c>
      <c r="E1762">
        <f>Dashboard_Live_Data!AT46</f>
        <v>-506.4</v>
      </c>
      <c r="F1762">
        <f>Dashboard_Live_Data!AU46</f>
        <v>4723.9805013496798</v>
      </c>
      <c r="G1762">
        <f>Dashboard_Live_Data!AV46</f>
        <v>-506.4</v>
      </c>
      <c r="H1762">
        <f>Dashboard_Live_Data!AW46</f>
        <v>4695.6506664601484</v>
      </c>
    </row>
    <row r="1763" spans="1:8">
      <c r="A1763">
        <f>Dashboard_Live_Data!AP47</f>
        <v>-37.5</v>
      </c>
      <c r="B1763">
        <f>Dashboard_Live_Data!AQ47</f>
        <v>2698.4858261088816</v>
      </c>
      <c r="C1763">
        <f>Dashboard_Live_Data!AR47</f>
        <v>-250</v>
      </c>
      <c r="D1763">
        <f>Dashboard_Live_Data!AS47</f>
        <v>2126.7530364399495</v>
      </c>
      <c r="E1763">
        <f>Dashboard_Live_Data!AT47</f>
        <v>-500</v>
      </c>
      <c r="F1763">
        <f>Dashboard_Live_Data!AU47</f>
        <v>4639.4759832505997</v>
      </c>
      <c r="G1763">
        <f>Dashboard_Live_Data!AV47</f>
        <v>-500</v>
      </c>
      <c r="H1763">
        <f>Dashboard_Live_Data!AW47</f>
        <v>4610.8432409878296</v>
      </c>
    </row>
    <row r="1764" spans="1:8">
      <c r="A1764">
        <f>Dashboard_Live_Data!AP48</f>
        <v>-37.019999999999996</v>
      </c>
      <c r="B1764">
        <f>Dashboard_Live_Data!AQ48</f>
        <v>2697.912683127855</v>
      </c>
      <c r="C1764">
        <f>Dashboard_Live_Data!AR48</f>
        <v>-246.8</v>
      </c>
      <c r="D1764">
        <f>Dashboard_Live_Data!AS48</f>
        <v>2093.1696294265362</v>
      </c>
      <c r="E1764">
        <f>Dashboard_Live_Data!AT48</f>
        <v>-493.6</v>
      </c>
      <c r="F1764">
        <f>Dashboard_Live_Data!AU48</f>
        <v>4556.6085833356701</v>
      </c>
      <c r="G1764">
        <f>Dashboard_Live_Data!AV48</f>
        <v>-493.6</v>
      </c>
      <c r="H1764">
        <f>Dashboard_Live_Data!AW48</f>
        <v>4527.6766627690777</v>
      </c>
    </row>
    <row r="1765" spans="1:8">
      <c r="A1765">
        <f>Dashboard_Live_Data!AP49</f>
        <v>-36.480000000000004</v>
      </c>
      <c r="B1765">
        <f>Dashboard_Live_Data!AQ49</f>
        <v>2697.0681163678028</v>
      </c>
      <c r="C1765">
        <f>Dashboard_Live_Data!AR49</f>
        <v>-243.2</v>
      </c>
      <c r="D1765">
        <f>Dashboard_Live_Data!AS49</f>
        <v>2056.0497159682136</v>
      </c>
      <c r="E1765">
        <f>Dashboard_Live_Data!AT49</f>
        <v>-486.4</v>
      </c>
      <c r="F1765">
        <f>Dashboard_Live_Data!AU49</f>
        <v>4463.7842600742597</v>
      </c>
      <c r="G1765">
        <f>Dashboard_Live_Data!AV49</f>
        <v>-486.4</v>
      </c>
      <c r="H1765">
        <f>Dashboard_Live_Data!AW49</f>
        <v>4434.5397505577357</v>
      </c>
    </row>
    <row r="1766" spans="1:8">
      <c r="A1766">
        <f>Dashboard_Live_Data!AP50</f>
        <v>-36</v>
      </c>
      <c r="B1766">
        <f>Dashboard_Live_Data!AQ50</f>
        <v>2696.3049663672955</v>
      </c>
      <c r="C1766">
        <f>Dashboard_Live_Data!AR50</f>
        <v>-240</v>
      </c>
      <c r="D1766">
        <f>Dashboard_Live_Data!AS50</f>
        <v>2023.202170567554</v>
      </c>
      <c r="E1766">
        <f>Dashboard_Live_Data!AT50</f>
        <v>-480</v>
      </c>
      <c r="F1766">
        <f>Dashboard_Live_Data!AU50</f>
        <v>4382.1612160771374</v>
      </c>
      <c r="G1766">
        <f>Dashboard_Live_Data!AV50</f>
        <v>-480</v>
      </c>
      <c r="H1766">
        <f>Dashboard_Live_Data!AW50</f>
        <v>4352.6534696058097</v>
      </c>
    </row>
    <row r="1767" spans="1:8">
      <c r="A1767">
        <f>Dashboard_Live_Data!AP51</f>
        <v>-35.519999999999996</v>
      </c>
      <c r="B1767">
        <f>Dashboard_Live_Data!AQ51</f>
        <v>2695.6592976495863</v>
      </c>
      <c r="C1767">
        <f>Dashboard_Live_Data!AR51</f>
        <v>-236.79999999999998</v>
      </c>
      <c r="D1767">
        <f>Dashboard_Live_Data!AS51</f>
        <v>1990.4033581092428</v>
      </c>
      <c r="E1767">
        <f>Dashboard_Live_Data!AT51</f>
        <v>-473.59999999999997</v>
      </c>
      <c r="F1767">
        <f>Dashboard_Live_Data!AU51</f>
        <v>4301.6858681205158</v>
      </c>
      <c r="G1767">
        <f>Dashboard_Live_Data!AV51</f>
        <v>-473.59999999999997</v>
      </c>
      <c r="H1767">
        <f>Dashboard_Live_Data!AW51</f>
        <v>4271.9238735944728</v>
      </c>
    </row>
    <row r="1768" spans="1:8">
      <c r="A1768">
        <f>Dashboard_Live_Data!AP52</f>
        <v>-34.979999999999997</v>
      </c>
      <c r="B1768">
        <f>Dashboard_Live_Data!AQ52</f>
        <v>2694.8999569640541</v>
      </c>
      <c r="C1768">
        <f>Dashboard_Live_Data!AR52</f>
        <v>-233.2</v>
      </c>
      <c r="D1768">
        <f>Dashboard_Live_Data!AS52</f>
        <v>1953.6477907064188</v>
      </c>
      <c r="E1768">
        <f>Dashboard_Live_Data!AT52</f>
        <v>-466.4</v>
      </c>
      <c r="F1768">
        <f>Dashboard_Live_Data!AU52</f>
        <v>4211.6044697693824</v>
      </c>
      <c r="G1768">
        <f>Dashboard_Live_Data!AV52</f>
        <v>-466.4</v>
      </c>
      <c r="H1768">
        <f>Dashboard_Live_Data!AW52</f>
        <v>4181.5807170764128</v>
      </c>
    </row>
    <row r="1769" spans="1:8">
      <c r="A1769">
        <f>Dashboard_Live_Data!AP53</f>
        <v>-34.5</v>
      </c>
      <c r="B1769">
        <f>Dashboard_Live_Data!AQ53</f>
        <v>2694.1431538106372</v>
      </c>
      <c r="C1769">
        <f>Dashboard_Live_Data!AR53</f>
        <v>-229.99999999999997</v>
      </c>
      <c r="D1769">
        <f>Dashboard_Live_Data!AS53</f>
        <v>1921.275488770779</v>
      </c>
      <c r="E1769">
        <f>Dashboard_Live_Data!AT53</f>
        <v>-459.99999999999994</v>
      </c>
      <c r="F1769">
        <f>Dashboard_Live_Data!AU53</f>
        <v>4132.6729700126252</v>
      </c>
      <c r="G1769">
        <f>Dashboard_Live_Data!AV53</f>
        <v>-459.99999999999994</v>
      </c>
      <c r="H1769">
        <f>Dashboard_Live_Data!AW53</f>
        <v>4102.4268767595477</v>
      </c>
    </row>
    <row r="1770" spans="1:8">
      <c r="A1770">
        <f>Dashboard_Live_Data!AP54</f>
        <v>-34.019999999999996</v>
      </c>
      <c r="B1770">
        <f>Dashboard_Live_Data!AQ54</f>
        <v>2693.5887701095885</v>
      </c>
      <c r="C1770">
        <f>Dashboard_Live_Data!AR54</f>
        <v>-226.79999999999998</v>
      </c>
      <c r="D1770">
        <f>Dashboard_Live_Data!AS54</f>
        <v>1889.3707989649024</v>
      </c>
      <c r="E1770">
        <f>Dashboard_Live_Data!AT54</f>
        <v>-453.59999999999997</v>
      </c>
      <c r="F1770">
        <f>Dashboard_Live_Data!AU54</f>
        <v>4054.6161492634942</v>
      </c>
      <c r="G1770">
        <f>Dashboard_Live_Data!AV54</f>
        <v>-453.59999999999997</v>
      </c>
      <c r="H1770">
        <f>Dashboard_Live_Data!AW54</f>
        <v>4024.1601603091813</v>
      </c>
    </row>
    <row r="1771" spans="1:8">
      <c r="A1771">
        <f>Dashboard_Live_Data!AP55</f>
        <v>-33.480000000000004</v>
      </c>
      <c r="B1771">
        <f>Dashboard_Live_Data!AQ55</f>
        <v>2692.7579631655858</v>
      </c>
      <c r="C1771">
        <f>Dashboard_Live_Data!AR55</f>
        <v>-223.20000000000002</v>
      </c>
      <c r="D1771">
        <f>Dashboard_Live_Data!AS55</f>
        <v>1853.9523697485693</v>
      </c>
      <c r="E1771">
        <f>Dashboard_Live_Data!AT55</f>
        <v>-446.40000000000003</v>
      </c>
      <c r="F1771">
        <f>Dashboard_Live_Data!AU55</f>
        <v>3967.3646091084047</v>
      </c>
      <c r="G1771">
        <f>Dashboard_Live_Data!AV55</f>
        <v>-446.40000000000003</v>
      </c>
      <c r="H1771">
        <f>Dashboard_Live_Data!AW55</f>
        <v>3936.6957000760913</v>
      </c>
    </row>
    <row r="1772" spans="1:8">
      <c r="A1772">
        <f>Dashboard_Live_Data!AP56</f>
        <v>-33</v>
      </c>
      <c r="B1772">
        <f>Dashboard_Live_Data!AQ56</f>
        <v>2692.1746655892334</v>
      </c>
      <c r="C1772">
        <f>Dashboard_Live_Data!AR56</f>
        <v>-220.00000000000003</v>
      </c>
      <c r="D1772">
        <f>Dashboard_Live_Data!AS56</f>
        <v>1822.521136552667</v>
      </c>
      <c r="E1772">
        <f>Dashboard_Live_Data!AT56</f>
        <v>-440.00000000000006</v>
      </c>
      <c r="F1772">
        <f>Dashboard_Live_Data!AU56</f>
        <v>3890.8212117810226</v>
      </c>
      <c r="G1772">
        <f>Dashboard_Live_Data!AV56</f>
        <v>-440.00000000000006</v>
      </c>
      <c r="H1772">
        <f>Dashboard_Live_Data!AW56</f>
        <v>3859.9747157263751</v>
      </c>
    </row>
    <row r="1773" spans="1:8">
      <c r="A1773">
        <f>Dashboard_Live_Data!AP57</f>
        <v>-32.520000000000003</v>
      </c>
      <c r="B1773">
        <f>Dashboard_Live_Data!AQ57</f>
        <v>2691.668504525569</v>
      </c>
      <c r="C1773">
        <f>Dashboard_Live_Data!AR57</f>
        <v>-216.8</v>
      </c>
      <c r="D1773">
        <f>Dashboard_Live_Data!AS57</f>
        <v>1791.0443942278735</v>
      </c>
      <c r="E1773">
        <f>Dashboard_Live_Data!AT57</f>
        <v>-433.6</v>
      </c>
      <c r="F1773">
        <f>Dashboard_Live_Data!AU57</f>
        <v>3815.2605376380343</v>
      </c>
      <c r="G1773">
        <f>Dashboard_Live_Data!AV57</f>
        <v>-433.6</v>
      </c>
      <c r="H1773">
        <f>Dashboard_Live_Data!AW57</f>
        <v>3784.2463249330663</v>
      </c>
    </row>
    <row r="1774" spans="1:8">
      <c r="A1774">
        <f>Dashboard_Live_Data!AP58</f>
        <v>-31.98</v>
      </c>
      <c r="B1774">
        <f>Dashboard_Live_Data!AQ58</f>
        <v>2690.9024159206665</v>
      </c>
      <c r="C1774">
        <f>Dashboard_Live_Data!AR58</f>
        <v>-213.20000000000002</v>
      </c>
      <c r="D1774">
        <f>Dashboard_Live_Data!AS58</f>
        <v>1756.0232098844801</v>
      </c>
      <c r="E1774">
        <f>Dashboard_Live_Data!AT58</f>
        <v>-426.40000000000003</v>
      </c>
      <c r="F1774">
        <f>Dashboard_Live_Data!AU58</f>
        <v>3730.4741694394993</v>
      </c>
      <c r="G1774">
        <f>Dashboard_Live_Data!AV58</f>
        <v>-426.40000000000003</v>
      </c>
      <c r="H1774">
        <f>Dashboard_Live_Data!AW58</f>
        <v>3699.30191597568</v>
      </c>
    </row>
    <row r="1775" spans="1:8">
      <c r="A1775">
        <f>Dashboard_Live_Data!AP59</f>
        <v>-31.5</v>
      </c>
      <c r="B1775">
        <f>Dashboard_Live_Data!AQ59</f>
        <v>2690.3688239418552</v>
      </c>
      <c r="C1775">
        <f>Dashboard_Live_Data!AR59</f>
        <v>-210</v>
      </c>
      <c r="D1775">
        <f>Dashboard_Live_Data!AS59</f>
        <v>1725.3056164649161</v>
      </c>
      <c r="E1775">
        <f>Dashboard_Live_Data!AT59</f>
        <v>-420</v>
      </c>
      <c r="F1775">
        <f>Dashboard_Live_Data!AU59</f>
        <v>3656.6573503957438</v>
      </c>
      <c r="G1775">
        <f>Dashboard_Live_Data!AV59</f>
        <v>-420</v>
      </c>
      <c r="H1775">
        <f>Dashboard_Live_Data!AW59</f>
        <v>3625.3443038047226</v>
      </c>
    </row>
    <row r="1776" spans="1:8">
      <c r="A1776">
        <f>Dashboard_Live_Data!AP60</f>
        <v>-31.02</v>
      </c>
      <c r="B1776">
        <f>Dashboard_Live_Data!AQ60</f>
        <v>2689.8799811873109</v>
      </c>
      <c r="C1776">
        <f>Dashboard_Live_Data!AR60</f>
        <v>-206.8</v>
      </c>
      <c r="D1776">
        <f>Dashboard_Live_Data!AS60</f>
        <v>1694.9715481778403</v>
      </c>
      <c r="E1776">
        <f>Dashboard_Live_Data!AT60</f>
        <v>-413.6</v>
      </c>
      <c r="F1776">
        <f>Dashboard_Live_Data!AU60</f>
        <v>3583.0250741165628</v>
      </c>
      <c r="G1776">
        <f>Dashboard_Live_Data!AV60</f>
        <v>-413.6</v>
      </c>
      <c r="H1776">
        <f>Dashboard_Live_Data!AW60</f>
        <v>3551.5973602312506</v>
      </c>
    </row>
    <row r="1777" spans="1:8">
      <c r="A1777">
        <f>Dashboard_Live_Data!AP61</f>
        <v>-30.48</v>
      </c>
      <c r="B1777">
        <f>Dashboard_Live_Data!AQ61</f>
        <v>2689.3682686667476</v>
      </c>
      <c r="C1777">
        <f>Dashboard_Live_Data!AR61</f>
        <v>-203.2</v>
      </c>
      <c r="D1777">
        <f>Dashboard_Live_Data!AS61</f>
        <v>1660.9821859294339</v>
      </c>
      <c r="E1777">
        <f>Dashboard_Live_Data!AT61</f>
        <v>-406.4</v>
      </c>
      <c r="F1777">
        <f>Dashboard_Live_Data!AU61</f>
        <v>3501.2289891404321</v>
      </c>
      <c r="G1777">
        <f>Dashboard_Live_Data!AV61</f>
        <v>-406.4</v>
      </c>
      <c r="H1777">
        <f>Dashboard_Live_Data!AW61</f>
        <v>3469.686028659542</v>
      </c>
    </row>
    <row r="1778" spans="1:8">
      <c r="A1778">
        <f>Dashboard_Live_Data!AP62</f>
        <v>-30</v>
      </c>
      <c r="B1778">
        <f>Dashboard_Live_Data!AQ62</f>
        <v>2688.8491812316879</v>
      </c>
      <c r="C1778">
        <f>Dashboard_Live_Data!AR62</f>
        <v>-200</v>
      </c>
      <c r="D1778">
        <f>Dashboard_Live_Data!AS62</f>
        <v>1630.7962996352992</v>
      </c>
      <c r="E1778">
        <f>Dashboard_Live_Data!AT62</f>
        <v>-400</v>
      </c>
      <c r="F1778">
        <f>Dashboard_Live_Data!AU62</f>
        <v>3429.6338635999455</v>
      </c>
      <c r="G1778">
        <f>Dashboard_Live_Data!AV62</f>
        <v>-400</v>
      </c>
      <c r="H1778">
        <f>Dashboard_Live_Data!AW62</f>
        <v>3397.9954704146958</v>
      </c>
    </row>
    <row r="1779" spans="1:8">
      <c r="A1779">
        <f>Dashboard_Live_Data!AP63</f>
        <v>-29.52</v>
      </c>
      <c r="B1779">
        <f>Dashboard_Live_Data!AQ63</f>
        <v>2688.4185300402251</v>
      </c>
      <c r="C1779">
        <f>Dashboard_Live_Data!AR63</f>
        <v>-196.8</v>
      </c>
      <c r="D1779">
        <f>Dashboard_Live_Data!AS63</f>
        <v>1600.8913289068564</v>
      </c>
      <c r="E1779">
        <f>Dashboard_Live_Data!AT63</f>
        <v>-393.6</v>
      </c>
      <c r="F1779">
        <f>Dashboard_Live_Data!AU63</f>
        <v>3358.2164161547216</v>
      </c>
      <c r="G1779">
        <f>Dashboard_Live_Data!AV63</f>
        <v>-393.6</v>
      </c>
      <c r="H1779">
        <f>Dashboard_Live_Data!AW63</f>
        <v>3326.5102905939862</v>
      </c>
    </row>
    <row r="1780" spans="1:8">
      <c r="A1780">
        <f>Dashboard_Live_Data!AP64</f>
        <v>-28.98</v>
      </c>
      <c r="B1780">
        <f>Dashboard_Live_Data!AQ64</f>
        <v>2687.9354849524943</v>
      </c>
      <c r="C1780">
        <f>Dashboard_Live_Data!AR64</f>
        <v>-193.2</v>
      </c>
      <c r="D1780">
        <f>Dashboard_Live_Data!AS64</f>
        <v>1567.6371166506372</v>
      </c>
      <c r="E1780">
        <f>Dashboard_Live_Data!AT64</f>
        <v>-386.4</v>
      </c>
      <c r="F1780">
        <f>Dashboard_Live_Data!AU64</f>
        <v>3279.3795744452109</v>
      </c>
      <c r="G1780">
        <f>Dashboard_Live_Data!AV64</f>
        <v>-386.4</v>
      </c>
      <c r="H1780">
        <f>Dashboard_Live_Data!AW64</f>
        <v>3247.5974715741572</v>
      </c>
    </row>
    <row r="1781" spans="1:8">
      <c r="A1781">
        <f>Dashboard_Live_Data!AP65</f>
        <v>-28.5</v>
      </c>
      <c r="B1781">
        <f>Dashboard_Live_Data!AQ65</f>
        <v>2687.4656545086355</v>
      </c>
      <c r="C1781">
        <f>Dashboard_Live_Data!AR65</f>
        <v>-190</v>
      </c>
      <c r="D1781">
        <f>Dashboard_Live_Data!AS65</f>
        <v>1538.2795008459386</v>
      </c>
      <c r="E1781">
        <f>Dashboard_Live_Data!AT65</f>
        <v>-380</v>
      </c>
      <c r="F1781">
        <f>Dashboard_Live_Data!AU65</f>
        <v>3209.8191909006891</v>
      </c>
      <c r="G1781">
        <f>Dashboard_Live_Data!AV65</f>
        <v>-380</v>
      </c>
      <c r="H1781">
        <f>Dashboard_Live_Data!AW65</f>
        <v>3177.9906184151841</v>
      </c>
    </row>
    <row r="1782" spans="1:8">
      <c r="A1782">
        <f>Dashboard_Live_Data!AP66</f>
        <v>-28.020000000000003</v>
      </c>
      <c r="B1782">
        <f>Dashboard_Live_Data!AQ66</f>
        <v>2686.9865062165222</v>
      </c>
      <c r="C1782">
        <f>Dashboard_Live_Data!AR66</f>
        <v>-186.80000000000004</v>
      </c>
      <c r="D1782">
        <f>Dashboard_Live_Data!AS66</f>
        <v>1509.2748460225423</v>
      </c>
      <c r="E1782">
        <f>Dashboard_Live_Data!AT66</f>
        <v>-373.60000000000008</v>
      </c>
      <c r="F1782">
        <f>Dashboard_Live_Data!AU66</f>
        <v>3140.8681177150429</v>
      </c>
      <c r="G1782">
        <f>Dashboard_Live_Data!AV66</f>
        <v>-373.60000000000008</v>
      </c>
      <c r="H1782">
        <f>Dashboard_Live_Data!AW66</f>
        <v>3109.0098879375118</v>
      </c>
    </row>
    <row r="1783" spans="1:8">
      <c r="A1783">
        <f>Dashboard_Live_Data!AP67</f>
        <v>-27.479999999999997</v>
      </c>
      <c r="B1783">
        <f>Dashboard_Live_Data!AQ67</f>
        <v>2686.5763667331762</v>
      </c>
      <c r="C1783">
        <f>Dashboard_Live_Data!AR67</f>
        <v>-183.2</v>
      </c>
      <c r="D1783">
        <f>Dashboard_Live_Data!AS67</f>
        <v>1477.0077782495264</v>
      </c>
      <c r="E1783">
        <f>Dashboard_Live_Data!AT67</f>
        <v>-366.4</v>
      </c>
      <c r="F1783">
        <f>Dashboard_Live_Data!AU67</f>
        <v>3064.4631201672241</v>
      </c>
      <c r="G1783">
        <f>Dashboard_Live_Data!AV67</f>
        <v>-366.4</v>
      </c>
      <c r="H1783">
        <f>Dashboard_Live_Data!AW67</f>
        <v>3032.5783074211417</v>
      </c>
    </row>
    <row r="1784" spans="1:8">
      <c r="A1784">
        <f>Dashboard_Live_Data!AP68</f>
        <v>-27</v>
      </c>
      <c r="B1784">
        <f>Dashboard_Live_Data!AQ68</f>
        <v>2686.1230281089606</v>
      </c>
      <c r="C1784">
        <f>Dashboard_Live_Data!AR68</f>
        <v>-179.99999999999997</v>
      </c>
      <c r="D1784">
        <f>Dashboard_Live_Data!AS68</f>
        <v>1448.2038804819972</v>
      </c>
      <c r="E1784">
        <f>Dashboard_Live_Data!AT68</f>
        <v>-359.99999999999994</v>
      </c>
      <c r="F1784">
        <f>Dashboard_Live_Data!AU68</f>
        <v>2997.1693225152612</v>
      </c>
      <c r="G1784">
        <f>Dashboard_Live_Data!AV68</f>
        <v>-359.99999999999994</v>
      </c>
      <c r="H1784">
        <f>Dashboard_Live_Data!AW68</f>
        <v>2965.2787082449991</v>
      </c>
    </row>
    <row r="1785" spans="1:8">
      <c r="A1785">
        <f>Dashboard_Live_Data!AP69</f>
        <v>-26.519999999999996</v>
      </c>
      <c r="B1785">
        <f>Dashboard_Live_Data!AQ69</f>
        <v>2685.7641048695896</v>
      </c>
      <c r="C1785">
        <f>Dashboard_Live_Data!AR69</f>
        <v>-176.79999999999998</v>
      </c>
      <c r="D1785">
        <f>Dashboard_Live_Data!AS69</f>
        <v>1419.5639331716729</v>
      </c>
      <c r="E1785">
        <f>Dashboard_Live_Data!AT69</f>
        <v>-353.59999999999997</v>
      </c>
      <c r="F1785">
        <f>Dashboard_Live_Data!AU69</f>
        <v>2930.2908632621511</v>
      </c>
      <c r="G1785">
        <f>Dashboard_Live_Data!AV69</f>
        <v>-353.59999999999997</v>
      </c>
      <c r="H1785">
        <f>Dashboard_Live_Data!AW69</f>
        <v>2898.4170708379361</v>
      </c>
    </row>
    <row r="1786" spans="1:8">
      <c r="A1786">
        <f>Dashboard_Live_Data!AP70</f>
        <v>-25.980000000000004</v>
      </c>
      <c r="B1786">
        <f>Dashboard_Live_Data!AQ70</f>
        <v>2685.2667592520247</v>
      </c>
      <c r="C1786">
        <f>Dashboard_Live_Data!AR70</f>
        <v>-173.20000000000002</v>
      </c>
      <c r="D1786">
        <f>Dashboard_Live_Data!AS70</f>
        <v>1387.9562667314381</v>
      </c>
      <c r="E1786">
        <f>Dashboard_Live_Data!AT70</f>
        <v>-346.40000000000003</v>
      </c>
      <c r="F1786">
        <f>Dashboard_Live_Data!AU70</f>
        <v>2856.4586636516369</v>
      </c>
      <c r="G1786">
        <f>Dashboard_Live_Data!AV70</f>
        <v>-346.40000000000003</v>
      </c>
      <c r="H1786">
        <f>Dashboard_Live_Data!AW70</f>
        <v>2824.5997932549617</v>
      </c>
    </row>
    <row r="1787" spans="1:8">
      <c r="A1787">
        <f>Dashboard_Live_Data!AP71</f>
        <v>-25.5</v>
      </c>
      <c r="B1787">
        <f>Dashboard_Live_Data!AQ71</f>
        <v>2684.8382682822116</v>
      </c>
      <c r="C1787">
        <f>Dashboard_Live_Data!AR71</f>
        <v>-170.00000000000003</v>
      </c>
      <c r="D1787">
        <f>Dashboard_Live_Data!AS71</f>
        <v>1360.1592081481224</v>
      </c>
      <c r="E1787">
        <f>Dashboard_Live_Data!AT71</f>
        <v>-340.00000000000006</v>
      </c>
      <c r="F1787">
        <f>Dashboard_Live_Data!AU71</f>
        <v>2791.0833339882856</v>
      </c>
      <c r="G1787">
        <f>Dashboard_Live_Data!AV71</f>
        <v>-340.00000000000006</v>
      </c>
      <c r="H1787">
        <f>Dashboard_Live_Data!AW71</f>
        <v>2759.2679936296245</v>
      </c>
    </row>
    <row r="1788" spans="1:8">
      <c r="A1788">
        <f>Dashboard_Live_Data!AP72</f>
        <v>-25.020000000000003</v>
      </c>
      <c r="B1788">
        <f>Dashboard_Live_Data!AQ72</f>
        <v>2684.3442588116868</v>
      </c>
      <c r="C1788">
        <f>Dashboard_Live_Data!AR72</f>
        <v>-166.8</v>
      </c>
      <c r="D1788">
        <f>Dashboard_Live_Data!AS72</f>
        <v>1332.4930771425575</v>
      </c>
      <c r="E1788">
        <f>Dashboard_Live_Data!AT72</f>
        <v>-333.6</v>
      </c>
      <c r="F1788">
        <f>Dashboard_Live_Data!AU72</f>
        <v>2726.5981963853515</v>
      </c>
      <c r="G1788">
        <f>Dashboard_Live_Data!AV72</f>
        <v>-333.6</v>
      </c>
      <c r="H1788">
        <f>Dashboard_Live_Data!AW72</f>
        <v>2694.8315049743364</v>
      </c>
    </row>
    <row r="1789" spans="1:8">
      <c r="A1789">
        <f>Dashboard_Live_Data!AP73</f>
        <v>-24.479999999999997</v>
      </c>
      <c r="B1789">
        <f>Dashboard_Live_Data!AQ73</f>
        <v>2684.0091118985915</v>
      </c>
      <c r="C1789">
        <f>Dashboard_Live_Data!AR73</f>
        <v>-163.19999999999996</v>
      </c>
      <c r="D1789">
        <f>Dashboard_Live_Data!AS73</f>
        <v>1301.4430776136699</v>
      </c>
      <c r="E1789">
        <f>Dashboard_Live_Data!AT73</f>
        <v>-326.39999999999992</v>
      </c>
      <c r="F1789">
        <f>Dashboard_Live_Data!AU73</f>
        <v>2655.1337085230689</v>
      </c>
      <c r="G1789">
        <f>Dashboard_Live_Data!AV73</f>
        <v>-326.39999999999992</v>
      </c>
      <c r="H1789">
        <f>Dashboard_Live_Data!AW73</f>
        <v>2623.425230126642</v>
      </c>
    </row>
    <row r="1790" spans="1:8">
      <c r="A1790">
        <f>Dashboard_Live_Data!AP74</f>
        <v>-24</v>
      </c>
      <c r="B1790">
        <f>Dashboard_Live_Data!AQ74</f>
        <v>2683.537186227637</v>
      </c>
      <c r="C1790">
        <f>Dashboard_Live_Data!AR74</f>
        <v>-160</v>
      </c>
      <c r="D1790">
        <f>Dashboard_Live_Data!AS74</f>
        <v>1274.0147754263153</v>
      </c>
      <c r="E1790">
        <f>Dashboard_Live_Data!AT74</f>
        <v>-320</v>
      </c>
      <c r="F1790">
        <f>Dashboard_Live_Data!AU74</f>
        <v>2591.7076432416902</v>
      </c>
      <c r="G1790">
        <f>Dashboard_Live_Data!AV74</f>
        <v>-320</v>
      </c>
      <c r="H1790">
        <f>Dashboard_Live_Data!AW74</f>
        <v>2560.0884884495222</v>
      </c>
    </row>
    <row r="1791" spans="1:8">
      <c r="A1791">
        <f>Dashboard_Live_Data!AP75</f>
        <v>-23.520000000000003</v>
      </c>
      <c r="B1791">
        <f>Dashboard_Live_Data!AQ75</f>
        <v>2682.9593998812611</v>
      </c>
      <c r="C1791">
        <f>Dashboard_Live_Data!AR75</f>
        <v>-156.80000000000001</v>
      </c>
      <c r="D1791">
        <f>Dashboard_Live_Data!AS75</f>
        <v>1246.7289435174778</v>
      </c>
      <c r="E1791">
        <f>Dashboard_Live_Data!AT75</f>
        <v>-313.60000000000002</v>
      </c>
      <c r="F1791">
        <f>Dashboard_Live_Data!AU75</f>
        <v>2529.6567125397137</v>
      </c>
      <c r="G1791">
        <f>Dashboard_Live_Data!AV75</f>
        <v>-313.60000000000002</v>
      </c>
      <c r="H1791">
        <f>Dashboard_Live_Data!AW75</f>
        <v>2498.1082649566547</v>
      </c>
    </row>
    <row r="1792" spans="1:8">
      <c r="A1792">
        <f>Dashboard_Live_Data!AP76</f>
        <v>-22.980000000000004</v>
      </c>
      <c r="B1792">
        <f>Dashboard_Live_Data!AQ76</f>
        <v>2682.5936759748174</v>
      </c>
      <c r="C1792">
        <f>Dashboard_Live_Data!AR76</f>
        <v>-153.19999999999999</v>
      </c>
      <c r="D1792">
        <f>Dashboard_Live_Data!AS76</f>
        <v>1216.5900679551614</v>
      </c>
      <c r="E1792">
        <f>Dashboard_Live_Data!AT76</f>
        <v>-306.39999999999998</v>
      </c>
      <c r="F1792">
        <f>Dashboard_Live_Data!AU76</f>
        <v>2460.1080312741733</v>
      </c>
      <c r="G1792">
        <f>Dashboard_Live_Data!AV76</f>
        <v>-306.39999999999998</v>
      </c>
      <c r="H1792">
        <f>Dashboard_Live_Data!AW76</f>
        <v>2428.6751332041599</v>
      </c>
    </row>
    <row r="1793" spans="1:8">
      <c r="A1793">
        <f>Dashboard_Live_Data!AP77</f>
        <v>-22.5</v>
      </c>
      <c r="B1793">
        <f>Dashboard_Live_Data!AQ77</f>
        <v>2682.1747296808348</v>
      </c>
      <c r="C1793">
        <f>Dashboard_Live_Data!AR77</f>
        <v>-150</v>
      </c>
      <c r="D1793">
        <f>Dashboard_Live_Data!AS77</f>
        <v>1190.1745889310876</v>
      </c>
      <c r="E1793">
        <f>Dashboard_Live_Data!AT77</f>
        <v>-300</v>
      </c>
      <c r="F1793">
        <f>Dashboard_Live_Data!AU77</f>
        <v>2399.0378578441891</v>
      </c>
      <c r="G1793">
        <f>Dashboard_Live_Data!AV77</f>
        <v>-300</v>
      </c>
      <c r="H1793">
        <f>Dashboard_Live_Data!AW77</f>
        <v>2367.7165122313922</v>
      </c>
    </row>
    <row r="1794" spans="1:8">
      <c r="A1794">
        <f>Dashboard_Live_Data!AP78</f>
        <v>-22.019999999999996</v>
      </c>
      <c r="B1794">
        <f>Dashboard_Live_Data!AQ78</f>
        <v>2681.633377970777</v>
      </c>
      <c r="C1794">
        <f>Dashboard_Live_Data!AR78</f>
        <v>-146.80000000000001</v>
      </c>
      <c r="D1794">
        <f>Dashboard_Live_Data!AS78</f>
        <v>1163.6467818706994</v>
      </c>
      <c r="E1794">
        <f>Dashboard_Live_Data!AT78</f>
        <v>-293.60000000000002</v>
      </c>
      <c r="F1794">
        <f>Dashboard_Live_Data!AU78</f>
        <v>2338.8485456735179</v>
      </c>
      <c r="G1794">
        <f>Dashboard_Live_Data!AV78</f>
        <v>-293.60000000000002</v>
      </c>
      <c r="H1794">
        <f>Dashboard_Live_Data!AW78</f>
        <v>2307.6370328025259</v>
      </c>
    </row>
    <row r="1795" spans="1:8">
      <c r="A1795">
        <f>Dashboard_Live_Data!AP79</f>
        <v>-21.479999999999997</v>
      </c>
      <c r="B1795">
        <f>Dashboard_Live_Data!AQ79</f>
        <v>2681.0742778958761</v>
      </c>
      <c r="C1795">
        <f>Dashboard_Live_Data!AR79</f>
        <v>-143.19999999999999</v>
      </c>
      <c r="D1795">
        <f>Dashboard_Live_Data!AS79</f>
        <v>1133.8107705131229</v>
      </c>
      <c r="E1795">
        <f>Dashboard_Live_Data!AT79</f>
        <v>-286.39999999999998</v>
      </c>
      <c r="F1795">
        <f>Dashboard_Live_Data!AU79</f>
        <v>2271.4757396841865</v>
      </c>
      <c r="G1795">
        <f>Dashboard_Live_Data!AV79</f>
        <v>-286.39999999999998</v>
      </c>
      <c r="H1795">
        <f>Dashboard_Live_Data!AW79</f>
        <v>2240.4205489602696</v>
      </c>
    </row>
    <row r="1796" spans="1:8">
      <c r="A1796">
        <f>Dashboard_Live_Data!AP80</f>
        <v>-21</v>
      </c>
      <c r="B1796">
        <f>Dashboard_Live_Data!AQ80</f>
        <v>2680.8050317196712</v>
      </c>
      <c r="C1796">
        <f>Dashboard_Live_Data!AR80</f>
        <v>-140</v>
      </c>
      <c r="D1796">
        <f>Dashboard_Live_Data!AS80</f>
        <v>1107.6634767328169</v>
      </c>
      <c r="E1796">
        <f>Dashboard_Live_Data!AT80</f>
        <v>-280</v>
      </c>
      <c r="F1796">
        <f>Dashboard_Live_Data!AU80</f>
        <v>2212.418081073065</v>
      </c>
      <c r="G1796">
        <f>Dashboard_Live_Data!AV80</f>
        <v>-280</v>
      </c>
      <c r="H1796">
        <f>Dashboard_Live_Data!AW80</f>
        <v>2181.5032877091103</v>
      </c>
    </row>
    <row r="1797" spans="1:8">
      <c r="A1797">
        <f>Dashboard_Live_Data!AP81</f>
        <v>-20.520000000000003</v>
      </c>
      <c r="B1797">
        <f>Dashboard_Live_Data!AQ81</f>
        <v>2680.3072133612891</v>
      </c>
      <c r="C1797">
        <f>Dashboard_Live_Data!AR81</f>
        <v>-136.80000000000001</v>
      </c>
      <c r="D1797">
        <f>Dashboard_Live_Data!AS81</f>
        <v>1081.9289025291496</v>
      </c>
      <c r="E1797">
        <f>Dashboard_Live_Data!AT81</f>
        <v>-273.60000000000002</v>
      </c>
      <c r="F1797">
        <f>Dashboard_Live_Data!AU81</f>
        <v>2154.0690645390168</v>
      </c>
      <c r="G1797">
        <f>Dashboard_Live_Data!AV81</f>
        <v>-273.60000000000002</v>
      </c>
      <c r="H1797">
        <f>Dashboard_Live_Data!AW81</f>
        <v>2123.2979627605791</v>
      </c>
    </row>
    <row r="1798" spans="1:8">
      <c r="A1798">
        <f>Dashboard_Live_Data!AP82</f>
        <v>-19.979999999999997</v>
      </c>
      <c r="B1798">
        <f>Dashboard_Live_Data!AQ82</f>
        <v>2679.9104357341862</v>
      </c>
      <c r="C1798">
        <f>Dashboard_Live_Data!AR82</f>
        <v>-133.19999999999999</v>
      </c>
      <c r="D1798">
        <f>Dashboard_Live_Data!AS82</f>
        <v>1053.2379157384207</v>
      </c>
      <c r="E1798">
        <f>Dashboard_Live_Data!AT82</f>
        <v>-266.39999999999998</v>
      </c>
      <c r="F1798">
        <f>Dashboard_Live_Data!AU82</f>
        <v>2088.8534893517472</v>
      </c>
      <c r="G1798">
        <f>Dashboard_Live_Data!AV82</f>
        <v>-266.39999999999998</v>
      </c>
      <c r="H1798">
        <f>Dashboard_Live_Data!AW82</f>
        <v>2058.2713726578759</v>
      </c>
    </row>
    <row r="1799" spans="1:8">
      <c r="A1799">
        <f>Dashboard_Live_Data!AP83</f>
        <v>-19.5</v>
      </c>
      <c r="B1799">
        <f>Dashboard_Live_Data!AQ83</f>
        <v>2679.4176164876385</v>
      </c>
      <c r="C1799">
        <f>Dashboard_Live_Data!AR83</f>
        <v>-130</v>
      </c>
      <c r="D1799">
        <f>Dashboard_Live_Data!AS83</f>
        <v>1027.767895171937</v>
      </c>
      <c r="E1799">
        <f>Dashboard_Live_Data!AT83</f>
        <v>-260</v>
      </c>
      <c r="F1799">
        <f>Dashboard_Live_Data!AU83</f>
        <v>2031.6981626888248</v>
      </c>
      <c r="G1799">
        <f>Dashboard_Live_Data!AV83</f>
        <v>-260</v>
      </c>
      <c r="H1799">
        <f>Dashboard_Live_Data!AW83</f>
        <v>2001.2814752782569</v>
      </c>
    </row>
    <row r="1800" spans="1:8">
      <c r="A1800">
        <f>Dashboard_Live_Data!AP84</f>
        <v>-19.019999999999996</v>
      </c>
      <c r="B1800">
        <f>Dashboard_Live_Data!AQ84</f>
        <v>2679.1011383607356</v>
      </c>
      <c r="C1800">
        <f>Dashboard_Live_Data!AR84</f>
        <v>-126.79999999999995</v>
      </c>
      <c r="D1800">
        <f>Dashboard_Live_Data!AS84</f>
        <v>1002.3635175983735</v>
      </c>
      <c r="E1800">
        <f>Dashboard_Live_Data!AT84</f>
        <v>-253.59999999999991</v>
      </c>
      <c r="F1800">
        <f>Dashboard_Live_Data!AU84</f>
        <v>1975.2592929672044</v>
      </c>
      <c r="G1800">
        <f>Dashboard_Live_Data!AV84</f>
        <v>-253.59999999999991</v>
      </c>
      <c r="H1800">
        <f>Dashboard_Live_Data!AW84</f>
        <v>1945.0061543286497</v>
      </c>
    </row>
    <row r="1801" spans="1:8">
      <c r="A1801">
        <f>Dashboard_Live_Data!AP85</f>
        <v>-18.480000000000004</v>
      </c>
      <c r="B1801">
        <f>Dashboard_Live_Data!AQ85</f>
        <v>2678.620330554761</v>
      </c>
      <c r="C1801">
        <f>Dashboard_Live_Data!AR85</f>
        <v>-123.20000000000005</v>
      </c>
      <c r="D1801">
        <f>Dashboard_Live_Data!AS85</f>
        <v>974.1534456502709</v>
      </c>
      <c r="E1801">
        <f>Dashboard_Live_Data!AT85</f>
        <v>-246.40000000000009</v>
      </c>
      <c r="F1801">
        <f>Dashboard_Live_Data!AU85</f>
        <v>1911.982365755576</v>
      </c>
      <c r="G1801">
        <f>Dashboard_Live_Data!AV85</f>
        <v>-246.40000000000009</v>
      </c>
      <c r="H1801">
        <f>Dashboard_Live_Data!AW85</f>
        <v>1881.9527809601716</v>
      </c>
    </row>
    <row r="1802" spans="1:8">
      <c r="A1802">
        <f>Dashboard_Live_Data!AP86</f>
        <v>-18</v>
      </c>
      <c r="B1802">
        <f>Dashboard_Live_Data!AQ86</f>
        <v>2678.2274086948387</v>
      </c>
      <c r="C1802">
        <f>Dashboard_Live_Data!AR86</f>
        <v>-120</v>
      </c>
      <c r="D1802">
        <f>Dashboard_Live_Data!AS86</f>
        <v>949.34392635173151</v>
      </c>
      <c r="E1802">
        <f>Dashboard_Live_Data!AT86</f>
        <v>-240</v>
      </c>
      <c r="F1802">
        <f>Dashboard_Live_Data!AU86</f>
        <v>1856.953435568455</v>
      </c>
      <c r="G1802">
        <f>Dashboard_Live_Data!AV86</f>
        <v>-240</v>
      </c>
      <c r="H1802">
        <f>Dashboard_Live_Data!AW86</f>
        <v>1827.0848976277341</v>
      </c>
    </row>
    <row r="1803" spans="1:8">
      <c r="A1803">
        <f>Dashboard_Live_Data!AP87</f>
        <v>-17.520000000000003</v>
      </c>
      <c r="B1803">
        <f>Dashboard_Live_Data!AQ87</f>
        <v>2677.9011023671369</v>
      </c>
      <c r="C1803">
        <f>Dashboard_Live_Data!AR87</f>
        <v>-116.80000000000001</v>
      </c>
      <c r="D1803">
        <f>Dashboard_Live_Data!AS87</f>
        <v>924.78663030799089</v>
      </c>
      <c r="E1803">
        <f>Dashboard_Live_Data!AT87</f>
        <v>-233.60000000000002</v>
      </c>
      <c r="F1803">
        <f>Dashboard_Live_Data!AU87</f>
        <v>1801.9356748527755</v>
      </c>
      <c r="G1803">
        <f>Dashboard_Live_Data!AV87</f>
        <v>-233.60000000000002</v>
      </c>
      <c r="H1803">
        <f>Dashboard_Live_Data!AW87</f>
        <v>1772.2724325966283</v>
      </c>
    </row>
    <row r="1804" spans="1:8">
      <c r="A1804">
        <f>Dashboard_Live_Data!AP88</f>
        <v>-16.979999999999997</v>
      </c>
      <c r="B1804">
        <f>Dashboard_Live_Data!AQ88</f>
        <v>2677.5923280337583</v>
      </c>
      <c r="C1804">
        <f>Dashboard_Live_Data!AR88</f>
        <v>-113.19999999999999</v>
      </c>
      <c r="D1804">
        <f>Dashboard_Live_Data!AS88</f>
        <v>897.50242392505288</v>
      </c>
      <c r="E1804">
        <f>Dashboard_Live_Data!AT88</f>
        <v>-226.39999999999998</v>
      </c>
      <c r="F1804">
        <f>Dashboard_Live_Data!AU88</f>
        <v>1740.8922865861819</v>
      </c>
      <c r="G1804">
        <f>Dashboard_Live_Data!AV88</f>
        <v>-226.39999999999998</v>
      </c>
      <c r="H1804">
        <f>Dashboard_Live_Data!AW88</f>
        <v>1711.4500227839458</v>
      </c>
    </row>
    <row r="1805" spans="1:8">
      <c r="A1805">
        <f>Dashboard_Live_Data!AP89</f>
        <v>-16.5</v>
      </c>
      <c r="B1805">
        <f>Dashboard_Live_Data!AQ89</f>
        <v>2677.3368515879529</v>
      </c>
      <c r="C1805">
        <f>Dashboard_Live_Data!AR89</f>
        <v>-110</v>
      </c>
      <c r="D1805">
        <f>Dashboard_Live_Data!AS89</f>
        <v>873.27080004631364</v>
      </c>
      <c r="E1805">
        <f>Dashboard_Live_Data!AT89</f>
        <v>-220</v>
      </c>
      <c r="F1805">
        <f>Dashboard_Live_Data!AU89</f>
        <v>1687.4158648553757</v>
      </c>
      <c r="G1805">
        <f>Dashboard_Live_Data!AV89</f>
        <v>-220</v>
      </c>
      <c r="H1805">
        <f>Dashboard_Live_Data!AW89</f>
        <v>1658.1549567841441</v>
      </c>
    </row>
    <row r="1806" spans="1:8">
      <c r="A1806">
        <f>Dashboard_Live_Data!AP90</f>
        <v>-16.020000000000003</v>
      </c>
      <c r="B1806">
        <f>Dashboard_Live_Data!AQ90</f>
        <v>2676.8935781249206</v>
      </c>
      <c r="C1806">
        <f>Dashboard_Live_Data!AR90</f>
        <v>-106.80000000000001</v>
      </c>
      <c r="D1806">
        <f>Dashboard_Live_Data!AS90</f>
        <v>849.12984187462246</v>
      </c>
      <c r="E1806">
        <f>Dashboard_Live_Data!AT90</f>
        <v>-213.60000000000002</v>
      </c>
      <c r="F1806">
        <f>Dashboard_Live_Data!AU90</f>
        <v>1633.9682240085044</v>
      </c>
      <c r="G1806">
        <f>Dashboard_Live_Data!AV90</f>
        <v>-213.60000000000002</v>
      </c>
      <c r="H1806">
        <f>Dashboard_Live_Data!AW90</f>
        <v>1604.9328537633521</v>
      </c>
    </row>
    <row r="1807" spans="1:8">
      <c r="A1807">
        <f>Dashboard_Live_Data!AP91</f>
        <v>-15.480000000000004</v>
      </c>
      <c r="B1807">
        <f>Dashboard_Live_Data!AQ91</f>
        <v>2676.6826725277347</v>
      </c>
      <c r="C1807">
        <f>Dashboard_Live_Data!AR91</f>
        <v>-103.19999999999999</v>
      </c>
      <c r="D1807">
        <f>Dashboard_Live_Data!AS91</f>
        <v>822.34501602136879</v>
      </c>
      <c r="E1807">
        <f>Dashboard_Live_Data!AT91</f>
        <v>-206.39999999999998</v>
      </c>
      <c r="F1807">
        <f>Dashboard_Live_Data!AU91</f>
        <v>1574.9472856715226</v>
      </c>
      <c r="G1807">
        <f>Dashboard_Live_Data!AV91</f>
        <v>-206.39999999999998</v>
      </c>
      <c r="H1807">
        <f>Dashboard_Live_Data!AW91</f>
        <v>1546.1235434612527</v>
      </c>
    </row>
    <row r="1808" spans="1:8">
      <c r="A1808">
        <f>Dashboard_Live_Data!AP92</f>
        <v>-15</v>
      </c>
      <c r="B1808">
        <f>Dashboard_Live_Data!AQ92</f>
        <v>2676.2980549112249</v>
      </c>
      <c r="C1808">
        <f>Dashboard_Live_Data!AR92</f>
        <v>-100</v>
      </c>
      <c r="D1808">
        <f>Dashboard_Live_Data!AS92</f>
        <v>798.90009501225063</v>
      </c>
      <c r="E1808">
        <f>Dashboard_Live_Data!AT92</f>
        <v>-200</v>
      </c>
      <c r="F1808">
        <f>Dashboard_Live_Data!AU92</f>
        <v>1522.8401884505734</v>
      </c>
      <c r="G1808">
        <f>Dashboard_Live_Data!AV92</f>
        <v>-200</v>
      </c>
      <c r="H1808">
        <f>Dashboard_Live_Data!AW92</f>
        <v>1494.2203317731464</v>
      </c>
    </row>
    <row r="1809" spans="1:8">
      <c r="A1809">
        <f>Dashboard_Live_Data!AP93</f>
        <v>-14.519999999999996</v>
      </c>
      <c r="B1809">
        <f>Dashboard_Live_Data!AQ93</f>
        <v>2676.0772755395565</v>
      </c>
      <c r="C1809">
        <f>Dashboard_Live_Data!AR93</f>
        <v>-96.800000000000011</v>
      </c>
      <c r="D1809">
        <f>Dashboard_Live_Data!AS93</f>
        <v>775.77566578672599</v>
      </c>
      <c r="E1809">
        <f>Dashboard_Live_Data!AT93</f>
        <v>-193.60000000000002</v>
      </c>
      <c r="F1809">
        <f>Dashboard_Live_Data!AU93</f>
        <v>1471.2359482529555</v>
      </c>
      <c r="G1809">
        <f>Dashboard_Live_Data!AV93</f>
        <v>-193.60000000000002</v>
      </c>
      <c r="H1809">
        <f>Dashboard_Live_Data!AW93</f>
        <v>1442.8176951311209</v>
      </c>
    </row>
    <row r="1810" spans="1:8">
      <c r="A1810">
        <f>Dashboard_Live_Data!AP94</f>
        <v>-13.979999999999997</v>
      </c>
      <c r="B1810">
        <f>Dashboard_Live_Data!AQ94</f>
        <v>2675.7482372623963</v>
      </c>
      <c r="C1810">
        <f>Dashboard_Live_Data!AR94</f>
        <v>-93.199999999999989</v>
      </c>
      <c r="D1810">
        <f>Dashboard_Live_Data!AS94</f>
        <v>749.72198990354002</v>
      </c>
      <c r="E1810">
        <f>Dashboard_Live_Data!AT94</f>
        <v>-186.39999999999998</v>
      </c>
      <c r="F1810">
        <f>Dashboard_Live_Data!AU94</f>
        <v>1413.9478129220597</v>
      </c>
      <c r="G1810">
        <f>Dashboard_Live_Data!AV94</f>
        <v>-186.39999999999998</v>
      </c>
      <c r="H1810">
        <f>Dashboard_Live_Data!AW94</f>
        <v>1385.7328673887378</v>
      </c>
    </row>
    <row r="1811" spans="1:8">
      <c r="A1811">
        <f>Dashboard_Live_Data!AP95</f>
        <v>-13.5</v>
      </c>
      <c r="B1811">
        <f>Dashboard_Live_Data!AQ95</f>
        <v>2675.5210025946371</v>
      </c>
      <c r="C1811">
        <f>Dashboard_Live_Data!AR95</f>
        <v>-90</v>
      </c>
      <c r="D1811">
        <f>Dashboard_Live_Data!AS95</f>
        <v>726.84076843162893</v>
      </c>
      <c r="E1811">
        <f>Dashboard_Live_Data!AT95</f>
        <v>-180</v>
      </c>
      <c r="F1811">
        <f>Dashboard_Live_Data!AU95</f>
        <v>1363.4686402752654</v>
      </c>
      <c r="G1811">
        <f>Dashboard_Live_Data!AV95</f>
        <v>-180</v>
      </c>
      <c r="H1811">
        <f>Dashboard_Live_Data!AW95</f>
        <v>1335.4348399634109</v>
      </c>
    </row>
    <row r="1812" spans="1:8">
      <c r="A1812">
        <f>Dashboard_Live_Data!AP96</f>
        <v>-13.019999999999996</v>
      </c>
      <c r="B1812">
        <f>Dashboard_Live_Data!AQ96</f>
        <v>2675.2435096732338</v>
      </c>
      <c r="C1812">
        <f>Dashboard_Live_Data!AR96</f>
        <v>-86.800000000000011</v>
      </c>
      <c r="D1812">
        <f>Dashboard_Live_Data!AS96</f>
        <v>704.11343477229673</v>
      </c>
      <c r="E1812">
        <f>Dashboard_Live_Data!AT96</f>
        <v>-173.60000000000002</v>
      </c>
      <c r="F1812">
        <f>Dashboard_Live_Data!AU96</f>
        <v>1313.3523256405263</v>
      </c>
      <c r="G1812">
        <f>Dashboard_Live_Data!AV96</f>
        <v>-173.60000000000002</v>
      </c>
      <c r="H1812">
        <f>Dashboard_Live_Data!AW96</f>
        <v>1285.5045115158039</v>
      </c>
    </row>
    <row r="1813" spans="1:8">
      <c r="A1813">
        <f>Dashboard_Live_Data!AP97</f>
        <v>-12.479999999999997</v>
      </c>
      <c r="B1813">
        <f>Dashboard_Live_Data!AQ97</f>
        <v>2674.8308245474545</v>
      </c>
      <c r="C1813">
        <f>Dashboard_Live_Data!AR97</f>
        <v>-83.199999999999989</v>
      </c>
      <c r="D1813">
        <f>Dashboard_Live_Data!AS97</f>
        <v>678.77072367215521</v>
      </c>
      <c r="E1813">
        <f>Dashboard_Live_Data!AT97</f>
        <v>-166.39999999999998</v>
      </c>
      <c r="F1813">
        <f>Dashboard_Live_Data!AU97</f>
        <v>1257.9527051449093</v>
      </c>
      <c r="G1813">
        <f>Dashboard_Live_Data!AV97</f>
        <v>-166.39999999999998</v>
      </c>
      <c r="H1813">
        <f>Dashboard_Live_Data!AW97</f>
        <v>1230.2512960142781</v>
      </c>
    </row>
    <row r="1814" spans="1:8">
      <c r="A1814">
        <f>Dashboard_Live_Data!AP98</f>
        <v>-12</v>
      </c>
      <c r="B1814">
        <f>Dashboard_Live_Data!AQ98</f>
        <v>2674.7105794245053</v>
      </c>
      <c r="C1814">
        <f>Dashboard_Live_Data!AR98</f>
        <v>-80</v>
      </c>
      <c r="D1814">
        <f>Dashboard_Live_Data!AS98</f>
        <v>656.77019713308391</v>
      </c>
      <c r="E1814">
        <f>Dashboard_Live_Data!AT98</f>
        <v>-160</v>
      </c>
      <c r="F1814">
        <f>Dashboard_Live_Data!AU98</f>
        <v>1208.8837969605011</v>
      </c>
      <c r="G1814">
        <f>Dashboard_Live_Data!AV98</f>
        <v>-160</v>
      </c>
      <c r="H1814">
        <f>Dashboard_Live_Data!AW98</f>
        <v>1181.3360267787766</v>
      </c>
    </row>
    <row r="1815" spans="1:8">
      <c r="A1815">
        <f>Dashboard_Live_Data!AP99</f>
        <v>-11.519999999999996</v>
      </c>
      <c r="B1815">
        <f>Dashboard_Live_Data!AQ99</f>
        <v>2674.359012410629</v>
      </c>
      <c r="C1815">
        <f>Dashboard_Live_Data!AR99</f>
        <v>-76.799999999999955</v>
      </c>
      <c r="D1815">
        <f>Dashboard_Live_Data!AS99</f>
        <v>635.15479923340808</v>
      </c>
      <c r="E1815">
        <f>Dashboard_Live_Data!AT99</f>
        <v>-153.59999999999991</v>
      </c>
      <c r="F1815">
        <f>Dashboard_Live_Data!AU99</f>
        <v>1160.3541102258998</v>
      </c>
      <c r="G1815">
        <f>Dashboard_Live_Data!AV99</f>
        <v>-153.59999999999991</v>
      </c>
      <c r="H1815">
        <f>Dashboard_Live_Data!AW99</f>
        <v>1132.9336684812708</v>
      </c>
    </row>
    <row r="1816" spans="1:8">
      <c r="A1816">
        <f>Dashboard_Live_Data!AP100</f>
        <v>-10.980000000000004</v>
      </c>
      <c r="B1816">
        <f>Dashboard_Live_Data!AQ100</f>
        <v>2674.1900165683978</v>
      </c>
      <c r="C1816">
        <f>Dashboard_Live_Data!AR100</f>
        <v>-73.200000000000045</v>
      </c>
      <c r="D1816">
        <f>Dashboard_Live_Data!AS100</f>
        <v>610.85101130020757</v>
      </c>
      <c r="E1816">
        <f>Dashboard_Live_Data!AT100</f>
        <v>-146.40000000000009</v>
      </c>
      <c r="F1816">
        <f>Dashboard_Live_Data!AU100</f>
        <v>1106.5635226541449</v>
      </c>
      <c r="G1816">
        <f>Dashboard_Live_Data!AV100</f>
        <v>-146.40000000000009</v>
      </c>
      <c r="H1816">
        <f>Dashboard_Live_Data!AW100</f>
        <v>1079.2262262421423</v>
      </c>
    </row>
    <row r="1817" spans="1:8">
      <c r="A1817">
        <f>Dashboard_Live_Data!AP101</f>
        <v>-10.5</v>
      </c>
      <c r="B1817">
        <f>Dashboard_Live_Data!AQ101</f>
        <v>2673.894654942711</v>
      </c>
      <c r="C1817">
        <f>Dashboard_Live_Data!AR101</f>
        <v>-70</v>
      </c>
      <c r="D1817">
        <f>Dashboard_Live_Data!AS101</f>
        <v>589.28130689759246</v>
      </c>
      <c r="E1817">
        <f>Dashboard_Live_Data!AT101</f>
        <v>-140</v>
      </c>
      <c r="F1817">
        <f>Dashboard_Live_Data!AU101</f>
        <v>1058.8311599750984</v>
      </c>
      <c r="G1817">
        <f>Dashboard_Live_Data!AV101</f>
        <v>-140</v>
      </c>
      <c r="H1817">
        <f>Dashboard_Live_Data!AW101</f>
        <v>1031.5980886484233</v>
      </c>
    </row>
    <row r="1818" spans="1:8">
      <c r="A1818">
        <f>Dashboard_Live_Data!AP102</f>
        <v>-10.020000000000003</v>
      </c>
      <c r="B1818">
        <f>Dashboard_Live_Data!AQ102</f>
        <v>2673.7596972090009</v>
      </c>
      <c r="C1818">
        <f>Dashboard_Live_Data!AR102</f>
        <v>-66.800000000000011</v>
      </c>
      <c r="D1818">
        <f>Dashboard_Live_Data!AS102</f>
        <v>568.26718007725287</v>
      </c>
      <c r="E1818">
        <f>Dashboard_Live_Data!AT102</f>
        <v>-133.60000000000002</v>
      </c>
      <c r="F1818">
        <f>Dashboard_Live_Data!AU102</f>
        <v>1012.0645953546137</v>
      </c>
      <c r="G1818">
        <f>Dashboard_Live_Data!AV102</f>
        <v>-133.60000000000002</v>
      </c>
      <c r="H1818">
        <f>Dashboard_Live_Data!AW102</f>
        <v>984.83232316756278</v>
      </c>
    </row>
    <row r="1819" spans="1:8">
      <c r="A1819">
        <f>Dashboard_Live_Data!AP103</f>
        <v>-9.480000000000004</v>
      </c>
      <c r="B1819">
        <f>Dashboard_Live_Data!AQ103</f>
        <v>2673.572737760398</v>
      </c>
      <c r="C1819">
        <f>Dashboard_Live_Data!AR103</f>
        <v>-63.199999999999989</v>
      </c>
      <c r="D1819">
        <f>Dashboard_Live_Data!AS103</f>
        <v>545.32357532591755</v>
      </c>
      <c r="E1819">
        <f>Dashboard_Live_Data!AT103</f>
        <v>-126.39999999999998</v>
      </c>
      <c r="F1819">
        <f>Dashboard_Live_Data!AU103</f>
        <v>959.69924903664662</v>
      </c>
      <c r="G1819">
        <f>Dashboard_Live_Data!AV103</f>
        <v>-126.39999999999998</v>
      </c>
      <c r="H1819">
        <f>Dashboard_Live_Data!AW103</f>
        <v>932.47086417565833</v>
      </c>
    </row>
    <row r="1820" spans="1:8">
      <c r="A1820">
        <f>Dashboard_Live_Data!AP104</f>
        <v>-9</v>
      </c>
      <c r="B1820">
        <f>Dashboard_Live_Data!AQ104</f>
        <v>2673.3024730717379</v>
      </c>
      <c r="C1820">
        <f>Dashboard_Live_Data!AR104</f>
        <v>-60</v>
      </c>
      <c r="D1820">
        <f>Dashboard_Live_Data!AS104</f>
        <v>525.24182983237324</v>
      </c>
      <c r="E1820">
        <f>Dashboard_Live_Data!AT104</f>
        <v>-120</v>
      </c>
      <c r="F1820">
        <f>Dashboard_Live_Data!AU104</f>
        <v>913.74304655812273</v>
      </c>
      <c r="G1820">
        <f>Dashboard_Live_Data!AV104</f>
        <v>-120</v>
      </c>
      <c r="H1820">
        <f>Dashboard_Live_Data!AW104</f>
        <v>886.4597372531108</v>
      </c>
    </row>
    <row r="1821" spans="1:8">
      <c r="A1821">
        <f>Dashboard_Live_Data!AP105</f>
        <v>-8.5200000000000031</v>
      </c>
      <c r="B1821">
        <f>Dashboard_Live_Data!AQ105</f>
        <v>2673.2073752697829</v>
      </c>
      <c r="C1821">
        <f>Dashboard_Live_Data!AR105</f>
        <v>-56.800000000000011</v>
      </c>
      <c r="D1821">
        <f>Dashboard_Live_Data!AS105</f>
        <v>505.33032450173971</v>
      </c>
      <c r="E1821">
        <f>Dashboard_Live_Data!AT105</f>
        <v>-113.60000000000002</v>
      </c>
      <c r="F1821">
        <f>Dashboard_Live_Data!AU105</f>
        <v>868.53954910038283</v>
      </c>
      <c r="G1821">
        <f>Dashboard_Live_Data!AV105</f>
        <v>-113.60000000000002</v>
      </c>
      <c r="H1821">
        <f>Dashboard_Live_Data!AW105</f>
        <v>841.10617866958785</v>
      </c>
    </row>
    <row r="1822" spans="1:8">
      <c r="A1822">
        <f>Dashboard_Live_Data!AP106</f>
        <v>-7.980000000000004</v>
      </c>
      <c r="B1822">
        <f>Dashboard_Live_Data!AQ106</f>
        <v>2673.1725556374686</v>
      </c>
      <c r="C1822">
        <f>Dashboard_Live_Data!AR106</f>
        <v>-53.199999999999989</v>
      </c>
      <c r="D1822">
        <f>Dashboard_Live_Data!AS106</f>
        <v>483.24555653411164</v>
      </c>
      <c r="E1822">
        <f>Dashboard_Live_Data!AT106</f>
        <v>-106.39999999999998</v>
      </c>
      <c r="F1822">
        <f>Dashboard_Live_Data!AU106</f>
        <v>817.96886498585218</v>
      </c>
      <c r="G1822">
        <f>Dashboard_Live_Data!AV106</f>
        <v>-106.39999999999998</v>
      </c>
      <c r="H1822">
        <f>Dashboard_Live_Data!AW106</f>
        <v>790.34943900575047</v>
      </c>
    </row>
    <row r="1823" spans="1:8">
      <c r="A1823">
        <f>Dashboard_Live_Data!AP107</f>
        <v>-7.5</v>
      </c>
      <c r="B1823">
        <f>Dashboard_Live_Data!AQ107</f>
        <v>2672.9293325644585</v>
      </c>
      <c r="C1823">
        <f>Dashboard_Live_Data!AR107</f>
        <v>-50</v>
      </c>
      <c r="D1823">
        <f>Dashboard_Live_Data!AS107</f>
        <v>464.18181230773371</v>
      </c>
      <c r="E1823">
        <f>Dashboard_Live_Data!AT107</f>
        <v>-100</v>
      </c>
      <c r="F1823">
        <f>Dashboard_Live_Data!AU107</f>
        <v>773.86253249710478</v>
      </c>
      <c r="G1823">
        <f>Dashboard_Live_Data!AV107</f>
        <v>-100</v>
      </c>
      <c r="H1823">
        <f>Dashboard_Live_Data!AW107</f>
        <v>745.95352702240598</v>
      </c>
    </row>
    <row r="1824" spans="1:8">
      <c r="A1824">
        <f>Dashboard_Live_Data!AP108</f>
        <v>-7.019999999999996</v>
      </c>
      <c r="B1824">
        <f>Dashboard_Live_Data!AQ108</f>
        <v>2672.8882972109009</v>
      </c>
      <c r="C1824">
        <f>Dashboard_Live_Data!AR108</f>
        <v>-46.800000000000011</v>
      </c>
      <c r="D1824">
        <f>Dashboard_Live_Data!AS108</f>
        <v>445.93034998876044</v>
      </c>
      <c r="E1824">
        <f>Dashboard_Live_Data!AT108</f>
        <v>-93.600000000000023</v>
      </c>
      <c r="F1824">
        <f>Dashboard_Live_Data!AU108</f>
        <v>730.45064756576733</v>
      </c>
      <c r="G1824">
        <f>Dashboard_Live_Data!AV108</f>
        <v>-93.600000000000023</v>
      </c>
      <c r="H1824">
        <f>Dashboard_Live_Data!AW108</f>
        <v>702.14412105454505</v>
      </c>
    </row>
    <row r="1825" spans="1:8">
      <c r="A1825">
        <f>Dashboard_Live_Data!AP109</f>
        <v>-6.4799999999999969</v>
      </c>
      <c r="B1825">
        <f>Dashboard_Live_Data!AQ109</f>
        <v>2672.8488768179254</v>
      </c>
      <c r="C1825">
        <f>Dashboard_Live_Data!AR109</f>
        <v>-43.199999999999989</v>
      </c>
      <c r="D1825">
        <f>Dashboard_Live_Data!AS109</f>
        <v>426.13145439102254</v>
      </c>
      <c r="E1825">
        <f>Dashboard_Live_Data!AT109</f>
        <v>-86.399999999999977</v>
      </c>
      <c r="F1825">
        <f>Dashboard_Live_Data!AU109</f>
        <v>682.09606558096584</v>
      </c>
      <c r="G1825">
        <f>Dashboard_Live_Data!AV109</f>
        <v>-86.399999999999977</v>
      </c>
      <c r="H1825">
        <f>Dashboard_Live_Data!AW109</f>
        <v>653.27165402849096</v>
      </c>
    </row>
    <row r="1826" spans="1:8">
      <c r="A1826">
        <f>Dashboard_Live_Data!AP110</f>
        <v>-6</v>
      </c>
      <c r="B1826">
        <f>Dashboard_Live_Data!AQ110</f>
        <v>2672.7173618544525</v>
      </c>
      <c r="C1826">
        <f>Dashboard_Live_Data!AR110</f>
        <v>-40</v>
      </c>
      <c r="D1826">
        <f>Dashboard_Live_Data!AS110</f>
        <v>409.00969233753852</v>
      </c>
      <c r="E1826">
        <f>Dashboard_Live_Data!AT110</f>
        <v>-80</v>
      </c>
      <c r="F1826">
        <f>Dashboard_Live_Data!AU110</f>
        <v>640.0475870733427</v>
      </c>
      <c r="G1826">
        <f>Dashboard_Live_Data!AV110</f>
        <v>-80</v>
      </c>
      <c r="H1826">
        <f>Dashboard_Live_Data!AW110</f>
        <v>610.59938371274075</v>
      </c>
    </row>
    <row r="1827" spans="1:8">
      <c r="A1827">
        <f>Dashboard_Live_Data!AP111</f>
        <v>-5.519999999999996</v>
      </c>
      <c r="B1827">
        <f>Dashboard_Live_Data!AQ111</f>
        <v>2672.7770442223359</v>
      </c>
      <c r="C1827">
        <f>Dashboard_Live_Data!AR111</f>
        <v>-36.800000000000011</v>
      </c>
      <c r="D1827">
        <f>Dashboard_Live_Data!AS111</f>
        <v>392.42990322520836</v>
      </c>
      <c r="E1827">
        <f>Dashboard_Live_Data!AT111</f>
        <v>-73.600000000000023</v>
      </c>
      <c r="F1827">
        <f>Dashboard_Live_Data!AU111</f>
        <v>599.06617619374094</v>
      </c>
      <c r="G1827">
        <f>Dashboard_Live_Data!AV111</f>
        <v>-73.600000000000023</v>
      </c>
      <c r="H1827">
        <f>Dashboard_Live_Data!AW111</f>
        <v>568.79707280670505</v>
      </c>
    </row>
    <row r="1828" spans="1:8">
      <c r="A1828">
        <f>Dashboard_Live_Data!AP112</f>
        <v>-4.9799999999999969</v>
      </c>
      <c r="B1828">
        <f>Dashboard_Live_Data!AQ112</f>
        <v>2672.7206538052651</v>
      </c>
      <c r="C1828">
        <f>Dashboard_Live_Data!AR112</f>
        <v>-33.199999999999989</v>
      </c>
      <c r="D1828">
        <f>Dashboard_Live_Data!AS112</f>
        <v>374.53187538648746</v>
      </c>
      <c r="E1828">
        <f>Dashboard_Live_Data!AT112</f>
        <v>-66.399999999999977</v>
      </c>
      <c r="F1828">
        <f>Dashboard_Live_Data!AU112</f>
        <v>553.49789644653742</v>
      </c>
      <c r="G1828">
        <f>Dashboard_Live_Data!AV112</f>
        <v>-66.399999999999977</v>
      </c>
      <c r="H1828">
        <f>Dashboard_Live_Data!AW112</f>
        <v>522.21773646365784</v>
      </c>
    </row>
    <row r="1829" spans="1:8">
      <c r="A1829">
        <f>Dashboard_Live_Data!AP113</f>
        <v>-4.5</v>
      </c>
      <c r="B1829">
        <f>Dashboard_Live_Data!AQ113</f>
        <v>2672.5986396111089</v>
      </c>
      <c r="C1829">
        <f>Dashboard_Live_Data!AR113</f>
        <v>-30</v>
      </c>
      <c r="D1829">
        <f>Dashboard_Live_Data!AS113</f>
        <v>359.84961427998934</v>
      </c>
      <c r="E1829">
        <f>Dashboard_Live_Data!AT113</f>
        <v>-60</v>
      </c>
      <c r="F1829">
        <f>Dashboard_Live_Data!AU113</f>
        <v>514.98377625998137</v>
      </c>
      <c r="G1829">
        <f>Dashboard_Live_Data!AV113</f>
        <v>-60</v>
      </c>
      <c r="H1829">
        <f>Dashboard_Live_Data!AW113</f>
        <v>482.42440731042831</v>
      </c>
    </row>
    <row r="1830" spans="1:8">
      <c r="A1830">
        <f>Dashboard_Live_Data!AP114</f>
        <v>-4.019999999999996</v>
      </c>
      <c r="B1830">
        <f>Dashboard_Live_Data!AQ114</f>
        <v>2672.6169862341058</v>
      </c>
      <c r="C1830">
        <f>Dashboard_Live_Data!AR114</f>
        <v>-26.799999999999955</v>
      </c>
      <c r="D1830">
        <f>Dashboard_Live_Data!AS114</f>
        <v>346.3884478023773</v>
      </c>
      <c r="E1830">
        <f>Dashboard_Live_Data!AT114</f>
        <v>-53.599999999999909</v>
      </c>
      <c r="F1830">
        <f>Dashboard_Live_Data!AU114</f>
        <v>477.16353031854209</v>
      </c>
      <c r="G1830">
        <f>Dashboard_Live_Data!AV114</f>
        <v>-53.599999999999909</v>
      </c>
      <c r="H1830">
        <f>Dashboard_Live_Data!AW114</f>
        <v>443.22219695033067</v>
      </c>
    </row>
    <row r="1831" spans="1:8">
      <c r="A1831">
        <f>Dashboard_Live_Data!AP115</f>
        <v>-3.480000000000004</v>
      </c>
      <c r="B1831">
        <f>Dashboard_Live_Data!AQ115</f>
        <v>2672.4600191223049</v>
      </c>
      <c r="C1831">
        <f>Dashboard_Live_Data!AR115</f>
        <v>-23.200000000000045</v>
      </c>
      <c r="D1831">
        <f>Dashboard_Live_Data!AS115</f>
        <v>332.31359909858111</v>
      </c>
      <c r="E1831">
        <f>Dashboard_Live_Data!AT115</f>
        <v>-46.400000000000091</v>
      </c>
      <c r="F1831">
        <f>Dashboard_Live_Data!AU115</f>
        <v>437.01578228380879</v>
      </c>
      <c r="G1831">
        <f>Dashboard_Live_Data!AV115</f>
        <v>-46.400000000000091</v>
      </c>
      <c r="H1831">
        <f>Dashboard_Live_Data!AW115</f>
        <v>401.11313686352298</v>
      </c>
    </row>
    <row r="1832" spans="1:8">
      <c r="A1832">
        <f>Dashboard_Live_Data!AP116</f>
        <v>-3</v>
      </c>
      <c r="B1832">
        <f>Dashboard_Live_Data!AQ116</f>
        <v>2672.4187092220673</v>
      </c>
      <c r="C1832">
        <f>Dashboard_Live_Data!AR116</f>
        <v>-20</v>
      </c>
      <c r="D1832">
        <f>Dashboard_Live_Data!AS116</f>
        <v>320.93709247237001</v>
      </c>
      <c r="E1832">
        <f>Dashboard_Live_Data!AT116</f>
        <v>-40</v>
      </c>
      <c r="F1832">
        <f>Dashboard_Live_Data!AU116</f>
        <v>403.78577502854455</v>
      </c>
      <c r="G1832">
        <f>Dashboard_Live_Data!AV116</f>
        <v>-40</v>
      </c>
      <c r="H1832">
        <f>Dashboard_Live_Data!AW116</f>
        <v>365.78076718889946</v>
      </c>
    </row>
    <row r="1833" spans="1:8">
      <c r="A1833">
        <f>Dashboard_Live_Data!AP117</f>
        <v>-2.5200000000000031</v>
      </c>
      <c r="B1833">
        <f>Dashboard_Live_Data!AQ117</f>
        <v>2672.3765444545224</v>
      </c>
      <c r="C1833">
        <f>Dashboard_Live_Data!AR117</f>
        <v>-16.800000000000011</v>
      </c>
      <c r="D1833">
        <f>Dashboard_Live_Data!AS117</f>
        <v>310.87780289071844</v>
      </c>
      <c r="E1833">
        <f>Dashboard_Live_Data!AT117</f>
        <v>-33.600000000000023</v>
      </c>
      <c r="F1833">
        <f>Dashboard_Live_Data!AU117</f>
        <v>372.5309517744891</v>
      </c>
      <c r="G1833">
        <f>Dashboard_Live_Data!AV117</f>
        <v>-33.600000000000023</v>
      </c>
      <c r="H1833">
        <f>Dashboard_Live_Data!AW117</f>
        <v>332.263191455232</v>
      </c>
    </row>
    <row r="1834" spans="1:8">
      <c r="A1834">
        <f>Dashboard_Live_Data!AP118</f>
        <v>-1.980000000000004</v>
      </c>
      <c r="B1834">
        <f>Dashboard_Live_Data!AQ118</f>
        <v>2672.2849887663119</v>
      </c>
      <c r="C1834">
        <f>Dashboard_Live_Data!AR118</f>
        <v>-13.199999999999989</v>
      </c>
      <c r="D1834">
        <f>Dashboard_Live_Data!AS118</f>
        <v>301.35715791919762</v>
      </c>
      <c r="E1834">
        <f>Dashboard_Live_Data!AT118</f>
        <v>-26.399999999999977</v>
      </c>
      <c r="F1834">
        <f>Dashboard_Live_Data!AU118</f>
        <v>342.25446091655817</v>
      </c>
      <c r="G1834">
        <f>Dashboard_Live_Data!AV118</f>
        <v>-26.399999999999977</v>
      </c>
      <c r="H1834">
        <f>Dashboard_Live_Data!AW118</f>
        <v>298.99852445548879</v>
      </c>
    </row>
    <row r="1835" spans="1:8">
      <c r="A1835">
        <f>Dashboard_Live_Data!AP119</f>
        <v>-1.5</v>
      </c>
      <c r="B1835">
        <f>Dashboard_Live_Data!AQ119</f>
        <v>2672.2252634034899</v>
      </c>
      <c r="C1835">
        <f>Dashboard_Live_Data!AR119</f>
        <v>-10</v>
      </c>
      <c r="D1835">
        <f>Dashboard_Live_Data!AS119</f>
        <v>294.56495100603121</v>
      </c>
      <c r="E1835">
        <f>Dashboard_Live_Data!AT119</f>
        <v>-20</v>
      </c>
      <c r="F1835">
        <f>Dashboard_Live_Data!AU119</f>
        <v>319.39972411688655</v>
      </c>
      <c r="G1835">
        <f>Dashboard_Live_Data!AV119</f>
        <v>-20</v>
      </c>
      <c r="H1835">
        <f>Dashboard_Live_Data!AW119</f>
        <v>273.49339989879672</v>
      </c>
    </row>
    <row r="1836" spans="1:8">
      <c r="A1836">
        <f>Dashboard_Live_Data!AP120</f>
        <v>-1.0200000000000031</v>
      </c>
      <c r="B1836">
        <f>Dashboard_Live_Data!AQ120</f>
        <v>2672.0265961152877</v>
      </c>
      <c r="C1836">
        <f>Dashboard_Live_Data!AR120</f>
        <v>-6.8000000000000114</v>
      </c>
      <c r="D1836">
        <f>Dashboard_Live_Data!AS120</f>
        <v>289.82836487521752</v>
      </c>
      <c r="E1836">
        <f>Dashboard_Live_Data!AT120</f>
        <v>-13.600000000000023</v>
      </c>
      <c r="F1836">
        <f>Dashboard_Live_Data!AU120</f>
        <v>301.59997247160845</v>
      </c>
      <c r="G1836">
        <f>Dashboard_Live_Data!AV120</f>
        <v>-13.600000000000023</v>
      </c>
      <c r="H1836">
        <f>Dashboard_Live_Data!AW120</f>
        <v>253.29273098341292</v>
      </c>
    </row>
    <row r="1837" spans="1:8">
      <c r="A1837">
        <f>Dashboard_Live_Data!AP121</f>
        <v>-0.48000000000000398</v>
      </c>
      <c r="B1837">
        <f>Dashboard_Live_Data!AQ121</f>
        <v>2671.9704462755117</v>
      </c>
      <c r="C1837">
        <f>Dashboard_Live_Data!AR121</f>
        <v>-3.1999999999999886</v>
      </c>
      <c r="D1837">
        <f>Dashboard_Live_Data!AS121</f>
        <v>286.67680825861191</v>
      </c>
      <c r="E1837">
        <f>Dashboard_Live_Data!AT121</f>
        <v>-6.3999999999999773</v>
      </c>
      <c r="F1837">
        <f>Dashboard_Live_Data!AU121</f>
        <v>289.24127915271742</v>
      </c>
      <c r="G1837">
        <f>Dashboard_Live_Data!AV121</f>
        <v>-6.3999999999999773</v>
      </c>
      <c r="H1837">
        <f>Dashboard_Live_Data!AW121</f>
        <v>238.96678499620617</v>
      </c>
    </row>
    <row r="1838" spans="1:8">
      <c r="A1838">
        <f>Dashboard_Live_Data!AP122</f>
        <v>0</v>
      </c>
      <c r="B1838">
        <f>Dashboard_Live_Data!AQ122</f>
        <v>2671.8569109380314</v>
      </c>
      <c r="C1838">
        <f>Dashboard_Live_Data!AR122</f>
        <v>0</v>
      </c>
      <c r="D1838">
        <f>Dashboard_Live_Data!AS122</f>
        <v>285.44962589236945</v>
      </c>
      <c r="E1838">
        <f>Dashboard_Live_Data!AT122</f>
        <v>0</v>
      </c>
      <c r="F1838">
        <f>Dashboard_Live_Data!AU122</f>
        <v>285.44962589236945</v>
      </c>
      <c r="G1838">
        <f>Dashboard_Live_Data!AV122</f>
        <v>0</v>
      </c>
      <c r="H1838">
        <f>Dashboard_Live_Data!AW122</f>
        <v>234.57893136334926</v>
      </c>
    </row>
    <row r="1839" spans="1:8">
      <c r="A1839">
        <f>Dashboard_Live_Data!AP123</f>
        <v>0.48000000000000398</v>
      </c>
      <c r="B1839">
        <f>Dashboard_Live_Data!AQ123</f>
        <v>2671.7347624653162</v>
      </c>
      <c r="C1839">
        <f>Dashboard_Live_Data!AR123</f>
        <v>3.1999999999999886</v>
      </c>
      <c r="D1839">
        <f>Dashboard_Live_Data!AS123</f>
        <v>285.94379017860734</v>
      </c>
      <c r="E1839">
        <f>Dashboard_Live_Data!AT123</f>
        <v>6.3999999999999773</v>
      </c>
      <c r="F1839">
        <f>Dashboard_Live_Data!AU123</f>
        <v>288.79557683680258</v>
      </c>
      <c r="G1839">
        <f>Dashboard_Live_Data!AV123</f>
        <v>6.3999999999999773</v>
      </c>
      <c r="H1839">
        <f>Dashboard_Live_Data!AW123</f>
        <v>238.58427038631453</v>
      </c>
    </row>
    <row r="1840" spans="1:8">
      <c r="A1840">
        <f>Dashboard_Live_Data!AP124</f>
        <v>1.019999999999996</v>
      </c>
      <c r="B1840">
        <f>Dashboard_Live_Data!AQ124</f>
        <v>2671.6247904009706</v>
      </c>
      <c r="C1840">
        <f>Dashboard_Live_Data!AR124</f>
        <v>6.7999999999999545</v>
      </c>
      <c r="D1840">
        <f>Dashboard_Live_Data!AS124</f>
        <v>289.50463278641934</v>
      </c>
      <c r="E1840">
        <f>Dashboard_Live_Data!AT124</f>
        <v>13.599999999999909</v>
      </c>
      <c r="F1840">
        <f>Dashboard_Live_Data!AU124</f>
        <v>301.6329876220608</v>
      </c>
      <c r="G1840">
        <f>Dashboard_Live_Data!AV124</f>
        <v>13.599999999999909</v>
      </c>
      <c r="H1840">
        <f>Dashboard_Live_Data!AW124</f>
        <v>253.32068605780916</v>
      </c>
    </row>
    <row r="1841" spans="1:8">
      <c r="A1841">
        <f>Dashboard_Live_Data!AP125</f>
        <v>1.4999999999999929</v>
      </c>
      <c r="B1841">
        <f>Dashboard_Live_Data!AQ125</f>
        <v>2671.6549134965071</v>
      </c>
      <c r="C1841">
        <f>Dashboard_Live_Data!AR125</f>
        <v>9.9999999999999432</v>
      </c>
      <c r="D1841">
        <f>Dashboard_Live_Data!AS125</f>
        <v>294.65525229787505</v>
      </c>
      <c r="E1841">
        <f>Dashboard_Live_Data!AT125</f>
        <v>19.999999999999886</v>
      </c>
      <c r="F1841">
        <f>Dashboard_Live_Data!AU125</f>
        <v>318.90919270787663</v>
      </c>
      <c r="G1841">
        <f>Dashboard_Live_Data!AV125</f>
        <v>19.999999999999886</v>
      </c>
      <c r="H1841">
        <f>Dashboard_Live_Data!AW125</f>
        <v>273.08464898019122</v>
      </c>
    </row>
    <row r="1842" spans="1:8">
      <c r="A1842">
        <f>Dashboard_Live_Data!AP126</f>
        <v>1.9799999999999969</v>
      </c>
      <c r="B1842">
        <f>Dashboard_Live_Data!AQ126</f>
        <v>2671.5544812824301</v>
      </c>
      <c r="C1842">
        <f>Dashboard_Live_Data!AR126</f>
        <v>13.199999999999989</v>
      </c>
      <c r="D1842">
        <f>Dashboard_Live_Data!AS126</f>
        <v>301.38085055997664</v>
      </c>
      <c r="E1842">
        <f>Dashboard_Live_Data!AT126</f>
        <v>26.399999999999977</v>
      </c>
      <c r="F1842">
        <f>Dashboard_Live_Data!AU126</f>
        <v>341.87709206203817</v>
      </c>
      <c r="G1842">
        <f>Dashboard_Live_Data!AV126</f>
        <v>26.399999999999977</v>
      </c>
      <c r="H1842">
        <f>Dashboard_Live_Data!AW126</f>
        <v>298.68879997180886</v>
      </c>
    </row>
    <row r="1843" spans="1:8">
      <c r="A1843">
        <f>Dashboard_Live_Data!AP127</f>
        <v>2.5200000000000031</v>
      </c>
      <c r="B1843">
        <f>Dashboard_Live_Data!AQ127</f>
        <v>2671.5552629166964</v>
      </c>
      <c r="C1843">
        <f>Dashboard_Live_Data!AR127</f>
        <v>16.800000000000011</v>
      </c>
      <c r="D1843">
        <f>Dashboard_Live_Data!AS127</f>
        <v>310.74079426450356</v>
      </c>
      <c r="E1843">
        <f>Dashboard_Live_Data!AT127</f>
        <v>33.600000000000023</v>
      </c>
      <c r="F1843">
        <f>Dashboard_Live_Data!AU127</f>
        <v>372.99975846273446</v>
      </c>
      <c r="G1843">
        <f>Dashboard_Live_Data!AV127</f>
        <v>33.600000000000023</v>
      </c>
      <c r="H1843">
        <f>Dashboard_Live_Data!AW127</f>
        <v>332.64252675411603</v>
      </c>
    </row>
    <row r="1844" spans="1:8">
      <c r="A1844">
        <f>Dashboard_Live_Data!AP128</f>
        <v>3</v>
      </c>
      <c r="B1844">
        <f>Dashboard_Live_Data!AQ128</f>
        <v>2671.6426309227986</v>
      </c>
      <c r="C1844">
        <f>Dashboard_Live_Data!AR128</f>
        <v>20</v>
      </c>
      <c r="D1844">
        <f>Dashboard_Live_Data!AS128</f>
        <v>320.44458185581664</v>
      </c>
      <c r="E1844">
        <f>Dashboard_Live_Data!AT128</f>
        <v>40</v>
      </c>
      <c r="F1844">
        <f>Dashboard_Live_Data!AU128</f>
        <v>403.35525783550514</v>
      </c>
      <c r="G1844">
        <f>Dashboard_Live_Data!AV128</f>
        <v>40</v>
      </c>
      <c r="H1844">
        <f>Dashboard_Live_Data!AW128</f>
        <v>365.43560445237125</v>
      </c>
    </row>
    <row r="1845" spans="1:8">
      <c r="A1845">
        <f>Dashboard_Live_Data!AP129</f>
        <v>3.480000000000004</v>
      </c>
      <c r="B1845">
        <f>Dashboard_Live_Data!AQ129</f>
        <v>2671.5287542409565</v>
      </c>
      <c r="C1845">
        <f>Dashboard_Live_Data!AR129</f>
        <v>23.200000000000045</v>
      </c>
      <c r="D1845">
        <f>Dashboard_Live_Data!AS129</f>
        <v>331.64586416596222</v>
      </c>
      <c r="E1845">
        <f>Dashboard_Live_Data!AT129</f>
        <v>46.400000000000091</v>
      </c>
      <c r="F1845">
        <f>Dashboard_Live_Data!AU129</f>
        <v>437.34229608591249</v>
      </c>
      <c r="G1845">
        <f>Dashboard_Live_Data!AV129</f>
        <v>46.400000000000091</v>
      </c>
      <c r="H1845">
        <f>Dashboard_Live_Data!AW129</f>
        <v>401.37349365440116</v>
      </c>
    </row>
    <row r="1846" spans="1:8">
      <c r="A1846">
        <f>Dashboard_Live_Data!AP130</f>
        <v>4.019999999999996</v>
      </c>
      <c r="B1846">
        <f>Dashboard_Live_Data!AQ130</f>
        <v>2671.7164768981124</v>
      </c>
      <c r="C1846">
        <f>Dashboard_Live_Data!AR130</f>
        <v>26.799999999999955</v>
      </c>
      <c r="D1846">
        <f>Dashboard_Live_Data!AS130</f>
        <v>346.12592546911691</v>
      </c>
      <c r="E1846">
        <f>Dashboard_Live_Data!AT130</f>
        <v>53.599999999999909</v>
      </c>
      <c r="F1846">
        <f>Dashboard_Live_Data!AU130</f>
        <v>477.3110002130046</v>
      </c>
      <c r="G1846">
        <f>Dashboard_Live_Data!AV130</f>
        <v>53.599999999999909</v>
      </c>
      <c r="H1846">
        <f>Dashboard_Live_Data!AW130</f>
        <v>443.33938132861306</v>
      </c>
    </row>
    <row r="1847" spans="1:8">
      <c r="A1847">
        <f>Dashboard_Live_Data!AP131</f>
        <v>4.5</v>
      </c>
      <c r="B1847">
        <f>Dashboard_Live_Data!AQ131</f>
        <v>2671.6321310975477</v>
      </c>
      <c r="C1847">
        <f>Dashboard_Live_Data!AR131</f>
        <v>30</v>
      </c>
      <c r="D1847">
        <f>Dashboard_Live_Data!AS131</f>
        <v>360.20186691744988</v>
      </c>
      <c r="E1847">
        <f>Dashboard_Live_Data!AT131</f>
        <v>60</v>
      </c>
      <c r="F1847">
        <f>Dashboard_Live_Data!AU131</f>
        <v>514.78233737355038</v>
      </c>
      <c r="G1847">
        <f>Dashboard_Live_Data!AV131</f>
        <v>60</v>
      </c>
      <c r="H1847">
        <f>Dashboard_Live_Data!AW131</f>
        <v>482.26431149858644</v>
      </c>
    </row>
    <row r="1848" spans="1:8">
      <c r="A1848">
        <f>Dashboard_Live_Data!AP132</f>
        <v>4.980000000000004</v>
      </c>
      <c r="B1848">
        <f>Dashboard_Live_Data!AQ132</f>
        <v>2671.7859679590338</v>
      </c>
      <c r="C1848">
        <f>Dashboard_Live_Data!AR132</f>
        <v>33.199999999999989</v>
      </c>
      <c r="D1848">
        <f>Dashboard_Live_Data!AS132</f>
        <v>374.97917413201401</v>
      </c>
      <c r="E1848">
        <f>Dashboard_Live_Data!AT132</f>
        <v>66.399999999999977</v>
      </c>
      <c r="F1848">
        <f>Dashboard_Live_Data!AU132</f>
        <v>553.90060553675846</v>
      </c>
      <c r="G1848">
        <f>Dashboard_Live_Data!AV132</f>
        <v>66.399999999999977</v>
      </c>
      <c r="H1848">
        <f>Dashboard_Live_Data!AW132</f>
        <v>522.53825722477666</v>
      </c>
    </row>
    <row r="1849" spans="1:8">
      <c r="A1849">
        <f>Dashboard_Live_Data!AP133</f>
        <v>5.5200000000000102</v>
      </c>
      <c r="B1849">
        <f>Dashboard_Live_Data!AQ133</f>
        <v>2672.0025883219796</v>
      </c>
      <c r="C1849">
        <f>Dashboard_Live_Data!AR133</f>
        <v>36.800000000000011</v>
      </c>
      <c r="D1849">
        <f>Dashboard_Live_Data!AS133</f>
        <v>392.27768292643788</v>
      </c>
      <c r="E1849">
        <f>Dashboard_Live_Data!AT133</f>
        <v>73.600000000000023</v>
      </c>
      <c r="F1849">
        <f>Dashboard_Live_Data!AU133</f>
        <v>598.77676623660375</v>
      </c>
      <c r="G1849">
        <f>Dashboard_Live_Data!AV133</f>
        <v>73.600000000000023</v>
      </c>
      <c r="H1849">
        <f>Dashboard_Live_Data!AW133</f>
        <v>568.56582355287799</v>
      </c>
    </row>
    <row r="1850" spans="1:8">
      <c r="A1850">
        <f>Dashboard_Live_Data!AP134</f>
        <v>6</v>
      </c>
      <c r="B1850">
        <f>Dashboard_Live_Data!AQ134</f>
        <v>2672.1459076177921</v>
      </c>
      <c r="C1850">
        <f>Dashboard_Live_Data!AR134</f>
        <v>40.000000000000057</v>
      </c>
      <c r="D1850">
        <f>Dashboard_Live_Data!AS134</f>
        <v>408.57024154816395</v>
      </c>
      <c r="E1850">
        <f>Dashboard_Live_Data!AT134</f>
        <v>80.000000000000114</v>
      </c>
      <c r="F1850">
        <f>Dashboard_Live_Data!AU134</f>
        <v>640.03792855503775</v>
      </c>
      <c r="G1850">
        <f>Dashboard_Live_Data!AV134</f>
        <v>80.000000000000114</v>
      </c>
      <c r="H1850">
        <f>Dashboard_Live_Data!AW134</f>
        <v>610.59163236774418</v>
      </c>
    </row>
    <row r="1851" spans="1:8">
      <c r="A1851">
        <f>Dashboard_Live_Data!AP135</f>
        <v>6.480000000000004</v>
      </c>
      <c r="B1851">
        <f>Dashboard_Live_Data!AQ135</f>
        <v>2672.2620883765708</v>
      </c>
      <c r="C1851">
        <f>Dashboard_Live_Data!AR135</f>
        <v>43.200000000000045</v>
      </c>
      <c r="D1851">
        <f>Dashboard_Live_Data!AS135</f>
        <v>425.93971816821346</v>
      </c>
      <c r="E1851">
        <f>Dashboard_Live_Data!AT135</f>
        <v>86.400000000000091</v>
      </c>
      <c r="F1851">
        <f>Dashboard_Live_Data!AU135</f>
        <v>682.16473456554218</v>
      </c>
      <c r="G1851">
        <f>Dashboard_Live_Data!AV135</f>
        <v>86.400000000000091</v>
      </c>
      <c r="H1851">
        <f>Dashboard_Live_Data!AW135</f>
        <v>653.32707067539548</v>
      </c>
    </row>
    <row r="1852" spans="1:8">
      <c r="A1852">
        <f>Dashboard_Live_Data!AP136</f>
        <v>7.019999999999996</v>
      </c>
      <c r="B1852">
        <f>Dashboard_Live_Data!AQ136</f>
        <v>2672.4787069540553</v>
      </c>
      <c r="C1852">
        <f>Dashboard_Live_Data!AR136</f>
        <v>46.800000000000011</v>
      </c>
      <c r="D1852">
        <f>Dashboard_Live_Data!AS136</f>
        <v>446.34212138232749</v>
      </c>
      <c r="E1852">
        <f>Dashboard_Live_Data!AT136</f>
        <v>93.600000000000023</v>
      </c>
      <c r="F1852">
        <f>Dashboard_Live_Data!AU136</f>
        <v>730.16792776960813</v>
      </c>
      <c r="G1852">
        <f>Dashboard_Live_Data!AV136</f>
        <v>93.600000000000023</v>
      </c>
      <c r="H1852">
        <f>Dashboard_Live_Data!AW136</f>
        <v>701.91440074358138</v>
      </c>
    </row>
    <row r="1853" spans="1:8">
      <c r="A1853">
        <f>Dashboard_Live_Data!AP137</f>
        <v>7.5</v>
      </c>
      <c r="B1853">
        <f>Dashboard_Live_Data!AQ137</f>
        <v>2672.7084579796765</v>
      </c>
      <c r="C1853">
        <f>Dashboard_Live_Data!AR137</f>
        <v>50</v>
      </c>
      <c r="D1853">
        <f>Dashboard_Live_Data!AS137</f>
        <v>464.78135252033411</v>
      </c>
      <c r="E1853">
        <f>Dashboard_Live_Data!AT137</f>
        <v>100</v>
      </c>
      <c r="F1853">
        <f>Dashboard_Live_Data!AU137</f>
        <v>773.87378998537463</v>
      </c>
      <c r="G1853">
        <f>Dashboard_Live_Data!AV137</f>
        <v>100</v>
      </c>
      <c r="H1853">
        <f>Dashboard_Live_Data!AW137</f>
        <v>745.96273446882867</v>
      </c>
    </row>
    <row r="1854" spans="1:8">
      <c r="A1854">
        <f>Dashboard_Live_Data!AP138</f>
        <v>7.980000000000004</v>
      </c>
      <c r="B1854">
        <f>Dashboard_Live_Data!AQ138</f>
        <v>2672.8111298337622</v>
      </c>
      <c r="C1854">
        <f>Dashboard_Live_Data!AR138</f>
        <v>53.199999999999989</v>
      </c>
      <c r="D1854">
        <f>Dashboard_Live_Data!AS138</f>
        <v>483.43610586362189</v>
      </c>
      <c r="E1854">
        <f>Dashboard_Live_Data!AT138</f>
        <v>106.39999999999998</v>
      </c>
      <c r="F1854">
        <f>Dashboard_Live_Data!AU138</f>
        <v>818.23194447410526</v>
      </c>
      <c r="G1854">
        <f>Dashboard_Live_Data!AV138</f>
        <v>106.39999999999998</v>
      </c>
      <c r="H1854">
        <f>Dashboard_Live_Data!AW138</f>
        <v>790.56611762367856</v>
      </c>
    </row>
    <row r="1855" spans="1:8">
      <c r="A1855">
        <f>Dashboard_Live_Data!AP139</f>
        <v>8.519999999999996</v>
      </c>
      <c r="B1855">
        <f>Dashboard_Live_Data!AQ139</f>
        <v>2673.0186412762982</v>
      </c>
      <c r="C1855">
        <f>Dashboard_Live_Data!AR139</f>
        <v>56.799999999999955</v>
      </c>
      <c r="D1855">
        <f>Dashboard_Live_Data!AS139</f>
        <v>505.17284028347888</v>
      </c>
      <c r="E1855">
        <f>Dashboard_Live_Data!AT139</f>
        <v>113.59999999999991</v>
      </c>
      <c r="F1855">
        <f>Dashboard_Live_Data!AU139</f>
        <v>868.3304441097539</v>
      </c>
      <c r="G1855">
        <f>Dashboard_Live_Data!AV139</f>
        <v>113.59999999999991</v>
      </c>
      <c r="H1855">
        <f>Dashboard_Live_Data!AW139</f>
        <v>840.93260789643091</v>
      </c>
    </row>
    <row r="1856" spans="1:8">
      <c r="A1856">
        <f>Dashboard_Live_Data!AP140</f>
        <v>9</v>
      </c>
      <c r="B1856">
        <f>Dashboard_Live_Data!AQ140</f>
        <v>2673.298433729452</v>
      </c>
      <c r="C1856">
        <f>Dashboard_Live_Data!AR140</f>
        <v>59.999999999999943</v>
      </c>
      <c r="D1856">
        <f>Dashboard_Live_Data!AS140</f>
        <v>525.03019565514762</v>
      </c>
      <c r="E1856">
        <f>Dashboard_Live_Data!AT140</f>
        <v>119.99999999999989</v>
      </c>
      <c r="F1856">
        <f>Dashboard_Live_Data!AU140</f>
        <v>914.04280073711163</v>
      </c>
      <c r="G1856">
        <f>Dashboard_Live_Data!AV140</f>
        <v>119.99999999999989</v>
      </c>
      <c r="H1856">
        <f>Dashboard_Live_Data!AW140</f>
        <v>886.71036944254934</v>
      </c>
    </row>
    <row r="1857" spans="1:8">
      <c r="A1857">
        <f>Dashboard_Live_Data!AP141</f>
        <v>9.4799999999999898</v>
      </c>
      <c r="B1857">
        <f>Dashboard_Live_Data!AQ141</f>
        <v>2673.5257336157001</v>
      </c>
      <c r="C1857">
        <f>Dashboard_Live_Data!AR141</f>
        <v>63.199999999999989</v>
      </c>
      <c r="D1857">
        <f>Dashboard_Live_Data!AS141</f>
        <v>545.29452697986096</v>
      </c>
      <c r="E1857">
        <f>Dashboard_Live_Data!AT141</f>
        <v>126.39999999999998</v>
      </c>
      <c r="F1857">
        <f>Dashboard_Live_Data!AU141</f>
        <v>959.76811067927008</v>
      </c>
      <c r="G1857">
        <f>Dashboard_Live_Data!AV141</f>
        <v>126.39999999999998</v>
      </c>
      <c r="H1857">
        <f>Dashboard_Live_Data!AW141</f>
        <v>932.52884488052541</v>
      </c>
    </row>
    <row r="1858" spans="1:8">
      <c r="A1858">
        <f>Dashboard_Live_Data!AP142</f>
        <v>10.019999999999996</v>
      </c>
      <c r="B1858">
        <f>Dashboard_Live_Data!AQ142</f>
        <v>2673.8821196789372</v>
      </c>
      <c r="C1858">
        <f>Dashboard_Live_Data!AR142</f>
        <v>66.800000000000011</v>
      </c>
      <c r="D1858">
        <f>Dashboard_Live_Data!AS142</f>
        <v>568.61600000218164</v>
      </c>
      <c r="E1858">
        <f>Dashboard_Live_Data!AT142</f>
        <v>133.60000000000002</v>
      </c>
      <c r="F1858">
        <f>Dashboard_Live_Data!AU142</f>
        <v>1011.9614443866486</v>
      </c>
      <c r="G1858">
        <f>Dashboard_Live_Data!AV142</f>
        <v>133.60000000000002</v>
      </c>
      <c r="H1858">
        <f>Dashboard_Live_Data!AW142</f>
        <v>984.74477679457118</v>
      </c>
    </row>
    <row r="1859" spans="1:8">
      <c r="A1859">
        <f>Dashboard_Live_Data!AP143</f>
        <v>10.5</v>
      </c>
      <c r="B1859">
        <f>Dashboard_Live_Data!AQ143</f>
        <v>2674.108450593098</v>
      </c>
      <c r="C1859">
        <f>Dashboard_Live_Data!AR143</f>
        <v>70</v>
      </c>
      <c r="D1859">
        <f>Dashboard_Live_Data!AS143</f>
        <v>589.59507301286499</v>
      </c>
      <c r="E1859">
        <f>Dashboard_Live_Data!AT143</f>
        <v>140</v>
      </c>
      <c r="F1859">
        <f>Dashboard_Live_Data!AU143</f>
        <v>1059.1278356854446</v>
      </c>
      <c r="G1859">
        <f>Dashboard_Live_Data!AV143</f>
        <v>140</v>
      </c>
      <c r="H1859">
        <f>Dashboard_Live_Data!AW143</f>
        <v>1031.8516257890719</v>
      </c>
    </row>
    <row r="1860" spans="1:8">
      <c r="A1860">
        <f>Dashboard_Live_Data!AP144</f>
        <v>10.980000000000004</v>
      </c>
      <c r="B1860">
        <f>Dashboard_Live_Data!AQ144</f>
        <v>2674.2842198249568</v>
      </c>
      <c r="C1860">
        <f>Dashboard_Live_Data!AR144</f>
        <v>73.200000000000045</v>
      </c>
      <c r="D1860">
        <f>Dashboard_Live_Data!AS144</f>
        <v>610.62327523191266</v>
      </c>
      <c r="E1860">
        <f>Dashboard_Live_Data!AT144</f>
        <v>146.40000000000009</v>
      </c>
      <c r="F1860">
        <f>Dashboard_Live_Data!AU144</f>
        <v>1106.2320111687281</v>
      </c>
      <c r="G1860">
        <f>Dashboard_Live_Data!AV144</f>
        <v>146.40000000000009</v>
      </c>
      <c r="H1860">
        <f>Dashboard_Live_Data!AW144</f>
        <v>1078.941017998533</v>
      </c>
    </row>
    <row r="1861" spans="1:8">
      <c r="A1861">
        <f>Dashboard_Live_Data!AP145</f>
        <v>11.519999999999996</v>
      </c>
      <c r="B1861">
        <f>Dashboard_Live_Data!AQ145</f>
        <v>2674.6197712683879</v>
      </c>
      <c r="C1861">
        <f>Dashboard_Live_Data!AR145</f>
        <v>76.799999999999955</v>
      </c>
      <c r="D1861">
        <f>Dashboard_Live_Data!AS145</f>
        <v>634.71424303829974</v>
      </c>
      <c r="E1861">
        <f>Dashboard_Live_Data!AT145</f>
        <v>153.59999999999991</v>
      </c>
      <c r="F1861">
        <f>Dashboard_Live_Data!AU145</f>
        <v>1160.4295298230816</v>
      </c>
      <c r="G1861">
        <f>Dashboard_Live_Data!AV145</f>
        <v>153.59999999999991</v>
      </c>
      <c r="H1861">
        <f>Dashboard_Live_Data!AW145</f>
        <v>1132.999036177561</v>
      </c>
    </row>
    <row r="1862" spans="1:8">
      <c r="A1862">
        <f>Dashboard_Live_Data!AP146</f>
        <v>12</v>
      </c>
      <c r="B1862">
        <f>Dashboard_Live_Data!AQ146</f>
        <v>2674.8112882001351</v>
      </c>
      <c r="C1862">
        <f>Dashboard_Live_Data!AR146</f>
        <v>80</v>
      </c>
      <c r="D1862">
        <f>Dashboard_Live_Data!AS146</f>
        <v>656.75968145235436</v>
      </c>
      <c r="E1862">
        <f>Dashboard_Live_Data!AT146</f>
        <v>160</v>
      </c>
      <c r="F1862">
        <f>Dashboard_Live_Data!AU146</f>
        <v>1208.8255450612025</v>
      </c>
      <c r="G1862">
        <f>Dashboard_Live_Data!AV146</f>
        <v>160</v>
      </c>
      <c r="H1862">
        <f>Dashboard_Live_Data!AW146</f>
        <v>1181.28521935239</v>
      </c>
    </row>
    <row r="1863" spans="1:8">
      <c r="A1863">
        <f>Dashboard_Live_Data!AP147</f>
        <v>12.480000000000004</v>
      </c>
      <c r="B1863">
        <f>Dashboard_Live_Data!AQ147</f>
        <v>2675.0957780917061</v>
      </c>
      <c r="C1863">
        <f>Dashboard_Live_Data!AR147</f>
        <v>83.199999999999989</v>
      </c>
      <c r="D1863">
        <f>Dashboard_Live_Data!AS147</f>
        <v>678.93437857841104</v>
      </c>
      <c r="E1863">
        <f>Dashboard_Live_Data!AT147</f>
        <v>166.39999999999998</v>
      </c>
      <c r="F1863">
        <f>Dashboard_Live_Data!AU147</f>
        <v>1257.6964388963677</v>
      </c>
      <c r="G1863">
        <f>Dashboard_Live_Data!AV147</f>
        <v>166.39999999999998</v>
      </c>
      <c r="H1863">
        <f>Dashboard_Live_Data!AW147</f>
        <v>1230.026408396081</v>
      </c>
    </row>
    <row r="1864" spans="1:8">
      <c r="A1864">
        <f>Dashboard_Live_Data!AP148</f>
        <v>13.02000000000001</v>
      </c>
      <c r="B1864">
        <f>Dashboard_Live_Data!AQ148</f>
        <v>2675.2952657628025</v>
      </c>
      <c r="C1864">
        <f>Dashboard_Live_Data!AR148</f>
        <v>86.800000000000011</v>
      </c>
      <c r="D1864">
        <f>Dashboard_Live_Data!AS148</f>
        <v>704.14498363623863</v>
      </c>
      <c r="E1864">
        <f>Dashboard_Live_Data!AT148</f>
        <v>173.60000000000002</v>
      </c>
      <c r="F1864">
        <f>Dashboard_Live_Data!AU148</f>
        <v>1313.5384373341913</v>
      </c>
      <c r="G1864">
        <f>Dashboard_Live_Data!AV148</f>
        <v>173.60000000000002</v>
      </c>
      <c r="H1864">
        <f>Dashboard_Live_Data!AW148</f>
        <v>1285.6689097446642</v>
      </c>
    </row>
    <row r="1865" spans="1:8">
      <c r="A1865">
        <f>Dashboard_Live_Data!AP149</f>
        <v>13.5</v>
      </c>
      <c r="B1865">
        <f>Dashboard_Live_Data!AQ149</f>
        <v>2675.5869444872728</v>
      </c>
      <c r="C1865">
        <f>Dashboard_Live_Data!AR149</f>
        <v>90.000000000000057</v>
      </c>
      <c r="D1865">
        <f>Dashboard_Live_Data!AS149</f>
        <v>726.68128533067841</v>
      </c>
      <c r="E1865">
        <f>Dashboard_Live_Data!AT149</f>
        <v>180.00000000000011</v>
      </c>
      <c r="F1865">
        <f>Dashboard_Live_Data!AU149</f>
        <v>1363.4922501356443</v>
      </c>
      <c r="G1865">
        <f>Dashboard_Live_Data!AV149</f>
        <v>180.00000000000011</v>
      </c>
      <c r="H1865">
        <f>Dashboard_Live_Data!AW149</f>
        <v>1335.4558137640058</v>
      </c>
    </row>
    <row r="1866" spans="1:8">
      <c r="A1866">
        <f>Dashboard_Live_Data!AP150</f>
        <v>13.980000000000004</v>
      </c>
      <c r="B1866">
        <f>Dashboard_Live_Data!AQ150</f>
        <v>2675.7284415975018</v>
      </c>
      <c r="C1866">
        <f>Dashboard_Live_Data!AR150</f>
        <v>93.200000000000045</v>
      </c>
      <c r="D1866">
        <f>Dashboard_Live_Data!AS150</f>
        <v>749.50151193452609</v>
      </c>
      <c r="E1866">
        <f>Dashboard_Live_Data!AT150</f>
        <v>186.40000000000009</v>
      </c>
      <c r="F1866">
        <f>Dashboard_Live_Data!AU150</f>
        <v>1413.8780595568705</v>
      </c>
      <c r="G1866">
        <f>Dashboard_Live_Data!AV150</f>
        <v>186.40000000000009</v>
      </c>
      <c r="H1866">
        <f>Dashboard_Live_Data!AW150</f>
        <v>1385.6705698984597</v>
      </c>
    </row>
    <row r="1867" spans="1:8">
      <c r="A1867">
        <f>Dashboard_Live_Data!AP151</f>
        <v>14.519999999999996</v>
      </c>
      <c r="B1867">
        <f>Dashboard_Live_Data!AQ151</f>
        <v>2676.0397845083698</v>
      </c>
      <c r="C1867">
        <f>Dashboard_Live_Data!AR151</f>
        <v>96.800000000000011</v>
      </c>
      <c r="D1867">
        <f>Dashboard_Live_Data!AS151</f>
        <v>775.4018440048759</v>
      </c>
      <c r="E1867">
        <f>Dashboard_Live_Data!AT151</f>
        <v>193.60000000000002</v>
      </c>
      <c r="F1867">
        <f>Dashboard_Live_Data!AU151</f>
        <v>1471.4549088802494</v>
      </c>
      <c r="G1867">
        <f>Dashboard_Live_Data!AV151</f>
        <v>193.60000000000002</v>
      </c>
      <c r="H1867">
        <f>Dashboard_Live_Data!AW151</f>
        <v>1443.0143943069845</v>
      </c>
    </row>
    <row r="1868" spans="1:8">
      <c r="A1868">
        <f>Dashboard_Live_Data!AP152</f>
        <v>15</v>
      </c>
      <c r="B1868">
        <f>Dashboard_Live_Data!AQ152</f>
        <v>2676.4128817659403</v>
      </c>
      <c r="C1868">
        <f>Dashboard_Live_Data!AR152</f>
        <v>100</v>
      </c>
      <c r="D1868">
        <f>Dashboard_Live_Data!AS152</f>
        <v>798.91281268474222</v>
      </c>
      <c r="E1868">
        <f>Dashboard_Live_Data!AT152</f>
        <v>200</v>
      </c>
      <c r="F1868">
        <f>Dashboard_Live_Data!AU152</f>
        <v>1522.8148844349405</v>
      </c>
      <c r="G1868">
        <f>Dashboard_Live_Data!AV152</f>
        <v>200</v>
      </c>
      <c r="H1868">
        <f>Dashboard_Live_Data!AW152</f>
        <v>1494.1974896231029</v>
      </c>
    </row>
    <row r="1869" spans="1:8">
      <c r="A1869">
        <f>Dashboard_Live_Data!AP153</f>
        <v>15.480000000000004</v>
      </c>
      <c r="B1869">
        <f>Dashboard_Live_Data!AQ153</f>
        <v>2676.7007790282851</v>
      </c>
      <c r="C1869">
        <f>Dashboard_Live_Data!AR153</f>
        <v>103.19999999999999</v>
      </c>
      <c r="D1869">
        <f>Dashboard_Live_Data!AS153</f>
        <v>822.69139202090196</v>
      </c>
      <c r="E1869">
        <f>Dashboard_Live_Data!AT153</f>
        <v>206.39999999999998</v>
      </c>
      <c r="F1869">
        <f>Dashboard_Live_Data!AU153</f>
        <v>1574.8772268654202</v>
      </c>
      <c r="G1869">
        <f>Dashboard_Live_Data!AV153</f>
        <v>206.39999999999998</v>
      </c>
      <c r="H1869">
        <f>Dashboard_Live_Data!AW153</f>
        <v>1546.060002257067</v>
      </c>
    </row>
    <row r="1870" spans="1:8">
      <c r="A1870">
        <f>Dashboard_Live_Data!AP154</f>
        <v>16.019999999999996</v>
      </c>
      <c r="B1870">
        <f>Dashboard_Live_Data!AQ154</f>
        <v>2676.9553204763829</v>
      </c>
      <c r="C1870">
        <f>Dashboard_Live_Data!AR154</f>
        <v>106.79999999999995</v>
      </c>
      <c r="D1870">
        <f>Dashboard_Live_Data!AS154</f>
        <v>849.29963946003977</v>
      </c>
      <c r="E1870">
        <f>Dashboard_Live_Data!AT154</f>
        <v>213.59999999999991</v>
      </c>
      <c r="F1870">
        <f>Dashboard_Live_Data!AU154</f>
        <v>1634.2100712797871</v>
      </c>
      <c r="G1870">
        <f>Dashboard_Live_Data!AV154</f>
        <v>213.59999999999991</v>
      </c>
      <c r="H1870">
        <f>Dashboard_Live_Data!AW154</f>
        <v>1605.1533049308823</v>
      </c>
    </row>
    <row r="1871" spans="1:8">
      <c r="A1871">
        <f>Dashboard_Live_Data!AP155</f>
        <v>16.5</v>
      </c>
      <c r="B1871">
        <f>Dashboard_Live_Data!AQ155</f>
        <v>2677.210266088246</v>
      </c>
      <c r="C1871">
        <f>Dashboard_Live_Data!AR155</f>
        <v>109.99999999999994</v>
      </c>
      <c r="D1871">
        <f>Dashboard_Live_Data!AS155</f>
        <v>873.10949786357935</v>
      </c>
      <c r="E1871">
        <f>Dashboard_Live_Data!AT155</f>
        <v>219.99999999999989</v>
      </c>
      <c r="F1871">
        <f>Dashboard_Live_Data!AU155</f>
        <v>1686.9799883696526</v>
      </c>
      <c r="G1871">
        <f>Dashboard_Live_Data!AV155</f>
        <v>219.99999999999989</v>
      </c>
      <c r="H1871">
        <f>Dashboard_Live_Data!AW155</f>
        <v>1657.7559651879415</v>
      </c>
    </row>
    <row r="1872" spans="1:8">
      <c r="A1872">
        <f>Dashboard_Live_Data!AP156</f>
        <v>16.97999999999999</v>
      </c>
      <c r="B1872">
        <f>Dashboard_Live_Data!AQ156</f>
        <v>2677.5398892825219</v>
      </c>
      <c r="C1872">
        <f>Dashboard_Live_Data!AR156</f>
        <v>113.19999999999993</v>
      </c>
      <c r="D1872">
        <f>Dashboard_Live_Data!AS156</f>
        <v>897.26652126135866</v>
      </c>
      <c r="E1872">
        <f>Dashboard_Live_Data!AT156</f>
        <v>226.39999999999986</v>
      </c>
      <c r="F1872">
        <f>Dashboard_Live_Data!AU156</f>
        <v>1740.9784489069013</v>
      </c>
      <c r="G1872">
        <f>Dashboard_Live_Data!AV156</f>
        <v>226.39999999999986</v>
      </c>
      <c r="H1872">
        <f>Dashboard_Live_Data!AW156</f>
        <v>1711.5292151987778</v>
      </c>
    </row>
    <row r="1873" spans="1:8">
      <c r="A1873">
        <f>Dashboard_Live_Data!AP157</f>
        <v>17.519999999999996</v>
      </c>
      <c r="B1873">
        <f>Dashboard_Live_Data!AQ157</f>
        <v>2677.7716485761302</v>
      </c>
      <c r="C1873">
        <f>Dashboard_Live_Data!AR157</f>
        <v>116.80000000000007</v>
      </c>
      <c r="D1873">
        <f>Dashboard_Live_Data!AS157</f>
        <v>924.86414819099969</v>
      </c>
      <c r="E1873">
        <f>Dashboard_Live_Data!AT157</f>
        <v>233.60000000000014</v>
      </c>
      <c r="F1873">
        <f>Dashboard_Live_Data!AU157</f>
        <v>1801.8730716501491</v>
      </c>
      <c r="G1873">
        <f>Dashboard_Live_Data!AV157</f>
        <v>233.60000000000014</v>
      </c>
      <c r="H1873">
        <f>Dashboard_Live_Data!AW157</f>
        <v>1772.2146466917202</v>
      </c>
    </row>
    <row r="1874" spans="1:8">
      <c r="A1874">
        <f>Dashboard_Live_Data!AP158</f>
        <v>18</v>
      </c>
      <c r="B1874">
        <f>Dashboard_Live_Data!AQ158</f>
        <v>2678.0591123143704</v>
      </c>
      <c r="C1874">
        <f>Dashboard_Live_Data!AR158</f>
        <v>120</v>
      </c>
      <c r="D1874">
        <f>Dashboard_Live_Data!AS158</f>
        <v>949.69451540625494</v>
      </c>
      <c r="E1874">
        <f>Dashboard_Live_Data!AT158</f>
        <v>240</v>
      </c>
      <c r="F1874">
        <f>Dashboard_Live_Data!AU158</f>
        <v>1856.7086148968674</v>
      </c>
      <c r="G1874">
        <f>Dashboard_Live_Data!AV158</f>
        <v>240</v>
      </c>
      <c r="H1874">
        <f>Dashboard_Live_Data!AW158</f>
        <v>1826.858082720953</v>
      </c>
    </row>
    <row r="1875" spans="1:8">
      <c r="A1875">
        <f>Dashboard_Live_Data!AP159</f>
        <v>18.480000000000004</v>
      </c>
      <c r="B1875">
        <f>Dashboard_Live_Data!AQ159</f>
        <v>2678.3248962424841</v>
      </c>
      <c r="C1875">
        <f>Dashboard_Live_Data!AR159</f>
        <v>123.20000000000005</v>
      </c>
      <c r="D1875">
        <f>Dashboard_Live_Data!AS159</f>
        <v>974.48553419291693</v>
      </c>
      <c r="E1875">
        <f>Dashboard_Live_Data!AT159</f>
        <v>246.40000000000009</v>
      </c>
      <c r="F1875">
        <f>Dashboard_Live_Data!AU159</f>
        <v>1912.259873742373</v>
      </c>
      <c r="G1875">
        <f>Dashboard_Live_Data!AV159</f>
        <v>246.40000000000009</v>
      </c>
      <c r="H1875">
        <f>Dashboard_Live_Data!AW159</f>
        <v>1882.2107610897619</v>
      </c>
    </row>
    <row r="1876" spans="1:8">
      <c r="A1876">
        <f>Dashboard_Live_Data!AP160</f>
        <v>19.019999999999996</v>
      </c>
      <c r="B1876">
        <f>Dashboard_Live_Data!AQ160</f>
        <v>2678.7603431942562</v>
      </c>
      <c r="C1876">
        <f>Dashboard_Live_Data!AR160</f>
        <v>126.79999999999995</v>
      </c>
      <c r="D1876">
        <f>Dashboard_Live_Data!AS160</f>
        <v>1002.4378207984545</v>
      </c>
      <c r="E1876">
        <f>Dashboard_Live_Data!AT160</f>
        <v>253.59999999999991</v>
      </c>
      <c r="F1876">
        <f>Dashboard_Live_Data!AU160</f>
        <v>1975.1014147397316</v>
      </c>
      <c r="G1876">
        <f>Dashboard_Live_Data!AV160</f>
        <v>253.59999999999991</v>
      </c>
      <c r="H1876">
        <f>Dashboard_Live_Data!AW160</f>
        <v>1944.858837742305</v>
      </c>
    </row>
    <row r="1877" spans="1:8">
      <c r="A1877">
        <f>Dashboard_Live_Data!AP161</f>
        <v>19.5</v>
      </c>
      <c r="B1877">
        <f>Dashboard_Live_Data!AQ161</f>
        <v>2678.934012540692</v>
      </c>
      <c r="C1877">
        <f>Dashboard_Live_Data!AR161</f>
        <v>130</v>
      </c>
      <c r="D1877">
        <f>Dashboard_Live_Data!AS161</f>
        <v>1027.5870587413654</v>
      </c>
      <c r="E1877">
        <f>Dashboard_Live_Data!AT161</f>
        <v>260</v>
      </c>
      <c r="F1877">
        <f>Dashboard_Live_Data!AU161</f>
        <v>2031.7985558053063</v>
      </c>
      <c r="G1877">
        <f>Dashboard_Live_Data!AV161</f>
        <v>260</v>
      </c>
      <c r="H1877">
        <f>Dashboard_Live_Data!AW161</f>
        <v>2001.3754442363258</v>
      </c>
    </row>
    <row r="1878" spans="1:8">
      <c r="A1878">
        <f>Dashboard_Live_Data!AP162</f>
        <v>19.980000000000004</v>
      </c>
      <c r="B1878">
        <f>Dashboard_Live_Data!AQ162</f>
        <v>2679.2731517739471</v>
      </c>
      <c r="C1878">
        <f>Dashboard_Live_Data!AR162</f>
        <v>133.19999999999993</v>
      </c>
      <c r="D1878">
        <f>Dashboard_Live_Data!AS162</f>
        <v>1053.0619961686964</v>
      </c>
      <c r="E1878">
        <f>Dashboard_Live_Data!AT162</f>
        <v>266.39999999999986</v>
      </c>
      <c r="F1878">
        <f>Dashboard_Live_Data!AU162</f>
        <v>2089.0735031949753</v>
      </c>
      <c r="G1878">
        <f>Dashboard_Live_Data!AV162</f>
        <v>266.39999999999986</v>
      </c>
      <c r="H1878">
        <f>Dashboard_Live_Data!AW162</f>
        <v>2058.4779229179353</v>
      </c>
    </row>
    <row r="1879" spans="1:8">
      <c r="A1879">
        <f>Dashboard_Live_Data!AP163</f>
        <v>20.52000000000001</v>
      </c>
      <c r="B1879">
        <f>Dashboard_Live_Data!AQ163</f>
        <v>2679.6384849074366</v>
      </c>
      <c r="C1879">
        <f>Dashboard_Live_Data!AR163</f>
        <v>136.80000000000007</v>
      </c>
      <c r="D1879">
        <f>Dashboard_Live_Data!AS163</f>
        <v>1082.1146416403806</v>
      </c>
      <c r="E1879">
        <f>Dashboard_Live_Data!AT163</f>
        <v>273.60000000000014</v>
      </c>
      <c r="F1879">
        <f>Dashboard_Live_Data!AU163</f>
        <v>2153.9516480745888</v>
      </c>
      <c r="G1879">
        <f>Dashboard_Live_Data!AV163</f>
        <v>273.60000000000014</v>
      </c>
      <c r="H1879">
        <f>Dashboard_Live_Data!AW163</f>
        <v>2123.187380831977</v>
      </c>
    </row>
    <row r="1880" spans="1:8">
      <c r="A1880">
        <f>Dashboard_Live_Data!AP164</f>
        <v>21</v>
      </c>
      <c r="B1880">
        <f>Dashboard_Live_Data!AQ164</f>
        <v>2679.9865256495527</v>
      </c>
      <c r="C1880">
        <f>Dashboard_Live_Data!AR164</f>
        <v>140</v>
      </c>
      <c r="D1880">
        <f>Dashboard_Live_Data!AS164</f>
        <v>1108.0213073047621</v>
      </c>
      <c r="E1880">
        <f>Dashboard_Live_Data!AT164</f>
        <v>280</v>
      </c>
      <c r="F1880">
        <f>Dashboard_Live_Data!AU164</f>
        <v>2212.4908066079583</v>
      </c>
      <c r="G1880">
        <f>Dashboard_Live_Data!AV164</f>
        <v>280</v>
      </c>
      <c r="H1880">
        <f>Dashboard_Live_Data!AW164</f>
        <v>2181.5719636316157</v>
      </c>
    </row>
    <row r="1881" spans="1:8">
      <c r="A1881">
        <f>Dashboard_Live_Data!AP165</f>
        <v>21.480000000000004</v>
      </c>
      <c r="B1881">
        <f>Dashboard_Live_Data!AQ165</f>
        <v>2680.3628439768113</v>
      </c>
      <c r="C1881">
        <f>Dashboard_Live_Data!AR165</f>
        <v>143.20000000000005</v>
      </c>
      <c r="D1881">
        <f>Dashboard_Live_Data!AS165</f>
        <v>1133.8978649739838</v>
      </c>
      <c r="E1881">
        <f>Dashboard_Live_Data!AT165</f>
        <v>286.40000000000009</v>
      </c>
      <c r="F1881">
        <f>Dashboard_Live_Data!AU165</f>
        <v>2271.6279066061034</v>
      </c>
      <c r="G1881">
        <f>Dashboard_Live_Data!AV165</f>
        <v>286.40000000000009</v>
      </c>
      <c r="H1881">
        <f>Dashboard_Live_Data!AW165</f>
        <v>2240.5646109482909</v>
      </c>
    </row>
    <row r="1882" spans="1:8">
      <c r="A1882">
        <f>Dashboard_Live_Data!AP166</f>
        <v>22.019999999999996</v>
      </c>
      <c r="B1882">
        <f>Dashboard_Live_Data!AQ166</f>
        <v>2680.656874477047</v>
      </c>
      <c r="C1882">
        <f>Dashboard_Live_Data!AR166</f>
        <v>146.79999999999995</v>
      </c>
      <c r="D1882">
        <f>Dashboard_Live_Data!AS166</f>
        <v>1163.2045223369321</v>
      </c>
      <c r="E1882">
        <f>Dashboard_Live_Data!AT166</f>
        <v>293.59999999999991</v>
      </c>
      <c r="F1882">
        <f>Dashboard_Live_Data!AU166</f>
        <v>2338.4592438207114</v>
      </c>
      <c r="G1882">
        <f>Dashboard_Live_Data!AV166</f>
        <v>293.59999999999991</v>
      </c>
      <c r="H1882">
        <f>Dashboard_Live_Data!AW166</f>
        <v>2307.2674673048655</v>
      </c>
    </row>
    <row r="1883" spans="1:8">
      <c r="A1883">
        <f>Dashboard_Live_Data!AP167</f>
        <v>22.5</v>
      </c>
      <c r="B1883">
        <f>Dashboard_Live_Data!AQ167</f>
        <v>2681.1410389461162</v>
      </c>
      <c r="C1883">
        <f>Dashboard_Live_Data!AR167</f>
        <v>150</v>
      </c>
      <c r="D1883">
        <f>Dashboard_Live_Data!AS167</f>
        <v>1189.7387412010428</v>
      </c>
      <c r="E1883">
        <f>Dashboard_Live_Data!AT167</f>
        <v>300</v>
      </c>
      <c r="F1883">
        <f>Dashboard_Live_Data!AU167</f>
        <v>2399.2316666520933</v>
      </c>
      <c r="G1883">
        <f>Dashboard_Live_Data!AV167</f>
        <v>300</v>
      </c>
      <c r="H1883">
        <f>Dashboard_Live_Data!AW167</f>
        <v>2367.9009230173892</v>
      </c>
    </row>
    <row r="1884" spans="1:8">
      <c r="A1884">
        <f>Dashboard_Live_Data!AP168</f>
        <v>22.980000000000004</v>
      </c>
      <c r="B1884">
        <f>Dashboard_Live_Data!AQ168</f>
        <v>2681.4410343801505</v>
      </c>
      <c r="C1884">
        <f>Dashboard_Live_Data!AR168</f>
        <v>153.20000000000005</v>
      </c>
      <c r="D1884">
        <f>Dashboard_Live_Data!AS168</f>
        <v>1216.6467476359549</v>
      </c>
      <c r="E1884">
        <f>Dashboard_Live_Data!AT168</f>
        <v>306.40000000000009</v>
      </c>
      <c r="F1884">
        <f>Dashboard_Live_Data!AU168</f>
        <v>2460.0404173793613</v>
      </c>
      <c r="G1884">
        <f>Dashboard_Live_Data!AV168</f>
        <v>306.40000000000009</v>
      </c>
      <c r="H1884">
        <f>Dashboard_Live_Data!AW168</f>
        <v>2428.6106577782589</v>
      </c>
    </row>
    <row r="1885" spans="1:8">
      <c r="A1885">
        <f>Dashboard_Live_Data!AP169</f>
        <v>23.519999999999996</v>
      </c>
      <c r="B1885">
        <f>Dashboard_Live_Data!AQ169</f>
        <v>2681.9939788953425</v>
      </c>
      <c r="C1885">
        <f>Dashboard_Live_Data!AR169</f>
        <v>156.79999999999995</v>
      </c>
      <c r="D1885">
        <f>Dashboard_Live_Data!AS169</f>
        <v>1246.8959337465285</v>
      </c>
      <c r="E1885">
        <f>Dashboard_Live_Data!AT169</f>
        <v>313.59999999999991</v>
      </c>
      <c r="F1885">
        <f>Dashboard_Live_Data!AU169</f>
        <v>2529.4862966892333</v>
      </c>
      <c r="G1885">
        <f>Dashboard_Live_Data!AV169</f>
        <v>313.59999999999991</v>
      </c>
      <c r="H1885">
        <f>Dashboard_Live_Data!AW169</f>
        <v>2497.9453758114569</v>
      </c>
    </row>
    <row r="1886" spans="1:8">
      <c r="A1886">
        <f>Dashboard_Live_Data!AP170</f>
        <v>24</v>
      </c>
      <c r="B1886">
        <f>Dashboard_Live_Data!AQ170</f>
        <v>2682.3919407186913</v>
      </c>
      <c r="C1886">
        <f>Dashboard_Live_Data!AR170</f>
        <v>160</v>
      </c>
      <c r="D1886">
        <f>Dashboard_Live_Data!AS170</f>
        <v>1273.9426663277293</v>
      </c>
      <c r="E1886">
        <f>Dashboard_Live_Data!AT170</f>
        <v>320</v>
      </c>
      <c r="F1886">
        <f>Dashboard_Live_Data!AU170</f>
        <v>2592.146348508657</v>
      </c>
      <c r="G1886">
        <f>Dashboard_Live_Data!AV170</f>
        <v>320</v>
      </c>
      <c r="H1886">
        <f>Dashboard_Live_Data!AW170</f>
        <v>2560.508645682442</v>
      </c>
    </row>
    <row r="1887" spans="1:8">
      <c r="A1887">
        <f>Dashboard_Live_Data!AP171</f>
        <v>24.47999999999999</v>
      </c>
      <c r="B1887">
        <f>Dashboard_Live_Data!AQ171</f>
        <v>2682.9158806588962</v>
      </c>
      <c r="C1887">
        <f>Dashboard_Live_Data!AR171</f>
        <v>163.19999999999993</v>
      </c>
      <c r="D1887">
        <f>Dashboard_Live_Data!AS171</f>
        <v>1301.2535415684738</v>
      </c>
      <c r="E1887">
        <f>Dashboard_Live_Data!AT171</f>
        <v>326.39999999999986</v>
      </c>
      <c r="F1887">
        <f>Dashboard_Live_Data!AU171</f>
        <v>2654.8892109327271</v>
      </c>
      <c r="G1887">
        <f>Dashboard_Live_Data!AV171</f>
        <v>326.39999999999986</v>
      </c>
      <c r="H1887">
        <f>Dashboard_Live_Data!AW171</f>
        <v>2623.1906262677849</v>
      </c>
    </row>
    <row r="1888" spans="1:8">
      <c r="A1888">
        <f>Dashboard_Live_Data!AP172</f>
        <v>25.019999999999996</v>
      </c>
      <c r="B1888">
        <f>Dashboard_Live_Data!AQ172</f>
        <v>2683.4438459390726</v>
      </c>
      <c r="C1888">
        <f>Dashboard_Live_Data!AR172</f>
        <v>166.80000000000007</v>
      </c>
      <c r="D1888">
        <f>Dashboard_Live_Data!AS172</f>
        <v>1332.2058701793264</v>
      </c>
      <c r="E1888">
        <f>Dashboard_Live_Data!AT172</f>
        <v>333.60000000000014</v>
      </c>
      <c r="F1888">
        <f>Dashboard_Live_Data!AU172</f>
        <v>2726.8255061130581</v>
      </c>
      <c r="G1888">
        <f>Dashboard_Live_Data!AV172</f>
        <v>333.60000000000014</v>
      </c>
      <c r="H1888">
        <f>Dashboard_Live_Data!AW172</f>
        <v>2695.0500562784723</v>
      </c>
    </row>
    <row r="1889" spans="1:8">
      <c r="A1889">
        <f>Dashboard_Live_Data!AP173</f>
        <v>25.5</v>
      </c>
      <c r="B1889">
        <f>Dashboard_Live_Data!AQ173</f>
        <v>2684.0530894635986</v>
      </c>
      <c r="C1889">
        <f>Dashboard_Live_Data!AR173</f>
        <v>170</v>
      </c>
      <c r="D1889">
        <f>Dashboard_Live_Data!AS173</f>
        <v>1359.9452187192626</v>
      </c>
      <c r="E1889">
        <f>Dashboard_Live_Data!AT173</f>
        <v>340</v>
      </c>
      <c r="F1889">
        <f>Dashboard_Live_Data!AU173</f>
        <v>2791.2253149758362</v>
      </c>
      <c r="G1889">
        <f>Dashboard_Live_Data!AV173</f>
        <v>340</v>
      </c>
      <c r="H1889">
        <f>Dashboard_Live_Data!AW173</f>
        <v>2759.4047365661204</v>
      </c>
    </row>
    <row r="1890" spans="1:8">
      <c r="A1890">
        <f>Dashboard_Live_Data!AP174</f>
        <v>25.980000000000004</v>
      </c>
      <c r="B1890">
        <f>Dashboard_Live_Data!AQ174</f>
        <v>2684.4264672966287</v>
      </c>
      <c r="C1890">
        <f>Dashboard_Live_Data!AR174</f>
        <v>173.20000000000005</v>
      </c>
      <c r="D1890">
        <f>Dashboard_Live_Data!AS174</f>
        <v>1388.0981650857836</v>
      </c>
      <c r="E1890">
        <f>Dashboard_Live_Data!AT174</f>
        <v>346.40000000000009</v>
      </c>
      <c r="F1890">
        <f>Dashboard_Live_Data!AU174</f>
        <v>2856.2260336940121</v>
      </c>
      <c r="G1890">
        <f>Dashboard_Live_Data!AV174</f>
        <v>346.40000000000009</v>
      </c>
      <c r="H1890">
        <f>Dashboard_Live_Data!AW174</f>
        <v>2824.3753796888477</v>
      </c>
    </row>
    <row r="1891" spans="1:8">
      <c r="A1891">
        <f>Dashboard_Live_Data!AP175</f>
        <v>26.519999999999996</v>
      </c>
      <c r="B1891">
        <f>Dashboard_Live_Data!AQ175</f>
        <v>2685.2021480085291</v>
      </c>
      <c r="C1891">
        <f>Dashboard_Live_Data!AR175</f>
        <v>176.79999999999995</v>
      </c>
      <c r="D1891">
        <f>Dashboard_Live_Data!AS175</f>
        <v>1419.9573139350396</v>
      </c>
      <c r="E1891">
        <f>Dashboard_Live_Data!AT175</f>
        <v>353.59999999999991</v>
      </c>
      <c r="F1891">
        <f>Dashboard_Live_Data!AU175</f>
        <v>2930.4635049360486</v>
      </c>
      <c r="G1891">
        <f>Dashboard_Live_Data!AV175</f>
        <v>353.59999999999991</v>
      </c>
      <c r="H1891">
        <f>Dashboard_Live_Data!AW175</f>
        <v>2898.5839038762074</v>
      </c>
    </row>
    <row r="1892" spans="1:8">
      <c r="A1892">
        <f>Dashboard_Live_Data!AP176</f>
        <v>27</v>
      </c>
      <c r="B1892">
        <f>Dashboard_Live_Data!AQ176</f>
        <v>2685.7460339181407</v>
      </c>
      <c r="C1892">
        <f>Dashboard_Live_Data!AR176</f>
        <v>180</v>
      </c>
      <c r="D1892">
        <f>Dashboard_Live_Data!AS176</f>
        <v>1448.2337315103855</v>
      </c>
      <c r="E1892">
        <f>Dashboard_Live_Data!AT176</f>
        <v>360</v>
      </c>
      <c r="F1892">
        <f>Dashboard_Live_Data!AU176</f>
        <v>2997.0388676298153</v>
      </c>
      <c r="G1892">
        <f>Dashboard_Live_Data!AV176</f>
        <v>360</v>
      </c>
      <c r="H1892">
        <f>Dashboard_Live_Data!AW176</f>
        <v>2965.1524552312057</v>
      </c>
    </row>
    <row r="1893" spans="1:8">
      <c r="A1893">
        <f>Dashboard_Live_Data!AP177</f>
        <v>27.480000000000004</v>
      </c>
      <c r="B1893">
        <f>Dashboard_Live_Data!AQ177</f>
        <v>2686.2420281089157</v>
      </c>
      <c r="C1893">
        <f>Dashboard_Live_Data!AR177</f>
        <v>183.19999999999993</v>
      </c>
      <c r="D1893">
        <f>Dashboard_Live_Data!AS177</f>
        <v>1476.6661603886619</v>
      </c>
      <c r="E1893">
        <f>Dashboard_Live_Data!AT177</f>
        <v>366.39999999999986</v>
      </c>
      <c r="F1893">
        <f>Dashboard_Live_Data!AU177</f>
        <v>3064.1595178111925</v>
      </c>
      <c r="G1893">
        <f>Dashboard_Live_Data!AV177</f>
        <v>366.39999999999986</v>
      </c>
      <c r="H1893">
        <f>Dashboard_Live_Data!AW177</f>
        <v>3032.2840730905732</v>
      </c>
    </row>
    <row r="1894" spans="1:8">
      <c r="A1894">
        <f>Dashboard_Live_Data!AP178</f>
        <v>28.02000000000001</v>
      </c>
      <c r="B1894">
        <f>Dashboard_Live_Data!AQ178</f>
        <v>2686.848274404113</v>
      </c>
      <c r="C1894">
        <f>Dashboard_Live_Data!AR178</f>
        <v>186.80000000000007</v>
      </c>
      <c r="D1894">
        <f>Dashboard_Live_Data!AS178</f>
        <v>1509.2529786221271</v>
      </c>
      <c r="E1894">
        <f>Dashboard_Live_Data!AT178</f>
        <v>373.60000000000014</v>
      </c>
      <c r="F1894">
        <f>Dashboard_Live_Data!AU178</f>
        <v>3141.0226701663896</v>
      </c>
      <c r="G1894">
        <f>Dashboard_Live_Data!AV178</f>
        <v>373.60000000000014</v>
      </c>
      <c r="H1894">
        <f>Dashboard_Live_Data!AW178</f>
        <v>3109.1598983076765</v>
      </c>
    </row>
    <row r="1895" spans="1:8">
      <c r="A1895">
        <f>Dashboard_Live_Data!AP179</f>
        <v>28.5</v>
      </c>
      <c r="B1895">
        <f>Dashboard_Live_Data!AQ179</f>
        <v>2687.4641738490877</v>
      </c>
      <c r="C1895">
        <f>Dashboard_Live_Data!AR179</f>
        <v>190</v>
      </c>
      <c r="D1895">
        <f>Dashboard_Live_Data!AS179</f>
        <v>1538.4831289843698</v>
      </c>
      <c r="E1895">
        <f>Dashboard_Live_Data!AT179</f>
        <v>380</v>
      </c>
      <c r="F1895">
        <f>Dashboard_Live_Data!AU179</f>
        <v>3209.6363774109341</v>
      </c>
      <c r="G1895">
        <f>Dashboard_Live_Data!AV179</f>
        <v>380</v>
      </c>
      <c r="H1895">
        <f>Dashboard_Live_Data!AW179</f>
        <v>3177.812951422256</v>
      </c>
    </row>
    <row r="1896" spans="1:8">
      <c r="A1896">
        <f>Dashboard_Live_Data!AP180</f>
        <v>28.980000000000004</v>
      </c>
      <c r="B1896">
        <f>Dashboard_Live_Data!AQ180</f>
        <v>2688.1876250722621</v>
      </c>
      <c r="C1896">
        <f>Dashboard_Live_Data!AR180</f>
        <v>193.20000000000005</v>
      </c>
      <c r="D1896">
        <f>Dashboard_Live_Data!AS180</f>
        <v>1567.9590204754618</v>
      </c>
      <c r="E1896">
        <f>Dashboard_Live_Data!AT180</f>
        <v>386.40000000000009</v>
      </c>
      <c r="F1896">
        <f>Dashboard_Live_Data!AU180</f>
        <v>3279.2329425589828</v>
      </c>
      <c r="G1896">
        <f>Dashboard_Live_Data!AV180</f>
        <v>386.40000000000009</v>
      </c>
      <c r="H1896">
        <f>Dashboard_Live_Data!AW180</f>
        <v>3247.4547932261544</v>
      </c>
    </row>
    <row r="1897" spans="1:8">
      <c r="A1897">
        <f>Dashboard_Live_Data!AP181</f>
        <v>29.519999999999996</v>
      </c>
      <c r="B1897">
        <f>Dashboard_Live_Data!AQ181</f>
        <v>2688.7222176431492</v>
      </c>
      <c r="C1897">
        <f>Dashboard_Live_Data!AR181</f>
        <v>196.79999999999995</v>
      </c>
      <c r="D1897">
        <f>Dashboard_Live_Data!AS181</f>
        <v>1601.1205159498156</v>
      </c>
      <c r="E1897">
        <f>Dashboard_Live_Data!AT181</f>
        <v>393.59999999999991</v>
      </c>
      <c r="F1897">
        <f>Dashboard_Live_Data!AU181</f>
        <v>3358.5960476551613</v>
      </c>
      <c r="G1897">
        <f>Dashboard_Live_Data!AV181</f>
        <v>393.59999999999991</v>
      </c>
      <c r="H1897">
        <f>Dashboard_Live_Data!AW181</f>
        <v>3326.8801699923215</v>
      </c>
    </row>
    <row r="1898" spans="1:8">
      <c r="A1898">
        <f>Dashboard_Live_Data!AP182</f>
        <v>30</v>
      </c>
      <c r="B1898">
        <f>Dashboard_Live_Data!AQ182</f>
        <v>2689.3696122533497</v>
      </c>
      <c r="C1898">
        <f>Dashboard_Live_Data!AR182</f>
        <v>200</v>
      </c>
      <c r="D1898">
        <f>Dashboard_Live_Data!AS182</f>
        <v>1630.7637614719622</v>
      </c>
      <c r="E1898">
        <f>Dashboard_Live_Data!AT182</f>
        <v>400</v>
      </c>
      <c r="F1898">
        <f>Dashboard_Live_Data!AU182</f>
        <v>3429.3588510465356</v>
      </c>
      <c r="G1898">
        <f>Dashboard_Live_Data!AV182</f>
        <v>400</v>
      </c>
      <c r="H1898">
        <f>Dashboard_Live_Data!AW182</f>
        <v>3397.7272251123341</v>
      </c>
    </row>
    <row r="1899" spans="1:8">
      <c r="A1899">
        <f>Dashboard_Live_Data!AP183</f>
        <v>30.480000000000004</v>
      </c>
      <c r="B1899">
        <f>Dashboard_Live_Data!AQ183</f>
        <v>2689.9524090049945</v>
      </c>
      <c r="C1899">
        <f>Dashboard_Live_Data!AR183</f>
        <v>203.20000000000005</v>
      </c>
      <c r="D1899">
        <f>Dashboard_Live_Data!AS183</f>
        <v>1660.6990177446987</v>
      </c>
      <c r="E1899">
        <f>Dashboard_Live_Data!AT183</f>
        <v>406.40000000000009</v>
      </c>
      <c r="F1899">
        <f>Dashboard_Live_Data!AU183</f>
        <v>3501.549494764668</v>
      </c>
      <c r="G1899">
        <f>Dashboard_Live_Data!AV183</f>
        <v>406.40000000000009</v>
      </c>
      <c r="H1899">
        <f>Dashboard_Live_Data!AW183</f>
        <v>3469.9989806158633</v>
      </c>
    </row>
    <row r="1900" spans="1:8">
      <c r="A1900">
        <f>Dashboard_Live_Data!AP184</f>
        <v>31.019999999999996</v>
      </c>
      <c r="B1900">
        <f>Dashboard_Live_Data!AQ184</f>
        <v>2690.5667082175996</v>
      </c>
      <c r="C1900">
        <f>Dashboard_Live_Data!AR184</f>
        <v>206.79999999999995</v>
      </c>
      <c r="D1900">
        <f>Dashboard_Live_Data!AS184</f>
        <v>1694.8225866146461</v>
      </c>
      <c r="E1900">
        <f>Dashboard_Live_Data!AT184</f>
        <v>413.59999999999991</v>
      </c>
      <c r="F1900">
        <f>Dashboard_Live_Data!AU184</f>
        <v>3583.0738605817146</v>
      </c>
      <c r="G1900">
        <f>Dashboard_Live_Data!AV184</f>
        <v>413.59999999999991</v>
      </c>
      <c r="H1900">
        <f>Dashboard_Live_Data!AW184</f>
        <v>3551.645051083141</v>
      </c>
    </row>
    <row r="1901" spans="1:8">
      <c r="A1901">
        <f>Dashboard_Live_Data!AP185</f>
        <v>31.5</v>
      </c>
      <c r="B1901">
        <f>Dashboard_Live_Data!AQ185</f>
        <v>2691.2861129347111</v>
      </c>
      <c r="C1901">
        <f>Dashboard_Live_Data!AR185</f>
        <v>210</v>
      </c>
      <c r="D1901">
        <f>Dashboard_Live_Data!AS185</f>
        <v>1725.5482605386435</v>
      </c>
      <c r="E1901">
        <f>Dashboard_Live_Data!AT185</f>
        <v>420</v>
      </c>
      <c r="F1901">
        <f>Dashboard_Live_Data!AU185</f>
        <v>3656.4070068229498</v>
      </c>
      <c r="G1901">
        <f>Dashboard_Live_Data!AV185</f>
        <v>420</v>
      </c>
      <c r="H1901">
        <f>Dashboard_Live_Data!AW185</f>
        <v>3625.0993448641489</v>
      </c>
    </row>
    <row r="1902" spans="1:8">
      <c r="A1902">
        <f>Dashboard_Live_Data!AP186</f>
        <v>31.97999999999999</v>
      </c>
      <c r="B1902">
        <f>Dashboard_Live_Data!AQ186</f>
        <v>2691.7084514155754</v>
      </c>
      <c r="C1902">
        <f>Dashboard_Live_Data!AR186</f>
        <v>213.19999999999993</v>
      </c>
      <c r="D1902">
        <f>Dashboard_Live_Data!AS186</f>
        <v>1756.3205691070345</v>
      </c>
      <c r="E1902">
        <f>Dashboard_Live_Data!AT186</f>
        <v>426.39999999999986</v>
      </c>
      <c r="F1902">
        <f>Dashboard_Live_Data!AU186</f>
        <v>3730.7434368680811</v>
      </c>
      <c r="G1902">
        <f>Dashboard_Live_Data!AV186</f>
        <v>426.39999999999986</v>
      </c>
      <c r="H1902">
        <f>Dashboard_Live_Data!AW186</f>
        <v>3699.5656343989554</v>
      </c>
    </row>
    <row r="1903" spans="1:8">
      <c r="A1903">
        <f>Dashboard_Live_Data!AP187</f>
        <v>32.519999999999996</v>
      </c>
      <c r="B1903">
        <f>Dashboard_Live_Data!AQ187</f>
        <v>2692.3320799684448</v>
      </c>
      <c r="C1903">
        <f>Dashboard_Live_Data!AR187</f>
        <v>216.80000000000007</v>
      </c>
      <c r="D1903">
        <f>Dashboard_Live_Data!AS187</f>
        <v>1790.9188228799637</v>
      </c>
      <c r="E1903">
        <f>Dashboard_Live_Data!AT187</f>
        <v>433.60000000000014</v>
      </c>
      <c r="F1903">
        <f>Dashboard_Live_Data!AU187</f>
        <v>3814.9219703228828</v>
      </c>
      <c r="G1903">
        <f>Dashboard_Live_Data!AV187</f>
        <v>433.60000000000014</v>
      </c>
      <c r="H1903">
        <f>Dashboard_Live_Data!AW187</f>
        <v>3783.9144030090297</v>
      </c>
    </row>
    <row r="1904" spans="1:8">
      <c r="A1904">
        <f>Dashboard_Live_Data!AP188</f>
        <v>33</v>
      </c>
      <c r="B1904">
        <f>Dashboard_Live_Data!AQ188</f>
        <v>2692.9418963583466</v>
      </c>
      <c r="C1904">
        <f>Dashboard_Live_Data!AR188</f>
        <v>220</v>
      </c>
      <c r="D1904">
        <f>Dashboard_Live_Data!AS188</f>
        <v>1821.9533285761061</v>
      </c>
      <c r="E1904">
        <f>Dashboard_Live_Data!AT188</f>
        <v>440</v>
      </c>
      <c r="F1904">
        <f>Dashboard_Live_Data!AU188</f>
        <v>3890.7671657116257</v>
      </c>
      <c r="G1904">
        <f>Dashboard_Live_Data!AV188</f>
        <v>440</v>
      </c>
      <c r="H1904">
        <f>Dashboard_Live_Data!AW188</f>
        <v>3859.9216859248836</v>
      </c>
    </row>
    <row r="1905" spans="1:8">
      <c r="A1905">
        <f>Dashboard_Live_Data!AP189</f>
        <v>33.480000000000004</v>
      </c>
      <c r="B1905">
        <f>Dashboard_Live_Data!AQ189</f>
        <v>2693.5471794573295</v>
      </c>
      <c r="C1905">
        <f>Dashboard_Live_Data!AR189</f>
        <v>223.20000000000005</v>
      </c>
      <c r="D1905">
        <f>Dashboard_Live_Data!AS189</f>
        <v>1853.5962489578701</v>
      </c>
      <c r="E1905">
        <f>Dashboard_Live_Data!AT189</f>
        <v>446.40000000000009</v>
      </c>
      <c r="F1905">
        <f>Dashboard_Live_Data!AU189</f>
        <v>3967.4807487458083</v>
      </c>
      <c r="G1905">
        <f>Dashboard_Live_Data!AV189</f>
        <v>446.40000000000009</v>
      </c>
      <c r="H1905">
        <f>Dashboard_Live_Data!AW189</f>
        <v>3936.8097483681718</v>
      </c>
    </row>
    <row r="1906" spans="1:8">
      <c r="A1906">
        <f>Dashboard_Live_Data!AP190</f>
        <v>34.019999999999996</v>
      </c>
      <c r="B1906">
        <f>Dashboard_Live_Data!AQ190</f>
        <v>2694.1066115218923</v>
      </c>
      <c r="C1906">
        <f>Dashboard_Live_Data!AR190</f>
        <v>226.79999999999995</v>
      </c>
      <c r="D1906">
        <f>Dashboard_Live_Data!AS190</f>
        <v>1889.5699053140133</v>
      </c>
      <c r="E1906">
        <f>Dashboard_Live_Data!AT190</f>
        <v>453.59999999999991</v>
      </c>
      <c r="F1906">
        <f>Dashboard_Live_Data!AU190</f>
        <v>4054.3706512176195</v>
      </c>
      <c r="G1906">
        <f>Dashboard_Live_Data!AV190</f>
        <v>453.59999999999991</v>
      </c>
      <c r="H1906">
        <f>Dashboard_Live_Data!AW190</f>
        <v>4023.9188730757278</v>
      </c>
    </row>
    <row r="1907" spans="1:8">
      <c r="A1907">
        <f>Dashboard_Live_Data!AP191</f>
        <v>34.5</v>
      </c>
      <c r="B1907">
        <f>Dashboard_Live_Data!AQ191</f>
        <v>2694.5893132697602</v>
      </c>
      <c r="C1907">
        <f>Dashboard_Live_Data!AR191</f>
        <v>230</v>
      </c>
      <c r="D1907">
        <f>Dashboard_Live_Data!AS191</f>
        <v>1921.4798302362296</v>
      </c>
      <c r="E1907">
        <f>Dashboard_Live_Data!AT191</f>
        <v>460</v>
      </c>
      <c r="F1907">
        <f>Dashboard_Live_Data!AU191</f>
        <v>4132.7477325196587</v>
      </c>
      <c r="G1907">
        <f>Dashboard_Live_Data!AV191</f>
        <v>460</v>
      </c>
      <c r="H1907">
        <f>Dashboard_Live_Data!AW191</f>
        <v>4102.5004112922288</v>
      </c>
    </row>
    <row r="1908" spans="1:8">
      <c r="A1908">
        <f>Dashboard_Live_Data!AP192</f>
        <v>34.980000000000004</v>
      </c>
      <c r="B1908">
        <f>Dashboard_Live_Data!AQ192</f>
        <v>2695.2278389412959</v>
      </c>
      <c r="C1908">
        <f>Dashboard_Live_Data!AR192</f>
        <v>233.19999999999993</v>
      </c>
      <c r="D1908">
        <f>Dashboard_Live_Data!AS192</f>
        <v>1953.5879483646522</v>
      </c>
      <c r="E1908">
        <f>Dashboard_Live_Data!AT192</f>
        <v>466.39999999999986</v>
      </c>
      <c r="F1908">
        <f>Dashboard_Live_Data!AU192</f>
        <v>4211.9413090353128</v>
      </c>
      <c r="G1908">
        <f>Dashboard_Live_Data!AV192</f>
        <v>466.39999999999986</v>
      </c>
      <c r="H1908">
        <f>Dashboard_Live_Data!AW192</f>
        <v>4181.9122594539649</v>
      </c>
    </row>
    <row r="1909" spans="1:8">
      <c r="A1909">
        <f>Dashboard_Live_Data!AP193</f>
        <v>35.52000000000001</v>
      </c>
      <c r="B1909">
        <f>Dashboard_Live_Data!AQ193</f>
        <v>2695.8930735840954</v>
      </c>
      <c r="C1909">
        <f>Dashboard_Live_Data!AR193</f>
        <v>236.80000000000007</v>
      </c>
      <c r="D1909">
        <f>Dashboard_Live_Data!AS193</f>
        <v>1990.0401318933384</v>
      </c>
      <c r="E1909">
        <f>Dashboard_Live_Data!AT193</f>
        <v>473.60000000000014</v>
      </c>
      <c r="F1909">
        <f>Dashboard_Live_Data!AU193</f>
        <v>4301.4635118338947</v>
      </c>
      <c r="G1909">
        <f>Dashboard_Live_Data!AV193</f>
        <v>473.60000000000014</v>
      </c>
      <c r="H1909">
        <f>Dashboard_Live_Data!AW193</f>
        <v>4271.7048468823714</v>
      </c>
    </row>
    <row r="1910" spans="1:8">
      <c r="A1910">
        <f>Dashboard_Live_Data!AP194</f>
        <v>36</v>
      </c>
      <c r="B1910">
        <f>Dashboard_Live_Data!AQ194</f>
        <v>2696.4463864364902</v>
      </c>
      <c r="C1910">
        <f>Dashboard_Live_Data!AR194</f>
        <v>240</v>
      </c>
      <c r="D1910">
        <f>Dashboard_Live_Data!AS194</f>
        <v>2022.8801679683361</v>
      </c>
      <c r="E1910">
        <f>Dashboard_Live_Data!AT194</f>
        <v>480</v>
      </c>
      <c r="F1910">
        <f>Dashboard_Live_Data!AU194</f>
        <v>4382.539155040683</v>
      </c>
      <c r="G1910">
        <f>Dashboard_Live_Data!AV194</f>
        <v>480</v>
      </c>
      <c r="H1910">
        <f>Dashboard_Live_Data!AW194</f>
        <v>4353.0259921204488</v>
      </c>
    </row>
    <row r="1911" spans="1:8">
      <c r="A1911">
        <f>Dashboard_Live_Data!AP195</f>
        <v>36.480000000000004</v>
      </c>
      <c r="B1911">
        <f>Dashboard_Live_Data!AQ195</f>
        <v>2696.9847033524652</v>
      </c>
      <c r="C1911">
        <f>Dashboard_Live_Data!AR195</f>
        <v>243.20000000000005</v>
      </c>
      <c r="D1911">
        <f>Dashboard_Live_Data!AS195</f>
        <v>2055.9167011409659</v>
      </c>
      <c r="E1911">
        <f>Dashboard_Live_Data!AT195</f>
        <v>486.40000000000009</v>
      </c>
      <c r="F1911">
        <f>Dashboard_Live_Data!AU195</f>
        <v>4463.7348531875177</v>
      </c>
      <c r="G1911">
        <f>Dashboard_Live_Data!AV195</f>
        <v>486.40000000000009</v>
      </c>
      <c r="H1911">
        <f>Dashboard_Live_Data!AW195</f>
        <v>4434.4910214656966</v>
      </c>
    </row>
    <row r="1912" spans="1:8">
      <c r="A1912">
        <f>Dashboard_Live_Data!AP196</f>
        <v>37.019999999999996</v>
      </c>
      <c r="B1912">
        <f>Dashboard_Live_Data!AQ196</f>
        <v>2697.5027559631326</v>
      </c>
      <c r="C1912">
        <f>Dashboard_Live_Data!AR196</f>
        <v>246.79999999999995</v>
      </c>
      <c r="D1912">
        <f>Dashboard_Live_Data!AS196</f>
        <v>2093.535999451713</v>
      </c>
      <c r="E1912">
        <f>Dashboard_Live_Data!AT196</f>
        <v>493.59999999999991</v>
      </c>
      <c r="F1912">
        <f>Dashboard_Live_Data!AU196</f>
        <v>4556.3885695193476</v>
      </c>
      <c r="G1912">
        <f>Dashboard_Live_Data!AV196</f>
        <v>493.59999999999991</v>
      </c>
      <c r="H1912">
        <f>Dashboard_Live_Data!AW196</f>
        <v>4527.4595208184792</v>
      </c>
    </row>
    <row r="1913" spans="1:8">
      <c r="A1913">
        <f>Dashboard_Live_Data!AP197</f>
        <v>37.5</v>
      </c>
      <c r="B1913">
        <f>Dashboard_Live_Data!AQ197</f>
        <v>2698.211716438776</v>
      </c>
      <c r="C1913">
        <f>Dashboard_Live_Data!AR197</f>
        <v>250</v>
      </c>
      <c r="D1913">
        <f>Dashboard_Live_Data!AS197</f>
        <v>2127.0890152273869</v>
      </c>
      <c r="E1913">
        <f>Dashboard_Live_Data!AT197</f>
        <v>500</v>
      </c>
      <c r="F1913">
        <f>Dashboard_Live_Data!AU197</f>
        <v>4639.8085071502774</v>
      </c>
      <c r="G1913">
        <f>Dashboard_Live_Data!AV197</f>
        <v>500</v>
      </c>
      <c r="H1913">
        <f>Dashboard_Live_Data!AW197</f>
        <v>4611.1716118682671</v>
      </c>
    </row>
    <row r="1914" spans="1:8">
      <c r="A1914">
        <f>Dashboard_Live_Data!AP198</f>
        <v>37.980000000000004</v>
      </c>
      <c r="B1914">
        <f>Dashboard_Live_Data!AQ198</f>
        <v>2698.7445748679534</v>
      </c>
      <c r="C1914">
        <f>Dashboard_Live_Data!AR198</f>
        <v>253.20000000000005</v>
      </c>
      <c r="D1914">
        <f>Dashboard_Live_Data!AS198</f>
        <v>2160.6819275242242</v>
      </c>
      <c r="E1914">
        <f>Dashboard_Live_Data!AT198</f>
        <v>506.40000000000009</v>
      </c>
      <c r="F1914">
        <f>Dashboard_Live_Data!AU198</f>
        <v>4723.4754348042952</v>
      </c>
      <c r="G1914">
        <f>Dashboard_Live_Data!AV198</f>
        <v>506.40000000000009</v>
      </c>
      <c r="H1914">
        <f>Dashboard_Live_Data!AW198</f>
        <v>4695.1516327932304</v>
      </c>
    </row>
    <row r="1915" spans="1:8">
      <c r="A1915">
        <f>Dashboard_Live_Data!AP199</f>
        <v>38.519999999999996</v>
      </c>
      <c r="B1915">
        <f>Dashboard_Live_Data!AQ199</f>
        <v>2699.5507501819761</v>
      </c>
      <c r="C1915">
        <f>Dashboard_Live_Data!AR199</f>
        <v>256.79999999999995</v>
      </c>
      <c r="D1915">
        <f>Dashboard_Live_Data!AS199</f>
        <v>2198.8670009595298</v>
      </c>
      <c r="E1915">
        <f>Dashboard_Live_Data!AT199</f>
        <v>513.59999999999991</v>
      </c>
      <c r="F1915">
        <f>Dashboard_Live_Data!AU199</f>
        <v>4819.2543627230234</v>
      </c>
      <c r="G1915">
        <f>Dashboard_Live_Data!AV199</f>
        <v>513.59999999999991</v>
      </c>
      <c r="H1915">
        <f>Dashboard_Live_Data!AW199</f>
        <v>4791.2912850201192</v>
      </c>
    </row>
    <row r="1916" spans="1:8">
      <c r="A1916">
        <f>Dashboard_Live_Data!AP200</f>
        <v>39</v>
      </c>
      <c r="B1916">
        <f>Dashboard_Live_Data!AQ200</f>
        <v>2700.1000665260294</v>
      </c>
      <c r="C1916">
        <f>Dashboard_Live_Data!AR200</f>
        <v>260</v>
      </c>
      <c r="D1916">
        <f>Dashboard_Live_Data!AS200</f>
        <v>2233.3796452003226</v>
      </c>
      <c r="E1916">
        <f>Dashboard_Live_Data!AT200</f>
        <v>520</v>
      </c>
      <c r="F1916">
        <f>Dashboard_Live_Data!AU200</f>
        <v>4905.0062605782241</v>
      </c>
      <c r="G1916">
        <f>Dashboard_Live_Data!AV200</f>
        <v>520</v>
      </c>
      <c r="H1916">
        <f>Dashboard_Live_Data!AW200</f>
        <v>4877.3816308441801</v>
      </c>
    </row>
    <row r="1917" spans="1:8">
      <c r="A1917">
        <f>Dashboard_Live_Data!AP201</f>
        <v>39.47999999999999</v>
      </c>
      <c r="B1917">
        <f>Dashboard_Live_Data!AQ201</f>
        <v>2700.798934050626</v>
      </c>
      <c r="C1917">
        <f>Dashboard_Live_Data!AR201</f>
        <v>263.19999999999993</v>
      </c>
      <c r="D1917">
        <f>Dashboard_Live_Data!AS201</f>
        <v>2268.093572924754</v>
      </c>
      <c r="E1917">
        <f>Dashboard_Live_Data!AT201</f>
        <v>526.39999999999986</v>
      </c>
      <c r="F1917">
        <f>Dashboard_Live_Data!AU201</f>
        <v>4991.4893814494799</v>
      </c>
      <c r="G1917">
        <f>Dashboard_Live_Data!AV201</f>
        <v>526.39999999999986</v>
      </c>
      <c r="H1917">
        <f>Dashboard_Live_Data!AW201</f>
        <v>4964.2179962937817</v>
      </c>
    </row>
    <row r="1918" spans="1:8">
      <c r="A1918">
        <f>Dashboard_Live_Data!AP202</f>
        <v>40.019999999999996</v>
      </c>
      <c r="B1918">
        <f>Dashboard_Live_Data!AQ202</f>
        <v>2701.6135071673953</v>
      </c>
      <c r="C1918">
        <f>Dashboard_Live_Data!AR202</f>
        <v>266.80000000000007</v>
      </c>
      <c r="D1918">
        <f>Dashboard_Live_Data!AS202</f>
        <v>2307.269279658743</v>
      </c>
      <c r="E1918">
        <f>Dashboard_Live_Data!AT202</f>
        <v>533.60000000000014</v>
      </c>
      <c r="F1918">
        <f>Dashboard_Live_Data!AU202</f>
        <v>5090.1470497930613</v>
      </c>
      <c r="G1918">
        <f>Dashboard_Live_Data!AV202</f>
        <v>533.60000000000014</v>
      </c>
      <c r="H1918">
        <f>Dashboard_Live_Data!AW202</f>
        <v>5063.2857521844699</v>
      </c>
    </row>
    <row r="1919" spans="1:8">
      <c r="A1919">
        <f>Dashboard_Live_Data!AP203</f>
        <v>40.5</v>
      </c>
      <c r="B1919">
        <f>Dashboard_Live_Data!AQ203</f>
        <v>2702.2275564022739</v>
      </c>
      <c r="C1919">
        <f>Dashboard_Live_Data!AR203</f>
        <v>270</v>
      </c>
      <c r="D1919">
        <f>Dashboard_Live_Data!AS203</f>
        <v>2342.3978367116929</v>
      </c>
      <c r="E1919">
        <f>Dashboard_Live_Data!AT203</f>
        <v>540</v>
      </c>
      <c r="F1919">
        <f>Dashboard_Live_Data!AU203</f>
        <v>5178.5082795811222</v>
      </c>
      <c r="G1919">
        <f>Dashboard_Live_Data!AV203</f>
        <v>540</v>
      </c>
      <c r="H1919">
        <f>Dashboard_Live_Data!AW203</f>
        <v>5152.0283868009174</v>
      </c>
    </row>
    <row r="1920" spans="1:8">
      <c r="A1920">
        <f>Dashboard_Live_Data!AP204</f>
        <v>40.980000000000004</v>
      </c>
      <c r="B1920">
        <f>Dashboard_Live_Data!AQ204</f>
        <v>2702.9347012405674</v>
      </c>
      <c r="C1920">
        <f>Dashboard_Live_Data!AR204</f>
        <v>273.20000000000005</v>
      </c>
      <c r="D1920">
        <f>Dashboard_Live_Data!AS204</f>
        <v>2377.586319197082</v>
      </c>
      <c r="E1920">
        <f>Dashboard_Live_Data!AT204</f>
        <v>546.40000000000009</v>
      </c>
      <c r="F1920">
        <f>Dashboard_Live_Data!AU204</f>
        <v>5267.4812917949212</v>
      </c>
      <c r="G1920">
        <f>Dashboard_Live_Data!AV204</f>
        <v>546.40000000000009</v>
      </c>
      <c r="H1920">
        <f>Dashboard_Live_Data!AW204</f>
        <v>5241.3985225164788</v>
      </c>
    </row>
    <row r="1921" spans="1:8">
      <c r="A1921">
        <f>Dashboard_Live_Data!AP205</f>
        <v>41.519999999999996</v>
      </c>
      <c r="B1921">
        <f>Dashboard_Live_Data!AQ205</f>
        <v>2703.8102548708271</v>
      </c>
      <c r="C1921">
        <f>Dashboard_Live_Data!AR205</f>
        <v>276.79999999999995</v>
      </c>
      <c r="D1921">
        <f>Dashboard_Live_Data!AS205</f>
        <v>2417.6598864735997</v>
      </c>
      <c r="E1921">
        <f>Dashboard_Live_Data!AT205</f>
        <v>553.59999999999991</v>
      </c>
      <c r="F1921">
        <f>Dashboard_Live_Data!AU205</f>
        <v>5369.1561202217617</v>
      </c>
      <c r="G1921">
        <f>Dashboard_Live_Data!AV205</f>
        <v>553.59999999999991</v>
      </c>
      <c r="H1921">
        <f>Dashboard_Live_Data!AW205</f>
        <v>5343.5312999492644</v>
      </c>
    </row>
    <row r="1922" spans="1:8">
      <c r="A1922">
        <f>Dashboard_Live_Data!AP206</f>
        <v>42</v>
      </c>
      <c r="B1922">
        <f>Dashboard_Live_Data!AQ206</f>
        <v>2704.614349908813</v>
      </c>
      <c r="C1922">
        <f>Dashboard_Live_Data!AR206</f>
        <v>280</v>
      </c>
      <c r="D1922">
        <f>Dashboard_Live_Data!AS206</f>
        <v>2453.8264418630224</v>
      </c>
      <c r="E1922">
        <f>Dashboard_Live_Data!AT206</f>
        <v>560</v>
      </c>
      <c r="F1922">
        <f>Dashboard_Live_Data!AU206</f>
        <v>5459.8605829956996</v>
      </c>
      <c r="G1922">
        <f>Dashboard_Live_Data!AV206</f>
        <v>560</v>
      </c>
      <c r="H1922">
        <f>Dashboard_Live_Data!AW206</f>
        <v>5434.6621505308067</v>
      </c>
    </row>
    <row r="1923" spans="1:8">
      <c r="A1923">
        <f>Dashboard_Live_Data!AP207</f>
        <v>42.480000000000004</v>
      </c>
      <c r="B1923">
        <f>Dashboard_Live_Data!AQ207</f>
        <v>2705.3495311488232</v>
      </c>
      <c r="C1923">
        <f>Dashboard_Live_Data!AR207</f>
        <v>283.19999999999993</v>
      </c>
      <c r="D1923">
        <f>Dashboard_Live_Data!AS207</f>
        <v>2490.2166397829856</v>
      </c>
      <c r="E1923">
        <f>Dashboard_Live_Data!AT207</f>
        <v>566.39999999999986</v>
      </c>
      <c r="F1923">
        <f>Dashboard_Live_Data!AU207</f>
        <v>5551.6388512875928</v>
      </c>
      <c r="G1923">
        <f>Dashboard_Live_Data!AV207</f>
        <v>566.39999999999986</v>
      </c>
      <c r="H1923">
        <f>Dashboard_Live_Data!AW207</f>
        <v>5526.8783790378302</v>
      </c>
    </row>
    <row r="1924" spans="1:8">
      <c r="A1924">
        <f>Dashboard_Live_Data!AP208</f>
        <v>43.02000000000001</v>
      </c>
      <c r="B1924">
        <f>Dashboard_Live_Data!AQ208</f>
        <v>2706.4288747660044</v>
      </c>
      <c r="C1924">
        <f>Dashboard_Live_Data!AR208</f>
        <v>286.80000000000007</v>
      </c>
      <c r="D1924">
        <f>Dashboard_Live_Data!AS208</f>
        <v>2531.154808755311</v>
      </c>
      <c r="E1924">
        <f>Dashboard_Live_Data!AT208</f>
        <v>573.60000000000014</v>
      </c>
      <c r="F1924">
        <f>Dashboard_Live_Data!AU208</f>
        <v>5656.2511890795613</v>
      </c>
      <c r="G1924">
        <f>Dashboard_Live_Data!AV208</f>
        <v>573.60000000000014</v>
      </c>
      <c r="H1924">
        <f>Dashboard_Live_Data!AW208</f>
        <v>5631.9969689362852</v>
      </c>
    </row>
    <row r="1925" spans="1:8">
      <c r="A1925">
        <f>Dashboard_Live_Data!AP209</f>
        <v>43.5</v>
      </c>
      <c r="B1925">
        <f>Dashboard_Live_Data!AQ209</f>
        <v>2707.1859976785427</v>
      </c>
      <c r="C1925">
        <f>Dashboard_Live_Data!AR209</f>
        <v>290</v>
      </c>
      <c r="D1925">
        <f>Dashboard_Live_Data!AS209</f>
        <v>2567.7411755466196</v>
      </c>
      <c r="E1925">
        <f>Dashboard_Live_Data!AT209</f>
        <v>580</v>
      </c>
      <c r="F1925">
        <f>Dashboard_Live_Data!AU209</f>
        <v>5749.3574043712242</v>
      </c>
      <c r="G1925">
        <f>Dashboard_Live_Data!AV209</f>
        <v>580</v>
      </c>
      <c r="H1925">
        <f>Dashboard_Live_Data!AW209</f>
        <v>5725.5731708500762</v>
      </c>
    </row>
    <row r="1926" spans="1:8">
      <c r="A1926">
        <f>Dashboard_Live_Data!AP210</f>
        <v>43.980000000000004</v>
      </c>
      <c r="B1926">
        <f>Dashboard_Live_Data!AQ210</f>
        <v>2708.0535136916324</v>
      </c>
      <c r="C1926">
        <f>Dashboard_Live_Data!AR210</f>
        <v>293.20000000000005</v>
      </c>
      <c r="D1926">
        <f>Dashboard_Live_Data!AS210</f>
        <v>2604.7028372749974</v>
      </c>
      <c r="E1926">
        <f>Dashboard_Live_Data!AT210</f>
        <v>586.40000000000009</v>
      </c>
      <c r="F1926">
        <f>Dashboard_Live_Data!AU210</f>
        <v>5844.2746200925321</v>
      </c>
      <c r="G1926">
        <f>Dashboard_Live_Data!AV210</f>
        <v>586.40000000000009</v>
      </c>
      <c r="H1926">
        <f>Dashboard_Live_Data!AW210</f>
        <v>5820.9670434296495</v>
      </c>
    </row>
    <row r="1927" spans="1:8">
      <c r="A1927">
        <f>Dashboard_Live_Data!AP211</f>
        <v>44.519999999999996</v>
      </c>
      <c r="B1927">
        <f>Dashboard_Live_Data!AQ211</f>
        <v>2708.9759331232062</v>
      </c>
      <c r="C1927">
        <f>Dashboard_Live_Data!AR211</f>
        <v>296.79999999999995</v>
      </c>
      <c r="D1927">
        <f>Dashboard_Live_Data!AS211</f>
        <v>2646.9794339407081</v>
      </c>
      <c r="E1927">
        <f>Dashboard_Live_Data!AT211</f>
        <v>593.59999999999991</v>
      </c>
      <c r="F1927">
        <f>Dashboard_Live_Data!AU211</f>
        <v>5951.4289657749514</v>
      </c>
      <c r="G1927">
        <f>Dashboard_Live_Data!AV211</f>
        <v>593.59999999999991</v>
      </c>
      <c r="H1927">
        <f>Dashboard_Live_Data!AW211</f>
        <v>5928.6780038190936</v>
      </c>
    </row>
    <row r="1928" spans="1:8">
      <c r="A1928">
        <f>Dashboard_Live_Data!AP212</f>
        <v>45</v>
      </c>
      <c r="B1928">
        <f>Dashboard_Live_Data!AQ212</f>
        <v>2709.9297554985205</v>
      </c>
      <c r="C1928">
        <f>Dashboard_Live_Data!AR212</f>
        <v>300</v>
      </c>
      <c r="D1928">
        <f>Dashboard_Live_Data!AS212</f>
        <v>2684.8439175922672</v>
      </c>
      <c r="E1928">
        <f>Dashboard_Live_Data!AT212</f>
        <v>600</v>
      </c>
      <c r="F1928">
        <f>Dashboard_Live_Data!AU212</f>
        <v>6047.7020502811029</v>
      </c>
      <c r="G1928">
        <f>Dashboard_Live_Data!AV212</f>
        <v>600</v>
      </c>
      <c r="H1928">
        <f>Dashboard_Live_Data!AW212</f>
        <v>6025.4591988659058</v>
      </c>
    </row>
    <row r="1929" spans="1:8">
      <c r="A1929">
        <f>Dashboard_Live_Data!AP213</f>
        <v>45.480000000000004</v>
      </c>
      <c r="B1929">
        <f>Dashboard_Live_Data!AQ213</f>
        <v>2710.7767597783932</v>
      </c>
      <c r="C1929">
        <f>Dashboard_Live_Data!AR213</f>
        <v>303.20000000000005</v>
      </c>
      <c r="D1929">
        <f>Dashboard_Live_Data!AS213</f>
        <v>2722.7356281270404</v>
      </c>
      <c r="E1929">
        <f>Dashboard_Live_Data!AT213</f>
        <v>606.40000000000009</v>
      </c>
      <c r="F1929">
        <f>Dashboard_Live_Data!AU213</f>
        <v>6145.1113384527371</v>
      </c>
      <c r="G1929">
        <f>Dashboard_Live_Data!AV213</f>
        <v>606.40000000000009</v>
      </c>
      <c r="H1929">
        <f>Dashboard_Live_Data!AW213</f>
        <v>6123.388242453002</v>
      </c>
    </row>
    <row r="1930" spans="1:8">
      <c r="A1930">
        <f>Dashboard_Live_Data!AP214</f>
        <v>46.019999999999996</v>
      </c>
      <c r="B1930">
        <f>Dashboard_Live_Data!AQ214</f>
        <v>2711.6756857341511</v>
      </c>
      <c r="C1930">
        <f>Dashboard_Live_Data!AR214</f>
        <v>306.79999999999995</v>
      </c>
      <c r="D1930">
        <f>Dashboard_Live_Data!AS214</f>
        <v>2765.5141301691888</v>
      </c>
      <c r="E1930">
        <f>Dashboard_Live_Data!AT214</f>
        <v>613.59999999999991</v>
      </c>
      <c r="F1930">
        <f>Dashboard_Live_Data!AU214</f>
        <v>6255.2175947007745</v>
      </c>
      <c r="G1930">
        <f>Dashboard_Live_Data!AV214</f>
        <v>613.59999999999991</v>
      </c>
      <c r="H1930">
        <f>Dashboard_Live_Data!AW214</f>
        <v>6234.0978575250019</v>
      </c>
    </row>
    <row r="1931" spans="1:8">
      <c r="A1931">
        <f>Dashboard_Live_Data!AP215</f>
        <v>46.5</v>
      </c>
      <c r="B1931">
        <f>Dashboard_Live_Data!AQ215</f>
        <v>2712.6188196120961</v>
      </c>
      <c r="C1931">
        <f>Dashboard_Live_Data!AR215</f>
        <v>310</v>
      </c>
      <c r="D1931">
        <f>Dashboard_Live_Data!AS215</f>
        <v>2803.9763312366531</v>
      </c>
      <c r="E1931">
        <f>Dashboard_Live_Data!AT215</f>
        <v>620</v>
      </c>
      <c r="F1931">
        <f>Dashboard_Live_Data!AU215</f>
        <v>6354.2808257531133</v>
      </c>
      <c r="G1931">
        <f>Dashboard_Live_Data!AV215</f>
        <v>620</v>
      </c>
      <c r="H1931">
        <f>Dashboard_Live_Data!AW215</f>
        <v>6333.7098311128047</v>
      </c>
    </row>
    <row r="1932" spans="1:8">
      <c r="A1932">
        <f>Dashboard_Live_Data!AP216</f>
        <v>46.97999999999999</v>
      </c>
      <c r="B1932">
        <f>Dashboard_Live_Data!AQ216</f>
        <v>2713.4032506309049</v>
      </c>
      <c r="C1932">
        <f>Dashboard_Live_Data!AR216</f>
        <v>313.19999999999993</v>
      </c>
      <c r="D1932">
        <f>Dashboard_Live_Data!AS216</f>
        <v>2842.8304615876677</v>
      </c>
      <c r="E1932">
        <f>Dashboard_Live_Data!AT216</f>
        <v>626.39999999999986</v>
      </c>
      <c r="F1932">
        <f>Dashboard_Live_Data!AU216</f>
        <v>6454.255793929251</v>
      </c>
      <c r="G1932">
        <f>Dashboard_Live_Data!AV216</f>
        <v>626.39999999999986</v>
      </c>
      <c r="H1932">
        <f>Dashboard_Live_Data!AW216</f>
        <v>6434.2464090236699</v>
      </c>
    </row>
    <row r="1933" spans="1:8">
      <c r="A1933">
        <f>Dashboard_Live_Data!AP217</f>
        <v>47.519999999999996</v>
      </c>
      <c r="B1933">
        <f>Dashboard_Live_Data!AQ217</f>
        <v>2714.4305325830087</v>
      </c>
      <c r="C1933">
        <f>Dashboard_Live_Data!AR217</f>
        <v>316.80000000000007</v>
      </c>
      <c r="D1933">
        <f>Dashboard_Live_Data!AS217</f>
        <v>2886.984046410364</v>
      </c>
      <c r="E1933">
        <f>Dashboard_Live_Data!AT217</f>
        <v>633.60000000000014</v>
      </c>
      <c r="F1933">
        <f>Dashboard_Live_Data!AU217</f>
        <v>6567.3472902900339</v>
      </c>
      <c r="G1933">
        <f>Dashboard_Live_Data!AV217</f>
        <v>633.60000000000014</v>
      </c>
      <c r="H1933">
        <f>Dashboard_Live_Data!AW217</f>
        <v>6547.9871884356353</v>
      </c>
    </row>
    <row r="1934" spans="1:8">
      <c r="A1934">
        <f>Dashboard_Live_Data!AP218</f>
        <v>48</v>
      </c>
      <c r="B1934">
        <f>Dashboard_Live_Data!AQ218</f>
        <v>2715.1240578360221</v>
      </c>
      <c r="C1934">
        <f>Dashboard_Live_Data!AR218</f>
        <v>320</v>
      </c>
      <c r="D1934">
        <f>Dashboard_Live_Data!AS218</f>
        <v>2926.6072868304295</v>
      </c>
      <c r="E1934">
        <f>Dashboard_Live_Data!AT218</f>
        <v>640</v>
      </c>
      <c r="F1934">
        <f>Dashboard_Live_Data!AU218</f>
        <v>6669.1577665974264</v>
      </c>
      <c r="G1934">
        <f>Dashboard_Live_Data!AV218</f>
        <v>640</v>
      </c>
      <c r="H1934">
        <f>Dashboard_Live_Data!AW218</f>
        <v>6650.386871354116</v>
      </c>
    </row>
    <row r="1935" spans="1:8">
      <c r="A1935">
        <f>Dashboard_Live_Data!AP219</f>
        <v>48.480000000000004</v>
      </c>
      <c r="B1935">
        <f>Dashboard_Live_Data!AQ219</f>
        <v>2716.0288479017681</v>
      </c>
      <c r="C1935">
        <f>Dashboard_Live_Data!AR219</f>
        <v>323.20000000000005</v>
      </c>
      <c r="D1935">
        <f>Dashboard_Live_Data!AS219</f>
        <v>2966.1118770408548</v>
      </c>
      <c r="E1935">
        <f>Dashboard_Live_Data!AT219</f>
        <v>646.40000000000009</v>
      </c>
      <c r="F1935">
        <f>Dashboard_Live_Data!AU219</f>
        <v>6771.9546878484725</v>
      </c>
      <c r="G1935">
        <f>Dashboard_Live_Data!AV219</f>
        <v>646.40000000000009</v>
      </c>
      <c r="H1935">
        <f>Dashboard_Live_Data!AW219</f>
        <v>6753.7854563481624</v>
      </c>
    </row>
    <row r="1936" spans="1:8">
      <c r="A1936">
        <f>Dashboard_Live_Data!AP220</f>
        <v>49.019999999999996</v>
      </c>
      <c r="B1936">
        <f>Dashboard_Live_Data!AQ220</f>
        <v>2717.0017454216668</v>
      </c>
      <c r="C1936">
        <f>Dashboard_Live_Data!AR220</f>
        <v>326.79999999999995</v>
      </c>
      <c r="D1936">
        <f>Dashboard_Live_Data!AS220</f>
        <v>3010.7839804780428</v>
      </c>
      <c r="E1936">
        <f>Dashboard_Live_Data!AT220</f>
        <v>653.59999999999991</v>
      </c>
      <c r="F1936">
        <f>Dashboard_Live_Data!AU220</f>
        <v>6888.0214262066011</v>
      </c>
      <c r="G1936">
        <f>Dashboard_Live_Data!AV220</f>
        <v>653.59999999999991</v>
      </c>
      <c r="H1936">
        <f>Dashboard_Live_Data!AW220</f>
        <v>6870.5468208439188</v>
      </c>
    </row>
    <row r="1937" spans="1:8">
      <c r="A1937">
        <f>Dashboard_Live_Data!AP221</f>
        <v>49.5</v>
      </c>
      <c r="B1937">
        <f>Dashboard_Live_Data!AQ221</f>
        <v>2717.7655816374827</v>
      </c>
      <c r="C1937">
        <f>Dashboard_Live_Data!AR221</f>
        <v>330</v>
      </c>
      <c r="D1937">
        <f>Dashboard_Live_Data!AS221</f>
        <v>3051.1779591603058</v>
      </c>
      <c r="E1937">
        <f>Dashboard_Live_Data!AT221</f>
        <v>660</v>
      </c>
      <c r="F1937">
        <f>Dashboard_Live_Data!AU221</f>
        <v>6992.888996566192</v>
      </c>
      <c r="G1937">
        <f>Dashboard_Live_Data!AV221</f>
        <v>660</v>
      </c>
      <c r="H1937">
        <f>Dashboard_Live_Data!AW221</f>
        <v>6976.0425191762042</v>
      </c>
    </row>
    <row r="1938" spans="1:8">
      <c r="A1938">
        <f>Dashboard_Live_Data!AP222</f>
        <v>49.980000000000004</v>
      </c>
      <c r="B1938">
        <f>Dashboard_Live_Data!AQ222</f>
        <v>2718.5624236411568</v>
      </c>
      <c r="C1938">
        <f>Dashboard_Live_Data!AR222</f>
        <v>333.19999999999993</v>
      </c>
      <c r="D1938">
        <f>Dashboard_Live_Data!AS222</f>
        <v>3091.9929842947872</v>
      </c>
      <c r="E1938">
        <f>Dashboard_Live_Data!AT222</f>
        <v>666.39999999999986</v>
      </c>
      <c r="F1938">
        <f>Dashboard_Live_Data!AU222</f>
        <v>7098.013869852497</v>
      </c>
      <c r="G1938">
        <f>Dashboard_Live_Data!AV222</f>
        <v>666.39999999999986</v>
      </c>
      <c r="H1938">
        <f>Dashboard_Live_Data!AW222</f>
        <v>7081.8104256366196</v>
      </c>
    </row>
    <row r="1939" spans="1:8">
      <c r="A1939">
        <f>Dashboard_Live_Data!AP223</f>
        <v>50.52000000000001</v>
      </c>
      <c r="B1939">
        <f>Dashboard_Live_Data!AQ223</f>
        <v>2719.4600228979743</v>
      </c>
      <c r="C1939">
        <f>Dashboard_Live_Data!AR223</f>
        <v>336.80000000000007</v>
      </c>
      <c r="D1939">
        <f>Dashboard_Live_Data!AS223</f>
        <v>3137.9971314740387</v>
      </c>
      <c r="E1939">
        <f>Dashboard_Live_Data!AT223</f>
        <v>673.60000000000014</v>
      </c>
      <c r="F1939">
        <f>Dashboard_Live_Data!AU223</f>
        <v>7217.5464800794807</v>
      </c>
      <c r="G1939">
        <f>Dashboard_Live_Data!AV223</f>
        <v>673.60000000000014</v>
      </c>
      <c r="H1939">
        <f>Dashboard_Live_Data!AW223</f>
        <v>7202.0807691718983</v>
      </c>
    </row>
    <row r="1940" spans="1:8">
      <c r="A1940">
        <f>Dashboard_Live_Data!AP224</f>
        <v>51</v>
      </c>
      <c r="B1940">
        <f>Dashboard_Live_Data!AQ224</f>
        <v>2720.284625130148</v>
      </c>
      <c r="C1940">
        <f>Dashboard_Live_Data!AR224</f>
        <v>340</v>
      </c>
      <c r="D1940">
        <f>Dashboard_Live_Data!AS224</f>
        <v>3179.0930306359223</v>
      </c>
      <c r="E1940">
        <f>Dashboard_Live_Data!AT224</f>
        <v>680</v>
      </c>
      <c r="F1940">
        <f>Dashboard_Live_Data!AU224</f>
        <v>7325.1092721845771</v>
      </c>
      <c r="G1940">
        <f>Dashboard_Live_Data!AV224</f>
        <v>680</v>
      </c>
      <c r="H1940">
        <f>Dashboard_Live_Data!AW224</f>
        <v>7310.3115934458438</v>
      </c>
    </row>
    <row r="1941" spans="1:8">
      <c r="A1941">
        <f>Dashboard_Live_Data!AP225</f>
        <v>51.480000000000004</v>
      </c>
      <c r="B1941">
        <f>Dashboard_Live_Data!AQ225</f>
        <v>2721.136694205718</v>
      </c>
      <c r="C1941">
        <f>Dashboard_Live_Data!AR225</f>
        <v>343.20000000000005</v>
      </c>
      <c r="D1941">
        <f>Dashboard_Live_Data!AS225</f>
        <v>3220.474419904112</v>
      </c>
      <c r="E1941">
        <f>Dashboard_Live_Data!AT225</f>
        <v>686.40000000000009</v>
      </c>
      <c r="F1941">
        <f>Dashboard_Live_Data!AU225</f>
        <v>7432.7823912122676</v>
      </c>
      <c r="G1941">
        <f>Dashboard_Live_Data!AV225</f>
        <v>686.40000000000009</v>
      </c>
      <c r="H1941">
        <f>Dashboard_Live_Data!AW225</f>
        <v>7418.6674296546635</v>
      </c>
    </row>
    <row r="1942" spans="1:8">
      <c r="A1942">
        <f>Dashboard_Live_Data!AP226</f>
        <v>52.019999999999996</v>
      </c>
      <c r="B1942">
        <f>Dashboard_Live_Data!AQ226</f>
        <v>2722.0161317735797</v>
      </c>
      <c r="C1942">
        <f>Dashboard_Live_Data!AR226</f>
        <v>346.79999999999995</v>
      </c>
      <c r="D1942">
        <f>Dashboard_Live_Data!AS226</f>
        <v>3267.3868480184751</v>
      </c>
      <c r="E1942">
        <f>Dashboard_Live_Data!AT226</f>
        <v>693.59999999999991</v>
      </c>
      <c r="F1942">
        <f>Dashboard_Live_Data!AU226</f>
        <v>7555.73320099179</v>
      </c>
      <c r="G1942">
        <f>Dashboard_Live_Data!AV226</f>
        <v>693.59999999999991</v>
      </c>
      <c r="H1942">
        <f>Dashboard_Live_Data!AW226</f>
        <v>7542.3991178521374</v>
      </c>
    </row>
    <row r="1943" spans="1:8">
      <c r="A1943">
        <f>Dashboard_Live_Data!AP227</f>
        <v>52.5</v>
      </c>
      <c r="B1943">
        <f>Dashboard_Live_Data!AQ227</f>
        <v>2722.8437124522143</v>
      </c>
      <c r="C1943">
        <f>Dashboard_Live_Data!AR227</f>
        <v>350</v>
      </c>
      <c r="D1943">
        <f>Dashboard_Live_Data!AS227</f>
        <v>3309.459484632871</v>
      </c>
      <c r="E1943">
        <f>Dashboard_Live_Data!AT227</f>
        <v>700</v>
      </c>
      <c r="F1943">
        <f>Dashboard_Live_Data!AU227</f>
        <v>7665.6363551419226</v>
      </c>
      <c r="G1943">
        <f>Dashboard_Live_Data!AV227</f>
        <v>700</v>
      </c>
      <c r="H1943">
        <f>Dashboard_Live_Data!AW227</f>
        <v>7653.0103761009914</v>
      </c>
    </row>
    <row r="1944" spans="1:8">
      <c r="A1944">
        <f>Dashboard_Live_Data!AP228</f>
        <v>52.980000000000004</v>
      </c>
      <c r="B1944">
        <f>Dashboard_Live_Data!AQ228</f>
        <v>2723.7535103247137</v>
      </c>
      <c r="C1944">
        <f>Dashboard_Live_Data!AR228</f>
        <v>353.20000000000005</v>
      </c>
      <c r="D1944">
        <f>Dashboard_Live_Data!AS228</f>
        <v>3352.0649024359104</v>
      </c>
      <c r="E1944">
        <f>Dashboard_Live_Data!AT228</f>
        <v>706.40000000000009</v>
      </c>
      <c r="F1944">
        <f>Dashboard_Live_Data!AU228</f>
        <v>7776.3134840233197</v>
      </c>
      <c r="G1944">
        <f>Dashboard_Live_Data!AV228</f>
        <v>706.40000000000009</v>
      </c>
      <c r="H1944">
        <f>Dashboard_Live_Data!AW228</f>
        <v>7764.4081350914239</v>
      </c>
    </row>
    <row r="1945" spans="1:8">
      <c r="A1945">
        <f>Dashboard_Live_Data!AP229</f>
        <v>53.519999999999996</v>
      </c>
      <c r="B1945">
        <f>Dashboard_Live_Data!AQ229</f>
        <v>2724.6194788259563</v>
      </c>
      <c r="C1945">
        <f>Dashboard_Live_Data!AR229</f>
        <v>356.79999999999995</v>
      </c>
      <c r="D1945">
        <f>Dashboard_Live_Data!AS229</f>
        <v>3400.2165495983063</v>
      </c>
      <c r="E1945">
        <f>Dashboard_Live_Data!AT229</f>
        <v>713.59999999999991</v>
      </c>
      <c r="F1945">
        <f>Dashboard_Live_Data!AU229</f>
        <v>7902.2341100275926</v>
      </c>
      <c r="G1945">
        <f>Dashboard_Live_Data!AV229</f>
        <v>713.59999999999991</v>
      </c>
      <c r="H1945">
        <f>Dashboard_Live_Data!AW229</f>
        <v>7891.1533948112265</v>
      </c>
    </row>
    <row r="1946" spans="1:8">
      <c r="A1946">
        <f>Dashboard_Live_Data!AP230</f>
        <v>54</v>
      </c>
      <c r="B1946">
        <f>Dashboard_Live_Data!AQ230</f>
        <v>2725.5426746113139</v>
      </c>
      <c r="C1946">
        <f>Dashboard_Live_Data!AR230</f>
        <v>360</v>
      </c>
      <c r="D1946">
        <f>Dashboard_Live_Data!AS230</f>
        <v>3443.0391736592751</v>
      </c>
      <c r="E1946">
        <f>Dashboard_Live_Data!AT230</f>
        <v>720</v>
      </c>
      <c r="F1946">
        <f>Dashboard_Live_Data!AU230</f>
        <v>8014.9694328813939</v>
      </c>
      <c r="G1946">
        <f>Dashboard_Live_Data!AV230</f>
        <v>720</v>
      </c>
      <c r="H1946">
        <f>Dashboard_Live_Data!AW230</f>
        <v>8004.6349696018278</v>
      </c>
    </row>
    <row r="1947" spans="1:8">
      <c r="A1947">
        <f>Dashboard_Live_Data!AP231</f>
        <v>54.47999999999999</v>
      </c>
      <c r="B1947">
        <f>Dashboard_Live_Data!AQ231</f>
        <v>2726.4905339389343</v>
      </c>
      <c r="C1947">
        <f>Dashboard_Live_Data!AR231</f>
        <v>363.19999999999993</v>
      </c>
      <c r="D1947">
        <f>Dashboard_Live_Data!AS231</f>
        <v>3486.1231127043511</v>
      </c>
      <c r="E1947">
        <f>Dashboard_Live_Data!AT231</f>
        <v>726.39999999999986</v>
      </c>
      <c r="F1947">
        <f>Dashboard_Live_Data!AU231</f>
        <v>8128.406130195016</v>
      </c>
      <c r="G1947">
        <f>Dashboard_Live_Data!AV231</f>
        <v>726.39999999999986</v>
      </c>
      <c r="H1947">
        <f>Dashboard_Live_Data!AW231</f>
        <v>8118.8303470518795</v>
      </c>
    </row>
    <row r="1948" spans="1:8">
      <c r="A1948">
        <f>Dashboard_Live_Data!AP232</f>
        <v>55.019999999999996</v>
      </c>
      <c r="B1948">
        <f>Dashboard_Live_Data!AQ232</f>
        <v>2727.3660689754033</v>
      </c>
      <c r="C1948">
        <f>Dashboard_Live_Data!AR232</f>
        <v>366.80000000000007</v>
      </c>
      <c r="D1948">
        <f>Dashboard_Live_Data!AS232</f>
        <v>3535.2172163611772</v>
      </c>
      <c r="E1948">
        <f>Dashboard_Live_Data!AT232</f>
        <v>733.60000000000014</v>
      </c>
      <c r="F1948">
        <f>Dashboard_Live_Data!AU232</f>
        <v>8257.7629002644753</v>
      </c>
      <c r="G1948">
        <f>Dashboard_Live_Data!AV232</f>
        <v>733.60000000000014</v>
      </c>
      <c r="H1948">
        <f>Dashboard_Live_Data!AW232</f>
        <v>8249.0540721429843</v>
      </c>
    </row>
    <row r="1949" spans="1:8">
      <c r="A1949">
        <f>Dashboard_Live_Data!AP233</f>
        <v>55.5</v>
      </c>
      <c r="B1949">
        <f>Dashboard_Live_Data!AQ233</f>
        <v>2728.4267562236205</v>
      </c>
      <c r="C1949">
        <f>Dashboard_Live_Data!AR233</f>
        <v>370</v>
      </c>
      <c r="D1949">
        <f>Dashboard_Live_Data!AS233</f>
        <v>3579.3846173845591</v>
      </c>
      <c r="E1949">
        <f>Dashboard_Live_Data!AT233</f>
        <v>740</v>
      </c>
      <c r="F1949">
        <f>Dashboard_Live_Data!AU233</f>
        <v>8373.1377315914651</v>
      </c>
      <c r="G1949">
        <f>Dashboard_Live_Data!AV233</f>
        <v>740</v>
      </c>
      <c r="H1949">
        <f>Dashboard_Live_Data!AW233</f>
        <v>8365.2131142691615</v>
      </c>
    </row>
    <row r="1950" spans="1:8">
      <c r="A1950">
        <f>Dashboard_Live_Data!AP234</f>
        <v>55.980000000000004</v>
      </c>
      <c r="B1950">
        <f>Dashboard_Live_Data!AQ234</f>
        <v>2729.3458026865251</v>
      </c>
      <c r="C1950">
        <f>Dashboard_Live_Data!AR234</f>
        <v>373.20000000000005</v>
      </c>
      <c r="D1950">
        <f>Dashboard_Live_Data!AS234</f>
        <v>3623.8013398415765</v>
      </c>
      <c r="E1950">
        <f>Dashboard_Live_Data!AT234</f>
        <v>746.40000000000009</v>
      </c>
      <c r="F1950">
        <f>Dashboard_Live_Data!AU234</f>
        <v>8489.6063171329315</v>
      </c>
      <c r="G1950">
        <f>Dashboard_Live_Data!AV234</f>
        <v>746.40000000000009</v>
      </c>
      <c r="H1950">
        <f>Dashboard_Live_Data!AW234</f>
        <v>8482.4776141264228</v>
      </c>
    </row>
    <row r="1951" spans="1:8">
      <c r="A1951">
        <f>Dashboard_Live_Data!AP235</f>
        <v>56.519999999999996</v>
      </c>
      <c r="B1951">
        <f>Dashboard_Live_Data!AQ235</f>
        <v>2730.3273772876369</v>
      </c>
      <c r="C1951">
        <f>Dashboard_Live_Data!AR235</f>
        <v>376.79999999999995</v>
      </c>
      <c r="D1951">
        <f>Dashboard_Live_Data!AS235</f>
        <v>3673.7926080967623</v>
      </c>
      <c r="E1951">
        <f>Dashboard_Live_Data!AT235</f>
        <v>753.59999999999991</v>
      </c>
      <c r="F1951">
        <f>Dashboard_Live_Data!AU235</f>
        <v>8622.0242394248799</v>
      </c>
      <c r="G1951">
        <f>Dashboard_Live_Data!AV235</f>
        <v>753.59999999999991</v>
      </c>
      <c r="H1951">
        <f>Dashboard_Live_Data!AW235</f>
        <v>8615.8048955832892</v>
      </c>
    </row>
    <row r="1952" spans="1:8">
      <c r="A1952">
        <f>Dashboard_Live_Data!AP236</f>
        <v>57</v>
      </c>
      <c r="B1952">
        <f>Dashboard_Live_Data!AQ236</f>
        <v>2731.2756154062386</v>
      </c>
      <c r="C1952">
        <f>Dashboard_Live_Data!AR236</f>
        <v>380</v>
      </c>
      <c r="D1952">
        <f>Dashboard_Live_Data!AS236</f>
        <v>3718.4769576241201</v>
      </c>
      <c r="E1952">
        <f>Dashboard_Live_Data!AT236</f>
        <v>760</v>
      </c>
      <c r="F1952">
        <f>Dashboard_Live_Data!AU236</f>
        <v>8739.9137668744534</v>
      </c>
      <c r="G1952">
        <f>Dashboard_Live_Data!AV236</f>
        <v>760</v>
      </c>
      <c r="H1952">
        <f>Dashboard_Live_Data!AW236</f>
        <v>8734.5160260477151</v>
      </c>
    </row>
    <row r="1953" spans="1:8">
      <c r="A1953">
        <f>Dashboard_Live_Data!AP237</f>
        <v>57.480000000000004</v>
      </c>
      <c r="B1953">
        <f>Dashboard_Live_Data!AQ237</f>
        <v>2732.4109903611452</v>
      </c>
      <c r="C1953">
        <f>Dashboard_Live_Data!AR237</f>
        <v>383.19999999999993</v>
      </c>
      <c r="D1953">
        <f>Dashboard_Live_Data!AS237</f>
        <v>3763.5617882218221</v>
      </c>
      <c r="E1953">
        <f>Dashboard_Live_Data!AT237</f>
        <v>766.39999999999986</v>
      </c>
      <c r="F1953">
        <f>Dashboard_Live_Data!AU237</f>
        <v>8859.6036444884012</v>
      </c>
      <c r="G1953">
        <f>Dashboard_Live_Data!AV237</f>
        <v>766.39999999999986</v>
      </c>
      <c r="H1953">
        <f>Dashboard_Live_Data!AW237</f>
        <v>8855.0386050321868</v>
      </c>
    </row>
    <row r="1954" spans="1:8">
      <c r="A1954">
        <f>Dashboard_Live_Data!AP238</f>
        <v>58.02000000000001</v>
      </c>
      <c r="B1954">
        <f>Dashboard_Live_Data!AQ238</f>
        <v>2733.3737112683802</v>
      </c>
      <c r="C1954">
        <f>Dashboard_Live_Data!AR238</f>
        <v>386.80000000000007</v>
      </c>
      <c r="D1954">
        <f>Dashboard_Live_Data!AS238</f>
        <v>3814.9348272569846</v>
      </c>
      <c r="E1954">
        <f>Dashboard_Live_Data!AT238</f>
        <v>773.60000000000014</v>
      </c>
      <c r="F1954">
        <f>Dashboard_Live_Data!AU238</f>
        <v>8994.6520223731113</v>
      </c>
      <c r="G1954">
        <f>Dashboard_Live_Data!AV238</f>
        <v>773.60000000000014</v>
      </c>
      <c r="H1954">
        <f>Dashboard_Live_Data!AW238</f>
        <v>8991.0382869333407</v>
      </c>
    </row>
    <row r="1955" spans="1:8">
      <c r="A1955">
        <f>Dashboard_Live_Data!AP239</f>
        <v>58.5</v>
      </c>
      <c r="B1955">
        <f>Dashboard_Live_Data!AQ239</f>
        <v>2734.400824079456</v>
      </c>
      <c r="C1955">
        <f>Dashboard_Live_Data!AR239</f>
        <v>390</v>
      </c>
      <c r="D1955">
        <f>Dashboard_Live_Data!AS239</f>
        <v>3861.0175580175628</v>
      </c>
      <c r="E1955">
        <f>Dashboard_Live_Data!AT239</f>
        <v>780</v>
      </c>
      <c r="F1955">
        <f>Dashboard_Live_Data!AU239</f>
        <v>9115.7810299135654</v>
      </c>
      <c r="G1955">
        <f>Dashboard_Live_Data!AV239</f>
        <v>780</v>
      </c>
      <c r="H1955">
        <f>Dashboard_Live_Data!AW239</f>
        <v>9113.0252304483129</v>
      </c>
    </row>
    <row r="1956" spans="1:8">
      <c r="A1956">
        <f>Dashboard_Live_Data!AP240</f>
        <v>58.980000000000004</v>
      </c>
      <c r="B1956">
        <f>Dashboard_Live_Data!AQ240</f>
        <v>2735.4474657815513</v>
      </c>
      <c r="C1956">
        <f>Dashboard_Live_Data!AR240</f>
        <v>393.20000000000005</v>
      </c>
      <c r="D1956">
        <f>Dashboard_Live_Data!AS240</f>
        <v>3907.2721084737309</v>
      </c>
      <c r="E1956">
        <f>Dashboard_Live_Data!AT240</f>
        <v>786.40000000000009</v>
      </c>
      <c r="F1956">
        <f>Dashboard_Live_Data!AU240</f>
        <v>9238.143445583908</v>
      </c>
      <c r="G1956">
        <f>Dashboard_Live_Data!AV240</f>
        <v>786.40000000000009</v>
      </c>
      <c r="H1956">
        <f>Dashboard_Live_Data!AW240</f>
        <v>9236.2571323090415</v>
      </c>
    </row>
    <row r="1957" spans="1:8">
      <c r="A1957">
        <f>Dashboard_Live_Data!AP241</f>
        <v>59.519999999999996</v>
      </c>
      <c r="B1957">
        <f>Dashboard_Live_Data!AQ241</f>
        <v>2736.577363887402</v>
      </c>
      <c r="C1957">
        <f>Dashboard_Live_Data!AR241</f>
        <v>396.79999999999995</v>
      </c>
      <c r="D1957">
        <f>Dashboard_Live_Data!AS241</f>
        <v>3959.1875965265444</v>
      </c>
      <c r="E1957">
        <f>Dashboard_Live_Data!AT241</f>
        <v>793.59999999999991</v>
      </c>
      <c r="F1957">
        <f>Dashboard_Live_Data!AU241</f>
        <v>9376.3675213349452</v>
      </c>
      <c r="G1957">
        <f>Dashboard_Live_Data!AV241</f>
        <v>793.59999999999991</v>
      </c>
      <c r="H1957">
        <f>Dashboard_Live_Data!AW241</f>
        <v>9375.4733755196976</v>
      </c>
    </row>
    <row r="1958" spans="1:8">
      <c r="A1958">
        <f>Dashboard_Live_Data!AP242</f>
        <v>60</v>
      </c>
      <c r="B1958">
        <f>Dashboard_Live_Data!AQ242</f>
        <v>2737.580395373951</v>
      </c>
      <c r="C1958">
        <f>Dashboard_Live_Data!AR242</f>
        <v>400</v>
      </c>
      <c r="D1958">
        <f>Dashboard_Live_Data!AS242</f>
        <v>4005.8185439109393</v>
      </c>
      <c r="E1958">
        <f>Dashboard_Live_Data!AT242</f>
        <v>800</v>
      </c>
      <c r="F1958">
        <f>Dashboard_Live_Data!AU242</f>
        <v>9500.4590031016614</v>
      </c>
      <c r="G1958">
        <f>Dashboard_Live_Data!AV242</f>
        <v>800</v>
      </c>
      <c r="H1958">
        <f>Dashboard_Live_Data!AW242</f>
        <v>9500.4590031016614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4"/>
  <sheetViews>
    <sheetView workbookViewId="0"/>
  </sheetViews>
  <sheetFormatPr defaultRowHeight="13.8"/>
  <cols>
    <col min="1" max="1" width="28" customWidth="1"/>
    <col min="2" max="2" width="32" customWidth="1"/>
    <col min="3" max="3" width="80" customWidth="1"/>
  </cols>
  <sheetData>
    <row r="1" spans="1:3" ht="21">
      <c r="A1" s="26" t="s">
        <v>1087</v>
      </c>
    </row>
    <row r="2" spans="1:3">
      <c r="A2" s="23" t="s">
        <v>824</v>
      </c>
      <c r="B2" s="23" t="s">
        <v>925</v>
      </c>
      <c r="C2" s="23" t="s">
        <v>486</v>
      </c>
    </row>
    <row r="3" spans="1:3">
      <c r="A3" s="25" t="s">
        <v>1088</v>
      </c>
      <c r="B3" s="25" t="str">
        <f>IF(MIN(Subsurface_Live_Data!I2:I242)&gt;MAX(Subsurface_Live_Data!F2:F242),"OK","Review")</f>
        <v>OK</v>
      </c>
      <c r="C3" s="25" t="s">
        <v>1089</v>
      </c>
    </row>
    <row r="4" spans="1:3">
      <c r="A4" s="25" t="s">
        <v>1090</v>
      </c>
      <c r="B4" s="25" t="str">
        <f>IF(MIN(Subsurface_Live_Data!K2:K242)&gt;MAX(Subsurface_Live_Data!I2:I242),"OK","Review")</f>
        <v>OK</v>
      </c>
      <c r="C4" s="25" t="s">
        <v>1091</v>
      </c>
    </row>
    <row r="5" spans="1:3">
      <c r="A5" s="25" t="s">
        <v>1092</v>
      </c>
      <c r="B5" s="25" t="str">
        <f>IF(MIN(Subsurface_Live_Data!F2:K242)&gt;0,"OK","Review")</f>
        <v>Review</v>
      </c>
      <c r="C5" s="25" t="s">
        <v>1093</v>
      </c>
    </row>
    <row r="6" spans="1:3">
      <c r="A6" s="25" t="s">
        <v>1094</v>
      </c>
      <c r="B6" s="25" t="str">
        <f>IF(AND(MIN(Subsurface_Live_Data!H2:H242)&gt;=0,MAX(Subsurface_Live_Data!H2:H242)&lt;=1),"OK","Review")</f>
        <v>OK</v>
      </c>
      <c r="C6" s="25" t="s">
        <v>1095</v>
      </c>
    </row>
    <row r="7" spans="1:3">
      <c r="A7" s="25" t="s">
        <v>1096</v>
      </c>
      <c r="B7" s="25" t="str">
        <f>IF(COUNT(Subsurface_Live_Data!P2:R242)=ROWS(Subsurface_Live_Data!P2:R242)*3,"OK","Review")</f>
        <v>OK</v>
      </c>
      <c r="C7" s="25" t="s">
        <v>1097</v>
      </c>
    </row>
    <row r="8" spans="1:3" ht="27.6">
      <c r="A8" s="25" t="s">
        <v>1098</v>
      </c>
      <c r="B8" s="25" t="s">
        <v>1099</v>
      </c>
      <c r="C8" s="25" t="s">
        <v>1100</v>
      </c>
    </row>
    <row r="9" spans="1:3">
      <c r="A9" s="25" t="s">
        <v>1101</v>
      </c>
      <c r="B9" s="25" t="str">
        <f>IF(ISNUMBER(Subsurface_Inputs!C43),"OK","Review")</f>
        <v>OK</v>
      </c>
      <c r="C9" s="25" t="s">
        <v>1102</v>
      </c>
    </row>
    <row r="10" spans="1:3">
      <c r="A10" s="25" t="s">
        <v>1103</v>
      </c>
      <c r="B10" s="25" t="str">
        <f>IF(COUNT(Subsurface_Live_Data!X2:Y242)=ROWS(Subsurface_Live_Data!X2:Y242)*2,"OK","Review")</f>
        <v>OK</v>
      </c>
      <c r="C10" s="25" t="s">
        <v>1104</v>
      </c>
    </row>
    <row r="11" spans="1:3">
      <c r="A11" s="25" t="s">
        <v>1105</v>
      </c>
      <c r="B11" s="25" t="str">
        <f>IF(ISNUMBER(Subsurface_Inputs!C44),"OK","Review")</f>
        <v>OK</v>
      </c>
      <c r="C11" s="25" t="s">
        <v>1106</v>
      </c>
    </row>
    <row r="12" spans="1:3">
      <c r="A12" s="25" t="s">
        <v>1107</v>
      </c>
      <c r="B12" s="25" t="str">
        <f>IF(SUM(Subsurface_Inputs!C52:C55)&gt;0,"OK","Review")</f>
        <v>OK</v>
      </c>
      <c r="C12" s="25" t="s">
        <v>1108</v>
      </c>
    </row>
    <row r="13" spans="1:3">
      <c r="A13" s="25" t="s">
        <v>1109</v>
      </c>
      <c r="B13" s="25" t="str">
        <f>IF(COUNT(Subsurface_Scenario_Data!E2:G242)=ROWS(Subsurface_Scenario_Data!E2:G242)*3,"OK","Review")</f>
        <v>OK</v>
      </c>
      <c r="C13" s="25" t="s">
        <v>1110</v>
      </c>
    </row>
    <row r="14" spans="1:3">
      <c r="A14" s="25" t="s">
        <v>1111</v>
      </c>
      <c r="B14" s="25" t="str">
        <f>IF(COUNT(Subsurface_Radargram_Data!C2:D242)&gt;0,"OK","Review")</f>
        <v>OK</v>
      </c>
      <c r="C14" s="25" t="s">
        <v>1112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5"/>
  <sheetViews>
    <sheetView workbookViewId="0"/>
  </sheetViews>
  <sheetFormatPr defaultRowHeight="13.8"/>
  <cols>
    <col min="1" max="1" width="70" customWidth="1"/>
    <col min="2" max="2" width="54" customWidth="1"/>
    <col min="3" max="3" width="42" customWidth="1"/>
    <col min="4" max="4" width="30" customWidth="1"/>
  </cols>
  <sheetData>
    <row r="1" spans="1:4" ht="21">
      <c r="A1" s="26" t="s">
        <v>1113</v>
      </c>
    </row>
    <row r="2" spans="1:4">
      <c r="A2" s="27" t="s">
        <v>1114</v>
      </c>
    </row>
    <row r="3" spans="1:4">
      <c r="A3" s="23" t="s">
        <v>578</v>
      </c>
      <c r="B3" s="23" t="s">
        <v>84</v>
      </c>
      <c r="C3" s="23" t="s">
        <v>579</v>
      </c>
      <c r="D3" s="23" t="s">
        <v>3</v>
      </c>
    </row>
    <row r="4" spans="1:4">
      <c r="A4" s="25" t="s">
        <v>1115</v>
      </c>
      <c r="B4" s="25" t="s">
        <v>1116</v>
      </c>
      <c r="C4" s="25" t="s">
        <v>1117</v>
      </c>
      <c r="D4" s="25" t="s">
        <v>658</v>
      </c>
    </row>
    <row r="5" spans="1:4" ht="27.6">
      <c r="A5" s="25" t="s">
        <v>1118</v>
      </c>
      <c r="B5" s="25" t="s">
        <v>1119</v>
      </c>
      <c r="C5" s="25" t="s">
        <v>1120</v>
      </c>
      <c r="D5" s="25" t="s">
        <v>453</v>
      </c>
    </row>
    <row r="6" spans="1:4">
      <c r="A6" s="25" t="s">
        <v>1121</v>
      </c>
      <c r="B6" s="25" t="s">
        <v>1122</v>
      </c>
      <c r="C6" s="25" t="s">
        <v>701</v>
      </c>
      <c r="D6" s="25" t="s">
        <v>455</v>
      </c>
    </row>
    <row r="7" spans="1:4" ht="27.6">
      <c r="A7" s="25" t="s">
        <v>1123</v>
      </c>
      <c r="B7" s="25" t="s">
        <v>1124</v>
      </c>
      <c r="C7" s="25" t="s">
        <v>704</v>
      </c>
      <c r="D7" s="25" t="s">
        <v>456</v>
      </c>
    </row>
    <row r="8" spans="1:4" ht="27.6">
      <c r="A8" s="25" t="s">
        <v>1125</v>
      </c>
      <c r="B8" s="25" t="s">
        <v>706</v>
      </c>
      <c r="C8" s="25" t="s">
        <v>1126</v>
      </c>
      <c r="D8" s="25" t="s">
        <v>458</v>
      </c>
    </row>
    <row r="9" spans="1:4">
      <c r="A9" s="25" t="s">
        <v>1127</v>
      </c>
      <c r="B9" s="25" t="s">
        <v>1128</v>
      </c>
      <c r="C9" s="25" t="s">
        <v>1129</v>
      </c>
      <c r="D9" s="25" t="s">
        <v>1130</v>
      </c>
    </row>
    <row r="10" spans="1:4">
      <c r="A10" s="25" t="s">
        <v>708</v>
      </c>
      <c r="B10" s="25" t="s">
        <v>1131</v>
      </c>
      <c r="C10" s="25" t="s">
        <v>710</v>
      </c>
      <c r="D10" s="25" t="s">
        <v>1132</v>
      </c>
    </row>
    <row r="11" spans="1:4">
      <c r="A11" s="25" t="s">
        <v>1133</v>
      </c>
      <c r="B11" s="25" t="s">
        <v>1134</v>
      </c>
      <c r="C11" s="25" t="s">
        <v>1135</v>
      </c>
      <c r="D11" s="25" t="s">
        <v>1136</v>
      </c>
    </row>
    <row r="12" spans="1:4">
      <c r="A12" s="25" t="s">
        <v>1137</v>
      </c>
      <c r="B12" s="25" t="s">
        <v>1138</v>
      </c>
      <c r="C12" s="25" t="s">
        <v>1139</v>
      </c>
      <c r="D12" s="25" t="s">
        <v>1140</v>
      </c>
    </row>
    <row r="13" spans="1:4" ht="27.6">
      <c r="A13" s="25" t="s">
        <v>1141</v>
      </c>
      <c r="B13" s="25" t="s">
        <v>1142</v>
      </c>
      <c r="C13" s="25" t="s">
        <v>1143</v>
      </c>
      <c r="D13" s="25" t="s">
        <v>1144</v>
      </c>
    </row>
    <row r="14" spans="1:4">
      <c r="A14" s="25" t="s">
        <v>716</v>
      </c>
      <c r="B14" s="25" t="s">
        <v>1145</v>
      </c>
      <c r="C14" s="25" t="s">
        <v>1146</v>
      </c>
      <c r="D14" s="25" t="s">
        <v>1147</v>
      </c>
    </row>
    <row r="15" spans="1:4" ht="27.6">
      <c r="A15" s="25" t="s">
        <v>1148</v>
      </c>
      <c r="B15" s="25" t="s">
        <v>1149</v>
      </c>
      <c r="C15" s="25" t="s">
        <v>1150</v>
      </c>
      <c r="D15" s="25" t="s">
        <v>1151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Dashboard</vt:lpstr>
      <vt:lpstr>Subsurface_Dashboard</vt:lpstr>
      <vt:lpstr>Inputs</vt:lpstr>
      <vt:lpstr>Subsurface_Inputs</vt:lpstr>
      <vt:lpstr>Model_Data</vt:lpstr>
      <vt:lpstr>Subsurface_Live_Data</vt:lpstr>
      <vt:lpstr>Subsurface_Scenario_Data</vt:lpstr>
      <vt:lpstr>Subsurface_Materials_Evidence</vt:lpstr>
      <vt:lpstr>Subsurface_Radargram_Data</vt:lpstr>
      <vt:lpstr>Chart_Data</vt:lpstr>
      <vt:lpstr>Scenario_Data</vt:lpstr>
      <vt:lpstr>PRF_Results</vt:lpstr>
      <vt:lpstr>Formula_Guide</vt:lpstr>
      <vt:lpstr>Topography_Formulas</vt:lpstr>
      <vt:lpstr>Checks</vt:lpstr>
      <vt:lpstr>Graph_Guide</vt:lpstr>
      <vt:lpstr>Dashboard_Live_Data</vt:lpstr>
      <vt:lpstr>Native_Chart_Data</vt:lpstr>
      <vt:lpstr>Subsurface_Checks</vt:lpstr>
      <vt:lpstr>Subsurface_Formulas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Lee</cp:lastModifiedBy>
  <dcterms:created xsi:type="dcterms:W3CDTF">2026-06-09T21:30:55Z</dcterms:created>
  <dcterms:modified xsi:type="dcterms:W3CDTF">2026-06-10T00:45:34Z</dcterms:modified>
</cp:coreProperties>
</file>